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pitalwertKontrolle/"/>
    </mc:Choice>
  </mc:AlternateContent>
  <xr:revisionPtr revIDLastSave="68" documentId="14_{4CD0AA14-F45F-4A04-82C3-655484BD036F}" xr6:coauthVersionLast="47" xr6:coauthVersionMax="47" xr10:uidLastSave="{AC993F6A-4824-4414-9790-883FAEADC9B6}"/>
  <workbookProtection workbookAlgorithmName="SHA-512" workbookHashValue="dHNvXEU5VsYOosuzQwpj/ezLb/Vj8hlRFfp0vmQgBoprPaIzWi7hedllmRs/pVp/jiAGOtll8DasyyQNG3srsQ==" workbookSaltValue="PtlL/4sJPMP6+2mpAjMdVA==" workbookSpinCount="100000" lockStructure="1"/>
  <bookViews>
    <workbookView xWindow="-120" yWindow="-120" windowWidth="29040" windowHeight="15720" tabRatio="943" firstSheet="10" activeTab="35"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Tabelle3" sheetId="168" state="hidden" r:id="rId40"/>
    <sheet name="Zeichen" sheetId="158" state="hidden" r:id="rId41"/>
    <sheet name="BW-Faktoren" sheetId="154" state="hidden" r:id="rId42"/>
    <sheet name="Formulare &amp; Muster" sheetId="159" state="hidden" r:id="rId43"/>
    <sheet name="KV&amp;PV" sheetId="149" state="hidden" r:id="rId44"/>
    <sheet name="BarwertVglDFGT" sheetId="123" state="hidden" r:id="rId45"/>
    <sheet name="HIRI-Zuschläge66" sheetId="9" state="hidden" r:id="rId46"/>
    <sheet name="HRIR-Zuschläge" sheetId="8" state="hidden" r:id="rId47"/>
    <sheet name="HIRI-Zuschläge67" sheetId="10" state="hidden" r:id="rId48"/>
    <sheet name="HRIR64" sheetId="24" state="hidden" r:id="rId49"/>
    <sheet name="HRIR63" sheetId="25" state="hidden" r:id="rId50"/>
    <sheet name="HRIR62" sheetId="26" state="hidden" r:id="rId51"/>
    <sheet name="HRIR61" sheetId="27" state="hidden" r:id="rId52"/>
    <sheet name="HRIR60" sheetId="28"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32" hidden="1">Abänderungsgründe!$B$4:$J$19</definedName>
    <definedName name="_xlnm._FilterDatabase" localSheetId="0" hidden="1">'TO Ziff.5'!$A$5:$XFA$475</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Zins'!$K$5:$M$50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BilMoG10!$A$9:$AY$702</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'BilMoG-7'!$A$9:$AY$500</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Berechnungstext!$B$3:$C$27</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6">'HRIR-Zuschläge'!$B$2:$AB$51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Ziff.5'!$C$1:$G$328</definedName>
    <definedName name="_xlnm.Print_Area" localSheetId="24">'TO-Prüfung'!$B$2:$H$21</definedName>
    <definedName name="_xlnm.Print_Area" localSheetId="34">Verzinsung!$I$19:$L$40</definedName>
    <definedName name="_xlnm.Print_Area">INDIRECT('Berechnungen BVerfG'!$T$1)</definedName>
    <definedName name="DruckbereichII">Berechnungstext!$B$3:$C$27</definedName>
    <definedName name="_xlnm.Print_Titles" localSheetId="46">'HRIR-Zuschläge'!$2:$3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Ziff.5'!$B$7:$O$253</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1" i="103" l="1"/>
  <c r="X58" i="103" l="1"/>
  <c r="Z58" i="103" s="1"/>
  <c r="W58" i="103"/>
  <c r="Y58" i="103" s="1"/>
  <c r="S58" i="103"/>
  <c r="V58" i="103"/>
  <c r="D61" i="103"/>
  <c r="E61" i="103"/>
  <c r="F61" i="103"/>
  <c r="N59" i="103"/>
  <c r="J25" i="156"/>
  <c r="I1" i="165" l="1"/>
  <c r="A141" i="124"/>
  <c r="B141" i="124"/>
  <c r="C809" i="74"/>
  <c r="C810" i="74" s="1"/>
  <c r="C811" i="74" s="1"/>
  <c r="C812" i="74" s="1"/>
  <c r="C813" i="74" s="1"/>
  <c r="C814" i="74" s="1"/>
  <c r="C815" i="74" s="1"/>
  <c r="C816" i="74" s="1"/>
  <c r="G1" i="165"/>
  <c r="E1" i="165"/>
  <c r="C1" i="165"/>
  <c r="U57" i="103"/>
  <c r="U56" i="103"/>
  <c r="H33" i="74" l="1"/>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88" i="74"/>
  <c r="H89" i="74"/>
  <c r="H90" i="74"/>
  <c r="H91" i="74"/>
  <c r="H92" i="74"/>
  <c r="H93" i="74"/>
  <c r="H94" i="74"/>
  <c r="H95" i="74"/>
  <c r="H96" i="74"/>
  <c r="H97" i="74"/>
  <c r="H98" i="74"/>
  <c r="H99" i="74"/>
  <c r="H37" i="74"/>
  <c r="G69" i="74"/>
  <c r="G70" i="74"/>
  <c r="G71" i="74"/>
  <c r="G64" i="74"/>
  <c r="G65" i="74"/>
  <c r="G66" i="74"/>
  <c r="G67" i="74"/>
  <c r="G68" i="74"/>
  <c r="G58" i="74"/>
  <c r="G59" i="74"/>
  <c r="G60" i="74"/>
  <c r="G61" i="74"/>
  <c r="G62" i="74"/>
  <c r="G63" i="74"/>
  <c r="G48" i="74"/>
  <c r="G49" i="74"/>
  <c r="G50" i="74"/>
  <c r="G51" i="74"/>
  <c r="G52" i="74"/>
  <c r="G53" i="74"/>
  <c r="G54" i="74"/>
  <c r="G55" i="74"/>
  <c r="G56" i="74"/>
  <c r="G57" i="74"/>
  <c r="G37" i="74"/>
  <c r="G38" i="74"/>
  <c r="G39" i="74"/>
  <c r="G40" i="74"/>
  <c r="G41" i="74"/>
  <c r="G42" i="74"/>
  <c r="G43" i="74"/>
  <c r="G44" i="74"/>
  <c r="G45" i="74"/>
  <c r="G46" i="74"/>
  <c r="G47" i="74"/>
  <c r="F73" i="74"/>
  <c r="F74" i="74" s="1"/>
  <c r="F75" i="74" s="1"/>
  <c r="F76" i="74" s="1"/>
  <c r="F77" i="74" s="1"/>
  <c r="F78" i="74" s="1"/>
  <c r="F79" i="74" s="1"/>
  <c r="F80" i="74" s="1"/>
  <c r="F81" i="74" s="1"/>
  <c r="F82" i="74" s="1"/>
  <c r="F83" i="74" s="1"/>
  <c r="F84" i="74" s="1"/>
  <c r="F85" i="74" s="1"/>
  <c r="F86" i="74" s="1"/>
  <c r="F87" i="74" s="1"/>
  <c r="F88" i="74" s="1"/>
  <c r="F89" i="74" s="1"/>
  <c r="F90" i="74" s="1"/>
  <c r="F91" i="74" s="1"/>
  <c r="F92" i="74" s="1"/>
  <c r="F93" i="74" s="1"/>
  <c r="F94" i="74" s="1"/>
  <c r="F95" i="74" s="1"/>
  <c r="F96" i="74" s="1"/>
  <c r="F97" i="74" s="1"/>
  <c r="F98" i="74" s="1"/>
  <c r="F99" i="74" s="1"/>
  <c r="F69" i="74"/>
  <c r="F70" i="74"/>
  <c r="F71" i="74" s="1"/>
  <c r="F72" i="74" s="1"/>
  <c r="F54" i="74"/>
  <c r="F55" i="74"/>
  <c r="F56" i="74" s="1"/>
  <c r="F57" i="74" s="1"/>
  <c r="F58" i="74" s="1"/>
  <c r="F59" i="74" s="1"/>
  <c r="F60" i="74" s="1"/>
  <c r="F61" i="74" s="1"/>
  <c r="F62" i="74" s="1"/>
  <c r="F63" i="74" s="1"/>
  <c r="F64" i="74" s="1"/>
  <c r="F65" i="74" s="1"/>
  <c r="F66" i="74" s="1"/>
  <c r="F67" i="74" s="1"/>
  <c r="F68" i="74" s="1"/>
  <c r="F47" i="74"/>
  <c r="F48" i="74"/>
  <c r="F49" i="74"/>
  <c r="F50" i="74" s="1"/>
  <c r="F51" i="74" s="1"/>
  <c r="F52" i="74" s="1"/>
  <c r="F53" i="74" s="1"/>
  <c r="F38" i="74"/>
  <c r="F39" i="74" s="1"/>
  <c r="F40" i="74" s="1"/>
  <c r="F41" i="74" s="1"/>
  <c r="F42" i="74" s="1"/>
  <c r="F43" i="74" s="1"/>
  <c r="F44" i="74" s="1"/>
  <c r="F45" i="74" s="1"/>
  <c r="F46" i="74" s="1"/>
  <c r="F37" i="74"/>
  <c r="H36" i="74"/>
  <c r="I37" i="74" s="1"/>
  <c r="G36" i="74"/>
  <c r="F36" i="74"/>
  <c r="M24" i="74"/>
  <c r="M25" i="74"/>
  <c r="M26" i="74"/>
  <c r="M27" i="74"/>
  <c r="M28" i="74"/>
  <c r="M29" i="74"/>
  <c r="M30" i="74"/>
  <c r="C805" i="74"/>
  <c r="C806" i="74" s="1"/>
  <c r="C807" i="74" s="1"/>
  <c r="C808" i="74" s="1"/>
  <c r="D5" i="140"/>
  <c r="I85" i="74" l="1"/>
  <c r="I69" i="74"/>
  <c r="I53" i="74"/>
  <c r="I36" i="74"/>
  <c r="I84" i="74"/>
  <c r="I68" i="74"/>
  <c r="I52" i="74"/>
  <c r="I55" i="74"/>
  <c r="I99" i="74"/>
  <c r="I83" i="74"/>
  <c r="I67" i="74"/>
  <c r="I51" i="74"/>
  <c r="I82" i="74"/>
  <c r="I97" i="74"/>
  <c r="I65" i="74"/>
  <c r="I96" i="74"/>
  <c r="I80" i="74"/>
  <c r="I64" i="74"/>
  <c r="I48" i="74"/>
  <c r="I98" i="74"/>
  <c r="I50" i="74"/>
  <c r="I95" i="74"/>
  <c r="I79" i="74"/>
  <c r="I47" i="74"/>
  <c r="I94" i="74"/>
  <c r="I78" i="74"/>
  <c r="I62" i="74"/>
  <c r="I46" i="74"/>
  <c r="I93" i="74"/>
  <c r="I77" i="74"/>
  <c r="I61" i="74"/>
  <c r="I45" i="74"/>
  <c r="I66" i="74"/>
  <c r="I81" i="74"/>
  <c r="I49" i="74"/>
  <c r="I63" i="74"/>
  <c r="I92" i="74"/>
  <c r="I76" i="74"/>
  <c r="I60" i="74"/>
  <c r="I44" i="74"/>
  <c r="I91" i="74"/>
  <c r="I75" i="74"/>
  <c r="I59" i="74"/>
  <c r="I43" i="74"/>
  <c r="I71" i="74"/>
  <c r="I90" i="74"/>
  <c r="I74" i="74"/>
  <c r="I58" i="74"/>
  <c r="I42" i="74"/>
  <c r="I89" i="74"/>
  <c r="I73" i="74"/>
  <c r="I57" i="74"/>
  <c r="I41" i="74"/>
  <c r="I88" i="74"/>
  <c r="I72" i="74"/>
  <c r="I56" i="74"/>
  <c r="I40" i="74"/>
  <c r="I39" i="74"/>
  <c r="I87" i="74"/>
  <c r="I86" i="74"/>
  <c r="I70" i="74"/>
  <c r="I54" i="74"/>
  <c r="I38" i="74"/>
  <c r="AA13" i="138"/>
  <c r="G142" i="124"/>
  <c r="B142" i="124"/>
  <c r="A142" i="124"/>
  <c r="G179" i="124"/>
  <c r="A179" i="124"/>
  <c r="G178" i="124"/>
  <c r="A178" i="124"/>
  <c r="B178" i="124"/>
  <c r="G122" i="124"/>
  <c r="B122" i="124"/>
  <c r="A122" i="124"/>
  <c r="A98" i="124"/>
  <c r="B98" i="124"/>
  <c r="G6" i="124"/>
  <c r="G7" i="124"/>
  <c r="G8" i="124"/>
  <c r="G9" i="124"/>
  <c r="G10" i="124"/>
  <c r="G11" i="124"/>
  <c r="G12" i="124"/>
  <c r="G13" i="124"/>
  <c r="G14" i="124"/>
  <c r="G15" i="124"/>
  <c r="G16" i="124"/>
  <c r="G17" i="124"/>
  <c r="G18" i="124"/>
  <c r="G19" i="124"/>
  <c r="G20" i="124"/>
  <c r="G21" i="124"/>
  <c r="G22" i="124"/>
  <c r="G23" i="124"/>
  <c r="G24" i="124"/>
  <c r="G25" i="124"/>
  <c r="G26" i="124"/>
  <c r="G27" i="124"/>
  <c r="G28" i="124"/>
  <c r="G29" i="124"/>
  <c r="G30" i="124"/>
  <c r="G31" i="124"/>
  <c r="G32" i="124"/>
  <c r="G33" i="124"/>
  <c r="G34" i="124"/>
  <c r="G35" i="124"/>
  <c r="G36" i="124"/>
  <c r="G37" i="124"/>
  <c r="G38" i="124"/>
  <c r="G39" i="124"/>
  <c r="G40" i="124"/>
  <c r="G41" i="124"/>
  <c r="G42" i="124"/>
  <c r="G43" i="124"/>
  <c r="G44" i="124"/>
  <c r="G45" i="124"/>
  <c r="G46" i="124"/>
  <c r="G47" i="124"/>
  <c r="G48" i="124"/>
  <c r="G49" i="124"/>
  <c r="G50" i="124"/>
  <c r="G51" i="124"/>
  <c r="G52" i="124"/>
  <c r="G53" i="124"/>
  <c r="G54" i="124"/>
  <c r="G55" i="124"/>
  <c r="G56" i="124"/>
  <c r="G57" i="124"/>
  <c r="G58" i="124"/>
  <c r="G59" i="124"/>
  <c r="G60" i="124"/>
  <c r="G61" i="124"/>
  <c r="G62" i="124"/>
  <c r="G63" i="124"/>
  <c r="G64" i="124"/>
  <c r="G65" i="124"/>
  <c r="G66" i="124"/>
  <c r="G67" i="124"/>
  <c r="G68" i="124"/>
  <c r="G69" i="124"/>
  <c r="G70" i="124"/>
  <c r="G71" i="124"/>
  <c r="G72" i="124"/>
  <c r="G73" i="124"/>
  <c r="G74" i="124"/>
  <c r="G75" i="124"/>
  <c r="G77" i="124"/>
  <c r="G78" i="124"/>
  <c r="G79" i="124"/>
  <c r="G80" i="124"/>
  <c r="G81" i="124"/>
  <c r="G82" i="124"/>
  <c r="G83" i="124"/>
  <c r="G84" i="124"/>
  <c r="G85" i="124"/>
  <c r="G86" i="124"/>
  <c r="G87" i="124"/>
  <c r="G88" i="124"/>
  <c r="G89" i="124"/>
  <c r="G90" i="124"/>
  <c r="G91" i="124"/>
  <c r="G92" i="124"/>
  <c r="G93" i="124"/>
  <c r="G94" i="124"/>
  <c r="G95" i="124"/>
  <c r="G96" i="124"/>
  <c r="G97" i="124"/>
  <c r="G99" i="124"/>
  <c r="G100" i="124"/>
  <c r="G101" i="124"/>
  <c r="G102" i="124"/>
  <c r="G103" i="124"/>
  <c r="G104" i="124"/>
  <c r="G105" i="124"/>
  <c r="G106" i="124"/>
  <c r="G107" i="124"/>
  <c r="G108" i="124"/>
  <c r="G109" i="124"/>
  <c r="G110" i="124"/>
  <c r="G111" i="124"/>
  <c r="G112" i="124"/>
  <c r="G113" i="124"/>
  <c r="G114" i="124"/>
  <c r="G115" i="124"/>
  <c r="G116" i="124"/>
  <c r="G117" i="124"/>
  <c r="G118" i="124"/>
  <c r="G119" i="124"/>
  <c r="G120" i="124"/>
  <c r="G121" i="124"/>
  <c r="G123" i="124"/>
  <c r="G124" i="124"/>
  <c r="G125" i="124"/>
  <c r="G126" i="124"/>
  <c r="G127" i="124"/>
  <c r="G128" i="124"/>
  <c r="G129" i="124"/>
  <c r="G130" i="124"/>
  <c r="G131" i="124"/>
  <c r="G132" i="124"/>
  <c r="G133" i="124"/>
  <c r="G134" i="124"/>
  <c r="G135" i="124"/>
  <c r="G136" i="124"/>
  <c r="G137" i="124"/>
  <c r="G138" i="124"/>
  <c r="G139" i="124"/>
  <c r="G140"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260" i="124"/>
  <c r="G261" i="124"/>
  <c r="G262" i="124"/>
  <c r="G263" i="124"/>
  <c r="G264" i="124"/>
  <c r="G265" i="124"/>
  <c r="G266" i="124"/>
  <c r="G267" i="124"/>
  <c r="G268" i="124"/>
  <c r="G269" i="124"/>
  <c r="G270" i="124"/>
  <c r="G271" i="124"/>
  <c r="G272" i="124"/>
  <c r="G273" i="124"/>
  <c r="G274" i="124"/>
  <c r="G275" i="124"/>
  <c r="G276" i="124"/>
  <c r="G277" i="124"/>
  <c r="G278" i="124"/>
  <c r="G279" i="124"/>
  <c r="G280" i="124"/>
  <c r="G281" i="124"/>
  <c r="G282" i="124"/>
  <c r="G283" i="124"/>
  <c r="G284" i="124"/>
  <c r="G285" i="124"/>
  <c r="G286" i="124"/>
  <c r="G287" i="124"/>
  <c r="G288" i="124"/>
  <c r="G289" i="124"/>
  <c r="G290" i="124"/>
  <c r="G291" i="124"/>
  <c r="G292" i="124"/>
  <c r="G293" i="124"/>
  <c r="G294" i="124"/>
  <c r="G295" i="124"/>
  <c r="G296" i="124"/>
  <c r="G297" i="124"/>
  <c r="G298" i="124"/>
  <c r="G299" i="124"/>
  <c r="G300" i="124"/>
  <c r="G301" i="124"/>
  <c r="G302" i="124"/>
  <c r="G303" i="124"/>
  <c r="G304" i="124"/>
  <c r="G305" i="124"/>
  <c r="G306" i="124"/>
  <c r="G307" i="124"/>
  <c r="G308" i="124"/>
  <c r="G309" i="124"/>
  <c r="G310" i="124"/>
  <c r="G311" i="124"/>
  <c r="G312" i="124"/>
  <c r="G313" i="124"/>
  <c r="G314" i="124"/>
  <c r="G315" i="124"/>
  <c r="G316" i="124"/>
  <c r="G317" i="124"/>
  <c r="G318" i="124"/>
  <c r="G319" i="124"/>
  <c r="G320" i="124"/>
  <c r="G321" i="124"/>
  <c r="G322" i="124"/>
  <c r="G323" i="124"/>
  <c r="G324" i="124"/>
  <c r="G325" i="124"/>
  <c r="G326" i="124"/>
  <c r="G327" i="124"/>
  <c r="G328" i="124"/>
  <c r="G329" i="124"/>
  <c r="G330" i="124"/>
  <c r="G331" i="124"/>
  <c r="G332" i="124"/>
  <c r="G333" i="124"/>
  <c r="G334" i="124"/>
  <c r="G335" i="124"/>
  <c r="G336" i="124"/>
  <c r="G337" i="124"/>
  <c r="G338" i="124"/>
  <c r="G339" i="124"/>
  <c r="G340" i="124"/>
  <c r="G341" i="124"/>
  <c r="G342" i="124"/>
  <c r="G343" i="124"/>
  <c r="G344" i="124"/>
  <c r="G345" i="124"/>
  <c r="G346" i="124"/>
  <c r="G347" i="124"/>
  <c r="G348" i="124"/>
  <c r="G76" i="124"/>
  <c r="B76" i="124"/>
  <c r="A76" i="124"/>
  <c r="A9" i="124"/>
  <c r="B301" i="124"/>
  <c r="C801" i="74"/>
  <c r="C802" i="74" s="1"/>
  <c r="C803" i="74" s="1"/>
  <c r="C804" i="74" s="1"/>
  <c r="U25" i="138"/>
  <c r="V24" i="138"/>
  <c r="U24" i="138"/>
  <c r="B14" i="22"/>
  <c r="B21" i="22"/>
  <c r="V3" i="17"/>
  <c r="W3" i="17"/>
  <c r="C34" i="94"/>
  <c r="C35" i="94"/>
  <c r="R43" i="96"/>
  <c r="W57" i="103"/>
  <c r="Y57" i="103" s="1"/>
  <c r="X57" i="103"/>
  <c r="Z57" i="103" s="1"/>
  <c r="V57" i="103"/>
  <c r="S57" i="103"/>
  <c r="E60" i="103"/>
  <c r="F60" i="103"/>
  <c r="K60" i="103"/>
  <c r="E41" i="149"/>
  <c r="E42" i="149"/>
  <c r="J42" i="149"/>
  <c r="B15"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R24" i="17"/>
  <c r="U3" i="17"/>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H4" i="117"/>
  <c r="S40" i="17"/>
  <c r="F282" i="124"/>
  <c r="P282" i="124"/>
  <c r="A282" i="124"/>
  <c r="B282" i="124"/>
  <c r="A269" i="124"/>
  <c r="B269"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F36" i="166" l="1"/>
  <c r="C36" i="166"/>
  <c r="B30" i="166"/>
  <c r="B34" i="166"/>
  <c r="G22" i="166"/>
  <c r="G24" i="166" s="1"/>
  <c r="B25" i="166" s="1"/>
  <c r="I20" i="166"/>
  <c r="K15" i="166"/>
  <c r="I16" i="166"/>
  <c r="AR13" i="138"/>
  <c r="G26" i="166" l="1"/>
  <c r="C33" i="166" s="1"/>
  <c r="A36" i="124"/>
  <c r="B36"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B307" i="124"/>
  <c r="A307" i="124"/>
  <c r="P110" i="124"/>
  <c r="B110" i="124"/>
  <c r="A110" i="124"/>
  <c r="L12" i="164" l="1"/>
  <c r="M12" i="164" s="1"/>
  <c r="N12" i="164" s="1"/>
  <c r="L13" i="164"/>
  <c r="A232" i="124"/>
  <c r="B232" i="124"/>
  <c r="A233" i="124"/>
  <c r="B264" i="124"/>
  <c r="A264" i="124"/>
  <c r="A263" i="124"/>
  <c r="B263" i="124"/>
  <c r="L14" i="164" l="1"/>
  <c r="M13" i="164"/>
  <c r="N13" i="164" s="1"/>
  <c r="A314" i="124"/>
  <c r="B314"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P280" i="124" l="1"/>
  <c r="A280" i="124"/>
  <c r="B280" i="124"/>
  <c r="A212" i="124" l="1"/>
  <c r="B212" i="124"/>
  <c r="W26" i="17" l="1"/>
  <c r="P158" i="124"/>
  <c r="A158" i="124"/>
  <c r="B158" i="124"/>
  <c r="E31" i="17" l="1"/>
  <c r="E14" i="158" l="1"/>
  <c r="D23" i="158"/>
  <c r="B187" i="124" l="1"/>
  <c r="A187" i="124"/>
  <c r="B188" i="124"/>
  <c r="A188" i="124"/>
  <c r="BH25" i="138" l="1"/>
  <c r="B29" i="124" l="1"/>
  <c r="A29" i="124"/>
  <c r="D23" i="17" l="1"/>
  <c r="AD32" i="17" l="1"/>
  <c r="B40" i="156"/>
  <c r="AP13" i="138" l="1"/>
  <c r="AP12" i="138"/>
  <c r="AP14" i="138"/>
  <c r="T6" i="138"/>
  <c r="AZ5" i="138" l="1"/>
  <c r="AK2" i="138"/>
  <c r="S3" i="17"/>
  <c r="F5" i="19"/>
  <c r="V6" i="138"/>
  <c r="X6" i="156"/>
  <c r="J24" i="105"/>
  <c r="L21" i="17" l="1"/>
  <c r="AL2" i="138"/>
  <c r="T3" i="17"/>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C789" i="74" s="1"/>
  <c r="C790" i="74" s="1"/>
  <c r="C791" i="74" s="1"/>
  <c r="C792" i="74" s="1"/>
  <c r="C793" i="74" s="1"/>
  <c r="C794" i="74" s="1"/>
  <c r="C795" i="74" s="1"/>
  <c r="C796" i="74" s="1"/>
  <c r="C797" i="74" s="1"/>
  <c r="C798" i="74" s="1"/>
  <c r="C799" i="74" s="1"/>
  <c r="C800"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A15" i="124" l="1"/>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M59" i="103"/>
  <c r="E59" i="103"/>
  <c r="F59" i="103"/>
  <c r="I59" i="103" l="1"/>
  <c r="K29" i="164"/>
  <c r="W56" i="103"/>
  <c r="Y56" i="103" s="1"/>
  <c r="V56" i="103"/>
  <c r="K30" i="164" l="1"/>
  <c r="K31" i="164"/>
  <c r="L29" i="164"/>
  <c r="E15" i="140"/>
  <c r="M29" i="164" l="1"/>
  <c r="L31" i="164"/>
  <c r="L30" i="164"/>
  <c r="B18" i="140"/>
  <c r="N29" i="164" l="1"/>
  <c r="M30" i="164"/>
  <c r="M31" i="164"/>
  <c r="B14" i="140"/>
  <c r="P7" i="17" l="1"/>
  <c r="O7" i="17"/>
  <c r="W21" i="156"/>
  <c r="Z21" i="156" s="1"/>
  <c r="B15" i="156" s="1"/>
  <c r="X6" i="17" l="1"/>
  <c r="F39" i="124" l="1"/>
  <c r="A39" i="124"/>
  <c r="B39" i="124"/>
  <c r="F143" i="124"/>
  <c r="F144" i="124"/>
  <c r="A139" i="124"/>
  <c r="B139" i="124"/>
  <c r="U13" i="138" l="1"/>
  <c r="I51" i="124" l="1"/>
  <c r="P184" i="124"/>
  <c r="F184" i="124"/>
  <c r="B184" i="124"/>
  <c r="A184" i="124"/>
  <c r="AA5" i="117" l="1"/>
  <c r="AA28" i="117" l="1"/>
  <c r="AC28" i="117" s="1"/>
  <c r="E20" i="117" l="1"/>
  <c r="H23" i="117" s="1"/>
  <c r="I23" i="117" s="1"/>
  <c r="E4" i="117"/>
  <c r="C33" i="117" s="1"/>
  <c r="I29" i="117"/>
  <c r="AA31" i="117"/>
  <c r="AA30" i="117"/>
  <c r="AA29" i="117"/>
  <c r="A177" i="124"/>
  <c r="F177" i="124"/>
  <c r="B177" i="124"/>
  <c r="A133" i="124"/>
  <c r="B133" i="124"/>
  <c r="F133" i="124"/>
  <c r="A132" i="124"/>
  <c r="B304" i="124"/>
  <c r="A304"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F116" i="124" l="1"/>
  <c r="A116" i="124"/>
  <c r="B116" i="124"/>
  <c r="F115" i="124"/>
  <c r="B115" i="124"/>
  <c r="A115"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B165" i="124" l="1"/>
  <c r="A165"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31" i="124" l="1"/>
  <c r="A231" i="124"/>
  <c r="A203" i="124" l="1"/>
  <c r="B203" i="124"/>
  <c r="P50" i="124" l="1"/>
  <c r="A50" i="124"/>
  <c r="B50" i="124"/>
  <c r="B68" i="124" l="1"/>
  <c r="A68" i="124"/>
  <c r="G40" i="138" l="1"/>
  <c r="E39" i="138"/>
  <c r="B53" i="124" l="1"/>
  <c r="A53" i="124"/>
  <c r="A317" i="124"/>
  <c r="B317" i="124"/>
  <c r="B22" i="124" l="1"/>
  <c r="A22" i="124"/>
  <c r="A52" i="124" l="1"/>
  <c r="N30" i="17" l="1"/>
  <c r="X31" i="17"/>
  <c r="C8" i="140" l="1"/>
  <c r="E10" i="140" l="1"/>
  <c r="E6" i="140"/>
  <c r="Y6" i="138"/>
  <c r="O23" i="138"/>
  <c r="P32" i="138" l="1"/>
  <c r="P31" i="138"/>
  <c r="P29" i="138"/>
  <c r="P30" i="138"/>
  <c r="P27" i="138"/>
  <c r="F15" i="19"/>
  <c r="AK10" i="138" l="1"/>
  <c r="D17" i="19" l="1"/>
  <c r="J3" i="156"/>
  <c r="AV6" i="138"/>
  <c r="T5" i="138"/>
  <c r="AV5" i="138"/>
  <c r="V5" i="138"/>
  <c r="U7" i="138"/>
  <c r="D5" i="19"/>
  <c r="S7" i="138"/>
  <c r="H4" i="138"/>
  <c r="C5" i="19"/>
  <c r="Q6" i="19" l="1"/>
  <c r="S6" i="19"/>
  <c r="Q40" i="19"/>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P78" i="124"/>
  <c r="B78" i="124"/>
  <c r="A78" i="124"/>
  <c r="C6" i="19" l="1"/>
  <c r="P81" i="124" l="1"/>
  <c r="A81" i="124"/>
  <c r="B81"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F6" i="19"/>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B28" i="124" l="1"/>
  <c r="A28"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L28" i="138"/>
  <c r="AS38" i="138"/>
  <c r="AS34" i="138"/>
  <c r="AS35" i="138"/>
  <c r="AS32" i="138"/>
  <c r="AS36" i="138"/>
  <c r="AS33" i="138"/>
  <c r="AO36" i="138"/>
  <c r="AS31" i="138"/>
  <c r="AO37" i="138"/>
  <c r="AO38" i="138"/>
  <c r="AO35" i="138"/>
  <c r="AO33" i="138"/>
  <c r="AO31" i="138"/>
  <c r="AS37" i="138"/>
  <c r="AO34" i="138"/>
  <c r="AO32" i="138"/>
  <c r="AO29" i="138"/>
  <c r="AS29" i="138"/>
  <c r="AS30" i="138"/>
  <c r="AO30" i="138"/>
  <c r="AO27" i="138"/>
  <c r="AO28" i="138"/>
  <c r="AS27" i="138"/>
  <c r="AC38" i="138" l="1"/>
  <c r="AC37" i="138"/>
  <c r="AC36" i="138"/>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AY35" i="138"/>
  <c r="AZ35" i="138" s="1"/>
  <c r="AY34" i="138"/>
  <c r="AZ34" i="138" s="1"/>
  <c r="AY38" i="138"/>
  <c r="AZ38" i="138" s="1"/>
  <c r="BA38" i="138" s="1"/>
  <c r="F275" i="124"/>
  <c r="F274" i="124"/>
  <c r="F273" i="124"/>
  <c r="F278" i="124"/>
  <c r="A275" i="124"/>
  <c r="B275" i="124"/>
  <c r="A274" i="124"/>
  <c r="B274" i="124"/>
  <c r="B273" i="124"/>
  <c r="A273" i="124"/>
  <c r="T38" i="138" l="1"/>
  <c r="V38" i="138"/>
  <c r="Y38" i="138" s="1"/>
  <c r="T32" i="138"/>
  <c r="BI37" i="138"/>
  <c r="BJ37" i="138" s="1"/>
  <c r="BK37" i="138" s="1"/>
  <c r="T37" i="138"/>
  <c r="Q37" i="138" s="1"/>
  <c r="BI38" i="138"/>
  <c r="BJ38" i="138" s="1"/>
  <c r="BK38" i="138" s="1"/>
  <c r="BA36" i="138"/>
  <c r="V36" i="138" s="1"/>
  <c r="BA33" i="138"/>
  <c r="V33" i="138" s="1"/>
  <c r="BA35" i="138"/>
  <c r="T35" i="138" s="1"/>
  <c r="BA30" i="138"/>
  <c r="V30" i="138" s="1"/>
  <c r="N3" i="124"/>
  <c r="M3" i="124"/>
  <c r="L3" i="124"/>
  <c r="K3" i="124"/>
  <c r="F17" i="124"/>
  <c r="F14" i="124"/>
  <c r="F16" i="124"/>
  <c r="F13" i="124"/>
  <c r="F18" i="124"/>
  <c r="F19" i="124"/>
  <c r="F20" i="124"/>
  <c r="F21" i="124"/>
  <c r="F23" i="124"/>
  <c r="F24" i="124"/>
  <c r="F25" i="124"/>
  <c r="F26" i="124"/>
  <c r="F27" i="124"/>
  <c r="F30" i="124"/>
  <c r="F31" i="124"/>
  <c r="F32" i="124"/>
  <c r="F33" i="124"/>
  <c r="F34" i="124"/>
  <c r="F35" i="124"/>
  <c r="F37" i="124"/>
  <c r="F38" i="124"/>
  <c r="F40" i="124"/>
  <c r="F41" i="124"/>
  <c r="F42" i="124"/>
  <c r="F43" i="124"/>
  <c r="F44" i="124"/>
  <c r="F45" i="124"/>
  <c r="F46" i="124"/>
  <c r="F47" i="124"/>
  <c r="F48" i="124"/>
  <c r="F49" i="124"/>
  <c r="F51" i="124"/>
  <c r="F54" i="124"/>
  <c r="F55" i="124"/>
  <c r="F56" i="124"/>
  <c r="F57" i="124"/>
  <c r="F58" i="124"/>
  <c r="F59" i="124"/>
  <c r="F60" i="124"/>
  <c r="F61" i="124"/>
  <c r="F62" i="124"/>
  <c r="F64" i="124"/>
  <c r="F63" i="124"/>
  <c r="F65" i="124"/>
  <c r="F66" i="124"/>
  <c r="F67" i="124"/>
  <c r="F69" i="124"/>
  <c r="F72" i="124"/>
  <c r="F70" i="124"/>
  <c r="F71" i="124"/>
  <c r="F73" i="124"/>
  <c r="F74" i="124"/>
  <c r="F75" i="124"/>
  <c r="F77" i="124"/>
  <c r="F79" i="124"/>
  <c r="F80" i="124"/>
  <c r="F82" i="124"/>
  <c r="F83" i="124"/>
  <c r="F84" i="124"/>
  <c r="F85" i="124"/>
  <c r="F86" i="124"/>
  <c r="F87" i="124"/>
  <c r="F88" i="124"/>
  <c r="F89" i="124"/>
  <c r="F90" i="124"/>
  <c r="F91" i="124"/>
  <c r="F92" i="124"/>
  <c r="F93" i="124"/>
  <c r="F94" i="124"/>
  <c r="F95" i="124"/>
  <c r="F96" i="124"/>
  <c r="F97" i="124"/>
  <c r="F100" i="124"/>
  <c r="F99" i="124"/>
  <c r="F101" i="124"/>
  <c r="F102" i="124"/>
  <c r="F103" i="124"/>
  <c r="F104" i="124"/>
  <c r="F105" i="124"/>
  <c r="F106" i="124"/>
  <c r="F107" i="124"/>
  <c r="F108" i="124"/>
  <c r="F109" i="124"/>
  <c r="F111" i="124"/>
  <c r="F113" i="124"/>
  <c r="F114" i="124"/>
  <c r="F112" i="124"/>
  <c r="F117" i="124"/>
  <c r="F118" i="124"/>
  <c r="F119" i="124"/>
  <c r="F120" i="124"/>
  <c r="F121" i="124"/>
  <c r="F123" i="124"/>
  <c r="F124" i="124"/>
  <c r="F125" i="124"/>
  <c r="F126" i="124"/>
  <c r="F127" i="124"/>
  <c r="F128" i="124"/>
  <c r="F129" i="124"/>
  <c r="F130" i="124"/>
  <c r="F131" i="124"/>
  <c r="F132" i="124"/>
  <c r="F134" i="124"/>
  <c r="F135" i="124"/>
  <c r="F136" i="124"/>
  <c r="F137" i="124"/>
  <c r="F140" i="124"/>
  <c r="F138" i="124"/>
  <c r="F145" i="124"/>
  <c r="F147" i="124"/>
  <c r="F146" i="124"/>
  <c r="F148" i="124"/>
  <c r="F149" i="124"/>
  <c r="F150" i="124"/>
  <c r="F151" i="124"/>
  <c r="F152" i="124"/>
  <c r="F155" i="124"/>
  <c r="F153" i="124"/>
  <c r="F154" i="124"/>
  <c r="F156" i="124"/>
  <c r="F157" i="124"/>
  <c r="F160" i="124"/>
  <c r="F159" i="124"/>
  <c r="F161" i="124"/>
  <c r="F162" i="124"/>
  <c r="F163" i="124"/>
  <c r="F164" i="124"/>
  <c r="F166" i="124"/>
  <c r="F167" i="124"/>
  <c r="F168" i="124"/>
  <c r="F169" i="124"/>
  <c r="F170" i="124"/>
  <c r="F171" i="124"/>
  <c r="F172" i="124"/>
  <c r="F173" i="124"/>
  <c r="F174" i="124"/>
  <c r="F175" i="124"/>
  <c r="F176" i="124"/>
  <c r="F180" i="124"/>
  <c r="F181" i="124"/>
  <c r="F182" i="124"/>
  <c r="F183" i="124"/>
  <c r="F185" i="124"/>
  <c r="F186" i="124"/>
  <c r="F189" i="124"/>
  <c r="F190" i="124"/>
  <c r="F191" i="124"/>
  <c r="F192" i="124"/>
  <c r="F193" i="124"/>
  <c r="F194" i="124"/>
  <c r="F195" i="124"/>
  <c r="F196" i="124"/>
  <c r="F198" i="124"/>
  <c r="F197" i="124"/>
  <c r="F199" i="124"/>
  <c r="F200" i="124"/>
  <c r="F201" i="124"/>
  <c r="F202" i="124"/>
  <c r="F204" i="124"/>
  <c r="F205" i="124"/>
  <c r="F206" i="124"/>
  <c r="F207" i="124"/>
  <c r="F208" i="124"/>
  <c r="F209" i="124"/>
  <c r="F210" i="124"/>
  <c r="F211" i="124"/>
  <c r="F213" i="124"/>
  <c r="F214" i="124"/>
  <c r="F215" i="124"/>
  <c r="F216" i="124"/>
  <c r="F217" i="124"/>
  <c r="F218" i="124"/>
  <c r="F219" i="124"/>
  <c r="F220" i="124"/>
  <c r="F221" i="124"/>
  <c r="F222" i="124"/>
  <c r="F223" i="124"/>
  <c r="F225" i="124"/>
  <c r="F224" i="124"/>
  <c r="F227" i="124"/>
  <c r="F228" i="124"/>
  <c r="F226" i="124"/>
  <c r="F229" i="124"/>
  <c r="F230" i="124"/>
  <c r="F236" i="124"/>
  <c r="F233" i="124"/>
  <c r="F235" i="124"/>
  <c r="F234" i="124"/>
  <c r="F238" i="124"/>
  <c r="F237" i="124"/>
  <c r="F239" i="124"/>
  <c r="F240" i="124"/>
  <c r="F241" i="124"/>
  <c r="F242" i="124"/>
  <c r="F243" i="124"/>
  <c r="F244" i="124"/>
  <c r="F245" i="124"/>
  <c r="F251" i="124"/>
  <c r="F246" i="124"/>
  <c r="F247" i="124"/>
  <c r="F249" i="124"/>
  <c r="F248" i="124"/>
  <c r="F250" i="124"/>
  <c r="F253" i="124"/>
  <c r="F252" i="124"/>
  <c r="F254" i="124"/>
  <c r="F256" i="124"/>
  <c r="F255" i="124"/>
  <c r="F257" i="124"/>
  <c r="F258" i="124"/>
  <c r="F259" i="124"/>
  <c r="F260" i="124"/>
  <c r="F261" i="124"/>
  <c r="F262" i="124"/>
  <c r="F265" i="124"/>
  <c r="F266" i="124"/>
  <c r="F267" i="124"/>
  <c r="F268" i="124"/>
  <c r="F270" i="124"/>
  <c r="F271" i="124"/>
  <c r="F272" i="124"/>
  <c r="F276" i="124"/>
  <c r="F277" i="124"/>
  <c r="F279" i="124"/>
  <c r="F281" i="124"/>
  <c r="F283" i="124"/>
  <c r="F284" i="124"/>
  <c r="F286" i="124"/>
  <c r="F285" i="124"/>
  <c r="F287" i="124"/>
  <c r="F288" i="124"/>
  <c r="F289" i="124"/>
  <c r="F290" i="124"/>
  <c r="F291" i="124"/>
  <c r="F292" i="124"/>
  <c r="F293" i="124"/>
  <c r="F294" i="124"/>
  <c r="F295" i="124"/>
  <c r="F296" i="124"/>
  <c r="F297" i="124"/>
  <c r="F298" i="124"/>
  <c r="F299" i="124"/>
  <c r="F300" i="124"/>
  <c r="F302" i="124"/>
  <c r="F303" i="124"/>
  <c r="F305" i="124"/>
  <c r="F306" i="124"/>
  <c r="F308" i="124"/>
  <c r="F309" i="124"/>
  <c r="F310" i="124"/>
  <c r="F311" i="124"/>
  <c r="F312" i="124"/>
  <c r="F313" i="124"/>
  <c r="F315" i="124"/>
  <c r="F316" i="124"/>
  <c r="F318" i="124"/>
  <c r="F319" i="124"/>
  <c r="F320" i="124"/>
  <c r="F321" i="124"/>
  <c r="F322" i="124"/>
  <c r="F323" i="124"/>
  <c r="F324" i="124"/>
  <c r="F325" i="124"/>
  <c r="F326" i="124"/>
  <c r="F327" i="124"/>
  <c r="F328" i="124"/>
  <c r="F52"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355" i="124"/>
  <c r="F356" i="124"/>
  <c r="F357" i="124"/>
  <c r="F358" i="124"/>
  <c r="F359" i="124"/>
  <c r="F360" i="124"/>
  <c r="F361" i="124"/>
  <c r="F362" i="124"/>
  <c r="F363" i="124"/>
  <c r="F7" i="124"/>
  <c r="F8" i="124"/>
  <c r="F10" i="124"/>
  <c r="F11" i="124"/>
  <c r="F12" i="124"/>
  <c r="F6" i="124"/>
  <c r="P247" i="124"/>
  <c r="P250" i="124"/>
  <c r="P253" i="124"/>
  <c r="P252" i="124"/>
  <c r="P254" i="124"/>
  <c r="P256" i="124"/>
  <c r="P255" i="124"/>
  <c r="A247" i="124"/>
  <c r="B247" i="124"/>
  <c r="A236" i="124"/>
  <c r="P201" i="124"/>
  <c r="A201" i="124"/>
  <c r="B201" i="124"/>
  <c r="P200" i="124"/>
  <c r="A200" i="124"/>
  <c r="B200" i="124"/>
  <c r="B52" i="124"/>
  <c r="B329" i="124"/>
  <c r="B330" i="124"/>
  <c r="B331" i="124"/>
  <c r="B332" i="124"/>
  <c r="B333" i="124"/>
  <c r="B334" i="124"/>
  <c r="B335" i="124"/>
  <c r="B336" i="124"/>
  <c r="B337" i="124"/>
  <c r="B338" i="124"/>
  <c r="B339" i="124"/>
  <c r="B340" i="124"/>
  <c r="B341" i="124"/>
  <c r="B342" i="124"/>
  <c r="B343" i="124"/>
  <c r="B344" i="124"/>
  <c r="B345" i="124"/>
  <c r="B346" i="124"/>
  <c r="B347" i="124"/>
  <c r="B348" i="124"/>
  <c r="S32" i="138" l="1"/>
  <c r="AB32" i="138" s="1"/>
  <c r="U32" i="138"/>
  <c r="AC32" i="138" s="1"/>
  <c r="S38" i="138"/>
  <c r="AB38" i="138" s="1"/>
  <c r="U38" i="138"/>
  <c r="AG38" i="138" s="1"/>
  <c r="S37" i="138"/>
  <c r="U37" i="138"/>
  <c r="Q38" i="138"/>
  <c r="BH38" i="138"/>
  <c r="BI33" i="138"/>
  <c r="BJ33" i="138" s="1"/>
  <c r="BK33" i="138" s="1"/>
  <c r="T33" i="138"/>
  <c r="Q32" i="138"/>
  <c r="T30" i="138"/>
  <c r="BH37" i="138"/>
  <c r="Y37" i="138"/>
  <c r="BI36" i="138"/>
  <c r="BJ36" i="138" s="1"/>
  <c r="BK36" i="138" s="1"/>
  <c r="T36" i="138"/>
  <c r="Q36" i="138" s="1"/>
  <c r="BI35" i="138"/>
  <c r="BJ35" i="138" s="1"/>
  <c r="BK35" i="138" s="1"/>
  <c r="U35" i="138" s="1"/>
  <c r="AC35" i="138" s="1"/>
  <c r="V35" i="138"/>
  <c r="Q35" i="138" s="1"/>
  <c r="BI30" i="138"/>
  <c r="BJ30" i="138" s="1"/>
  <c r="BK30" i="138" s="1"/>
  <c r="F3" i="124"/>
  <c r="A19" i="124"/>
  <c r="B19" i="124"/>
  <c r="BH30" i="138" l="1"/>
  <c r="BB38" i="138"/>
  <c r="BB37" i="138"/>
  <c r="AB37" i="138"/>
  <c r="BB32" i="138"/>
  <c r="S33" i="138"/>
  <c r="AB33" i="138" s="1"/>
  <c r="U33" i="138"/>
  <c r="AC33" i="138" s="1"/>
  <c r="BC37" i="138"/>
  <c r="BC35" i="138"/>
  <c r="BC38" i="138"/>
  <c r="S30" i="138"/>
  <c r="AB30" i="138" s="1"/>
  <c r="U30" i="138"/>
  <c r="AC30" i="138" s="1"/>
  <c r="BC32" i="138"/>
  <c r="S36" i="138"/>
  <c r="U36" i="138"/>
  <c r="S35" i="138"/>
  <c r="AB35" i="138" s="1"/>
  <c r="BH33" i="138"/>
  <c r="Q33" i="138"/>
  <c r="Y33" i="138"/>
  <c r="Q30" i="138"/>
  <c r="BH36" i="138"/>
  <c r="Y36" i="138"/>
  <c r="BH35" i="138"/>
  <c r="Y35" i="138"/>
  <c r="B12" i="98"/>
  <c r="BB36" i="138" l="1"/>
  <c r="AB36" i="138"/>
  <c r="BB33" i="138"/>
  <c r="BC33" i="138"/>
  <c r="BB30" i="138"/>
  <c r="BC36" i="138"/>
  <c r="BC30" i="138"/>
  <c r="BB35" i="138"/>
  <c r="A287" i="124"/>
  <c r="B255" i="124" l="1"/>
  <c r="A255" i="124"/>
  <c r="P226" i="124"/>
  <c r="B226" i="124"/>
  <c r="A226" i="124"/>
  <c r="M23" i="74" l="1"/>
  <c r="X15" i="17"/>
  <c r="E13" i="17" l="1"/>
  <c r="E16" i="29"/>
  <c r="E17" i="29"/>
  <c r="E18" i="29"/>
  <c r="E19" i="29"/>
  <c r="E20" i="29"/>
  <c r="E21" i="29"/>
  <c r="E22" i="29"/>
  <c r="E23" i="29"/>
  <c r="E24" i="29"/>
  <c r="E25" i="29"/>
  <c r="E26" i="29"/>
  <c r="E27" i="29" l="1"/>
  <c r="Q32" i="74"/>
  <c r="B118" i="124" l="1"/>
  <c r="P324" i="124" l="1"/>
  <c r="A324" i="124"/>
  <c r="B324" i="124"/>
  <c r="P277" i="124"/>
  <c r="B277" i="124"/>
  <c r="A277" i="124"/>
  <c r="A279" i="124"/>
  <c r="P233" i="124" l="1"/>
  <c r="P235" i="124"/>
  <c r="P234" i="124"/>
  <c r="P238" i="124"/>
  <c r="P237" i="124"/>
  <c r="P240" i="124"/>
  <c r="P241" i="124"/>
  <c r="P243" i="124"/>
  <c r="P244" i="124"/>
  <c r="P245" i="124"/>
  <c r="P246" i="124"/>
  <c r="P249" i="124"/>
  <c r="P248" i="124"/>
  <c r="P251" i="124"/>
  <c r="P257" i="124"/>
  <c r="P258" i="124"/>
  <c r="P259" i="124"/>
  <c r="P260" i="124"/>
  <c r="P261" i="124"/>
  <c r="P262" i="124"/>
  <c r="P267" i="124"/>
  <c r="P268" i="124"/>
  <c r="P270" i="124"/>
  <c r="P271" i="124"/>
  <c r="P272" i="124"/>
  <c r="P276" i="124"/>
  <c r="P278" i="124"/>
  <c r="P279" i="124"/>
  <c r="P281" i="124"/>
  <c r="P283" i="124"/>
  <c r="P286" i="124"/>
  <c r="P285" i="124"/>
  <c r="P289" i="124"/>
  <c r="P290" i="124"/>
  <c r="P291" i="124"/>
  <c r="P292" i="124"/>
  <c r="P293" i="124"/>
  <c r="P294" i="124"/>
  <c r="P295" i="124"/>
  <c r="P296" i="124"/>
  <c r="P297" i="124"/>
  <c r="P298" i="124"/>
  <c r="P299" i="124"/>
  <c r="P300" i="124"/>
  <c r="P302" i="124"/>
  <c r="P303" i="124"/>
  <c r="P305" i="124"/>
  <c r="P306" i="124"/>
  <c r="P308" i="124"/>
  <c r="P309" i="124"/>
  <c r="P310" i="124"/>
  <c r="P311" i="124"/>
  <c r="P312" i="124"/>
  <c r="P313" i="124"/>
  <c r="P315" i="124"/>
  <c r="P316" i="124"/>
  <c r="P318" i="124"/>
  <c r="P319" i="124"/>
  <c r="P320" i="124"/>
  <c r="P321" i="124"/>
  <c r="P322" i="124"/>
  <c r="P323" i="124"/>
  <c r="P325" i="124"/>
  <c r="P326" i="124"/>
  <c r="P327" i="124"/>
  <c r="P328" i="124"/>
  <c r="P242" i="124"/>
  <c r="P265" i="124"/>
  <c r="P185" i="124"/>
  <c r="P99" i="124"/>
  <c r="P189" i="124"/>
  <c r="P146" i="124"/>
  <c r="P190" i="124"/>
  <c r="P192" i="124"/>
  <c r="P287" i="124"/>
  <c r="P288" i="124"/>
  <c r="P284" i="124"/>
  <c r="P181" i="124"/>
  <c r="P266" i="124"/>
  <c r="P135" i="124"/>
  <c r="P176" i="124"/>
  <c r="P7" i="124"/>
  <c r="P11" i="124"/>
  <c r="P18" i="124"/>
  <c r="P21" i="124"/>
  <c r="P166" i="124"/>
  <c r="P239" i="124"/>
  <c r="P33" i="124"/>
  <c r="P52" i="124"/>
  <c r="P329" i="124"/>
  <c r="P330" i="124"/>
  <c r="P331" i="124"/>
  <c r="P332" i="124"/>
  <c r="P333" i="124"/>
  <c r="P334" i="124"/>
  <c r="P335" i="124"/>
  <c r="P336" i="124"/>
  <c r="P337" i="124"/>
  <c r="P338" i="124"/>
  <c r="P339" i="124"/>
  <c r="P340" i="124"/>
  <c r="P341" i="124"/>
  <c r="P342" i="124"/>
  <c r="P343" i="124"/>
  <c r="P344" i="124"/>
  <c r="P345" i="124"/>
  <c r="P346" i="124"/>
  <c r="P347" i="124"/>
  <c r="P348" i="124"/>
  <c r="P349" i="124"/>
  <c r="P350" i="124"/>
  <c r="P8" i="124"/>
  <c r="P10" i="124"/>
  <c r="P12" i="124"/>
  <c r="P17" i="124"/>
  <c r="P14" i="124"/>
  <c r="P16" i="124"/>
  <c r="P13" i="124"/>
  <c r="P20" i="124"/>
  <c r="P23" i="124"/>
  <c r="P24" i="124"/>
  <c r="P25" i="124"/>
  <c r="P26" i="124"/>
  <c r="P27" i="124"/>
  <c r="P30" i="124"/>
  <c r="P31" i="124"/>
  <c r="P32" i="124"/>
  <c r="P34" i="124"/>
  <c r="P35" i="124"/>
  <c r="P37" i="124"/>
  <c r="P38" i="124"/>
  <c r="P40" i="124"/>
  <c r="P41" i="124"/>
  <c r="P42" i="124"/>
  <c r="P43" i="124"/>
  <c r="P44" i="124"/>
  <c r="P45" i="124"/>
  <c r="P46" i="124"/>
  <c r="P47" i="124"/>
  <c r="P48" i="124"/>
  <c r="P49" i="124"/>
  <c r="P51" i="124"/>
  <c r="P54" i="124"/>
  <c r="P55" i="124"/>
  <c r="P56" i="124"/>
  <c r="P57" i="124"/>
  <c r="P58" i="124"/>
  <c r="P59" i="124"/>
  <c r="P60" i="124"/>
  <c r="P61" i="124"/>
  <c r="P62" i="124"/>
  <c r="P64" i="124"/>
  <c r="P63" i="124"/>
  <c r="P65" i="124"/>
  <c r="P67" i="124"/>
  <c r="P66" i="124"/>
  <c r="P69" i="124"/>
  <c r="P72" i="124"/>
  <c r="P70" i="124"/>
  <c r="P71" i="124"/>
  <c r="P73" i="124"/>
  <c r="P74" i="124"/>
  <c r="P75" i="124"/>
  <c r="P77" i="124"/>
  <c r="P79" i="124"/>
  <c r="P80" i="124"/>
  <c r="P82" i="124"/>
  <c r="P83" i="124"/>
  <c r="P84" i="124"/>
  <c r="P85" i="124"/>
  <c r="P86" i="124"/>
  <c r="P87" i="124"/>
  <c r="P88" i="124"/>
  <c r="P89" i="124"/>
  <c r="P90" i="124"/>
  <c r="P91" i="124"/>
  <c r="P92" i="124"/>
  <c r="P93" i="124"/>
  <c r="P94" i="124"/>
  <c r="P95" i="124"/>
  <c r="P96" i="124"/>
  <c r="P97" i="124"/>
  <c r="P100" i="124"/>
  <c r="P101" i="124"/>
  <c r="P102" i="124"/>
  <c r="P103" i="124"/>
  <c r="P104" i="124"/>
  <c r="P105" i="124"/>
  <c r="P106" i="124"/>
  <c r="P107" i="124"/>
  <c r="P108" i="124"/>
  <c r="P109" i="124"/>
  <c r="P111" i="124"/>
  <c r="P113" i="124"/>
  <c r="P114" i="124"/>
  <c r="P112" i="124"/>
  <c r="P117" i="124"/>
  <c r="P118" i="124"/>
  <c r="P119" i="124"/>
  <c r="P120" i="124"/>
  <c r="P121" i="124"/>
  <c r="P123" i="124"/>
  <c r="P124" i="124"/>
  <c r="P125" i="124"/>
  <c r="P126" i="124"/>
  <c r="P127" i="124"/>
  <c r="P128" i="124"/>
  <c r="P129" i="124"/>
  <c r="P130" i="124"/>
  <c r="P131" i="124"/>
  <c r="P132" i="124"/>
  <c r="P134" i="124"/>
  <c r="P136" i="124"/>
  <c r="P137" i="124"/>
  <c r="P140" i="124"/>
  <c r="P138" i="124"/>
  <c r="P143" i="124"/>
  <c r="P144" i="124"/>
  <c r="P145" i="124"/>
  <c r="P147" i="124"/>
  <c r="P148" i="124"/>
  <c r="P149" i="124"/>
  <c r="P150" i="124"/>
  <c r="P151" i="124"/>
  <c r="P152" i="124"/>
  <c r="P155" i="124"/>
  <c r="P153" i="124"/>
  <c r="P154" i="124"/>
  <c r="P156" i="124"/>
  <c r="P157" i="124"/>
  <c r="P160" i="124"/>
  <c r="P159" i="124"/>
  <c r="P161" i="124"/>
  <c r="P162" i="124"/>
  <c r="P163" i="124"/>
  <c r="P164" i="124"/>
  <c r="P167" i="124"/>
  <c r="P168" i="124"/>
  <c r="P169" i="124"/>
  <c r="P170" i="124"/>
  <c r="P171" i="124"/>
  <c r="P172" i="124"/>
  <c r="P173" i="124"/>
  <c r="P174" i="124"/>
  <c r="P175" i="124"/>
  <c r="P180" i="124"/>
  <c r="P182" i="124"/>
  <c r="P183" i="124"/>
  <c r="P186" i="124"/>
  <c r="P191" i="124"/>
  <c r="P193" i="124"/>
  <c r="P194" i="124"/>
  <c r="P195" i="124"/>
  <c r="P196" i="124"/>
  <c r="P198" i="124"/>
  <c r="P197" i="124"/>
  <c r="P199" i="124"/>
  <c r="P202" i="124"/>
  <c r="P204" i="124"/>
  <c r="P205" i="124"/>
  <c r="P206" i="124"/>
  <c r="P207" i="124"/>
  <c r="P208" i="124"/>
  <c r="P209" i="124"/>
  <c r="P210" i="124"/>
  <c r="P211" i="124"/>
  <c r="P213" i="124"/>
  <c r="P214" i="124"/>
  <c r="P215" i="124"/>
  <c r="P216" i="124"/>
  <c r="P217" i="124"/>
  <c r="P218" i="124"/>
  <c r="P219" i="124"/>
  <c r="P220" i="124"/>
  <c r="P221" i="124"/>
  <c r="P222" i="124"/>
  <c r="P223" i="124"/>
  <c r="P225" i="124"/>
  <c r="P224" i="124"/>
  <c r="P227" i="124"/>
  <c r="P228" i="124"/>
  <c r="P229" i="124"/>
  <c r="P230" i="124"/>
  <c r="P236" i="124"/>
  <c r="P6" i="124"/>
  <c r="H5" i="98"/>
  <c r="A118" i="124" l="1"/>
  <c r="B185" i="124" l="1"/>
  <c r="B99" i="124"/>
  <c r="B189" i="124"/>
  <c r="B146" i="124"/>
  <c r="B190" i="124"/>
  <c r="B192" i="124"/>
  <c r="B287" i="124"/>
  <c r="B288" i="124"/>
  <c r="B284" i="124"/>
  <c r="B181" i="124"/>
  <c r="B266" i="124"/>
  <c r="B135" i="124"/>
  <c r="B176" i="124"/>
  <c r="B7" i="124"/>
  <c r="B11" i="124"/>
  <c r="B18" i="124"/>
  <c r="B21" i="124"/>
  <c r="B166" i="124"/>
  <c r="B239" i="124"/>
  <c r="B33" i="124"/>
  <c r="N5" i="124"/>
  <c r="M5" i="124"/>
  <c r="L5" i="124"/>
  <c r="K5" i="124"/>
  <c r="N19" i="105" l="1"/>
  <c r="W36" i="17"/>
  <c r="AE6" i="98"/>
  <c r="B35" i="17" l="1"/>
  <c r="B36" i="17"/>
  <c r="V6" i="19"/>
  <c r="Z14" i="19" l="1"/>
  <c r="A107" i="124"/>
  <c r="B107" i="124"/>
  <c r="B102" i="124"/>
  <c r="A102" i="124"/>
  <c r="A91" i="124"/>
  <c r="B91" i="124"/>
  <c r="B87" i="124"/>
  <c r="A87" i="124"/>
  <c r="B85" i="124"/>
  <c r="A85" i="124"/>
  <c r="B272" i="124"/>
  <c r="A272" i="124"/>
  <c r="A291" i="124"/>
  <c r="A95" i="124"/>
  <c r="B291" i="124"/>
  <c r="B95" i="124"/>
  <c r="A47" i="124"/>
  <c r="B47" i="124"/>
  <c r="N15" i="105" l="1"/>
  <c r="N28" i="105" s="1"/>
  <c r="T62" i="96" l="1"/>
  <c r="T65" i="96" s="1"/>
  <c r="T64" i="96" l="1"/>
  <c r="E5" i="127" l="1"/>
  <c r="N25" i="105" l="1"/>
  <c r="P22" i="115" l="1"/>
  <c r="B14" i="19" l="1"/>
  <c r="V2" i="19" l="1"/>
  <c r="W2" i="19" s="1"/>
  <c r="V1" i="19"/>
  <c r="X1" i="19" s="1"/>
  <c r="AG5" i="19" l="1"/>
  <c r="AG6" i="19" s="1"/>
  <c r="A303" i="124" l="1"/>
  <c r="S55" i="103"/>
  <c r="X55" i="103" s="1"/>
  <c r="Z55" i="103" s="1"/>
  <c r="R55" i="103"/>
  <c r="J29" i="115" s="1"/>
  <c r="S54" i="103"/>
  <c r="L55" i="103"/>
  <c r="L54" i="103"/>
  <c r="W55" i="103" l="1"/>
  <c r="Y55" i="103" s="1"/>
  <c r="Y32" i="138" l="1"/>
  <c r="Y30" i="138"/>
  <c r="X16" i="17"/>
  <c r="E17" i="17" s="1"/>
  <c r="O32" i="17"/>
  <c r="P22" i="17"/>
  <c r="P30" i="17"/>
  <c r="E21" i="17" l="1"/>
  <c r="E19" i="17"/>
  <c r="P32" i="17"/>
  <c r="N33" i="17"/>
  <c r="P33" i="17"/>
  <c r="E58" i="103"/>
  <c r="F58" i="103"/>
  <c r="C22" i="139" l="1"/>
  <c r="A79" i="124"/>
  <c r="A5" i="124" l="1"/>
  <c r="B312" i="124"/>
  <c r="B186" i="124"/>
  <c r="B120" i="124"/>
  <c r="B6" i="124"/>
  <c r="B64" i="124"/>
  <c r="B303" i="124"/>
  <c r="B319" i="124"/>
  <c r="B320" i="124"/>
  <c r="B318" i="124"/>
  <c r="B20" i="124"/>
  <c r="B221" i="124"/>
  <c r="B112" i="124"/>
  <c r="B63" i="124"/>
  <c r="B69" i="124"/>
  <c r="B325" i="124"/>
  <c r="B322" i="124"/>
  <c r="B323" i="124"/>
  <c r="B125" i="124"/>
  <c r="B121" i="124"/>
  <c r="B127" i="124"/>
  <c r="B128" i="124"/>
  <c r="B126" i="124"/>
  <c r="B38" i="124"/>
  <c r="B242" i="124"/>
  <c r="B265" i="124"/>
  <c r="D2" i="98" l="1"/>
  <c r="A8" i="124"/>
  <c r="A244" i="124"/>
  <c r="B244" i="124"/>
  <c r="A224" i="124"/>
  <c r="B224" i="124"/>
  <c r="A215" i="124"/>
  <c r="B215" i="124"/>
  <c r="A211" i="124"/>
  <c r="B211" i="124"/>
  <c r="A149" i="124"/>
  <c r="B149" i="124"/>
  <c r="A147" i="124"/>
  <c r="B147" i="124"/>
  <c r="B8" i="98" l="1"/>
  <c r="A270" i="124"/>
  <c r="A271" i="124"/>
  <c r="A276" i="124"/>
  <c r="A278" i="124"/>
  <c r="A281" i="124"/>
  <c r="A283" i="124"/>
  <c r="A286" i="124"/>
  <c r="A285" i="124"/>
  <c r="A289" i="124"/>
  <c r="A290" i="124"/>
  <c r="A292" i="124"/>
  <c r="A293" i="124"/>
  <c r="A294" i="124"/>
  <c r="A295" i="124"/>
  <c r="A296" i="124"/>
  <c r="A297" i="124"/>
  <c r="A298" i="124"/>
  <c r="A299" i="124"/>
  <c r="A300" i="124"/>
  <c r="A302" i="124"/>
  <c r="A305" i="124"/>
  <c r="A306" i="124"/>
  <c r="A308" i="124"/>
  <c r="A309" i="124"/>
  <c r="A310" i="124"/>
  <c r="A311" i="124"/>
  <c r="A313" i="124"/>
  <c r="A315" i="124"/>
  <c r="A316" i="124"/>
  <c r="A321" i="124"/>
  <c r="A326" i="124"/>
  <c r="A327" i="124"/>
  <c r="A328" i="124"/>
  <c r="A312" i="124"/>
  <c r="A186" i="124"/>
  <c r="A120" i="124"/>
  <c r="A6" i="124"/>
  <c r="A64" i="124"/>
  <c r="A319" i="124"/>
  <c r="A320" i="124"/>
  <c r="A318" i="124"/>
  <c r="A20" i="124"/>
  <c r="A221" i="124"/>
  <c r="A112" i="124"/>
  <c r="A63" i="124"/>
  <c r="A69" i="124"/>
  <c r="A325" i="124"/>
  <c r="A322" i="124"/>
  <c r="A323" i="124"/>
  <c r="A125" i="124"/>
  <c r="A121" i="124"/>
  <c r="A127" i="124"/>
  <c r="A128" i="124"/>
  <c r="A126" i="124"/>
  <c r="A38" i="124"/>
  <c r="A242" i="124"/>
  <c r="A265" i="124"/>
  <c r="A185" i="124"/>
  <c r="A99" i="124"/>
  <c r="A189" i="124"/>
  <c r="A146" i="124"/>
  <c r="A190" i="124"/>
  <c r="A192" i="124"/>
  <c r="A288" i="124"/>
  <c r="A284" i="124"/>
  <c r="A181" i="124"/>
  <c r="A266" i="124"/>
  <c r="A135" i="124"/>
  <c r="A176" i="124"/>
  <c r="A7" i="124"/>
  <c r="A11" i="124"/>
  <c r="A18" i="124"/>
  <c r="A21" i="124"/>
  <c r="A166" i="124"/>
  <c r="A239" i="124"/>
  <c r="A33"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A467" i="124"/>
  <c r="A468" i="124"/>
  <c r="A469" i="124"/>
  <c r="A470" i="124"/>
  <c r="A471" i="124"/>
  <c r="A472" i="124"/>
  <c r="A473" i="124"/>
  <c r="A474" i="124"/>
  <c r="A475" i="124"/>
  <c r="B328" i="124" l="1"/>
  <c r="B276" i="124"/>
  <c r="B173" i="124"/>
  <c r="B66" i="124"/>
  <c r="B168" i="124"/>
  <c r="B250" i="124"/>
  <c r="P38" i="17" l="1"/>
  <c r="N38" i="17"/>
  <c r="P25" i="17"/>
  <c r="L20" i="127" l="1"/>
  <c r="K20" i="127"/>
  <c r="L16" i="127"/>
  <c r="K16" i="127"/>
  <c r="L12" i="127"/>
  <c r="K12" i="127"/>
  <c r="K9" i="127"/>
  <c r="A268" i="124" l="1"/>
  <c r="A267" i="124"/>
  <c r="A262" i="124" l="1"/>
  <c r="A261" i="124" l="1"/>
  <c r="A260" i="124"/>
  <c r="B234" i="124"/>
  <c r="B30" i="124"/>
  <c r="B279" i="124"/>
  <c r="B281" i="124"/>
  <c r="B283" i="124"/>
  <c r="B286" i="124"/>
  <c r="B285" i="124"/>
  <c r="B289" i="124"/>
  <c r="B290" i="124"/>
  <c r="B292" i="124"/>
  <c r="B293" i="124"/>
  <c r="B294" i="124"/>
  <c r="B295" i="124"/>
  <c r="B296" i="124"/>
  <c r="B297" i="124"/>
  <c r="B298" i="124"/>
  <c r="B299" i="124"/>
  <c r="B300" i="124"/>
  <c r="B302" i="124"/>
  <c r="B305" i="124"/>
  <c r="B306" i="124"/>
  <c r="B308" i="124"/>
  <c r="B309" i="124"/>
  <c r="B310" i="124"/>
  <c r="B311" i="124"/>
  <c r="B313" i="124"/>
  <c r="B315" i="124"/>
  <c r="B316" i="124"/>
  <c r="B321" i="124"/>
  <c r="B326" i="124"/>
  <c r="B327" i="124"/>
  <c r="B73" i="124"/>
  <c r="B74" i="124"/>
  <c r="B257" i="124"/>
  <c r="A259"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8"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57" i="124" l="1"/>
  <c r="A250" i="124" l="1"/>
  <c r="A251" i="124"/>
  <c r="A253" i="124"/>
  <c r="A252" i="124"/>
  <c r="A254" i="124"/>
  <c r="A256" i="124"/>
  <c r="B262" i="124"/>
  <c r="B61" i="124"/>
  <c r="B162" i="124"/>
  <c r="B60" i="124"/>
  <c r="B59" i="124"/>
  <c r="B213" i="124"/>
  <c r="B268" i="124"/>
  <c r="B131" i="124"/>
  <c r="B86" i="124"/>
  <c r="B84" i="124"/>
  <c r="P26" i="17" l="1"/>
  <c r="P29" i="17"/>
  <c r="P34" i="17" s="1"/>
  <c r="A74" i="124" l="1"/>
  <c r="O35" i="17" l="1"/>
  <c r="P35" i="17"/>
  <c r="P36" i="17" s="1"/>
  <c r="P39" i="17" l="1"/>
  <c r="N39" i="17" s="1"/>
  <c r="N36" i="17"/>
  <c r="A227" i="124"/>
  <c r="A228" i="124"/>
  <c r="A229" i="124"/>
  <c r="A230" i="124"/>
  <c r="A235" i="124"/>
  <c r="A234" i="124"/>
  <c r="A238" i="124"/>
  <c r="A237" i="124"/>
  <c r="A240" i="124"/>
  <c r="A241" i="124"/>
  <c r="A243" i="124"/>
  <c r="A245" i="124"/>
  <c r="A246" i="124"/>
  <c r="A249" i="124"/>
  <c r="A248" i="124"/>
  <c r="B251" i="124"/>
  <c r="B111" i="124"/>
  <c r="B34" i="124"/>
  <c r="B32" i="124"/>
  <c r="B65" i="124"/>
  <c r="B72" i="124"/>
  <c r="B67" i="124"/>
  <c r="B70" i="124"/>
  <c r="B71" i="124"/>
  <c r="B45" i="124"/>
  <c r="B42" i="124"/>
  <c r="B113" i="124"/>
  <c r="B114" i="124"/>
  <c r="B161" i="124"/>
  <c r="B24" i="124"/>
  <c r="A223" i="124"/>
  <c r="A225" i="124"/>
  <c r="A222" i="124"/>
  <c r="A220" i="124"/>
  <c r="A219" i="124"/>
  <c r="N40" i="17" l="1"/>
  <c r="T88" i="74"/>
  <c r="U88" i="74" s="1"/>
  <c r="A214" i="124"/>
  <c r="A216" i="124"/>
  <c r="A217" i="124"/>
  <c r="A218" i="124"/>
  <c r="B119" i="124" l="1"/>
  <c r="B92" i="124"/>
  <c r="B243" i="124"/>
  <c r="B27" i="124"/>
  <c r="B25" i="124"/>
  <c r="B117" i="124"/>
  <c r="B261" i="124"/>
  <c r="B253" i="124"/>
  <c r="B260" i="124"/>
  <c r="B259" i="124"/>
  <c r="W14" i="17" l="1"/>
  <c r="B20" i="22" l="1"/>
  <c r="B180" i="124" l="1"/>
  <c r="B183" i="124"/>
  <c r="B196" i="124"/>
  <c r="B198" i="124"/>
  <c r="B197" i="124"/>
  <c r="B199" i="124"/>
  <c r="B202" i="124"/>
  <c r="B204" i="124"/>
  <c r="B205" i="124"/>
  <c r="B206" i="124"/>
  <c r="B208" i="124"/>
  <c r="B209" i="124"/>
  <c r="B207" i="124"/>
  <c r="B210" i="124"/>
  <c r="B214" i="124"/>
  <c r="B216" i="124"/>
  <c r="B218" i="124"/>
  <c r="B219" i="124"/>
  <c r="B220" i="124"/>
  <c r="B222" i="124"/>
  <c r="B223" i="124"/>
  <c r="B225" i="124"/>
  <c r="B229" i="124"/>
  <c r="B230" i="124"/>
  <c r="B233" i="124"/>
  <c r="B235" i="124"/>
  <c r="B237" i="124"/>
  <c r="B236" i="124"/>
  <c r="B240" i="124"/>
  <c r="B245" i="124"/>
  <c r="B246" i="124"/>
  <c r="B248" i="124"/>
  <c r="B252" i="124"/>
  <c r="B254" i="124"/>
  <c r="B256" i="124"/>
  <c r="B258" i="124"/>
  <c r="B270" i="124"/>
  <c r="B271" i="124"/>
  <c r="B278" i="124"/>
  <c r="B241" i="124"/>
  <c r="B249" i="124"/>
  <c r="B193" i="124"/>
  <c r="B194" i="124"/>
  <c r="B195" i="124"/>
  <c r="B191" i="124"/>
  <c r="B151" i="124"/>
  <c r="B80" i="124"/>
  <c r="B62" i="124"/>
  <c r="B31" i="124"/>
  <c r="B35" i="124"/>
  <c r="B170" i="124"/>
  <c r="B217" i="124"/>
  <c r="B228" i="124"/>
  <c r="B267" i="124"/>
  <c r="B88" i="124"/>
  <c r="B182" i="124"/>
  <c r="B227" i="124"/>
  <c r="B238" i="124"/>
  <c r="B90" i="124"/>
  <c r="B23" i="124"/>
  <c r="B8" i="124"/>
  <c r="B10" i="124"/>
  <c r="B12" i="124"/>
  <c r="B17" i="124"/>
  <c r="B14" i="124"/>
  <c r="B16" i="124"/>
  <c r="B13" i="124"/>
  <c r="B26" i="124"/>
  <c r="B37" i="124"/>
  <c r="B40" i="124"/>
  <c r="B43" i="124"/>
  <c r="B44" i="124"/>
  <c r="B41" i="124"/>
  <c r="B46" i="124"/>
  <c r="B48" i="124"/>
  <c r="B49" i="124"/>
  <c r="B51" i="124"/>
  <c r="B54" i="124"/>
  <c r="B55" i="124"/>
  <c r="B56" i="124"/>
  <c r="B57" i="124"/>
  <c r="B58" i="124"/>
  <c r="B75" i="124"/>
  <c r="B77" i="124"/>
  <c r="B79" i="124"/>
  <c r="B82" i="124"/>
  <c r="B83" i="124"/>
  <c r="B89" i="124"/>
  <c r="B93" i="124"/>
  <c r="B94" i="124"/>
  <c r="B96" i="124"/>
  <c r="B97" i="124"/>
  <c r="B100" i="124"/>
  <c r="B101" i="124"/>
  <c r="B103" i="124"/>
  <c r="B104" i="124"/>
  <c r="B105" i="124"/>
  <c r="B106" i="124"/>
  <c r="B108" i="124"/>
  <c r="B109" i="124"/>
  <c r="B123" i="124"/>
  <c r="B124" i="124"/>
  <c r="B129" i="124"/>
  <c r="B130" i="124"/>
  <c r="B132" i="124"/>
  <c r="B134" i="124"/>
  <c r="B136" i="124"/>
  <c r="B137" i="124"/>
  <c r="B140" i="124"/>
  <c r="B138" i="124"/>
  <c r="B143" i="124"/>
  <c r="B144" i="124"/>
  <c r="B145" i="124"/>
  <c r="B148" i="124"/>
  <c r="B150" i="124"/>
  <c r="B152" i="124"/>
  <c r="B155" i="124"/>
  <c r="B153" i="124"/>
  <c r="B154" i="124"/>
  <c r="B156" i="124"/>
  <c r="B157" i="124"/>
  <c r="B160" i="124"/>
  <c r="B159" i="124"/>
  <c r="B163" i="124"/>
  <c r="B164" i="124"/>
  <c r="B167" i="124"/>
  <c r="B169" i="124"/>
  <c r="B171" i="124"/>
  <c r="B172" i="124"/>
  <c r="B174" i="124"/>
  <c r="B175"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8"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62" i="124"/>
  <c r="A163" i="124"/>
  <c r="A164" i="124"/>
  <c r="A167" i="124"/>
  <c r="A169" i="124"/>
  <c r="A170" i="124"/>
  <c r="A171" i="124"/>
  <c r="A172" i="124"/>
  <c r="A173" i="124"/>
  <c r="A174" i="124"/>
  <c r="A175" i="124"/>
  <c r="A180" i="124"/>
  <c r="A182" i="124"/>
  <c r="A183" i="124"/>
  <c r="A191" i="124"/>
  <c r="A193" i="124"/>
  <c r="A194" i="124"/>
  <c r="A195" i="124"/>
  <c r="A196" i="124"/>
  <c r="A198" i="124"/>
  <c r="A197" i="124"/>
  <c r="A199" i="124"/>
  <c r="A202" i="124"/>
  <c r="A204" i="124"/>
  <c r="A205" i="124"/>
  <c r="A206" i="124"/>
  <c r="A208" i="124"/>
  <c r="A209" i="124"/>
  <c r="A207" i="124"/>
  <c r="A210" i="124"/>
  <c r="A213" i="124"/>
  <c r="A159" i="124"/>
  <c r="A161" i="124"/>
  <c r="P71" i="74" l="1"/>
  <c r="R16" i="74" s="1"/>
  <c r="Y9" i="74"/>
  <c r="Y14" i="74" s="1"/>
  <c r="X12" i="74"/>
  <c r="X13" i="74"/>
  <c r="X11" i="74"/>
  <c r="A160"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7" i="124"/>
  <c r="P2" i="19"/>
  <c r="T23" i="17" s="1"/>
  <c r="X10" i="17" l="1"/>
  <c r="S23" i="17"/>
  <c r="X11" i="17"/>
  <c r="Y13" i="17" s="1"/>
  <c r="R23" i="17"/>
  <c r="I4" i="117"/>
  <c r="I9" i="117" s="1"/>
  <c r="H19" i="117" s="1"/>
  <c r="AC22" i="17"/>
  <c r="T11" i="17"/>
  <c r="T13" i="17" s="1"/>
  <c r="D4" i="157"/>
  <c r="S11" i="17"/>
  <c r="V1" i="17" s="1"/>
  <c r="S14" i="19"/>
  <c r="U14" i="19" s="1"/>
  <c r="AI16" i="74"/>
  <c r="AI15" i="74"/>
  <c r="AI12" i="74"/>
  <c r="AI13" i="74"/>
  <c r="AI14" i="74"/>
  <c r="AI23" i="74"/>
  <c r="AI20" i="74"/>
  <c r="AI21" i="74"/>
  <c r="AI11" i="74"/>
  <c r="AI22" i="74"/>
  <c r="AJ9" i="74"/>
  <c r="P82" i="74"/>
  <c r="R27" i="74" s="1"/>
  <c r="AI19" i="74"/>
  <c r="AI18" i="74"/>
  <c r="AI17" i="74"/>
  <c r="X13" i="17" l="1"/>
  <c r="C8" i="117"/>
  <c r="I8" i="117"/>
  <c r="G13" i="117" s="1"/>
  <c r="C34" i="117"/>
  <c r="C9" i="117"/>
  <c r="H24" i="117"/>
  <c r="H25" i="117"/>
  <c r="H17" i="117"/>
  <c r="H16" i="117"/>
  <c r="H18" i="117"/>
  <c r="I18" i="117" s="1"/>
  <c r="AC23" i="17"/>
  <c r="L24" i="17"/>
  <c r="R17" i="17"/>
  <c r="S13" i="17"/>
  <c r="R19" i="17"/>
  <c r="T18" i="17"/>
  <c r="T12" i="17"/>
  <c r="S12" i="17"/>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T14" i="17" l="1"/>
  <c r="T15" i="17" s="1"/>
  <c r="S14" i="17"/>
  <c r="C25" i="117"/>
  <c r="I16" i="117"/>
  <c r="I17" i="117"/>
  <c r="I19" i="117"/>
  <c r="I25" i="117"/>
  <c r="S15" i="17"/>
  <c r="S16" i="17" s="1"/>
  <c r="R15" i="17"/>
  <c r="I13" i="117"/>
  <c r="H20" i="117"/>
  <c r="C24" i="117" s="1"/>
  <c r="T19" i="17"/>
  <c r="T21" i="17" s="1"/>
  <c r="S19" i="17"/>
  <c r="R21" i="17" s="1"/>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S21" i="17" l="1"/>
  <c r="AB10" i="17"/>
  <c r="AA9" i="17"/>
  <c r="T16" i="17"/>
  <c r="B16" i="157"/>
  <c r="C16" i="157" s="1"/>
  <c r="D16" i="157" s="1"/>
  <c r="E16" i="157" s="1"/>
  <c r="B17" i="157"/>
  <c r="C17" i="157" s="1"/>
  <c r="D17" i="157" s="1"/>
  <c r="E17" i="157" s="1"/>
  <c r="E14" i="157"/>
  <c r="E13" i="157"/>
  <c r="F10" i="157"/>
  <c r="B11" i="157" s="1"/>
  <c r="B10" i="157"/>
  <c r="F11" i="157"/>
  <c r="E15" i="157"/>
  <c r="B12" i="22"/>
  <c r="B18" i="157" l="1"/>
  <c r="B12" i="157"/>
  <c r="F12" i="157"/>
  <c r="A156"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54" i="124"/>
  <c r="C21" i="157" l="1"/>
  <c r="D21" i="157" s="1"/>
  <c r="E21" i="157" s="1"/>
  <c r="F21" i="157" s="1"/>
  <c r="G21" i="157" s="1"/>
  <c r="B22" i="157"/>
  <c r="A153" i="124"/>
  <c r="A155"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52" i="124"/>
  <c r="A16" i="124" l="1"/>
  <c r="A13" i="124"/>
  <c r="A23" i="124"/>
  <c r="A24" i="124"/>
  <c r="A25" i="124"/>
  <c r="A27" i="124"/>
  <c r="A26" i="124"/>
  <c r="A30" i="124"/>
  <c r="A31" i="124"/>
  <c r="A32" i="124"/>
  <c r="A34" i="124"/>
  <c r="A35" i="124"/>
  <c r="A37" i="124"/>
  <c r="A40" i="124"/>
  <c r="A43" i="124"/>
  <c r="A44" i="124"/>
  <c r="A41" i="124"/>
  <c r="A42" i="124"/>
  <c r="A45" i="124"/>
  <c r="A46" i="124"/>
  <c r="A48" i="124"/>
  <c r="A49" i="124"/>
  <c r="A51" i="124"/>
  <c r="A54" i="124"/>
  <c r="A55" i="124"/>
  <c r="A56" i="124"/>
  <c r="A57" i="124"/>
  <c r="A58" i="124"/>
  <c r="A59" i="124"/>
  <c r="A60" i="124"/>
  <c r="A61" i="124"/>
  <c r="A62" i="124"/>
  <c r="A65" i="124"/>
  <c r="A67" i="124"/>
  <c r="A66" i="124"/>
  <c r="A72" i="124"/>
  <c r="A70" i="124"/>
  <c r="A71" i="124"/>
  <c r="A73" i="124"/>
  <c r="A75" i="124"/>
  <c r="A77" i="124"/>
  <c r="A80" i="124"/>
  <c r="A82" i="124"/>
  <c r="A83" i="124"/>
  <c r="A84" i="124"/>
  <c r="A86" i="124"/>
  <c r="A88" i="124"/>
  <c r="A89" i="124"/>
  <c r="A90" i="124"/>
  <c r="A92" i="124"/>
  <c r="A93" i="124"/>
  <c r="A94" i="124"/>
  <c r="A96" i="124"/>
  <c r="A97" i="124"/>
  <c r="A100" i="124"/>
  <c r="A101" i="124"/>
  <c r="A103" i="124"/>
  <c r="A104" i="124"/>
  <c r="A105" i="124"/>
  <c r="A106" i="124"/>
  <c r="A108" i="124"/>
  <c r="A109" i="124"/>
  <c r="A111" i="124"/>
  <c r="A113" i="124"/>
  <c r="A114" i="124"/>
  <c r="A117" i="124"/>
  <c r="A119" i="124"/>
  <c r="A123" i="124"/>
  <c r="A124" i="124"/>
  <c r="A129" i="124"/>
  <c r="A130" i="124"/>
  <c r="A131" i="124"/>
  <c r="A134" i="124"/>
  <c r="A136" i="124"/>
  <c r="A137" i="124"/>
  <c r="A140" i="124"/>
  <c r="A138" i="124"/>
  <c r="A143" i="124"/>
  <c r="A144" i="124"/>
  <c r="A145" i="124"/>
  <c r="A148" i="124"/>
  <c r="A150" i="124"/>
  <c r="A151" i="124"/>
  <c r="A10" i="124"/>
  <c r="A12" i="124"/>
  <c r="A17" i="124"/>
  <c r="A14" i="124"/>
  <c r="S6" i="124" l="1"/>
  <c r="C3" i="124"/>
  <c r="P9" i="99"/>
  <c r="S13" i="124" l="1"/>
  <c r="S17" i="124"/>
  <c r="S14" i="124"/>
  <c r="S19" i="124"/>
  <c r="S20" i="124"/>
  <c r="S18" i="124"/>
  <c r="S16" i="124"/>
  <c r="S12" i="124"/>
  <c r="S10"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Q41" i="138" l="1"/>
  <c r="B20" i="17"/>
  <c r="BA31" i="138"/>
  <c r="T31" i="138" s="1"/>
  <c r="AK5" i="138"/>
  <c r="F14" i="98"/>
  <c r="J9" i="99" s="1"/>
  <c r="F13" i="98"/>
  <c r="E14" i="98"/>
  <c r="I9" i="99" s="1"/>
  <c r="E13" i="98"/>
  <c r="V31" i="138" l="1"/>
  <c r="E22" i="17"/>
  <c r="BI31" i="138"/>
  <c r="BJ31" i="138" s="1"/>
  <c r="BK31" i="138" s="1"/>
  <c r="B22" i="17"/>
  <c r="BA20" i="138"/>
  <c r="J7" i="99"/>
  <c r="I7" i="99"/>
  <c r="H14" i="98"/>
  <c r="Q7" i="99"/>
  <c r="R7" i="99"/>
  <c r="R9" i="99"/>
  <c r="R6" i="99"/>
  <c r="R5" i="99"/>
  <c r="Q9" i="99"/>
  <c r="Q6" i="99"/>
  <c r="Q5" i="99"/>
  <c r="I7" i="98"/>
  <c r="Y31" i="138" l="1"/>
  <c r="BA32" i="138"/>
  <c r="S31" i="138"/>
  <c r="AB31" i="138" s="1"/>
  <c r="U31" i="138"/>
  <c r="AC31" i="138" s="1"/>
  <c r="BH31" i="138"/>
  <c r="Q31" i="138"/>
  <c r="I8" i="98"/>
  <c r="O2" i="99"/>
  <c r="M18" i="99" s="1"/>
  <c r="J7" i="98"/>
  <c r="J8" i="98" s="1"/>
  <c r="V32" i="138" l="1"/>
  <c r="BH32" i="138" s="1"/>
  <c r="BI32" i="138"/>
  <c r="BJ32" i="138" s="1"/>
  <c r="BK32" i="138" s="1"/>
  <c r="BB31" i="138"/>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R8" i="17" s="1"/>
  <c r="X8" i="17"/>
  <c r="AX28" i="138"/>
  <c r="BE28" i="138"/>
  <c r="AW28" i="138"/>
  <c r="BD28" i="138"/>
  <c r="S8" i="138"/>
  <c r="BE27" i="138"/>
  <c r="BD27" i="138"/>
  <c r="U10" i="19"/>
  <c r="S39" i="19"/>
  <c r="U39" i="19"/>
  <c r="Q10" i="19"/>
  <c r="AG14" i="19" s="1"/>
  <c r="S36" i="19"/>
  <c r="S22" i="19"/>
  <c r="Q35" i="19"/>
  <c r="R17" i="19" s="1"/>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S22" i="17" l="1"/>
  <c r="T22" i="17"/>
  <c r="B22" i="166"/>
  <c r="Q13" i="166"/>
  <c r="Q15" i="166"/>
  <c r="Q11" i="166"/>
  <c r="N6" i="166"/>
  <c r="I24" i="166"/>
  <c r="B7" i="166"/>
  <c r="Y8" i="17"/>
  <c r="Y7" i="17"/>
  <c r="AD33" i="17"/>
  <c r="E24" i="17" s="1"/>
  <c r="T13" i="98"/>
  <c r="T12" i="98"/>
  <c r="Q13" i="98"/>
  <c r="Q12" i="98"/>
  <c r="Q17" i="98"/>
  <c r="Q19" i="98" s="1"/>
  <c r="BC6" i="138"/>
  <c r="BE6" i="138" s="1"/>
  <c r="AS20" i="138" s="1"/>
  <c r="BB6" i="138"/>
  <c r="BC5" i="138"/>
  <c r="BE5" i="138" s="1"/>
  <c r="AS19" i="138" s="1"/>
  <c r="BB5" i="138"/>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C13" i="138"/>
  <c r="Q26" i="19"/>
  <c r="F13" i="19" s="1"/>
  <c r="Z35" i="138"/>
  <c r="BG35" i="138" s="1"/>
  <c r="Z38" i="138"/>
  <c r="BG38" i="138" s="1"/>
  <c r="Z37" i="138"/>
  <c r="BG37" i="138" s="1"/>
  <c r="BF12" i="138"/>
  <c r="BG12" i="138" s="1"/>
  <c r="AA18" i="19"/>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B23" i="22" l="1"/>
  <c r="B12" i="99"/>
  <c r="E4" i="98"/>
  <c r="AV19" i="138"/>
  <c r="B20" i="19"/>
  <c r="B19" i="19" s="1"/>
  <c r="AG13" i="19"/>
  <c r="AG15" i="19" s="1"/>
  <c r="I6" i="19" s="1"/>
  <c r="Y14" i="99"/>
  <c r="G60" i="98"/>
  <c r="K11" i="99"/>
  <c r="E60" i="98"/>
  <c r="I11" i="99"/>
  <c r="M21" i="99"/>
  <c r="Q20" i="98"/>
  <c r="AW19" i="138" l="1"/>
  <c r="AX19" i="138" s="1"/>
  <c r="AY19" i="138" s="1"/>
  <c r="T20" i="138" s="1"/>
  <c r="Q24" i="19"/>
  <c r="B24" i="22"/>
  <c r="U28" i="19"/>
  <c r="X32" i="19"/>
  <c r="X33" i="19" s="1"/>
  <c r="X34" i="19"/>
  <c r="V34" i="19"/>
  <c r="V32" i="19"/>
  <c r="V33" i="19" s="1"/>
  <c r="M22" i="99"/>
  <c r="C13" i="22"/>
  <c r="Q18" i="19"/>
  <c r="V35" i="19" l="1"/>
  <c r="H15" i="19"/>
  <c r="Q16" i="19" s="1"/>
  <c r="G38" i="19"/>
  <c r="G40" i="19" s="1"/>
  <c r="M23" i="99"/>
  <c r="B21" i="19"/>
  <c r="B26" i="22" s="1"/>
  <c r="Z18" i="19" l="1"/>
  <c r="C26" i="19" s="1"/>
  <c r="H17" i="19"/>
  <c r="Z19" i="19" s="1"/>
  <c r="F26" i="19" s="1"/>
  <c r="S16" i="19"/>
  <c r="T16" i="19" s="1"/>
  <c r="R16" i="19"/>
  <c r="I8" i="19"/>
  <c r="M8" i="19"/>
  <c r="M11" i="19" s="1"/>
  <c r="M13" i="19" s="1"/>
  <c r="M17" i="19" s="1"/>
  <c r="I16" i="19"/>
  <c r="I17" i="19"/>
  <c r="U5" i="19"/>
  <c r="W6" i="19" s="1"/>
  <c r="X6" i="19" s="1"/>
  <c r="E29" i="19"/>
  <c r="E30" i="19" s="1"/>
  <c r="I25" i="19" s="1"/>
  <c r="I19" i="19"/>
  <c r="C21" i="22"/>
  <c r="C23" i="22" s="1"/>
  <c r="Q20" i="19"/>
  <c r="B18" i="19" s="1"/>
  <c r="M24" i="99"/>
  <c r="G11" i="98"/>
  <c r="G15" i="98" s="1"/>
  <c r="G16" i="98" s="1"/>
  <c r="F11" i="98"/>
  <c r="F15" i="98" s="1"/>
  <c r="F16" i="98" s="1"/>
  <c r="X8" i="19" l="1"/>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E28" i="127" l="1"/>
  <c r="F28" i="127"/>
  <c r="E29" i="127"/>
  <c r="F29" i="127"/>
  <c r="G28" i="127"/>
  <c r="H28" i="127"/>
  <c r="H29" i="127"/>
  <c r="G29" i="127"/>
  <c r="K15" i="140"/>
  <c r="M6" i="140"/>
  <c r="M15" i="140" s="1"/>
  <c r="D30" i="127" l="1"/>
  <c r="F30" i="127"/>
  <c r="H30" i="127"/>
  <c r="K16" i="140"/>
  <c r="L17" i="140" s="1"/>
  <c r="P19" i="140" s="1"/>
  <c r="M20" i="140"/>
  <c r="M16" i="140"/>
  <c r="Q23" i="140"/>
  <c r="T27" i="140" s="1"/>
  <c r="K32" i="140"/>
  <c r="M23" i="140"/>
  <c r="M32" i="140" s="1"/>
  <c r="M33" i="140" s="1"/>
  <c r="E31" i="127" l="1"/>
  <c r="M36" i="140"/>
  <c r="M37" i="140" s="1"/>
  <c r="M39" i="140" s="1"/>
  <c r="K17" i="140"/>
  <c r="P20" i="140" s="1"/>
  <c r="P21" i="140" s="1"/>
  <c r="K18" i="140" s="1"/>
  <c r="K33" i="140"/>
  <c r="K34" i="140" s="1"/>
  <c r="BA19" i="138" l="1"/>
  <c r="BB19" i="138" s="1"/>
  <c r="BC19" i="138" s="1"/>
  <c r="Z18" i="138" s="1"/>
  <c r="Z19" i="138" s="1"/>
  <c r="AX14" i="138"/>
  <c r="L34" i="140"/>
  <c r="K37" i="140"/>
  <c r="K36" i="140"/>
  <c r="AX15" i="138" l="1"/>
  <c r="AV20" i="138"/>
  <c r="AW20" i="138" s="1"/>
  <c r="AX20" i="138" s="1"/>
  <c r="AZ20" i="138" s="1"/>
  <c r="V20" i="138" s="1"/>
  <c r="K39" i="140"/>
  <c r="AJ16" i="138" l="1"/>
  <c r="R16" i="138" s="1"/>
  <c r="AA19" i="138"/>
  <c r="BA34" i="138" l="1"/>
  <c r="G39" i="138"/>
  <c r="V34" i="138" l="1"/>
  <c r="T34" i="138"/>
  <c r="Y34" i="138" s="1"/>
  <c r="T29" i="138"/>
  <c r="V29" i="138"/>
  <c r="S8" i="124"/>
  <c r="BI34" i="138"/>
  <c r="BJ34" i="138" s="1"/>
  <c r="BK34" i="138" s="1"/>
  <c r="S34" i="138" l="1"/>
  <c r="AB34" i="138" s="1"/>
  <c r="U34" i="138"/>
  <c r="AC34" i="138" s="1"/>
  <c r="Q34" i="138"/>
  <c r="BH34" i="138"/>
  <c r="Z34" i="138"/>
  <c r="BG34" i="138" s="1"/>
  <c r="BH29" i="138"/>
  <c r="S29" i="138"/>
  <c r="AB29" i="138" s="1"/>
  <c r="U29" i="138"/>
  <c r="AC29" i="138" s="1"/>
  <c r="Y29" i="138"/>
  <c r="Z29" i="138" s="1"/>
  <c r="BG29" i="138" s="1"/>
  <c r="Q29" i="138"/>
  <c r="BB34" i="138" l="1"/>
  <c r="BC34" i="138"/>
  <c r="AA34" i="138"/>
  <c r="AA29" i="138"/>
  <c r="BC29" i="138"/>
  <c r="BB29" i="138"/>
  <c r="I26" i="117" l="1"/>
  <c r="C27" i="117"/>
  <c r="I20" i="117"/>
  <c r="I24" i="117"/>
  <c r="I27" i="117" l="1"/>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 r="AJ9" i="138"/>
  <c r="Z13" i="138"/>
  <c r="AP41" i="138" s="1"/>
  <c r="AR41" i="138" s="1"/>
  <c r="K41" i="138" s="1"/>
  <c r="S13" i="138"/>
  <c r="AW10" i="138" s="1"/>
  <c r="AJ11" i="138" l="1"/>
  <c r="R11" i="138" s="1"/>
  <c r="AJ10" i="138"/>
  <c r="R10" i="138" s="1"/>
  <c r="AW11" i="138"/>
  <c r="AB13" i="138"/>
  <c r="AJ15" i="138"/>
  <c r="AJ19" i="138" s="1"/>
  <c r="R19" i="138" s="1"/>
  <c r="R9" i="138"/>
  <c r="R15" i="138" l="1"/>
  <c r="T13" i="138"/>
  <c r="P28" i="138" l="1"/>
  <c r="AY28" i="138" l="1"/>
  <c r="AZ28" i="138" s="1"/>
  <c r="BA28" i="138" s="1"/>
  <c r="T28" i="138" s="1"/>
  <c r="V28" i="138" l="1"/>
  <c r="Q28" i="138" s="1"/>
  <c r="BI28" i="138"/>
  <c r="BJ28" i="138" s="1"/>
  <c r="BK28" i="138" s="1"/>
  <c r="Y28" i="138"/>
  <c r="Z28" i="138" s="1"/>
  <c r="BG28" i="138" s="1"/>
  <c r="AY27" i="138"/>
  <c r="AZ27" i="138" s="1"/>
  <c r="BA27" i="138" s="1"/>
  <c r="V27" i="138" s="1"/>
  <c r="S28" i="138" l="1"/>
  <c r="BB28" i="138" s="1"/>
  <c r="U28" i="138"/>
  <c r="BH28" i="138"/>
  <c r="V39" i="138"/>
  <c r="BC41" i="138"/>
  <c r="BI27" i="138"/>
  <c r="BJ27" i="138" s="1"/>
  <c r="BK27" i="138" s="1"/>
  <c r="T27" i="138"/>
  <c r="Q27" i="138" l="1"/>
  <c r="BA29" i="138"/>
  <c r="BI29" i="138" s="1"/>
  <c r="BJ29" i="138" s="1"/>
  <c r="BK29" i="138" s="1"/>
  <c r="AB28" i="138"/>
  <c r="BC28" i="138"/>
  <c r="AC28" i="138"/>
  <c r="AA28" i="138"/>
  <c r="S27" i="138"/>
  <c r="S39" i="138" s="1"/>
  <c r="U27" i="138"/>
  <c r="AB27" i="138"/>
  <c r="AB40" i="138" s="1"/>
  <c r="Y27" i="138"/>
  <c r="BH27" i="138"/>
  <c r="T39" i="138"/>
  <c r="U41" i="138" s="1"/>
  <c r="AJ27" i="138" l="1"/>
  <c r="R27" i="138" s="1"/>
  <c r="BB27" i="138"/>
  <c r="BB39" i="138" s="1"/>
  <c r="S40" i="138" s="1"/>
  <c r="AC27" i="138"/>
  <c r="AC40" i="138" s="1"/>
  <c r="AB41" i="138" s="1"/>
  <c r="U39" i="138"/>
  <c r="BC27" i="138"/>
  <c r="BC39" i="138" s="1"/>
  <c r="U40" i="138" s="1"/>
  <c r="AJ28" i="138"/>
  <c r="R28" i="138" s="1"/>
  <c r="Z27" i="138"/>
  <c r="BG18" i="138"/>
  <c r="BI17" i="138" l="1"/>
  <c r="BG27" i="138"/>
  <c r="AA27" i="138" s="1"/>
  <c r="AJ29" i="138"/>
  <c r="S7" i="124" l="1"/>
  <c r="S11" i="124"/>
  <c r="R29" i="138"/>
  <c r="AJ30" i="138"/>
  <c r="R30" i="138" s="1"/>
  <c r="S5" i="124" l="1"/>
  <c r="B15" i="138" s="1"/>
  <c r="AJ31" i="138"/>
  <c r="R31" i="138" l="1"/>
  <c r="AJ32" i="138"/>
  <c r="R32" i="138" l="1"/>
  <c r="AJ33" i="138"/>
  <c r="R33" i="138" l="1"/>
  <c r="AJ34" i="138"/>
  <c r="R34" i="138" s="1"/>
  <c r="AJ35" i="138" l="1"/>
  <c r="R35" i="138" s="1"/>
  <c r="AJ36" i="138" l="1"/>
  <c r="R36" i="138" s="1"/>
  <c r="AJ37" i="138"/>
  <c r="R37" i="138" l="1"/>
  <c r="AJ38" i="138"/>
  <c r="R38" i="1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<sst xmlns="http://schemas.openxmlformats.org/spreadsheetml/2006/main" count="3190" uniqueCount="2040">
  <si>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</si>
  <si>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</si>
  <si>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</si>
  <si>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</si>
  <si>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</si>
  <si>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</si>
  <si>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</si>
  <si>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</si>
  <si>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</si>
  <si>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</si>
  <si>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</si>
  <si>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</si>
  <si>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</si>
  <si>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</si>
  <si>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</si>
  <si>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</si>
  <si>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</si>
  <si>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</si>
  <si>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</si>
  <si>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</si>
  <si>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</si>
  <si>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</si>
  <si>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</si>
  <si>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</si>
  <si>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</si>
  <si>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</si>
  <si>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</si>
  <si>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</si>
  <si>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</si>
  <si>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</si>
  <si>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</si>
  <si>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</si>
  <si>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</si>
  <si>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</si>
  <si>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</si>
  <si>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</si>
  <si>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</si>
  <si>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</si>
  <si>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</si>
  <si>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</si>
  <si>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</si>
  <si>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</si>
  <si>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</si>
  <si>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</si>
  <si>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</si>
  <si>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</si>
  <si>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</si>
  <si>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</si>
  <si>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</si>
  <si>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</si>
  <si>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</si>
  <si>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</si>
  <si>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</si>
  <si>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</si>
  <si>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</si>
  <si>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</si>
  <si>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</si>
  <si>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</si>
  <si>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</si>
  <si>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</si>
  <si>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</si>
  <si>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</si>
  <si>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</si>
  <si>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</si>
  <si>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</si>
  <si>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</si>
  <si>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</si>
  <si>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</si>
  <si>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</si>
  <si>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</si>
  <si>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</si>
  <si>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</si>
  <si>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</si>
  <si>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</si>
  <si>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</si>
  <si>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</si>
  <si>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</si>
  <si>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</si>
  <si>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</si>
  <si>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</si>
  <si>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</si>
  <si>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</si>
  <si>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</si>
  <si>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</si>
  <si>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</si>
  <si>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</si>
  <si>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</si>
  <si>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</si>
  <si>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</si>
  <si>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</si>
  <si>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</si>
  <si>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</si>
  <si>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</si>
  <si>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</si>
  <si>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</si>
  <si>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</si>
  <si>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</si>
  <si>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</si>
  <si>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</si>
  <si>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</si>
  <si>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</si>
  <si>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</si>
  <si>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</si>
  <si>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</si>
  <si>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</si>
  <si>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</si>
  <si>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</si>
  <si>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</si>
  <si>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</si>
  <si>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</si>
  <si>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</si>
  <si>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</si>
  <si>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</si>
  <si>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</si>
  <si>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</si>
  <si>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</si>
  <si>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</si>
  <si>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</si>
  <si>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</si>
  <si>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</si>
  <si>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</si>
  <si>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</si>
  <si>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</si>
  <si>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</si>
  <si>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</si>
  <si>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</si>
  <si>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</si>
  <si>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</si>
  <si>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</si>
  <si>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</si>
  <si>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</si>
  <si>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</si>
  <si>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</si>
  <si>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</si>
  <si>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</si>
  <si>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</si>
  <si>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</si>
  <si>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</si>
  <si>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</si>
  <si>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</si>
  <si>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</si>
  <si>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</si>
  <si>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</si>
  <si>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</si>
  <si>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</si>
  <si>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</si>
  <si>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</si>
  <si>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</si>
  <si>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</si>
  <si>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</si>
  <si>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</si>
  <si>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</si>
  <si>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</si>
  <si>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</si>
  <si>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</si>
  <si>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</si>
  <si>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</si>
  <si>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</si>
  <si>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</si>
  <si>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</si>
  <si>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</si>
  <si>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</si>
  <si>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</si>
  <si>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</si>
  <si>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</si>
  <si>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</si>
  <si>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</si>
  <si>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</si>
  <si>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</si>
  <si>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</si>
  <si>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</si>
  <si>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</si>
  <si>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</si>
  <si>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</si>
  <si>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</si>
  <si>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</si>
  <si>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</si>
  <si>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</si>
  <si>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</si>
  <si>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</si>
  <si>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</si>
  <si>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</si>
  <si>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</si>
  <si>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</si>
  <si>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</si>
  <si>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</si>
  <si>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</si>
  <si>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</si>
  <si>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</si>
  <si>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</si>
  <si>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</si>
  <si>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</si>
  <si>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</si>
  <si>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</si>
  <si>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</si>
  <si>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</si>
  <si>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</si>
  <si>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</si>
  <si>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</si>
  <si>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</si>
  <si>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</si>
  <si>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</si>
  <si>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</si>
  <si>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</si>
  <si>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</si>
  <si>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</si>
  <si>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</si>
  <si>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</si>
  <si>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Beamtenversorgung</t>
  </si>
  <si>
    <t>Anpassung</t>
  </si>
  <si>
    <t>Forderungshöhe</t>
  </si>
  <si>
    <t>Programm zur Unterstützung im Versorgungsausgleich</t>
  </si>
  <si>
    <t>Jörn Hauß</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</si>
  <si>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</si>
  <si>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</si>
  <si>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</si>
  <si>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</si>
  <si>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</si>
  <si>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</si>
  <si>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</si>
  <si>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</si>
  <si>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</si>
  <si>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</si>
  <si>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</si>
  <si>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</si>
  <si>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</si>
  <si>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</si>
  <si>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</si>
  <si>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</si>
  <si>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</si>
  <si>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</si>
  <si>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</si>
  <si>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</si>
  <si>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</si>
  <si>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</si>
  <si>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</si>
  <si>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</si>
  <si>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</si>
  <si>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</si>
  <si>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</si>
  <si>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</si>
  <si>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</si>
  <si>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</si>
  <si>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</si>
  <si>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</si>
  <si>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</si>
  <si>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</si>
  <si>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</si>
  <si>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</si>
  <si>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</si>
  <si>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</si>
  <si>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</si>
  <si>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</si>
  <si>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</si>
  <si>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</si>
  <si>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</si>
  <si>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</si>
  <si>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</si>
  <si>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</si>
  <si>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</si>
  <si>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</si>
  <si>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</si>
  <si>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</si>
  <si>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</si>
  <si>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</si>
  <si>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</si>
  <si>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</si>
  <si>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</si>
  <si>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</si>
  <si>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</si>
  <si>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</si>
  <si>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</si>
  <si>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</si>
  <si>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</si>
  <si>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</si>
  <si>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</si>
  <si>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</si>
  <si>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</si>
  <si>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</si>
  <si>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</si>
  <si>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</si>
  <si>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</si>
  <si>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</si>
  <si>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</si>
  <si>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</si>
  <si>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</si>
  <si>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</si>
  <si>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</si>
  <si>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</si>
  <si>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</si>
  <si>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</si>
  <si>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</si>
  <si>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</si>
  <si>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</si>
  <si>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</si>
  <si>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</si>
  <si>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</si>
  <si>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</si>
  <si>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</si>
  <si>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</si>
  <si>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</si>
  <si>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</si>
  <si>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</si>
  <si>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</si>
  <si>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</si>
  <si>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</si>
  <si>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</si>
  <si>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</si>
  <si>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</si>
  <si>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</si>
  <si>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</si>
  <si>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</si>
  <si>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</si>
  <si>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</si>
  <si>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</si>
  <si>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</si>
  <si>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</si>
  <si>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</si>
  <si>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</si>
  <si>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</si>
  <si>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</si>
  <si>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</si>
  <si>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</si>
  <si>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</si>
  <si>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</si>
  <si>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</si>
  <si>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</si>
  <si>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</si>
  <si>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</si>
  <si>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</si>
  <si>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</si>
  <si>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</si>
  <si>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</si>
  <si>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</si>
  <si>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</si>
  <si>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</si>
  <si>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</si>
  <si>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</si>
  <si>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</si>
  <si>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</si>
  <si>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</si>
  <si>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</si>
  <si>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</si>
  <si>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</si>
  <si>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</si>
  <si>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</si>
  <si>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</si>
  <si>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</si>
  <si>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</si>
  <si>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</si>
  <si>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</si>
  <si>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</si>
  <si>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</si>
  <si>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</si>
  <si>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</si>
  <si>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</si>
  <si>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</si>
  <si>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</si>
  <si>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</si>
  <si>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</si>
  <si>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</si>
  <si>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</si>
  <si>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</si>
  <si>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</si>
  <si>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</si>
  <si>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</si>
  <si>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</si>
  <si>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</si>
  <si>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</si>
  <si>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</si>
  <si>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</si>
  <si>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</si>
  <si>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</si>
  <si>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</si>
  <si>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</si>
  <si>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</si>
  <si>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</si>
  <si>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</si>
  <si>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</si>
  <si>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</si>
  <si>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</si>
  <si>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</si>
  <si>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</si>
  <si>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</si>
  <si>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</si>
  <si>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</si>
  <si>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</si>
  <si>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</si>
  <si>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</si>
  <si>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</si>
  <si>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</si>
  <si>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</si>
  <si>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</si>
  <si>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</si>
  <si>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</si>
  <si>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</si>
  <si>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</si>
  <si>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</si>
  <si>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</si>
  <si>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</si>
  <si>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</si>
  <si>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</si>
  <si>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</si>
  <si>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</si>
  <si>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</si>
  <si>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</si>
  <si>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</si>
  <si>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</si>
  <si>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</si>
  <si>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</si>
  <si>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</si>
  <si>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</si>
  <si>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</si>
  <si>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</si>
  <si>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</si>
  <si>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</si>
  <si>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</si>
  <si>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</si>
  <si>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</si>
  <si>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</si>
  <si>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</si>
  <si>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</si>
  <si>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</si>
  <si>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</si>
  <si>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</si>
  <si>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</si>
  <si>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</si>
  <si>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</si>
  <si>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</si>
  <si>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</si>
  <si>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</si>
  <si>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</si>
  <si>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</si>
  <si>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</si>
  <si>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</si>
  <si>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</si>
  <si>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</si>
  <si>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</si>
  <si>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</si>
  <si>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</si>
  <si>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</si>
  <si>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</si>
  <si>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</si>
  <si>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</si>
  <si>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</si>
  <si>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</si>
  <si>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</si>
  <si>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</si>
  <si>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</si>
  <si>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</si>
  <si>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</si>
  <si>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</si>
  <si>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</si>
  <si>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</si>
  <si>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</si>
  <si>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</si>
  <si>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</si>
  <si>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</si>
  <si>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</si>
  <si>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</si>
  <si>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</si>
  <si>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</si>
  <si>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</si>
  <si>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</si>
  <si>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</si>
  <si>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</si>
  <si>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</si>
  <si>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</si>
  <si>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</si>
  <si>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</si>
  <si>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</si>
  <si>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</si>
  <si>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</si>
  <si>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</si>
  <si>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</si>
  <si>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</si>
  <si>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</si>
  <si>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</si>
  <si>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</si>
  <si>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</si>
  <si>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</si>
  <si>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</si>
  <si>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</si>
  <si>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</si>
  <si>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</si>
  <si>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</si>
  <si>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</si>
  <si>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</si>
  <si>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</si>
  <si>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</si>
  <si>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</si>
  <si>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</si>
  <si>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</si>
  <si>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</si>
  <si>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</si>
  <si>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</si>
  <si>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</si>
  <si>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</si>
  <si>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</si>
  <si>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</si>
  <si>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</si>
  <si>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</si>
  <si>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</si>
  <si>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</si>
  <si>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</si>
  <si>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</si>
  <si>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</si>
  <si>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</si>
  <si>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</si>
  <si>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</si>
  <si>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</si>
  <si>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</si>
  <si>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</si>
  <si>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</si>
  <si>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</si>
  <si>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</si>
  <si>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</si>
  <si>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</si>
  <si>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</si>
  <si>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</si>
  <si>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</si>
  <si>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</si>
  <si>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</si>
  <si>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</si>
  <si>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</si>
  <si>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</si>
  <si>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</si>
  <si>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</si>
  <si>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</si>
  <si>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</si>
  <si>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</si>
  <si>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</si>
  <si>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</si>
  <si>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</si>
  <si>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</si>
  <si>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</si>
  <si>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</si>
  <si>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</si>
  <si>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</si>
  <si>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</si>
  <si>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</si>
  <si>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</si>
  <si>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</si>
  <si>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</si>
  <si>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</si>
  <si>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</si>
  <si>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</si>
  <si>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</si>
  <si>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</si>
  <si>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</si>
  <si>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</si>
  <si>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</si>
  <si>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</si>
  <si>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</si>
  <si>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</si>
  <si>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</si>
  <si>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</si>
  <si>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</si>
  <si>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</si>
  <si>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</si>
  <si>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</si>
  <si>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</si>
  <si>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</si>
  <si>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</si>
  <si>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</si>
  <si>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</si>
  <si>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</si>
  <si>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</si>
  <si>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</si>
  <si>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</si>
  <si>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</si>
  <si>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</si>
  <si>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</si>
  <si>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</si>
  <si>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</si>
  <si>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</si>
  <si>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</si>
  <si>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</si>
  <si>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</si>
  <si>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</si>
  <si>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</si>
  <si>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</si>
  <si>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</si>
  <si>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</si>
  <si>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</si>
  <si>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</si>
  <si>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</si>
  <si>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</si>
  <si>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</si>
  <si>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</si>
  <si>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</si>
  <si>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</si>
  <si>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</si>
  <si>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</si>
  <si>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</si>
  <si>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</si>
  <si>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</si>
  <si>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</si>
  <si>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</si>
  <si>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</si>
  <si>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</si>
  <si>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</si>
  <si>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</si>
  <si>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</si>
  <si>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</si>
  <si>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</si>
  <si>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</si>
  <si>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</si>
  <si>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</si>
  <si>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</si>
  <si>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</si>
  <si>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</si>
  <si>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</si>
  <si>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</si>
  <si>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</si>
  <si>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</si>
  <si>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</si>
  <si>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</si>
  <si>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</si>
  <si>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</si>
  <si>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</si>
  <si>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</si>
  <si>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</si>
  <si>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</si>
  <si>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</si>
  <si>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</si>
  <si>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</si>
  <si>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</si>
  <si>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</si>
  <si>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</si>
  <si>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</si>
  <si>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</si>
  <si>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</si>
  <si>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</si>
  <si>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</si>
  <si>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</si>
  <si>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</si>
  <si>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</si>
  <si>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</si>
  <si>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</si>
  <si>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</si>
  <si>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</si>
  <si>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</si>
  <si>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</si>
  <si>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</si>
  <si>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</si>
  <si>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</si>
  <si>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</si>
  <si>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</si>
  <si>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</si>
  <si>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</si>
  <si>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</si>
  <si>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</si>
  <si>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</si>
  <si>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</si>
  <si>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</si>
  <si>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</si>
  <si>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</si>
  <si>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</si>
  <si>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</si>
  <si>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</si>
  <si>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</si>
  <si>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</si>
  <si>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</si>
  <si>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</si>
  <si>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</si>
  <si>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</si>
  <si>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</si>
  <si>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</si>
  <si>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</si>
  <si>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</si>
  <si>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</si>
  <si>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</si>
  <si>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</si>
  <si>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</si>
  <si>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</si>
  <si>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</si>
  <si>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</si>
  <si>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</si>
  <si>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</si>
  <si>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</si>
  <si>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</si>
  <si>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</si>
  <si>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</si>
  <si>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</si>
  <si>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</si>
  <si>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</si>
  <si>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</si>
  <si>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</si>
  <si>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</si>
  <si>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</si>
  <si>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</si>
  <si>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</si>
  <si>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</si>
  <si>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</si>
  <si>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</si>
  <si>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</si>
  <si>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</si>
  <si>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</si>
  <si>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</si>
  <si>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</si>
  <si>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</si>
  <si>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</si>
  <si>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</si>
  <si>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</si>
  <si>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</si>
  <si>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</si>
  <si>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</si>
  <si>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</si>
  <si>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</si>
  <si>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</si>
  <si>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</si>
  <si>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</si>
  <si>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</si>
  <si>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</si>
  <si>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</si>
  <si>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</si>
  <si>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</si>
  <si>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</si>
  <si>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</si>
  <si>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</si>
  <si>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</si>
  <si>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</si>
  <si>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</si>
  <si>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</si>
  <si>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</si>
  <si>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</si>
  <si>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</si>
  <si>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</si>
  <si>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</si>
  <si>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</si>
  <si>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</si>
  <si>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</si>
  <si>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</si>
  <si>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</si>
  <si>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</si>
  <si>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</si>
  <si>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</si>
  <si>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</si>
  <si>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</si>
  <si>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</si>
  <si>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</si>
  <si>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</si>
  <si>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</si>
  <si>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</si>
  <si>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</si>
  <si>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</si>
  <si>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</si>
  <si>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</si>
  <si>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</si>
  <si>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</si>
  <si>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</si>
  <si>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</si>
  <si>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</si>
  <si>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</si>
  <si>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</si>
  <si>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</si>
  <si>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</si>
  <si>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</si>
  <si>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</si>
  <si>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</si>
  <si>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</si>
  <si>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</si>
  <si>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</si>
  <si>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</si>
  <si>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</si>
  <si>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</si>
  <si>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</si>
  <si>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</si>
  <si>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</si>
  <si>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</si>
  <si>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</si>
  <si>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</si>
  <si>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</si>
  <si>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</si>
  <si>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</si>
  <si>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</si>
  <si>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</si>
  <si>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</si>
  <si>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</si>
  <si>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</si>
  <si>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</si>
  <si>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</si>
  <si>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</si>
  <si>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</si>
  <si>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</si>
  <si>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</si>
  <si>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</si>
  <si>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</si>
  <si>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</si>
  <si>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</si>
  <si>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</si>
  <si>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</si>
  <si>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</si>
  <si>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</si>
  <si>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</si>
  <si>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</si>
  <si>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</si>
  <si>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</si>
  <si>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</si>
  <si>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</si>
  <si>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</si>
  <si>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</si>
  <si>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</si>
  <si>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</si>
  <si>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</si>
  <si>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</si>
  <si>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</si>
  <si>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</si>
  <si>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</si>
  <si>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</si>
  <si>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</si>
  <si>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</si>
  <si>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</si>
  <si>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</si>
  <si>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</si>
  <si>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</si>
  <si>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</si>
  <si>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</si>
  <si>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</si>
  <si>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</si>
  <si>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</si>
  <si>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</si>
  <si>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</si>
  <si>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</si>
  <si>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</si>
  <si>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</si>
  <si>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</si>
  <si>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</si>
  <si>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</si>
  <si>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</si>
  <si>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</si>
  <si>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</si>
  <si>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</si>
  <si>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</si>
  <si>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</si>
  <si>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</si>
  <si>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</si>
  <si>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</si>
  <si>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</si>
  <si>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</si>
  <si>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</si>
  <si>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</si>
  <si>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</si>
  <si>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</si>
  <si>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</si>
  <si>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</si>
  <si>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</si>
  <si>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</si>
  <si>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</si>
  <si>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</si>
  <si>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</si>
  <si>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</si>
  <si>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</si>
  <si>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</si>
  <si>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</si>
  <si>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</si>
  <si>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</si>
  <si>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</si>
  <si>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</si>
  <si>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</si>
  <si>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</si>
  <si>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</si>
  <si>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</si>
  <si>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</si>
  <si>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</si>
  <si>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</si>
  <si>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</si>
  <si>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</si>
  <si>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</si>
  <si>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</si>
  <si>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</si>
  <si>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</si>
  <si>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</si>
  <si>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</si>
  <si>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</si>
  <si>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</si>
  <si>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</si>
  <si>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</si>
  <si>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</si>
  <si>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</si>
  <si>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</si>
  <si>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</si>
  <si>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</si>
  <si>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</si>
  <si>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</si>
  <si>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</si>
  <si>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</si>
  <si>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</si>
  <si>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</si>
  <si>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</si>
  <si>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</si>
  <si>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</si>
  <si>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</si>
  <si>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</si>
  <si>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</si>
  <si>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</si>
  <si>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</si>
  <si>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</si>
  <si>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</si>
  <si>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</si>
  <si>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</si>
  <si>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</si>
  <si>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</si>
  <si>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</si>
  <si>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</si>
  <si>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</si>
  <si>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</si>
  <si>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</si>
  <si>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</si>
  <si>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</si>
  <si>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</si>
  <si>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</si>
  <si>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</si>
  <si>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</si>
  <si>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</si>
  <si>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</si>
  <si>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</si>
  <si>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</si>
  <si>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</si>
  <si>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</si>
  <si>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</si>
  <si>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</si>
  <si>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</si>
  <si>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</si>
  <si>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</si>
  <si>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</si>
  <si>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</si>
  <si>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</si>
  <si>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</si>
  <si>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</si>
  <si>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</si>
  <si>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</si>
  <si>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</si>
  <si>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</si>
  <si>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</si>
  <si>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</si>
  <si>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</si>
  <si>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</si>
  <si>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</si>
  <si>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</si>
  <si>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</si>
  <si>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</si>
  <si>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</si>
  <si>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</si>
  <si>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</si>
  <si>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</si>
  <si>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</si>
  <si>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</si>
  <si>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</si>
  <si>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</si>
  <si>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</si>
  <si>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</si>
  <si>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</si>
  <si>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</si>
  <si>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</si>
  <si>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</si>
  <si>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</si>
  <si>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</si>
  <si>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</si>
  <si>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</si>
  <si>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</si>
  <si>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</si>
  <si>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</si>
  <si>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</si>
  <si>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</si>
  <si>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</si>
  <si>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</si>
  <si>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</si>
  <si>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</si>
  <si>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</si>
  <si>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</si>
  <si>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</si>
  <si>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</si>
  <si>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</si>
  <si>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</si>
  <si>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</si>
  <si>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</si>
  <si>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</si>
  <si>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</si>
  <si>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</si>
  <si>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</si>
  <si>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</si>
  <si>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</si>
  <si>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</si>
  <si>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</si>
  <si>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</si>
  <si>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</si>
  <si>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</si>
  <si>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</si>
  <si>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</si>
  <si>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</si>
  <si>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</si>
  <si>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</si>
  <si>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</si>
  <si>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</si>
  <si>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</si>
  <si>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</si>
  <si>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</si>
  <si>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</si>
  <si>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</si>
  <si>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</si>
  <si>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</si>
  <si>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</si>
  <si>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</si>
  <si>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</si>
  <si>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</si>
  <si>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</si>
  <si>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</si>
  <si>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</si>
  <si>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</si>
  <si>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</si>
  <si>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</si>
  <si>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</si>
  <si>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</si>
  <si>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</si>
  <si>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</si>
  <si>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</si>
  <si>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</si>
  <si>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</si>
  <si>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</si>
  <si>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</si>
  <si>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</si>
  <si>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</si>
  <si>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</si>
  <si>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</si>
  <si>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</si>
  <si>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</si>
  <si>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</si>
  <si>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</si>
  <si>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</si>
  <si>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</si>
  <si>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</si>
  <si>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</si>
  <si>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</si>
  <si>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</si>
  <si>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</si>
  <si>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</si>
  <si>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</si>
  <si>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</si>
  <si>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</si>
  <si>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</si>
  <si>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</si>
  <si>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</si>
  <si>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</si>
  <si>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</si>
  <si>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</si>
  <si>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</si>
  <si>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</si>
  <si>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</si>
  <si>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</si>
  <si>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</si>
  <si>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</si>
  <si>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</si>
  <si>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</si>
  <si>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</si>
  <si>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</si>
  <si>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</si>
  <si>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</si>
  <si>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</si>
  <si>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</si>
  <si>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</si>
  <si>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</si>
  <si>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</si>
  <si>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</si>
  <si>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</si>
  <si>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</si>
  <si>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</si>
  <si>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</si>
  <si>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</si>
  <si>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</si>
  <si>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</si>
  <si>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</si>
  <si>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</si>
  <si>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</si>
  <si>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</si>
  <si>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</si>
  <si>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</si>
  <si>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</si>
  <si>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</si>
  <si>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</si>
  <si>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</si>
  <si>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</si>
  <si>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</si>
  <si>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</si>
  <si>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</si>
  <si>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</si>
  <si>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</si>
  <si>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</si>
  <si>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</si>
  <si>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</si>
  <si>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</si>
  <si>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</si>
  <si>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</si>
  <si>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</si>
  <si>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</si>
  <si>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</si>
  <si>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</si>
  <si>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</si>
  <si>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</si>
  <si>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</si>
  <si>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</si>
  <si>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</si>
  <si>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</si>
  <si>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</si>
  <si>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</si>
  <si>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</si>
  <si>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</si>
  <si>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</si>
  <si>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</si>
  <si>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</si>
  <si>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</si>
  <si>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</si>
  <si>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</si>
  <si>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</si>
  <si>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</si>
  <si>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</si>
  <si>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</si>
  <si>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</si>
  <si>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</si>
  <si>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</si>
  <si>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</si>
  <si>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</si>
  <si>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</si>
  <si>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</si>
  <si>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</si>
  <si>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</si>
  <si>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</si>
  <si>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</si>
  <si>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</si>
  <si>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</si>
  <si>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</si>
  <si>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</si>
  <si>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</si>
  <si>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</si>
  <si>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</si>
  <si>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</si>
  <si>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</si>
  <si>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</si>
  <si>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</si>
  <si>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</si>
  <si>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</si>
  <si>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</si>
  <si>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</si>
  <si>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</si>
  <si>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</si>
  <si>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</si>
  <si>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</si>
  <si>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</si>
  <si>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</si>
  <si>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</si>
  <si>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</si>
  <si>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</si>
  <si>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</si>
  <si>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</si>
  <si>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</si>
  <si>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</si>
  <si>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</si>
  <si>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</si>
  <si>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</si>
  <si>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</si>
  <si>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</si>
  <si>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</si>
  <si>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</si>
  <si>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</si>
  <si>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</si>
  <si>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</si>
  <si>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</si>
  <si>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</si>
  <si>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</si>
  <si>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</si>
  <si>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</si>
  <si>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</si>
  <si>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</si>
  <si>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</si>
  <si>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</si>
  <si>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</si>
  <si>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</si>
  <si>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</si>
  <si>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</si>
  <si>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</si>
  <si>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</si>
  <si>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</si>
  <si>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</si>
  <si>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</si>
  <si>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</si>
  <si>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</si>
  <si>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</si>
  <si>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</si>
  <si>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</si>
  <si>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</si>
  <si>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</si>
  <si>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</si>
  <si>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</si>
  <si>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</si>
  <si>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</si>
  <si>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</si>
  <si>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</si>
  <si>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</si>
  <si>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</si>
  <si>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</si>
  <si>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</si>
  <si>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</si>
  <si>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</si>
  <si>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</si>
  <si>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</si>
  <si>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</si>
  <si>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</si>
  <si>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</si>
  <si>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</si>
  <si>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</si>
  <si>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</si>
  <si>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</si>
  <si>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</si>
  <si>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</si>
  <si>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</si>
  <si>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</si>
  <si>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</si>
  <si>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</si>
  <si>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</si>
  <si>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</si>
  <si>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</si>
  <si>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</si>
  <si>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</si>
  <si>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</si>
  <si>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</si>
  <si>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</si>
  <si>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</si>
  <si>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</si>
  <si>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</si>
  <si>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</si>
  <si>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</si>
  <si>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</si>
  <si>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</si>
  <si>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</si>
  <si>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</si>
  <si>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</si>
  <si>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</si>
  <si>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</si>
  <si>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</si>
  <si>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</si>
  <si>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</si>
  <si>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</si>
  <si>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</si>
  <si>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</si>
  <si>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</si>
  <si>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</si>
  <si>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</si>
  <si>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</si>
  <si>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</si>
  <si>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</si>
  <si>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</si>
  <si>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</si>
  <si>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</si>
  <si>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</si>
  <si>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</si>
  <si>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</si>
  <si>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</si>
  <si>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</si>
  <si>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</si>
  <si>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</si>
  <si>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</si>
  <si>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</si>
  <si>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</si>
  <si>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</si>
  <si>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</si>
  <si>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</si>
  <si>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</si>
  <si>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</si>
  <si>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</si>
  <si>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</si>
  <si>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</si>
  <si>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</si>
  <si>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</si>
  <si>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</si>
  <si>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</si>
  <si>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</si>
  <si>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</si>
  <si>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</si>
  <si>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</si>
  <si>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</si>
  <si>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</si>
  <si>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</si>
  <si>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</si>
  <si>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</si>
  <si>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</si>
  <si>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</si>
  <si>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</si>
  <si>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</si>
  <si>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</si>
  <si>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</si>
  <si>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</si>
  <si>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</si>
  <si>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</si>
  <si>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</si>
  <si>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</si>
  <si>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</si>
  <si>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</si>
  <si>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</si>
  <si>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</si>
  <si>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</si>
  <si>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</si>
  <si>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</si>
  <si>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</si>
  <si>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</si>
  <si>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</si>
  <si>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</si>
  <si>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</si>
  <si>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</si>
  <si>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</si>
  <si>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</si>
  <si>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</si>
  <si>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</si>
  <si>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</si>
  <si>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</si>
  <si>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</si>
  <si>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</si>
  <si>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</si>
  <si>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</si>
  <si>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</si>
  <si>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</si>
  <si>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</si>
  <si>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</si>
  <si>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</si>
  <si>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</si>
  <si>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</si>
  <si>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</si>
  <si>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</si>
  <si>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</si>
  <si>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</si>
  <si>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</si>
  <si>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</si>
  <si>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</si>
  <si>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</si>
  <si>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</si>
  <si>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</si>
  <si>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</si>
  <si>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</si>
  <si>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</si>
  <si>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</si>
  <si>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</si>
  <si>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</si>
  <si>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</si>
  <si>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</si>
  <si>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</si>
  <si>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</si>
  <si>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</si>
  <si>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</si>
  <si>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</si>
  <si>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</si>
  <si>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</si>
  <si>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</si>
  <si>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</si>
  <si>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</si>
  <si>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</si>
  <si>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</si>
  <si>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</si>
  <si>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</si>
  <si>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</si>
  <si>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</si>
  <si>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</si>
  <si>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</si>
  <si>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</si>
  <si>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</si>
  <si>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</si>
  <si>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</si>
  <si>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</si>
  <si>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</si>
  <si>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</si>
  <si>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</si>
  <si>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</si>
  <si>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</si>
  <si>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</si>
  <si>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</si>
  <si>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</si>
  <si>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</si>
  <si>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</si>
  <si>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</si>
  <si>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</si>
  <si>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</si>
  <si>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</si>
  <si>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</si>
  <si>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</si>
  <si>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</si>
  <si>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</si>
  <si>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</si>
  <si>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</si>
  <si>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</si>
  <si>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</si>
  <si>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</si>
  <si>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</si>
  <si>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</si>
  <si>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</si>
  <si>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</si>
  <si>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</si>
  <si>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</si>
  <si>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</si>
  <si>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</si>
  <si>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</si>
  <si>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</si>
  <si>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</si>
  <si>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</si>
  <si>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</si>
  <si>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</si>
  <si>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</si>
  <si>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</si>
  <si>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</si>
  <si>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</si>
  <si>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</si>
  <si>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</si>
  <si>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</si>
  <si>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</si>
  <si>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</si>
  <si>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</si>
  <si>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</si>
  <si>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</si>
  <si>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</si>
  <si>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</si>
  <si>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</si>
  <si>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</si>
  <si>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</si>
  <si>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</si>
  <si>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</si>
  <si>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</si>
  <si>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</si>
  <si>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</si>
  <si>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</si>
  <si>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</si>
  <si>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</si>
  <si>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</si>
  <si>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</si>
  <si>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</si>
  <si>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</si>
  <si>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</si>
  <si>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</si>
  <si>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</si>
  <si>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</si>
  <si>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</si>
  <si>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</si>
  <si>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</si>
  <si>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</si>
  <si>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</si>
  <si>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</si>
  <si>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</si>
  <si>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</si>
  <si>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</si>
  <si>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</si>
  <si>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</si>
  <si>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</si>
  <si>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</si>
  <si>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</si>
  <si>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</si>
  <si>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</si>
  <si>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</si>
  <si>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</si>
  <si>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</si>
  <si>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</si>
  <si>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</si>
  <si>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</si>
  <si>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</si>
  <si>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</si>
  <si>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</si>
  <si>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</si>
  <si>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</si>
  <si>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</si>
  <si>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</si>
  <si>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</si>
  <si>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</si>
  <si>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</si>
  <si>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</si>
  <si>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</si>
  <si>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</si>
  <si>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</si>
  <si>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</si>
  <si>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</si>
  <si>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</si>
  <si>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</si>
  <si>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</si>
  <si>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</si>
  <si>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</si>
  <si>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</si>
  <si>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</si>
  <si>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</si>
  <si>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</si>
  <si>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</si>
  <si>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</si>
  <si>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</si>
  <si>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</si>
  <si>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</si>
  <si>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</si>
  <si>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</si>
  <si>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</si>
  <si>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</si>
  <si>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</si>
  <si>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</si>
  <si>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</si>
  <si>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</si>
  <si>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</si>
  <si>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</si>
  <si>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</si>
  <si>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</si>
  <si>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</si>
  <si>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</si>
  <si>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</si>
  <si>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</si>
  <si>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</si>
  <si>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</si>
  <si>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</si>
  <si>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</si>
  <si>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</si>
  <si>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</si>
  <si>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</si>
  <si>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</si>
  <si>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</si>
  <si>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</si>
  <si>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</si>
  <si>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</si>
  <si>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</si>
  <si>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</si>
  <si>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</si>
  <si>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</si>
  <si>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</si>
  <si>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</si>
  <si>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</si>
  <si>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</si>
  <si>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</si>
  <si>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</si>
  <si>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</si>
  <si>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</si>
  <si>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</si>
  <si>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</si>
  <si>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</si>
  <si>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</si>
  <si>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</si>
  <si>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</si>
  <si>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</si>
  <si>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</si>
  <si>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</si>
  <si>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</si>
  <si>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</si>
  <si>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</si>
  <si>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</si>
  <si>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</si>
  <si>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</si>
  <si>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</si>
  <si>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</si>
  <si>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</si>
  <si>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</si>
  <si>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</si>
  <si>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</si>
  <si>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</si>
  <si>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</si>
  <si>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</si>
  <si>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</si>
  <si>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</si>
  <si>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</si>
  <si>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</si>
  <si>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</si>
  <si>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</si>
  <si>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</si>
  <si>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</si>
  <si>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</si>
  <si>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</si>
  <si>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</si>
  <si>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</si>
  <si>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</si>
  <si>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</si>
  <si>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</si>
  <si>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</si>
  <si>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</si>
  <si>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</si>
  <si>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</si>
  <si>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</si>
  <si>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</si>
  <si>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</si>
  <si>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</si>
  <si>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</si>
  <si>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</si>
  <si>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</si>
  <si>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</si>
  <si>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</si>
  <si>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</si>
  <si>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</si>
  <si>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</si>
  <si>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</si>
  <si>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</si>
  <si>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</si>
  <si>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</si>
  <si>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</si>
  <si>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</si>
  <si>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</si>
  <si>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</si>
  <si>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</si>
  <si>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</si>
  <si>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</si>
  <si>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</si>
  <si>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</si>
  <si>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</si>
  <si>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</si>
  <si>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</si>
  <si>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</si>
  <si>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</si>
  <si>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</si>
  <si>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</si>
  <si>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</si>
  <si>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</si>
  <si>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</si>
  <si>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</si>
  <si>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</si>
  <si>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</si>
  <si>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</si>
  <si>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</si>
  <si>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</si>
  <si>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</si>
  <si>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</si>
  <si>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</si>
  <si>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</si>
  <si>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</si>
  <si>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</si>
  <si>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</si>
  <si>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</si>
  <si>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</si>
  <si>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</si>
  <si>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</si>
  <si>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</si>
  <si>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</si>
  <si>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</si>
  <si>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</si>
  <si>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</si>
  <si>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</si>
  <si>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</si>
  <si>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</si>
  <si>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</si>
  <si>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</si>
  <si>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</si>
  <si>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</si>
  <si>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</si>
  <si>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</si>
  <si>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</si>
  <si>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</si>
  <si>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</si>
  <si>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</si>
  <si>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</si>
  <si>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</si>
  <si>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</si>
  <si>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</si>
  <si>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</si>
  <si>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</si>
  <si>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</si>
  <si>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</si>
  <si>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</si>
  <si>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</si>
  <si>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</si>
  <si>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</si>
  <si>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</si>
  <si>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</si>
  <si>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</si>
  <si>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</si>
  <si>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</si>
  <si>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</si>
  <si>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</si>
  <si>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</si>
  <si>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</si>
  <si>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</si>
  <si>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</si>
  <si>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</si>
  <si>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</si>
  <si>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</si>
  <si>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</si>
  <si>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</si>
  <si>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</si>
  <si>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</si>
  <si>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</si>
  <si>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</si>
  <si>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</si>
  <si>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</si>
  <si>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</si>
  <si>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</si>
  <si>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</si>
  <si>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</si>
  <si>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</si>
  <si>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</si>
  <si>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</si>
  <si>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</si>
  <si>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</si>
  <si>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</si>
  <si>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</si>
  <si>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</si>
  <si>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</si>
  <si>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</si>
  <si>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</si>
  <si>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</si>
  <si>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</si>
  <si>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</si>
  <si>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</si>
  <si>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</si>
  <si>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</si>
  <si>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</si>
  <si>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</si>
  <si>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</si>
  <si>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</si>
  <si>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</si>
  <si>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</si>
  <si>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</si>
  <si>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</si>
  <si>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</si>
  <si>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</si>
  <si>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</si>
  <si>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</si>
  <si>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</si>
  <si>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</si>
  <si>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</si>
  <si>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</si>
  <si>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</si>
  <si>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</si>
  <si>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</si>
  <si>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</si>
  <si>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</si>
  <si>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</si>
  <si>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</si>
  <si>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</si>
  <si>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</si>
  <si>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</si>
  <si>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</si>
  <si>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</si>
  <si>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</si>
  <si>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</si>
  <si>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</si>
  <si>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</si>
  <si>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</si>
  <si>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</si>
  <si>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</si>
  <si>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</si>
  <si>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</si>
  <si>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</si>
  <si>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</si>
  <si>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</si>
  <si>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</si>
  <si>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</si>
  <si>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</si>
  <si>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</si>
  <si>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</si>
  <si>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</si>
  <si>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</si>
  <si>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</si>
  <si>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</si>
  <si>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</si>
  <si>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</si>
  <si>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</si>
  <si>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</si>
  <si>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</si>
  <si>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</si>
  <si>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</si>
  <si>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</si>
  <si>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</si>
  <si>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</si>
  <si>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</si>
  <si>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</si>
  <si>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</si>
  <si>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</si>
  <si>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</si>
  <si>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</si>
  <si>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</si>
  <si>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</si>
  <si>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</si>
  <si>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</si>
  <si>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</si>
  <si>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</si>
  <si>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</si>
  <si>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</si>
  <si>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</si>
  <si>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</si>
  <si>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</si>
  <si>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</si>
  <si>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</si>
  <si>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</si>
  <si>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</si>
  <si>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</si>
  <si>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</si>
  <si>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</si>
  <si>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</si>
  <si>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</si>
  <si>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</si>
  <si>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</si>
  <si>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</si>
  <si>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</si>
  <si>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</si>
  <si>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</si>
  <si>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</si>
  <si>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</si>
  <si>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</si>
  <si>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</si>
  <si>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</si>
  <si>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</si>
  <si>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</si>
  <si>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</si>
  <si>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</si>
  <si>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</si>
  <si>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</si>
  <si>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</si>
  <si>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</si>
  <si>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</si>
  <si>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</si>
  <si>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</si>
  <si>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</si>
  <si>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</si>
  <si>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</si>
  <si>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</si>
  <si>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</si>
  <si>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</si>
  <si>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</si>
  <si>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</si>
  <si>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</si>
  <si>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</si>
  <si>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</si>
  <si>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</si>
  <si>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</si>
  <si>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</si>
  <si>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</si>
  <si>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</si>
  <si>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</si>
  <si>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</si>
  <si>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</si>
  <si>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</si>
  <si>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</si>
  <si>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</si>
  <si>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</si>
  <si>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</si>
  <si>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</si>
  <si>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</si>
  <si>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</si>
  <si>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</si>
  <si>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</si>
  <si>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</si>
  <si>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</si>
  <si>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</si>
  <si>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</si>
  <si>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</si>
  <si>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</si>
  <si>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</si>
  <si>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</si>
  <si>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</si>
  <si>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</si>
  <si>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</si>
  <si>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</si>
  <si>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</si>
  <si>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</si>
  <si>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</si>
  <si>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</si>
  <si>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</si>
  <si>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</si>
  <si>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</si>
  <si>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</si>
  <si>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</si>
  <si>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</si>
  <si>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</si>
  <si>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</si>
  <si>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</si>
  <si>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</si>
  <si>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</si>
  <si>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</si>
  <si>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</si>
  <si>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</si>
  <si>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</si>
  <si>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</si>
  <si>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</si>
  <si>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</si>
  <si>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</si>
  <si>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</si>
  <si>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</si>
  <si>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</si>
  <si>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</si>
  <si>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</si>
  <si>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</si>
  <si>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</si>
  <si>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</si>
  <si>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</si>
  <si>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</si>
  <si>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</si>
  <si>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</si>
  <si>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</si>
  <si>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</si>
  <si>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</si>
  <si>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</si>
  <si>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</si>
  <si>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</si>
  <si>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</si>
  <si>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</si>
  <si>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</si>
  <si>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</si>
  <si>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</si>
  <si>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</si>
  <si>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</si>
  <si>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</si>
  <si>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</si>
  <si>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</si>
  <si>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</si>
  <si>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</si>
  <si>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</si>
  <si>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</si>
  <si>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</si>
  <si>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</si>
  <si>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</si>
  <si>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</si>
  <si>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</si>
  <si>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</si>
  <si>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</si>
  <si>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</si>
  <si>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</si>
  <si>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</si>
  <si>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</si>
  <si>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</si>
  <si>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</si>
  <si>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</si>
  <si>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</si>
  <si>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</si>
  <si>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</si>
  <si>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</si>
  <si>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</si>
  <si>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</si>
  <si>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</si>
  <si>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</si>
  <si>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</si>
  <si>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</si>
  <si>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</si>
  <si>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</si>
  <si>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</si>
  <si>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</si>
  <si>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</si>
  <si>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</si>
  <si>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</si>
  <si>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</si>
  <si>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</si>
  <si>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</si>
  <si>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</si>
  <si>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</si>
  <si>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</si>
  <si>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</si>
  <si>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</si>
  <si>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</si>
  <si>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</si>
  <si>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</si>
  <si>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</si>
  <si>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</si>
  <si>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</si>
  <si>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</si>
  <si>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</si>
  <si>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</si>
  <si>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</si>
  <si>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</si>
  <si>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</si>
  <si>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</si>
  <si>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</si>
  <si>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</si>
  <si>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</si>
  <si>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</si>
  <si>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</si>
  <si>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</si>
  <si>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</si>
  <si>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</si>
  <si>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</si>
  <si>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</si>
  <si>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</si>
  <si>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</si>
  <si>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</si>
  <si>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</si>
  <si>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</si>
  <si>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</si>
  <si>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</si>
  <si>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</si>
  <si>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</si>
  <si>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</si>
  <si>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</si>
  <si>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</si>
  <si>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</si>
  <si>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</si>
  <si>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</si>
  <si>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</si>
  <si>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</si>
  <si>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</si>
  <si>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</si>
  <si>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</si>
  <si>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</si>
  <si>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</si>
  <si>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</si>
  <si>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</si>
  <si>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</si>
  <si>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</si>
  <si>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</si>
  <si>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</si>
  <si>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</si>
  <si>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</si>
  <si>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</si>
  <si>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</si>
  <si>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</si>
  <si>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</si>
  <si>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</si>
  <si>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</si>
  <si>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</si>
  <si>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</si>
  <si>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</si>
  <si>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</si>
  <si>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</si>
  <si>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</si>
  <si>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</si>
  <si>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</si>
  <si>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</si>
  <si>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</si>
  <si>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</si>
  <si>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</si>
  <si>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t>www.KaffeerundeVA.de</t>
  </si>
  <si>
    <t>Versorgungskasse genossenschaftlich orientierter Unternehmen e.V. (VGU),</t>
  </si>
  <si>
    <t>Ziff. 3 und 4</t>
  </si>
  <si>
    <t>TO enthält in § 8 ein Bekenntnis zur Priorität der gerichtlichen Entscheidung, falls diese von TO abweicht.</t>
  </si>
  <si>
    <t>OLG FfM 6 UF 222/22</t>
  </si>
  <si>
    <t>Airbus</t>
  </si>
  <si>
    <t>9.</t>
  </si>
  <si>
    <t>Versorgungsträger setzt in Ziff. 9.(1)(a) der TO die Vers. Z.G. der ausglber Person aus dem  nach Ziff. 7 d. TO ermittelten AusglWert statt des vom Gericht tenorierten Betrages um</t>
  </si>
  <si>
    <t>Deka-Pensions-Plan</t>
  </si>
  <si>
    <t>Kap. 2 § 1 ff.</t>
  </si>
  <si>
    <t>DKB Deutsche Kredit Bank AG</t>
  </si>
  <si>
    <t xml:space="preserve">E.ON AG </t>
  </si>
  <si>
    <t>11.ff.</t>
  </si>
  <si>
    <t>KfW Bankengruppe zu VO 2000</t>
  </si>
  <si>
    <t>KfW Bankengruppe betrieblichen Zusatzversorgung durch Entgeltumwandlung</t>
  </si>
  <si>
    <t>Generali Unterstützungskasse e.V.</t>
  </si>
  <si>
    <r>
      <t xml:space="preserve">jeden 1. und 3. Mittwoch im Monat 
 </t>
    </r>
    <r>
      <rPr>
        <b/>
        <sz val="9"/>
        <color theme="1"/>
        <rFont val="Arial"/>
        <family val="2"/>
      </rPr>
      <t>(Pause: Juli&amp;August)</t>
    </r>
  </si>
  <si>
    <t>Zinssatz</t>
  </si>
  <si>
    <t>Zinsen</t>
  </si>
  <si>
    <t>Fall-Infos</t>
  </si>
  <si>
    <t>EzA:</t>
  </si>
  <si>
    <t>EzE:</t>
  </si>
  <si>
    <t>GebDat_M:</t>
  </si>
  <si>
    <t>GebDat_F:</t>
  </si>
  <si>
    <t>Generali Lebensversicherungen</t>
  </si>
  <si>
    <t>m.E. keine Beanstandung</t>
  </si>
  <si>
    <t>Quell-Versorgung</t>
  </si>
  <si>
    <t>Zusatzbeitragsliste</t>
  </si>
  <si>
    <t>1975, 3%,0,67</t>
  </si>
  <si>
    <t>11. Vers,Erwerb aus Barwert (BW)
der b- &amp; p-Versorgungen in DRV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</si>
</sst>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 numFmtId="206" formatCode="#,##0.0000_ ;[Red]\-#,##0.0000\ "/>
  </numFmts>
  <fonts count="29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EEFEC6"/>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7">
    <xf numFmtId="0" fontId="0" fillId="0" borderId="0"/>
    <xf numFmtId="166" fontId="86" fillId="0" borderId="0" applyFont="0" applyFill="0" applyBorder="0" applyAlignment="0" applyProtection="0"/>
    <xf numFmtId="169" fontId="62" fillId="0" borderId="0" applyNumberFormat="0" applyFill="0" applyBorder="0" applyAlignment="0" applyProtection="0">
      <alignment vertical="top"/>
      <protection locked="0"/>
    </xf>
    <xf numFmtId="9" fontId="75" fillId="0" borderId="0" applyFont="0" applyFill="0" applyBorder="0" applyAlignment="0" applyProtection="0"/>
    <xf numFmtId="0" fontId="100" fillId="0" borderId="0"/>
    <xf numFmtId="0" fontId="100" fillId="0" borderId="0"/>
    <xf numFmtId="169" fontId="57" fillId="0" borderId="0"/>
    <xf numFmtId="169" fontId="57" fillId="0" borderId="0"/>
    <xf numFmtId="166" fontId="75" fillId="0" borderId="0" applyFont="0" applyFill="0" applyBorder="0" applyAlignment="0" applyProtection="0"/>
    <xf numFmtId="0" fontId="53" fillId="0" borderId="0"/>
    <xf numFmtId="0" fontId="57" fillId="0" borderId="0"/>
    <xf numFmtId="0" fontId="51" fillId="0" borderId="0"/>
    <xf numFmtId="0" fontId="125" fillId="0" borderId="0"/>
    <xf numFmtId="0" fontId="50" fillId="0" borderId="0"/>
    <xf numFmtId="0" fontId="49" fillId="0" borderId="0"/>
    <xf numFmtId="0" fontId="48" fillId="0" borderId="0"/>
    <xf numFmtId="0" fontId="47" fillId="0" borderId="0"/>
    <xf numFmtId="185" fontId="28" fillId="0" borderId="21" applyFont="0" applyBorder="0">
      <alignment horizontal="center" vertical="center"/>
      <protection locked="0"/>
    </xf>
    <xf numFmtId="178" fontId="202" fillId="0" borderId="2" applyBorder="0">
      <alignment horizontal="center" vertical="center"/>
      <protection locked="0"/>
    </xf>
    <xf numFmtId="178" fontId="202" fillId="0" borderId="2" applyBorder="0">
      <alignment horizontal="center" vertical="center"/>
      <protection hidden="1"/>
    </xf>
    <xf numFmtId="164" fontId="98" fillId="0" borderId="0" applyFont="0" applyFill="0" applyBorder="0" applyAlignment="0" applyProtection="0"/>
    <xf numFmtId="0" fontId="16" fillId="0" borderId="0"/>
    <xf numFmtId="0" fontId="57" fillId="0" borderId="0"/>
    <xf numFmtId="0" fontId="57" fillId="0" borderId="0"/>
    <xf numFmtId="0" fontId="101" fillId="0" borderId="0"/>
    <xf numFmtId="0" fontId="57" fillId="0" borderId="0"/>
    <xf numFmtId="0" fontId="286" fillId="0" borderId="0" applyNumberFormat="0" applyFill="0" applyBorder="0" applyAlignment="0" applyProtection="0"/>
    <xf numFmtId="0" fontId="57" fillId="0" borderId="0"/>
    <xf numFmtId="0" fontId="286" fillId="0" borderId="0" applyNumberFormat="0" applyFill="0" applyBorder="0" applyAlignment="0" applyProtection="0"/>
    <xf numFmtId="0" fontId="101" fillId="0" borderId="0"/>
    <xf numFmtId="0" fontId="101" fillId="0" borderId="0"/>
    <xf numFmtId="0" fontId="13" fillId="0" borderId="0"/>
    <xf numFmtId="0" fontId="11" fillId="0" borderId="0"/>
    <xf numFmtId="0" fontId="9" fillId="0" borderId="0"/>
    <xf numFmtId="0" fontId="8" fillId="0" borderId="0"/>
    <xf numFmtId="0" fontId="6" fillId="0" borderId="0"/>
    <xf numFmtId="0" fontId="3" fillId="0" borderId="0"/>
  </cellStyleXfs>
  <cellXfs count="4028">
    <xf numFmtId="0" fontId="0" fillId="0" borderId="0" xfId="0"/>
    <xf numFmtId="168" fontId="0" fillId="0" borderId="2" xfId="0" applyNumberFormat="1" applyBorder="1" applyAlignment="1">
      <alignment horizontal="center"/>
    </xf>
    <xf numFmtId="0" fontId="78" fillId="0" borderId="0" xfId="0" applyFont="1"/>
    <xf numFmtId="0" fontId="0" fillId="0" borderId="2" xfId="0" applyBorder="1"/>
    <xf numFmtId="0" fontId="0" fillId="0" borderId="0" xfId="0" applyAlignment="1">
      <alignment horizontal="center"/>
    </xf>
    <xf numFmtId="0" fontId="62"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9" fillId="0" borderId="4" xfId="0" applyFont="1" applyBorder="1" applyProtection="1">
      <protection hidden="1"/>
    </xf>
    <xf numFmtId="2" fontId="0" fillId="0" borderId="3" xfId="0" applyNumberFormat="1" applyBorder="1" applyAlignment="1" applyProtection="1">
      <alignment horizontal="center"/>
      <protection hidden="1"/>
    </xf>
    <xf numFmtId="10" fontId="75" fillId="0" borderId="3" xfId="3" applyNumberFormat="1" applyBorder="1" applyAlignment="1" applyProtection="1">
      <alignment horizontal="center"/>
      <protection hidden="1"/>
    </xf>
    <xf numFmtId="2" fontId="75" fillId="0" borderId="3" xfId="3" applyNumberFormat="1" applyBorder="1" applyAlignment="1" applyProtection="1">
      <alignment horizontal="center"/>
      <protection hidden="1"/>
    </xf>
    <xf numFmtId="10" fontId="75"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75"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76" fillId="4" borderId="0" xfId="0" applyFont="1" applyFill="1"/>
    <xf numFmtId="0" fontId="76" fillId="4" borderId="0" xfId="0" applyFont="1" applyFill="1" applyAlignment="1">
      <alignment vertical="center"/>
    </xf>
    <xf numFmtId="165" fontId="76" fillId="4" borderId="0" xfId="0" applyNumberFormat="1" applyFont="1" applyFill="1"/>
    <xf numFmtId="0" fontId="62"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81"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76"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57"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101" fillId="0" borderId="35" xfId="0" applyNumberFormat="1" applyFont="1" applyBorder="1" applyAlignment="1" applyProtection="1">
      <alignment horizontal="center"/>
      <protection locked="0"/>
    </xf>
    <xf numFmtId="2" fontId="101" fillId="0" borderId="3" xfId="0" applyNumberFormat="1" applyFont="1" applyBorder="1" applyAlignment="1" applyProtection="1">
      <alignment horizontal="center"/>
      <protection locked="0"/>
    </xf>
    <xf numFmtId="0" fontId="0" fillId="0" borderId="2" xfId="0" applyBorder="1" applyAlignment="1">
      <alignment horizontal="center"/>
    </xf>
    <xf numFmtId="0" fontId="62" fillId="4" borderId="0" xfId="2" applyNumberFormat="1" applyFill="1" applyAlignment="1" applyProtection="1">
      <alignment horizontal="center" vertical="center"/>
      <protection hidden="1"/>
    </xf>
    <xf numFmtId="0" fontId="101" fillId="3" borderId="0" xfId="0" applyFont="1" applyFill="1" applyAlignment="1">
      <alignment horizontal="center" vertical="center"/>
    </xf>
    <xf numFmtId="0" fontId="54" fillId="4" borderId="0" xfId="0" applyFont="1" applyFill="1" applyAlignment="1" applyProtection="1">
      <alignment horizontal="center" vertical="center" wrapText="1"/>
      <protection hidden="1"/>
    </xf>
    <xf numFmtId="0" fontId="108" fillId="3" borderId="0" xfId="0" applyFont="1" applyFill="1" applyProtection="1">
      <protection hidden="1"/>
    </xf>
    <xf numFmtId="0" fontId="111" fillId="3" borderId="0" xfId="0" applyFont="1" applyFill="1"/>
    <xf numFmtId="180" fontId="85" fillId="2" borderId="36" xfId="8" applyNumberFormat="1" applyFont="1" applyFill="1" applyBorder="1" applyAlignment="1" applyProtection="1">
      <alignment horizontal="center" vertical="center"/>
      <protection locked="0"/>
    </xf>
    <xf numFmtId="10" fontId="85"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8" fillId="0" borderId="0" xfId="0" applyNumberFormat="1" applyFont="1"/>
    <xf numFmtId="14" fontId="57" fillId="0" borderId="37" xfId="0" applyNumberFormat="1" applyFont="1" applyBorder="1" applyAlignment="1" applyProtection="1">
      <alignment horizontal="center" vertical="center"/>
      <protection locked="0"/>
    </xf>
    <xf numFmtId="14" fontId="101" fillId="0" borderId="26" xfId="0" applyNumberFormat="1" applyFont="1" applyBorder="1" applyAlignment="1" applyProtection="1">
      <alignment horizontal="center" vertical="center"/>
      <protection locked="0"/>
    </xf>
    <xf numFmtId="14" fontId="101"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104"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87" fillId="8" borderId="65" xfId="0" applyFont="1" applyFill="1" applyBorder="1" applyAlignment="1" applyProtection="1">
      <alignment vertical="center"/>
      <protection locked="0"/>
    </xf>
    <xf numFmtId="0" fontId="0" fillId="0" borderId="0" xfId="0" applyAlignment="1">
      <alignment vertical="center"/>
    </xf>
    <xf numFmtId="172" fontId="52" fillId="0" borderId="0" xfId="0" applyNumberFormat="1" applyFont="1"/>
    <xf numFmtId="1" fontId="0" fillId="0" borderId="2" xfId="0" applyNumberFormat="1" applyBorder="1" applyAlignment="1">
      <alignment horizontal="center"/>
    </xf>
    <xf numFmtId="169" fontId="60" fillId="0" borderId="2" xfId="0" applyNumberFormat="1" applyFont="1" applyBorder="1" applyAlignment="1">
      <alignment horizontal="center" vertical="center" wrapText="1"/>
    </xf>
    <xf numFmtId="10" fontId="85"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17"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62" fillId="4" borderId="0" xfId="2" applyNumberFormat="1" applyFill="1" applyBorder="1" applyAlignment="1" applyProtection="1">
      <alignment horizontal="center" vertical="center"/>
      <protection hidden="1"/>
    </xf>
    <xf numFmtId="0" fontId="101" fillId="4" borderId="0" xfId="2" applyNumberFormat="1" applyFont="1" applyFill="1" applyBorder="1" applyAlignment="1" applyProtection="1">
      <alignment horizontal="center" vertical="center" wrapText="1"/>
      <protection hidden="1"/>
    </xf>
    <xf numFmtId="0" fontId="101"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103" fillId="4" borderId="0" xfId="0" applyFont="1" applyFill="1" applyAlignment="1" applyProtection="1">
      <alignment horizontal="center" vertical="center" wrapText="1"/>
      <protection hidden="1"/>
    </xf>
    <xf numFmtId="165" fontId="62" fillId="4" borderId="0" xfId="2" applyNumberFormat="1" applyFill="1" applyBorder="1" applyAlignment="1" applyProtection="1">
      <alignment horizontal="center" vertical="center"/>
      <protection hidden="1"/>
    </xf>
    <xf numFmtId="9" fontId="99"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60" fillId="0" borderId="0" xfId="7" applyNumberFormat="1" applyFont="1"/>
    <xf numFmtId="2" fontId="0" fillId="0" borderId="0" xfId="0" applyNumberFormat="1"/>
    <xf numFmtId="4" fontId="61" fillId="0" borderId="0" xfId="10" applyNumberFormat="1" applyFont="1"/>
    <xf numFmtId="0" fontId="0" fillId="0" borderId="0" xfId="0" applyAlignment="1">
      <alignment horizontal="left"/>
    </xf>
    <xf numFmtId="0" fontId="68" fillId="0" borderId="0" xfId="0" applyFont="1" applyAlignment="1">
      <alignment vertical="center"/>
    </xf>
    <xf numFmtId="173" fontId="0" fillId="0" borderId="0" xfId="0" applyNumberFormat="1" applyAlignment="1">
      <alignment horizontal="left"/>
    </xf>
    <xf numFmtId="0" fontId="62" fillId="0" borderId="0" xfId="2" applyNumberFormat="1" applyFill="1" applyBorder="1" applyAlignment="1" applyProtection="1">
      <alignment vertical="center"/>
    </xf>
    <xf numFmtId="0" fontId="62" fillId="0" borderId="0" xfId="2" applyNumberFormat="1" applyFill="1" applyBorder="1" applyAlignment="1" applyProtection="1"/>
    <xf numFmtId="0" fontId="69" fillId="0" borderId="0" xfId="0" applyFont="1" applyAlignment="1">
      <alignment vertical="center"/>
    </xf>
    <xf numFmtId="174" fontId="70" fillId="0" borderId="0" xfId="0" applyNumberFormat="1" applyFont="1" applyAlignment="1">
      <alignment horizontal="left"/>
    </xf>
    <xf numFmtId="0" fontId="70" fillId="0" borderId="0" xfId="0" applyFont="1" applyAlignment="1">
      <alignment vertical="center"/>
    </xf>
    <xf numFmtId="0" fontId="0" fillId="0" borderId="0" xfId="0" applyAlignment="1">
      <alignment horizontal="left" vertical="center"/>
    </xf>
    <xf numFmtId="0" fontId="54" fillId="0" borderId="0" xfId="0" applyFont="1" applyAlignment="1">
      <alignment vertical="center"/>
    </xf>
    <xf numFmtId="173" fontId="54" fillId="0" borderId="0" xfId="0" applyNumberFormat="1" applyFont="1" applyAlignment="1">
      <alignment wrapText="1"/>
    </xf>
    <xf numFmtId="0" fontId="76" fillId="0" borderId="0" xfId="0" applyFont="1" applyAlignment="1">
      <alignment wrapText="1"/>
    </xf>
    <xf numFmtId="173" fontId="54" fillId="0" borderId="0" xfId="0" applyNumberFormat="1" applyFont="1"/>
    <xf numFmtId="0" fontId="76" fillId="0" borderId="0" xfId="0" applyFont="1"/>
    <xf numFmtId="174" fontId="54" fillId="0" borderId="0" xfId="0" applyNumberFormat="1" applyFont="1"/>
    <xf numFmtId="4" fontId="76" fillId="0" borderId="0" xfId="0" applyNumberFormat="1" applyFont="1" applyAlignment="1">
      <alignment horizontal="right"/>
    </xf>
    <xf numFmtId="174" fontId="101" fillId="0" borderId="0" xfId="0" applyNumberFormat="1" applyFont="1"/>
    <xf numFmtId="174" fontId="101" fillId="0" borderId="0" xfId="5" applyNumberFormat="1" applyFont="1"/>
    <xf numFmtId="174" fontId="101" fillId="0" borderId="0" xfId="4" applyNumberFormat="1" applyFont="1"/>
    <xf numFmtId="14" fontId="101" fillId="0" borderId="0" xfId="4" applyNumberFormat="1" applyFont="1" applyAlignment="1">
      <alignment horizontal="right"/>
    </xf>
    <xf numFmtId="0" fontId="98" fillId="0" borderId="0" xfId="0" applyFont="1"/>
    <xf numFmtId="174" fontId="76" fillId="0" borderId="0" xfId="4" applyNumberFormat="1" applyFont="1"/>
    <xf numFmtId="174" fontId="76" fillId="0" borderId="0" xfId="0" applyNumberFormat="1" applyFont="1"/>
    <xf numFmtId="0" fontId="98" fillId="0" borderId="0" xfId="4" applyFont="1" applyAlignment="1">
      <alignment horizontal="left"/>
    </xf>
    <xf numFmtId="0" fontId="98" fillId="0" borderId="0" xfId="4" applyFont="1" applyAlignment="1">
      <alignment horizontal="center" vertical="center"/>
    </xf>
    <xf numFmtId="0" fontId="66" fillId="0" borderId="0" xfId="4" applyFont="1" applyAlignment="1">
      <alignment horizontal="center" vertical="center"/>
    </xf>
    <xf numFmtId="0" fontId="69" fillId="0" borderId="0" xfId="4" applyFont="1" applyAlignment="1">
      <alignment horizontal="left"/>
    </xf>
    <xf numFmtId="0" fontId="69" fillId="0" borderId="0" xfId="4" applyFont="1" applyAlignment="1">
      <alignment horizontal="center" vertical="center"/>
    </xf>
    <xf numFmtId="174" fontId="54" fillId="0" borderId="0" xfId="4" applyNumberFormat="1" applyFont="1" applyAlignment="1">
      <alignment horizontal="left"/>
    </xf>
    <xf numFmtId="0" fontId="54" fillId="0" borderId="0" xfId="4" applyFont="1" applyAlignment="1">
      <alignment horizontal="center" vertical="center"/>
    </xf>
    <xf numFmtId="174" fontId="98" fillId="0" borderId="0" xfId="4" applyNumberFormat="1" applyFont="1" applyAlignment="1">
      <alignment horizontal="left" vertical="center"/>
    </xf>
    <xf numFmtId="0" fontId="54" fillId="0" borderId="0" xfId="4" applyFont="1" applyAlignment="1">
      <alignment horizontal="right" wrapText="1"/>
    </xf>
    <xf numFmtId="174" fontId="101" fillId="0" borderId="0" xfId="4" applyNumberFormat="1" applyFont="1" applyAlignment="1">
      <alignment wrapText="1"/>
    </xf>
    <xf numFmtId="4" fontId="101" fillId="0" borderId="0" xfId="4" applyNumberFormat="1" applyFont="1" applyAlignment="1">
      <alignment horizontal="center" vertical="center"/>
    </xf>
    <xf numFmtId="0" fontId="101" fillId="0" borderId="0" xfId="0" applyFont="1"/>
    <xf numFmtId="0" fontId="0" fillId="0" borderId="0" xfId="0" applyAlignment="1">
      <alignment horizontal="center" vertical="center"/>
    </xf>
    <xf numFmtId="1" fontId="63" fillId="0" borderId="0" xfId="0" applyNumberFormat="1" applyFont="1" applyAlignment="1">
      <alignment horizontal="center"/>
    </xf>
    <xf numFmtId="1" fontId="72" fillId="0" borderId="0" xfId="0" applyNumberFormat="1" applyFont="1" applyAlignment="1">
      <alignment horizontal="center"/>
    </xf>
    <xf numFmtId="170" fontId="63" fillId="0" borderId="0" xfId="0" applyNumberFormat="1" applyFont="1"/>
    <xf numFmtId="170" fontId="77" fillId="0" borderId="0" xfId="0" applyNumberFormat="1" applyFont="1"/>
    <xf numFmtId="0" fontId="77" fillId="0" borderId="0" xfId="0" applyFont="1"/>
    <xf numFmtId="0" fontId="63" fillId="0" borderId="0" xfId="0" applyFont="1"/>
    <xf numFmtId="171" fontId="58" fillId="0" borderId="0" xfId="0" applyNumberFormat="1" applyFont="1"/>
    <xf numFmtId="170" fontId="59" fillId="0" borderId="0" xfId="0" applyNumberFormat="1" applyFont="1"/>
    <xf numFmtId="170" fontId="60" fillId="0" borderId="0" xfId="0" applyNumberFormat="1" applyFont="1"/>
    <xf numFmtId="1" fontId="104" fillId="0" borderId="0" xfId="0" applyNumberFormat="1" applyFont="1" applyAlignment="1">
      <alignment horizontal="center" vertical="center"/>
    </xf>
    <xf numFmtId="0" fontId="104"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75" fillId="0" borderId="0" xfId="3" applyNumberFormat="1" applyFill="1" applyBorder="1" applyAlignment="1">
      <alignment horizontal="center"/>
    </xf>
    <xf numFmtId="167" fontId="0" fillId="0" borderId="0" xfId="0" applyNumberFormat="1" applyAlignment="1">
      <alignment horizontal="center"/>
    </xf>
    <xf numFmtId="0" fontId="101"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76"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32" fillId="0" borderId="2" xfId="0" applyNumberFormat="1" applyFont="1" applyBorder="1" applyAlignment="1">
      <alignment horizontal="center" vertical="center"/>
    </xf>
    <xf numFmtId="169" fontId="132" fillId="0" borderId="3" xfId="0" applyNumberFormat="1" applyFont="1" applyBorder="1" applyAlignment="1">
      <alignment horizontal="center" vertical="center"/>
    </xf>
    <xf numFmtId="0" fontId="0" fillId="9" borderId="4" xfId="0" applyFill="1" applyBorder="1" applyAlignment="1">
      <alignment horizontal="right"/>
    </xf>
    <xf numFmtId="0" fontId="99" fillId="9" borderId="2" xfId="0" applyFont="1" applyFill="1" applyBorder="1" applyAlignment="1">
      <alignment horizontal="center"/>
    </xf>
    <xf numFmtId="0" fontId="99"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36" fillId="0" borderId="4" xfId="0" applyFont="1" applyBorder="1" applyAlignment="1">
      <alignment horizontal="center"/>
    </xf>
    <xf numFmtId="169" fontId="136" fillId="0" borderId="2" xfId="0" applyNumberFormat="1" applyFont="1" applyBorder="1" applyAlignment="1">
      <alignment horizontal="center"/>
    </xf>
    <xf numFmtId="169" fontId="136" fillId="0" borderId="3" xfId="0" applyNumberFormat="1" applyFont="1" applyBorder="1" applyAlignment="1">
      <alignment horizontal="center"/>
    </xf>
    <xf numFmtId="169" fontId="136"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104" fillId="0" borderId="2" xfId="0" applyNumberFormat="1" applyFont="1" applyBorder="1" applyAlignment="1">
      <alignment horizontal="center" vertical="center"/>
    </xf>
    <xf numFmtId="178" fontId="104" fillId="13" borderId="2" xfId="0" applyNumberFormat="1" applyFont="1" applyFill="1" applyBorder="1" applyAlignment="1">
      <alignment horizontal="center" vertical="center"/>
    </xf>
    <xf numFmtId="178" fontId="104" fillId="13" borderId="96" xfId="0" applyNumberFormat="1" applyFont="1" applyFill="1" applyBorder="1" applyAlignment="1">
      <alignment horizontal="center" vertical="center"/>
    </xf>
    <xf numFmtId="0" fontId="136" fillId="14" borderId="4" xfId="0" applyFont="1" applyFill="1" applyBorder="1" applyAlignment="1">
      <alignment horizontal="center"/>
    </xf>
    <xf numFmtId="2" fontId="136" fillId="14" borderId="3" xfId="0" applyNumberFormat="1" applyFont="1" applyFill="1" applyBorder="1" applyAlignment="1">
      <alignment horizontal="center"/>
    </xf>
    <xf numFmtId="169" fontId="136"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104" fillId="15" borderId="2" xfId="0" applyNumberFormat="1" applyFont="1" applyFill="1" applyBorder="1" applyAlignment="1">
      <alignment horizontal="center" vertical="center"/>
    </xf>
    <xf numFmtId="2" fontId="136"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9" fillId="9" borderId="5" xfId="0" applyFont="1" applyFill="1" applyBorder="1" applyAlignment="1">
      <alignment horizontal="right"/>
    </xf>
    <xf numFmtId="0" fontId="0" fillId="9" borderId="4" xfId="0" applyFill="1" applyBorder="1"/>
    <xf numFmtId="178" fontId="104" fillId="6" borderId="2" xfId="0" applyNumberFormat="1" applyFont="1" applyFill="1" applyBorder="1" applyAlignment="1">
      <alignment horizontal="center" vertical="center"/>
    </xf>
    <xf numFmtId="0" fontId="0" fillId="4" borderId="97" xfId="0" applyFill="1" applyBorder="1" applyAlignment="1">
      <alignment horizontal="center"/>
    </xf>
    <xf numFmtId="178" fontId="104" fillId="15" borderId="97" xfId="0" applyNumberFormat="1" applyFont="1" applyFill="1" applyBorder="1" applyAlignment="1">
      <alignment horizontal="center" vertical="center"/>
    </xf>
    <xf numFmtId="178" fontId="104" fillId="0" borderId="98" xfId="0" applyNumberFormat="1" applyFont="1" applyBorder="1" applyAlignment="1">
      <alignment horizontal="center" vertical="center"/>
    </xf>
    <xf numFmtId="0" fontId="104" fillId="6" borderId="41" xfId="0" applyFont="1" applyFill="1" applyBorder="1" applyAlignment="1">
      <alignment horizontal="center" vertical="center"/>
    </xf>
    <xf numFmtId="0" fontId="136" fillId="14" borderId="5" xfId="0" applyFont="1" applyFill="1" applyBorder="1" applyAlignment="1">
      <alignment horizontal="center"/>
    </xf>
    <xf numFmtId="2" fontId="136" fillId="14" borderId="7" xfId="0" applyNumberFormat="1" applyFont="1" applyFill="1" applyBorder="1" applyAlignment="1">
      <alignment horizontal="center"/>
    </xf>
    <xf numFmtId="187" fontId="136" fillId="0" borderId="8" xfId="0" applyNumberFormat="1" applyFont="1" applyBorder="1" applyAlignment="1">
      <alignment horizontal="center"/>
    </xf>
    <xf numFmtId="169" fontId="104" fillId="0" borderId="0" xfId="0" applyNumberFormat="1" applyFont="1"/>
    <xf numFmtId="9" fontId="136" fillId="0" borderId="8" xfId="3" applyFont="1" applyBorder="1" applyAlignment="1">
      <alignment horizontal="center"/>
    </xf>
    <xf numFmtId="6" fontId="0" fillId="0" borderId="0" xfId="0" applyNumberFormat="1"/>
    <xf numFmtId="183" fontId="0" fillId="0" borderId="0" xfId="0" applyNumberFormat="1"/>
    <xf numFmtId="8" fontId="0" fillId="4" borderId="99" xfId="0" applyNumberFormat="1" applyFill="1" applyBorder="1" applyAlignment="1">
      <alignment horizontal="center" vertical="center" wrapText="1"/>
    </xf>
    <xf numFmtId="8" fontId="104"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74" fillId="4" borderId="3" xfId="0" applyFont="1" applyFill="1" applyBorder="1" applyAlignment="1">
      <alignment horizontal="center" vertical="center"/>
    </xf>
    <xf numFmtId="181" fontId="74" fillId="4" borderId="3" xfId="0" applyNumberFormat="1" applyFont="1" applyFill="1" applyBorder="1" applyAlignment="1">
      <alignment horizontal="center" vertical="center"/>
    </xf>
    <xf numFmtId="2" fontId="74" fillId="4" borderId="3" xfId="0" applyNumberFormat="1" applyFont="1" applyFill="1" applyBorder="1" applyAlignment="1">
      <alignment horizontal="center" vertical="center"/>
    </xf>
    <xf numFmtId="0" fontId="120"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9" fillId="4" borderId="21" xfId="0" applyFont="1" applyFill="1" applyBorder="1" applyAlignment="1" applyProtection="1">
      <alignment horizontal="center" vertical="center"/>
      <protection hidden="1"/>
    </xf>
    <xf numFmtId="0" fontId="99"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9"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9"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9" fillId="9" borderId="106" xfId="0" applyFont="1" applyFill="1" applyBorder="1" applyProtection="1">
      <protection hidden="1"/>
    </xf>
    <xf numFmtId="0" fontId="121" fillId="0" borderId="0" xfId="0" applyFont="1" applyAlignment="1" applyProtection="1">
      <alignment vertical="center"/>
      <protection hidden="1"/>
    </xf>
    <xf numFmtId="0" fontId="99" fillId="4" borderId="3" xfId="0" applyFont="1" applyFill="1" applyBorder="1" applyAlignment="1" applyProtection="1">
      <alignment horizontal="center" vertical="center" wrapText="1"/>
      <protection hidden="1"/>
    </xf>
    <xf numFmtId="0" fontId="99" fillId="4" borderId="4" xfId="0" applyFont="1" applyFill="1" applyBorder="1" applyAlignment="1" applyProtection="1">
      <alignment horizontal="center" vertical="center" wrapText="1"/>
      <protection hidden="1"/>
    </xf>
    <xf numFmtId="1" fontId="99"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104" fillId="0" borderId="0" xfId="0" applyNumberFormat="1" applyFont="1" applyAlignment="1">
      <alignment horizontal="center"/>
    </xf>
    <xf numFmtId="10" fontId="0" fillId="0" borderId="0" xfId="3" applyNumberFormat="1" applyFont="1" applyAlignment="1">
      <alignment horizontal="center"/>
    </xf>
    <xf numFmtId="0" fontId="60" fillId="0" borderId="0" xfId="0" applyFont="1" applyAlignment="1">
      <alignment vertical="center"/>
    </xf>
    <xf numFmtId="0" fontId="60" fillId="0" borderId="0" xfId="0" applyFont="1" applyAlignment="1">
      <alignment vertical="center" wrapText="1"/>
    </xf>
    <xf numFmtId="8" fontId="0" fillId="0" borderId="2" xfId="0" applyNumberFormat="1" applyBorder="1"/>
    <xf numFmtId="188" fontId="99"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9"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104" fillId="0" borderId="0" xfId="0" applyNumberFormat="1" applyFont="1" applyAlignment="1">
      <alignment horizontal="center" vertical="center" wrapText="1"/>
    </xf>
    <xf numFmtId="0" fontId="120" fillId="0" borderId="0" xfId="0" applyFont="1" applyAlignment="1" applyProtection="1">
      <alignment vertical="center" wrapText="1"/>
      <protection locked="0"/>
    </xf>
    <xf numFmtId="0" fontId="0" fillId="4" borderId="0" xfId="0" applyFill="1" applyProtection="1">
      <protection locked="0" hidden="1"/>
    </xf>
    <xf numFmtId="2" fontId="99"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9" fillId="0" borderId="2" xfId="0" applyNumberFormat="1" applyFont="1" applyBorder="1" applyAlignment="1">
      <alignment horizontal="center" vertical="center" wrapText="1"/>
    </xf>
    <xf numFmtId="0" fontId="48" fillId="0" borderId="0" xfId="0" applyFont="1" applyAlignment="1">
      <alignment horizontal="center"/>
    </xf>
    <xf numFmtId="0" fontId="48" fillId="0" borderId="0" xfId="0" applyFont="1"/>
    <xf numFmtId="178" fontId="48" fillId="0" borderId="0" xfId="0" applyNumberFormat="1" applyFont="1" applyAlignment="1">
      <alignment horizontal="center"/>
    </xf>
    <xf numFmtId="175" fontId="48" fillId="0" borderId="0" xfId="0" applyNumberFormat="1" applyFont="1" applyAlignment="1">
      <alignment horizontal="center"/>
    </xf>
    <xf numFmtId="0" fontId="48" fillId="0" borderId="19" xfId="0" applyFont="1" applyBorder="1" applyAlignment="1">
      <alignment horizontal="center" vertical="center" wrapText="1"/>
    </xf>
    <xf numFmtId="0" fontId="48" fillId="0" borderId="0" xfId="0" applyFont="1" applyAlignment="1">
      <alignment horizontal="center" vertical="center" wrapText="1"/>
    </xf>
    <xf numFmtId="9" fontId="48" fillId="0" borderId="0" xfId="0" applyNumberFormat="1" applyFont="1" applyAlignment="1">
      <alignment horizontal="center" vertical="center" wrapText="1"/>
    </xf>
    <xf numFmtId="9" fontId="48" fillId="0" borderId="15" xfId="0" applyNumberFormat="1" applyFont="1" applyBorder="1" applyAlignment="1">
      <alignment horizontal="center" vertical="center" wrapText="1"/>
    </xf>
    <xf numFmtId="0" fontId="48" fillId="0" borderId="16"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3" xfId="0" applyFont="1" applyBorder="1" applyAlignment="1">
      <alignment horizontal="center" vertical="center" wrapText="1"/>
    </xf>
    <xf numFmtId="178" fontId="48" fillId="0" borderId="12" xfId="0" applyNumberFormat="1" applyFont="1" applyBorder="1" applyAlignment="1">
      <alignment horizontal="center" vertical="center" wrapText="1"/>
    </xf>
    <xf numFmtId="178" fontId="48" fillId="0" borderId="11" xfId="0" applyNumberFormat="1" applyFont="1" applyBorder="1" applyAlignment="1">
      <alignment horizontal="center" vertical="center" wrapText="1"/>
    </xf>
    <xf numFmtId="0" fontId="48" fillId="0" borderId="43" xfId="0" applyFont="1" applyBorder="1" applyAlignment="1">
      <alignment horizontal="center"/>
    </xf>
    <xf numFmtId="4" fontId="48" fillId="0" borderId="23" xfId="0" applyNumberFormat="1" applyFont="1" applyBorder="1"/>
    <xf numFmtId="172" fontId="48" fillId="0" borderId="43" xfId="0" applyNumberFormat="1" applyFont="1" applyBorder="1" applyAlignment="1">
      <alignment horizontal="center"/>
    </xf>
    <xf numFmtId="180" fontId="48" fillId="0" borderId="23" xfId="0" applyNumberFormat="1" applyFont="1" applyBorder="1" applyAlignment="1">
      <alignment horizontal="center"/>
    </xf>
    <xf numFmtId="180" fontId="48" fillId="0" borderId="44" xfId="0" applyNumberFormat="1" applyFont="1" applyBorder="1" applyAlignment="1">
      <alignment horizontal="center"/>
    </xf>
    <xf numFmtId="4" fontId="48" fillId="0" borderId="0" xfId="0" applyNumberFormat="1" applyFont="1"/>
    <xf numFmtId="10" fontId="48" fillId="0" borderId="44" xfId="3" applyNumberFormat="1" applyFont="1" applyBorder="1" applyAlignment="1">
      <alignment horizontal="center"/>
    </xf>
    <xf numFmtId="175" fontId="48" fillId="0" borderId="23" xfId="0" applyNumberFormat="1" applyFont="1" applyBorder="1" applyAlignment="1">
      <alignment horizontal="center"/>
    </xf>
    <xf numFmtId="8" fontId="48" fillId="0" borderId="23" xfId="0" applyNumberFormat="1" applyFont="1" applyBorder="1" applyAlignment="1">
      <alignment horizontal="center"/>
    </xf>
    <xf numFmtId="8" fontId="48" fillId="0" borderId="44" xfId="0" applyNumberFormat="1" applyFont="1" applyBorder="1" applyAlignment="1">
      <alignment horizontal="center"/>
    </xf>
    <xf numFmtId="0" fontId="48" fillId="9" borderId="19" xfId="0" applyFont="1" applyFill="1" applyBorder="1" applyAlignment="1">
      <alignment horizontal="center"/>
    </xf>
    <xf numFmtId="4" fontId="48" fillId="9" borderId="0" xfId="0" applyNumberFormat="1" applyFont="1" applyFill="1"/>
    <xf numFmtId="172" fontId="48" fillId="9" borderId="19" xfId="0" applyNumberFormat="1" applyFont="1" applyFill="1" applyBorder="1" applyAlignment="1">
      <alignment horizontal="center"/>
    </xf>
    <xf numFmtId="180" fontId="48" fillId="9" borderId="0" xfId="0" applyNumberFormat="1" applyFont="1" applyFill="1" applyAlignment="1">
      <alignment horizontal="center"/>
    </xf>
    <xf numFmtId="180" fontId="48" fillId="9" borderId="15" xfId="0" applyNumberFormat="1" applyFont="1" applyFill="1" applyBorder="1" applyAlignment="1">
      <alignment horizontal="center"/>
    </xf>
    <xf numFmtId="0" fontId="48" fillId="9" borderId="0" xfId="0" applyFont="1" applyFill="1" applyAlignment="1">
      <alignment horizontal="center"/>
    </xf>
    <xf numFmtId="10" fontId="48" fillId="9" borderId="15" xfId="3" applyNumberFormat="1" applyFont="1" applyFill="1" applyBorder="1" applyAlignment="1">
      <alignment horizontal="center"/>
    </xf>
    <xf numFmtId="8" fontId="48" fillId="9" borderId="15" xfId="0" applyNumberFormat="1" applyFont="1" applyFill="1" applyBorder="1" applyAlignment="1">
      <alignment horizontal="center"/>
    </xf>
    <xf numFmtId="0" fontId="48" fillId="0" borderId="19" xfId="0" applyFont="1" applyBorder="1" applyAlignment="1">
      <alignment horizontal="center"/>
    </xf>
    <xf numFmtId="172" fontId="48" fillId="0" borderId="19" xfId="0" applyNumberFormat="1" applyFont="1" applyBorder="1" applyAlignment="1">
      <alignment horizontal="center"/>
    </xf>
    <xf numFmtId="180" fontId="48" fillId="0" borderId="0" xfId="0" applyNumberFormat="1" applyFont="1" applyAlignment="1">
      <alignment horizontal="center"/>
    </xf>
    <xf numFmtId="180" fontId="48" fillId="0" borderId="15" xfId="0" applyNumberFormat="1" applyFont="1" applyBorder="1" applyAlignment="1">
      <alignment horizontal="center"/>
    </xf>
    <xf numFmtId="10" fontId="48" fillId="0" borderId="15" xfId="3" applyNumberFormat="1" applyFont="1" applyBorder="1" applyAlignment="1">
      <alignment horizontal="center"/>
    </xf>
    <xf numFmtId="8" fontId="48" fillId="0" borderId="15" xfId="0" applyNumberFormat="1" applyFont="1" applyBorder="1" applyAlignment="1">
      <alignment horizontal="center"/>
    </xf>
    <xf numFmtId="0" fontId="114" fillId="0" borderId="21" xfId="0" applyFont="1" applyBorder="1" applyAlignment="1">
      <alignment horizontal="center" wrapText="1"/>
    </xf>
    <xf numFmtId="175" fontId="48" fillId="9" borderId="0" xfId="0" applyNumberFormat="1" applyFont="1" applyFill="1" applyAlignment="1">
      <alignment horizontal="center"/>
    </xf>
    <xf numFmtId="8" fontId="48" fillId="9" borderId="0" xfId="0" applyNumberFormat="1" applyFont="1" applyFill="1" applyAlignment="1">
      <alignment horizontal="center"/>
    </xf>
    <xf numFmtId="8" fontId="48" fillId="0" borderId="0" xfId="0" applyNumberFormat="1" applyFont="1" applyAlignment="1">
      <alignment horizontal="center"/>
    </xf>
    <xf numFmtId="167" fontId="48" fillId="0" borderId="23" xfId="0" applyNumberFormat="1" applyFont="1" applyBorder="1" applyAlignment="1">
      <alignment horizontal="center"/>
    </xf>
    <xf numFmtId="167" fontId="48" fillId="9" borderId="0" xfId="0" applyNumberFormat="1" applyFont="1" applyFill="1" applyAlignment="1">
      <alignment horizontal="center"/>
    </xf>
    <xf numFmtId="167" fontId="48"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111" fillId="0" borderId="0" xfId="0" applyFont="1"/>
    <xf numFmtId="0" fontId="111" fillId="0" borderId="0" xfId="0" applyFont="1" applyAlignment="1">
      <alignment horizontal="center" vertical="center"/>
    </xf>
    <xf numFmtId="0" fontId="0" fillId="4" borderId="2" xfId="0" applyFill="1" applyBorder="1"/>
    <xf numFmtId="8" fontId="99" fillId="0" borderId="2" xfId="0" applyNumberFormat="1" applyFont="1" applyBorder="1" applyAlignment="1" applyProtection="1">
      <alignment horizontal="center" vertical="center"/>
      <protection locked="0"/>
    </xf>
    <xf numFmtId="0" fontId="104" fillId="4" borderId="0" xfId="0" applyFont="1" applyFill="1" applyAlignment="1">
      <alignment vertical="center"/>
    </xf>
    <xf numFmtId="0" fontId="103"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103" fillId="0" borderId="0" xfId="0" quotePrefix="1" applyFont="1" applyProtection="1">
      <protection hidden="1"/>
    </xf>
    <xf numFmtId="6" fontId="109"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11" fillId="4" borderId="4" xfId="0" applyFont="1" applyFill="1" applyBorder="1" applyAlignment="1" applyProtection="1">
      <alignment horizontal="center" vertical="center" wrapText="1"/>
      <protection hidden="1"/>
    </xf>
    <xf numFmtId="0" fontId="111" fillId="4" borderId="3" xfId="0" applyFont="1" applyFill="1" applyBorder="1" applyAlignment="1" applyProtection="1">
      <alignment horizontal="center" vertical="center" wrapText="1"/>
      <protection hidden="1"/>
    </xf>
    <xf numFmtId="0" fontId="99"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9" fillId="0" borderId="100" xfId="0" applyNumberFormat="1" applyFont="1" applyBorder="1" applyAlignment="1" applyProtection="1">
      <alignment horizontal="center" vertical="center" wrapText="1"/>
      <protection locked="0"/>
    </xf>
    <xf numFmtId="2" fontId="99" fillId="0" borderId="100" xfId="0" applyNumberFormat="1" applyFont="1" applyBorder="1" applyAlignment="1" applyProtection="1">
      <alignment horizontal="center" vertical="center" wrapText="1"/>
      <protection locked="0"/>
    </xf>
    <xf numFmtId="10" fontId="99"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8" fillId="0" borderId="0" xfId="0" applyFont="1" applyAlignment="1">
      <alignment horizontal="center" vertical="center" wrapText="1"/>
    </xf>
    <xf numFmtId="0" fontId="88" fillId="0" borderId="0" xfId="0" applyFont="1" applyAlignment="1">
      <alignment horizontal="left" vertical="center"/>
    </xf>
    <xf numFmtId="0" fontId="88" fillId="0" borderId="0" xfId="0" applyFont="1" applyAlignment="1">
      <alignment horizontal="left" vertical="center" wrapText="1"/>
    </xf>
    <xf numFmtId="0" fontId="101" fillId="4" borderId="0" xfId="0" applyFont="1" applyFill="1"/>
    <xf numFmtId="2" fontId="101" fillId="4" borderId="2" xfId="0" applyNumberFormat="1" applyFont="1" applyFill="1" applyBorder="1" applyAlignment="1">
      <alignment horizontal="center" vertical="center"/>
    </xf>
    <xf numFmtId="14" fontId="101" fillId="0" borderId="2" xfId="0" applyNumberFormat="1" applyFont="1" applyBorder="1" applyAlignment="1" applyProtection="1">
      <alignment horizontal="center" vertical="center"/>
      <protection locked="0"/>
    </xf>
    <xf numFmtId="14" fontId="101" fillId="0" borderId="2" xfId="0" applyNumberFormat="1" applyFont="1" applyBorder="1" applyAlignment="1">
      <alignment horizontal="center"/>
    </xf>
    <xf numFmtId="0" fontId="104" fillId="0" borderId="0" xfId="0" applyFont="1" applyAlignment="1">
      <alignment vertical="center"/>
    </xf>
    <xf numFmtId="0" fontId="151"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9"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9" fillId="4" borderId="116" xfId="0" applyNumberFormat="1" applyFont="1" applyFill="1" applyBorder="1" applyAlignment="1">
      <alignment horizontal="center" vertical="center" wrapText="1"/>
    </xf>
    <xf numFmtId="6" fontId="99" fillId="4" borderId="14" xfId="0" applyNumberFormat="1" applyFont="1" applyFill="1" applyBorder="1" applyAlignment="1">
      <alignment horizontal="center" vertical="center" wrapText="1"/>
    </xf>
    <xf numFmtId="0" fontId="99"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104" fillId="0" borderId="0" xfId="0" applyFont="1"/>
    <xf numFmtId="0" fontId="104" fillId="0" borderId="0" xfId="0" applyFont="1" applyAlignment="1">
      <alignment horizontal="center"/>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8"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103" fillId="0" borderId="2" xfId="0" applyFont="1" applyBorder="1" applyAlignment="1">
      <alignment horizontal="center" vertical="center" wrapText="1"/>
    </xf>
    <xf numFmtId="8" fontId="104"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9" fillId="4" borderId="1" xfId="0" applyNumberFormat="1" applyFont="1" applyFill="1" applyBorder="1" applyAlignment="1">
      <alignment horizontal="center" vertical="center" wrapText="1"/>
    </xf>
    <xf numFmtId="9" fontId="98"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9"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9"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9" fillId="4" borderId="122" xfId="0" applyNumberFormat="1" applyFont="1" applyFill="1" applyBorder="1" applyAlignment="1">
      <alignment horizontal="center" vertical="center" wrapText="1"/>
    </xf>
    <xf numFmtId="0" fontId="106" fillId="4" borderId="28" xfId="0" applyFont="1" applyFill="1" applyBorder="1" applyAlignment="1">
      <alignment vertical="center" wrapText="1"/>
    </xf>
    <xf numFmtId="0" fontId="106" fillId="4" borderId="123" xfId="0" applyFont="1" applyFill="1" applyBorder="1" applyAlignment="1">
      <alignment vertical="center" wrapText="1"/>
    </xf>
    <xf numFmtId="6" fontId="99" fillId="4" borderId="104" xfId="0" applyNumberFormat="1" applyFont="1" applyFill="1" applyBorder="1" applyAlignment="1">
      <alignment horizontal="center" vertical="center" wrapText="1"/>
    </xf>
    <xf numFmtId="9" fontId="98" fillId="4" borderId="120" xfId="3" applyFont="1" applyFill="1" applyBorder="1" applyAlignment="1">
      <alignment horizontal="center" vertical="center" wrapText="1"/>
    </xf>
    <xf numFmtId="9" fontId="98" fillId="0" borderId="100" xfId="3" applyFont="1" applyBorder="1" applyAlignment="1" applyProtection="1">
      <alignment horizontal="center" vertical="center" wrapText="1"/>
      <protection locked="0"/>
    </xf>
    <xf numFmtId="9" fontId="98" fillId="4" borderId="100" xfId="3" applyFont="1" applyFill="1" applyBorder="1" applyAlignment="1" applyProtection="1">
      <alignment horizontal="center" vertical="center" wrapText="1"/>
      <protection hidden="1"/>
    </xf>
    <xf numFmtId="10" fontId="98"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103"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104" fillId="0" borderId="0" xfId="0" applyFont="1" applyAlignment="1">
      <alignment horizontal="left"/>
    </xf>
    <xf numFmtId="178" fontId="0" fillId="0" borderId="0" xfId="0" applyNumberFormat="1"/>
    <xf numFmtId="182" fontId="0" fillId="0" borderId="0" xfId="0" applyNumberFormat="1"/>
    <xf numFmtId="182" fontId="104" fillId="0" borderId="0" xfId="0" applyNumberFormat="1" applyFont="1" applyAlignment="1">
      <alignment horizontal="left"/>
    </xf>
    <xf numFmtId="0" fontId="104" fillId="4" borderId="0" xfId="0" applyFont="1" applyFill="1" applyAlignment="1">
      <alignment horizontal="left"/>
    </xf>
    <xf numFmtId="0" fontId="99" fillId="4" borderId="2" xfId="0" applyFont="1" applyFill="1" applyBorder="1" applyAlignment="1" applyProtection="1">
      <alignment horizontal="center" vertical="center" wrapText="1"/>
      <protection hidden="1"/>
    </xf>
    <xf numFmtId="0" fontId="99"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8" fillId="0" borderId="4" xfId="0" applyFont="1" applyBorder="1" applyAlignment="1">
      <alignment horizontal="center" vertical="center" wrapText="1"/>
    </xf>
    <xf numFmtId="14" fontId="137" fillId="0" borderId="4" xfId="0" applyNumberFormat="1" applyFont="1" applyBorder="1" applyAlignment="1">
      <alignment horizontal="center" vertical="center" wrapText="1"/>
    </xf>
    <xf numFmtId="14" fontId="137"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101" fillId="4" borderId="2" xfId="0" applyNumberFormat="1" applyFont="1" applyFill="1" applyBorder="1" applyAlignment="1" applyProtection="1">
      <alignment horizontal="center" vertical="center"/>
      <protection hidden="1"/>
    </xf>
    <xf numFmtId="182" fontId="101" fillId="4" borderId="2" xfId="0" applyNumberFormat="1" applyFont="1" applyFill="1" applyBorder="1" applyAlignment="1" applyProtection="1">
      <alignment horizontal="center" vertical="center"/>
      <protection hidden="1"/>
    </xf>
    <xf numFmtId="8" fontId="101" fillId="4" borderId="2" xfId="0" applyNumberFormat="1" applyFont="1" applyFill="1" applyBorder="1" applyAlignment="1" applyProtection="1">
      <alignment horizontal="center" vertical="center"/>
      <protection hidden="1"/>
    </xf>
    <xf numFmtId="182" fontId="101" fillId="4" borderId="3" xfId="0" applyNumberFormat="1" applyFont="1" applyFill="1" applyBorder="1" applyAlignment="1" applyProtection="1">
      <alignment horizontal="center" vertical="center"/>
      <protection hidden="1"/>
    </xf>
    <xf numFmtId="8" fontId="105" fillId="9" borderId="6" xfId="0" applyNumberFormat="1" applyFont="1" applyFill="1" applyBorder="1" applyAlignment="1" applyProtection="1">
      <alignment horizontal="center" vertical="center"/>
      <protection hidden="1"/>
    </xf>
    <xf numFmtId="8" fontId="105" fillId="9" borderId="7" xfId="0" applyNumberFormat="1" applyFont="1" applyFill="1" applyBorder="1" applyAlignment="1" applyProtection="1">
      <alignment horizontal="center" vertical="center"/>
      <protection hidden="1"/>
    </xf>
    <xf numFmtId="0" fontId="104" fillId="4" borderId="2" xfId="0" applyFont="1" applyFill="1" applyBorder="1" applyAlignment="1" applyProtection="1">
      <alignment horizontal="right" vertical="center"/>
      <protection hidden="1"/>
    </xf>
    <xf numFmtId="10" fontId="104"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8" fillId="0" borderId="101" xfId="0" quotePrefix="1" applyNumberFormat="1" applyFont="1" applyBorder="1" applyAlignment="1" applyProtection="1">
      <alignment horizontal="center" vertical="center" wrapText="1"/>
      <protection locked="0"/>
    </xf>
    <xf numFmtId="167" fontId="124"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104" fillId="4" borderId="0" xfId="0" applyFont="1" applyFill="1" applyAlignment="1" applyProtection="1">
      <alignment vertical="center"/>
      <protection hidden="1"/>
    </xf>
    <xf numFmtId="0" fontId="98" fillId="8" borderId="0" xfId="4" applyFont="1" applyFill="1" applyAlignment="1">
      <alignment horizontal="center" vertical="center"/>
    </xf>
    <xf numFmtId="0" fontId="66" fillId="8" borderId="0" xfId="4" applyFont="1" applyFill="1" applyAlignment="1">
      <alignment horizontal="center" vertical="center"/>
    </xf>
    <xf numFmtId="0" fontId="54" fillId="8" borderId="0" xfId="4" applyFont="1" applyFill="1" applyAlignment="1">
      <alignment horizontal="center" vertical="center"/>
    </xf>
    <xf numFmtId="4" fontId="101" fillId="8" borderId="0" xfId="4" applyNumberFormat="1" applyFont="1" applyFill="1" applyAlignment="1">
      <alignment horizontal="center" vertical="center"/>
    </xf>
    <xf numFmtId="0" fontId="151"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15"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8" fillId="9" borderId="2" xfId="3" applyNumberFormat="1" applyFont="1" applyFill="1" applyBorder="1" applyAlignment="1" applyProtection="1">
      <alignment vertical="center" wrapText="1"/>
      <protection hidden="1"/>
    </xf>
    <xf numFmtId="188" fontId="105"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105"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106" fillId="0" borderId="0" xfId="0" applyFont="1"/>
    <xf numFmtId="8" fontId="0" fillId="0" borderId="0" xfId="0" applyNumberFormat="1" applyProtection="1">
      <protection hidden="1"/>
    </xf>
    <xf numFmtId="0" fontId="127" fillId="4" borderId="0" xfId="0" applyFont="1" applyFill="1" applyAlignment="1">
      <alignment horizontal="center" vertical="center" wrapText="1"/>
    </xf>
    <xf numFmtId="0" fontId="62" fillId="4" borderId="0" xfId="2" applyNumberFormat="1" applyFill="1" applyBorder="1" applyAlignment="1" applyProtection="1">
      <alignment horizontal="center" vertical="center" wrapText="1"/>
      <protection hidden="1"/>
    </xf>
    <xf numFmtId="8" fontId="99" fillId="0" borderId="0" xfId="0" applyNumberFormat="1" applyFont="1" applyAlignment="1">
      <alignment horizontal="center" vertical="center" wrapText="1"/>
    </xf>
    <xf numFmtId="0" fontId="106"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9"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8" fillId="4" borderId="0" xfId="3" applyFont="1" applyFill="1" applyBorder="1" applyAlignment="1">
      <alignment horizontal="center" vertical="center" wrapText="1"/>
    </xf>
    <xf numFmtId="188" fontId="105"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101" fillId="0" borderId="0" xfId="0" applyNumberFormat="1" applyFont="1"/>
    <xf numFmtId="2" fontId="99" fillId="0" borderId="2" xfId="0" applyNumberFormat="1" applyFont="1" applyBorder="1" applyAlignment="1" applyProtection="1">
      <alignment horizontal="center" vertical="center" wrapText="1"/>
      <protection locked="0" hidden="1"/>
    </xf>
    <xf numFmtId="8" fontId="99" fillId="0" borderId="2" xfId="0" applyNumberFormat="1" applyFont="1" applyBorder="1" applyAlignment="1" applyProtection="1">
      <alignment horizontal="center" vertical="center" wrapText="1"/>
      <protection locked="0"/>
    </xf>
    <xf numFmtId="10" fontId="99" fillId="0" borderId="2" xfId="3" applyNumberFormat="1" applyFont="1" applyBorder="1" applyAlignment="1" applyProtection="1">
      <alignment horizontal="center" vertical="center" wrapText="1"/>
      <protection locked="0"/>
    </xf>
    <xf numFmtId="9" fontId="98"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8"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9" fillId="0" borderId="130" xfId="0" applyNumberFormat="1" applyFont="1" applyBorder="1" applyAlignment="1" applyProtection="1">
      <alignment horizontal="center" vertical="center" wrapText="1"/>
      <protection locked="0" hidden="1"/>
    </xf>
    <xf numFmtId="8" fontId="99" fillId="0" borderId="130" xfId="0" applyNumberFormat="1" applyFont="1" applyBorder="1" applyAlignment="1" applyProtection="1">
      <alignment horizontal="center" vertical="center" wrapText="1"/>
      <protection locked="0"/>
    </xf>
    <xf numFmtId="10" fontId="99"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8"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9" fillId="4" borderId="2" xfId="0" applyNumberFormat="1" applyFont="1" applyFill="1" applyBorder="1" applyAlignment="1">
      <alignment horizontal="center" vertical="center"/>
    </xf>
    <xf numFmtId="6" fontId="99"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27" fillId="4" borderId="2" xfId="0" applyNumberFormat="1" applyFont="1" applyFill="1" applyBorder="1" applyAlignment="1">
      <alignment horizontal="center" vertical="center"/>
    </xf>
    <xf numFmtId="6" fontId="98" fillId="4" borderId="130" xfId="3" applyNumberFormat="1" applyFont="1" applyFill="1" applyBorder="1" applyAlignment="1">
      <alignment horizontal="center" vertical="center"/>
    </xf>
    <xf numFmtId="0" fontId="127" fillId="4" borderId="2" xfId="0" applyFont="1" applyFill="1" applyBorder="1" applyAlignment="1">
      <alignment horizontal="center" vertical="center"/>
    </xf>
    <xf numFmtId="0" fontId="127"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55" fillId="0" borderId="0" xfId="0" applyFont="1"/>
    <xf numFmtId="6" fontId="127" fillId="4" borderId="130" xfId="0" applyNumberFormat="1" applyFont="1" applyFill="1" applyBorder="1" applyAlignment="1">
      <alignment horizontal="center" vertical="center"/>
    </xf>
    <xf numFmtId="0" fontId="0" fillId="0" borderId="0" xfId="0" applyAlignment="1">
      <alignment textRotation="180"/>
    </xf>
    <xf numFmtId="0" fontId="99" fillId="0" borderId="2" xfId="0" applyFont="1" applyBorder="1"/>
    <xf numFmtId="8" fontId="99" fillId="0" borderId="2" xfId="0" applyNumberFormat="1" applyFont="1" applyBorder="1"/>
    <xf numFmtId="190" fontId="0" fillId="0" borderId="2" xfId="0" applyNumberFormat="1" applyBorder="1"/>
    <xf numFmtId="188" fontId="0" fillId="0" borderId="2" xfId="0" applyNumberFormat="1" applyBorder="1"/>
    <xf numFmtId="8" fontId="99" fillId="0" borderId="0" xfId="0" applyNumberFormat="1" applyFont="1"/>
    <xf numFmtId="6" fontId="104" fillId="4" borderId="101" xfId="0" applyNumberFormat="1" applyFont="1" applyFill="1" applyBorder="1" applyAlignment="1" applyProtection="1">
      <alignment vertical="center" wrapText="1"/>
      <protection hidden="1"/>
    </xf>
    <xf numFmtId="0" fontId="105" fillId="19" borderId="102" xfId="0" applyFont="1" applyFill="1" applyBorder="1" applyAlignment="1" applyProtection="1">
      <alignment horizontal="center" vertical="center" wrapText="1"/>
      <protection locked="0"/>
    </xf>
    <xf numFmtId="0" fontId="105"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9"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9"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8" fillId="0" borderId="9" xfId="3" applyFont="1" applyBorder="1" applyAlignment="1" applyProtection="1">
      <alignment horizontal="center" vertical="center" wrapText="1"/>
      <protection locked="0"/>
    </xf>
    <xf numFmtId="6" fontId="99"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9" fillId="0" borderId="0" xfId="0" applyFont="1" applyAlignment="1">
      <alignment horizontal="center"/>
    </xf>
    <xf numFmtId="9" fontId="0" fillId="0" borderId="9" xfId="3" applyFont="1" applyFill="1" applyBorder="1" applyAlignment="1" applyProtection="1">
      <alignment horizontal="center" vertical="center"/>
      <protection locked="0"/>
    </xf>
    <xf numFmtId="10" fontId="104" fillId="0" borderId="0" xfId="0" applyNumberFormat="1" applyFont="1"/>
    <xf numFmtId="176" fontId="104" fillId="0" borderId="0" xfId="0" applyNumberFormat="1" applyFont="1" applyAlignment="1">
      <alignment horizontal="center"/>
    </xf>
    <xf numFmtId="0" fontId="104" fillId="0" borderId="0" xfId="0" applyFont="1" applyAlignment="1">
      <alignment horizontal="center" vertical="center"/>
    </xf>
    <xf numFmtId="176" fontId="157" fillId="4" borderId="2" xfId="0" applyNumberFormat="1" applyFont="1" applyFill="1" applyBorder="1" applyAlignment="1">
      <alignment horizontal="center" vertical="center"/>
    </xf>
    <xf numFmtId="181" fontId="112" fillId="0" borderId="2" xfId="0" applyNumberFormat="1" applyFont="1" applyBorder="1" applyAlignment="1">
      <alignment horizontal="center" vertical="center"/>
    </xf>
    <xf numFmtId="181" fontId="112" fillId="4" borderId="2" xfId="0" applyNumberFormat="1" applyFont="1" applyFill="1" applyBorder="1" applyAlignment="1">
      <alignment horizontal="center" vertical="center"/>
    </xf>
    <xf numFmtId="0" fontId="157" fillId="4" borderId="4" xfId="0" applyFont="1" applyFill="1" applyBorder="1" applyAlignment="1">
      <alignment horizontal="center" vertical="center"/>
    </xf>
    <xf numFmtId="176" fontId="157" fillId="4" borderId="3" xfId="0" applyNumberFormat="1" applyFont="1" applyFill="1" applyBorder="1" applyAlignment="1">
      <alignment horizontal="center" vertical="center"/>
    </xf>
    <xf numFmtId="181" fontId="112" fillId="0" borderId="3" xfId="0" applyNumberFormat="1" applyFont="1" applyBorder="1" applyAlignment="1">
      <alignment horizontal="center" vertical="center"/>
    </xf>
    <xf numFmtId="181" fontId="112" fillId="4" borderId="3" xfId="0" applyNumberFormat="1" applyFont="1" applyFill="1" applyBorder="1" applyAlignment="1">
      <alignment horizontal="center" vertical="center"/>
    </xf>
    <xf numFmtId="0" fontId="157" fillId="4" borderId="5" xfId="0" applyFont="1" applyFill="1" applyBorder="1" applyAlignment="1">
      <alignment horizontal="center" vertical="center"/>
    </xf>
    <xf numFmtId="181" fontId="112" fillId="0" borderId="6" xfId="0" applyNumberFormat="1" applyFont="1" applyBorder="1" applyAlignment="1">
      <alignment horizontal="center" vertical="center"/>
    </xf>
    <xf numFmtId="181" fontId="112" fillId="0" borderId="7" xfId="0" applyNumberFormat="1" applyFont="1" applyBorder="1" applyAlignment="1">
      <alignment horizontal="center" vertical="center"/>
    </xf>
    <xf numFmtId="0" fontId="99" fillId="0" borderId="2" xfId="0" applyFont="1" applyBorder="1" applyAlignment="1">
      <alignment horizontal="center"/>
    </xf>
    <xf numFmtId="14" fontId="99" fillId="4" borderId="3" xfId="0" applyNumberFormat="1" applyFont="1" applyFill="1" applyBorder="1"/>
    <xf numFmtId="0" fontId="104" fillId="0" borderId="19" xfId="0" applyFont="1" applyBorder="1" applyAlignment="1">
      <alignment horizontal="center"/>
    </xf>
    <xf numFmtId="2" fontId="104" fillId="0" borderId="15" xfId="0" applyNumberFormat="1" applyFont="1" applyBorder="1" applyAlignment="1">
      <alignment horizontal="center"/>
    </xf>
    <xf numFmtId="0" fontId="104" fillId="0" borderId="16" xfId="0" applyFont="1" applyBorder="1" applyAlignment="1">
      <alignment horizontal="center"/>
    </xf>
    <xf numFmtId="8" fontId="104" fillId="0" borderId="39" xfId="0" applyNumberFormat="1" applyFont="1" applyBorder="1" applyAlignment="1">
      <alignment horizontal="center"/>
    </xf>
    <xf numFmtId="0" fontId="104" fillId="4" borderId="0" xfId="0" applyFont="1" applyFill="1"/>
    <xf numFmtId="0" fontId="104" fillId="4" borderId="0" xfId="0" applyFont="1" applyFill="1" applyAlignment="1">
      <alignment horizontal="center"/>
    </xf>
    <xf numFmtId="2" fontId="99" fillId="0" borderId="141" xfId="0" applyNumberFormat="1" applyFont="1" applyBorder="1" applyAlignment="1" applyProtection="1">
      <alignment horizontal="center" vertical="center" wrapText="1"/>
      <protection locked="0" hidden="1"/>
    </xf>
    <xf numFmtId="6" fontId="104"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104" fillId="4" borderId="21" xfId="0" applyFont="1" applyFill="1" applyBorder="1" applyAlignment="1" applyProtection="1">
      <alignment horizontal="center" vertical="center"/>
      <protection locked="0"/>
    </xf>
    <xf numFmtId="6" fontId="104" fillId="4" borderId="11" xfId="0" applyNumberFormat="1" applyFont="1" applyFill="1" applyBorder="1" applyAlignment="1" applyProtection="1">
      <alignment horizontal="center" vertical="center" wrapText="1"/>
      <protection hidden="1"/>
    </xf>
    <xf numFmtId="6" fontId="104" fillId="4" borderId="54" xfId="0" applyNumberFormat="1" applyFont="1" applyFill="1" applyBorder="1" applyAlignment="1" applyProtection="1">
      <alignment horizontal="center" vertical="center" wrapText="1"/>
      <protection hidden="1"/>
    </xf>
    <xf numFmtId="8" fontId="104"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9" fillId="4" borderId="2" xfId="0" applyFont="1" applyFill="1" applyBorder="1" applyAlignment="1" applyProtection="1">
      <alignment vertical="center"/>
      <protection hidden="1"/>
    </xf>
    <xf numFmtId="8" fontId="99" fillId="4" borderId="2" xfId="0" applyNumberFormat="1" applyFont="1" applyFill="1" applyBorder="1" applyAlignment="1" applyProtection="1">
      <alignment vertical="center"/>
      <protection hidden="1"/>
    </xf>
    <xf numFmtId="0" fontId="99" fillId="0" borderId="12" xfId="0" applyFont="1" applyBorder="1" applyAlignment="1">
      <alignment vertical="center"/>
    </xf>
    <xf numFmtId="8" fontId="99"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27" fillId="4" borderId="0" xfId="3" quotePrefix="1" applyFont="1" applyFill="1" applyBorder="1" applyAlignment="1" applyProtection="1">
      <alignment horizontal="center" vertical="center" wrapText="1"/>
      <protection hidden="1"/>
    </xf>
    <xf numFmtId="9" fontId="127" fillId="4" borderId="0" xfId="3" applyFont="1" applyFill="1" applyBorder="1" applyAlignment="1" applyProtection="1">
      <alignment horizontal="center" vertical="center"/>
      <protection hidden="1"/>
    </xf>
    <xf numFmtId="0" fontId="104" fillId="4" borderId="0" xfId="0" applyFont="1" applyFill="1" applyProtection="1">
      <protection hidden="1"/>
    </xf>
    <xf numFmtId="14" fontId="0" fillId="0" borderId="2" xfId="0" applyNumberFormat="1" applyBorder="1" applyProtection="1">
      <protection locked="0"/>
    </xf>
    <xf numFmtId="0" fontId="99"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62" fillId="0" borderId="2" xfId="0" applyNumberFormat="1" applyFont="1" applyBorder="1" applyAlignment="1" applyProtection="1">
      <alignment vertical="center"/>
      <protection locked="0"/>
    </xf>
    <xf numFmtId="0" fontId="162" fillId="4" borderId="0" xfId="0" applyFont="1" applyFill="1" applyAlignment="1">
      <alignment vertical="center"/>
    </xf>
    <xf numFmtId="0" fontId="162" fillId="0" borderId="0" xfId="0" applyFont="1" applyAlignment="1">
      <alignment vertical="center"/>
    </xf>
    <xf numFmtId="0" fontId="162" fillId="0" borderId="0" xfId="0" applyFont="1" applyAlignment="1">
      <alignment horizontal="center" vertical="center"/>
    </xf>
    <xf numFmtId="10" fontId="104"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37" fillId="0" borderId="5" xfId="0" applyNumberFormat="1" applyFont="1" applyBorder="1" applyAlignment="1">
      <alignment horizontal="center" vertical="center" wrapText="1"/>
    </xf>
    <xf numFmtId="0" fontId="164"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9"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8" fillId="0" borderId="2" xfId="0" applyNumberFormat="1" applyFont="1" applyBorder="1" applyAlignment="1" applyProtection="1">
      <alignment horizontal="center" vertical="center"/>
      <protection locked="0" hidden="1"/>
    </xf>
    <xf numFmtId="0" fontId="127" fillId="4" borderId="103" xfId="0" applyFont="1" applyFill="1" applyBorder="1" applyAlignment="1">
      <alignment vertical="center"/>
    </xf>
    <xf numFmtId="8" fontId="88" fillId="4" borderId="2" xfId="0" applyNumberFormat="1" applyFont="1" applyFill="1" applyBorder="1" applyAlignment="1">
      <alignment horizontal="center" vertical="center"/>
    </xf>
    <xf numFmtId="0" fontId="88" fillId="0" borderId="2" xfId="0" applyFont="1" applyBorder="1" applyAlignment="1" applyProtection="1">
      <alignment horizontal="center" vertical="center"/>
      <protection locked="0" hidden="1"/>
    </xf>
    <xf numFmtId="0" fontId="127" fillId="4" borderId="3" xfId="0" applyFont="1" applyFill="1" applyBorder="1" applyAlignment="1">
      <alignment horizontal="center" vertical="center"/>
    </xf>
    <xf numFmtId="8" fontId="101" fillId="6" borderId="41" xfId="0" applyNumberFormat="1" applyFont="1" applyFill="1" applyBorder="1" applyAlignment="1" applyProtection="1">
      <alignment horizontal="center" vertical="center"/>
      <protection locked="0"/>
    </xf>
    <xf numFmtId="0" fontId="105" fillId="4" borderId="27" xfId="0" applyFont="1" applyFill="1" applyBorder="1" applyAlignment="1">
      <alignment horizontal="center" vertical="center"/>
    </xf>
    <xf numFmtId="14" fontId="101" fillId="6" borderId="2" xfId="0" applyNumberFormat="1" applyFont="1" applyFill="1" applyBorder="1" applyAlignment="1" applyProtection="1">
      <alignment horizontal="center" vertical="center"/>
      <protection locked="0"/>
    </xf>
    <xf numFmtId="10" fontId="101" fillId="6" borderId="2" xfId="0" applyNumberFormat="1" applyFont="1" applyFill="1" applyBorder="1" applyAlignment="1" applyProtection="1">
      <alignment horizontal="center" vertical="center"/>
      <protection locked="0"/>
    </xf>
    <xf numFmtId="0" fontId="104" fillId="0" borderId="0" xfId="0" applyFont="1" applyAlignment="1">
      <alignment vertical="center" wrapText="1"/>
    </xf>
    <xf numFmtId="0" fontId="167" fillId="0" borderId="3" xfId="0" applyFont="1" applyBorder="1" applyAlignment="1">
      <alignment horizontal="center" vertical="center" wrapText="1"/>
    </xf>
    <xf numFmtId="0" fontId="48"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104" fillId="4" borderId="23" xfId="0" applyFont="1" applyFill="1" applyBorder="1" applyAlignment="1">
      <alignment vertical="center" wrapText="1"/>
    </xf>
    <xf numFmtId="0" fontId="105" fillId="4" borderId="41" xfId="0" applyFont="1" applyFill="1" applyBorder="1" applyAlignment="1">
      <alignment horizontal="right" vertical="center"/>
    </xf>
    <xf numFmtId="0" fontId="105" fillId="4" borderId="27" xfId="0" applyFont="1" applyFill="1" applyBorder="1" applyAlignment="1">
      <alignment horizontal="right" vertical="center"/>
    </xf>
    <xf numFmtId="0" fontId="116" fillId="4" borderId="19" xfId="0" applyFont="1" applyFill="1" applyBorder="1" applyAlignment="1">
      <alignment vertical="center"/>
    </xf>
    <xf numFmtId="0" fontId="104" fillId="4" borderId="44" xfId="0" applyFont="1" applyFill="1" applyBorder="1" applyAlignment="1">
      <alignment vertical="center" wrapText="1"/>
    </xf>
    <xf numFmtId="6" fontId="101" fillId="4" borderId="2" xfId="0" applyNumberFormat="1" applyFont="1" applyFill="1" applyBorder="1" applyAlignment="1" applyProtection="1">
      <alignment horizontal="left" vertical="center" wrapText="1"/>
      <protection hidden="1"/>
    </xf>
    <xf numFmtId="10" fontId="101" fillId="4" borderId="21" xfId="3" applyNumberFormat="1" applyFont="1" applyFill="1" applyBorder="1" applyAlignment="1">
      <alignment horizontal="center" vertical="center" wrapText="1"/>
    </xf>
    <xf numFmtId="10" fontId="101"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8" fillId="0" borderId="6" xfId="0" applyNumberFormat="1" applyFont="1" applyBorder="1" applyAlignment="1" applyProtection="1">
      <alignment horizontal="center" vertical="center" wrapText="1"/>
      <protection locked="0"/>
    </xf>
    <xf numFmtId="185" fontId="88" fillId="0" borderId="7" xfId="0" applyNumberFormat="1" applyFont="1" applyBorder="1" applyAlignment="1" applyProtection="1">
      <alignment horizontal="center" vertical="center" wrapText="1"/>
      <protection locked="0"/>
    </xf>
    <xf numFmtId="0" fontId="153" fillId="0" borderId="41" xfId="0" applyFont="1" applyBorder="1" applyAlignment="1" applyProtection="1">
      <alignment horizontal="center" vertical="center" wrapText="1"/>
      <protection locked="0"/>
    </xf>
    <xf numFmtId="0" fontId="153" fillId="0" borderId="145" xfId="0" applyFont="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8" fontId="88" fillId="4" borderId="0" xfId="0" applyNumberFormat="1" applyFont="1" applyFill="1" applyAlignment="1" applyProtection="1">
      <alignment horizontal="center" vertical="center" wrapText="1"/>
      <protection hidden="1"/>
    </xf>
    <xf numFmtId="0" fontId="54"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101"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104" fillId="0" borderId="2" xfId="0" applyFont="1" applyBorder="1" applyAlignment="1">
      <alignment horizontal="left" vertical="center" wrapText="1"/>
    </xf>
    <xf numFmtId="0" fontId="101" fillId="0" borderId="2" xfId="0" applyFont="1" applyBorder="1" applyAlignment="1">
      <alignment horizontal="left" vertical="center" wrapText="1"/>
    </xf>
    <xf numFmtId="0" fontId="101" fillId="0" borderId="2" xfId="0" applyFont="1" applyBorder="1" applyAlignment="1">
      <alignment horizontal="center" vertical="center" wrapText="1"/>
    </xf>
    <xf numFmtId="0" fontId="139"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75" fillId="0" borderId="0" xfId="3" applyNumberFormat="1" applyFill="1" applyAlignment="1">
      <alignment horizontal="center"/>
    </xf>
    <xf numFmtId="2" fontId="0" fillId="0" borderId="0" xfId="0" applyNumberFormat="1" applyAlignment="1">
      <alignment vertical="center"/>
    </xf>
    <xf numFmtId="0" fontId="62" fillId="0" borderId="0" xfId="2" applyNumberFormat="1" applyBorder="1" applyAlignment="1" applyProtection="1"/>
    <xf numFmtId="172" fontId="122" fillId="0" borderId="0" xfId="0" applyNumberFormat="1" applyFont="1" applyAlignment="1">
      <alignment vertical="center"/>
    </xf>
    <xf numFmtId="0" fontId="104" fillId="11" borderId="19" xfId="0" applyFont="1" applyFill="1" applyBorder="1" applyProtection="1">
      <protection hidden="1"/>
    </xf>
    <xf numFmtId="0" fontId="104" fillId="11" borderId="0" xfId="0" applyFont="1" applyFill="1" applyProtection="1">
      <protection hidden="1"/>
    </xf>
    <xf numFmtId="0" fontId="104" fillId="11" borderId="15" xfId="0" applyFont="1" applyFill="1" applyBorder="1" applyProtection="1">
      <protection hidden="1"/>
    </xf>
    <xf numFmtId="8" fontId="79" fillId="0" borderId="3" xfId="0" applyNumberFormat="1" applyFont="1" applyBorder="1" applyAlignment="1" applyProtection="1">
      <alignment horizontal="center"/>
      <protection hidden="1"/>
    </xf>
    <xf numFmtId="0" fontId="105" fillId="4" borderId="2" xfId="0" applyFont="1" applyFill="1" applyBorder="1" applyAlignment="1" applyProtection="1">
      <alignment horizontal="left" vertical="center" wrapText="1"/>
      <protection locked="0"/>
    </xf>
    <xf numFmtId="0" fontId="105" fillId="4" borderId="2" xfId="0" applyFont="1" applyFill="1" applyBorder="1" applyAlignment="1" applyProtection="1">
      <alignment horizontal="center" vertical="center" wrapText="1"/>
      <protection locked="0"/>
    </xf>
    <xf numFmtId="0" fontId="120" fillId="4" borderId="2" xfId="0" applyFont="1" applyFill="1" applyBorder="1" applyAlignment="1" applyProtection="1">
      <alignment horizontal="left" vertical="center" wrapText="1"/>
      <protection locked="0"/>
    </xf>
    <xf numFmtId="16" fontId="101"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37" fillId="0" borderId="3" xfId="3" applyNumberFormat="1" applyFont="1" applyBorder="1" applyAlignment="1">
      <alignment horizontal="center" vertical="center" wrapText="1"/>
    </xf>
    <xf numFmtId="10" fontId="137"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54" fillId="4" borderId="26" xfId="0" applyFont="1" applyFill="1" applyBorder="1" applyAlignment="1" applyProtection="1">
      <alignment horizontal="left" vertical="center" wrapText="1"/>
      <protection hidden="1"/>
    </xf>
    <xf numFmtId="9" fontId="99" fillId="0" borderId="27" xfId="0" applyNumberFormat="1" applyFont="1" applyBorder="1" applyAlignment="1" applyProtection="1">
      <alignment horizontal="center" vertical="center"/>
      <protection locked="0"/>
    </xf>
    <xf numFmtId="0" fontId="89" fillId="0" borderId="0" xfId="0" applyFont="1" applyAlignment="1">
      <alignment horizontal="center"/>
    </xf>
    <xf numFmtId="4" fontId="89" fillId="0" borderId="0" xfId="0" applyNumberFormat="1" applyFont="1" applyAlignment="1">
      <alignment horizontal="center"/>
    </xf>
    <xf numFmtId="14" fontId="89"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90" fillId="0" borderId="0" xfId="0" applyFont="1" applyAlignment="1">
      <alignment vertical="center"/>
    </xf>
    <xf numFmtId="0" fontId="90" fillId="0" borderId="0" xfId="0" applyFont="1" applyAlignment="1">
      <alignment horizontal="center" vertical="center"/>
    </xf>
    <xf numFmtId="4" fontId="89" fillId="0" borderId="0" xfId="0" applyNumberFormat="1" applyFont="1" applyAlignment="1">
      <alignment vertical="center"/>
    </xf>
    <xf numFmtId="178" fontId="89" fillId="0" borderId="0" xfId="0" applyNumberFormat="1" applyFont="1" applyAlignment="1">
      <alignment horizontal="center" vertical="center"/>
    </xf>
    <xf numFmtId="0" fontId="57" fillId="0" borderId="0" xfId="0" applyFont="1"/>
    <xf numFmtId="166" fontId="98" fillId="0" borderId="0" xfId="8" applyFont="1" applyFill="1"/>
    <xf numFmtId="0" fontId="107" fillId="0" borderId="0" xfId="0" applyFont="1" applyAlignment="1">
      <alignment horizontal="center"/>
    </xf>
    <xf numFmtId="4" fontId="107" fillId="0" borderId="0" xfId="0" applyNumberFormat="1" applyFont="1"/>
    <xf numFmtId="0" fontId="107" fillId="0" borderId="0" xfId="0" applyFont="1"/>
    <xf numFmtId="0" fontId="0" fillId="0" borderId="23" xfId="0" applyBorder="1"/>
    <xf numFmtId="0" fontId="57" fillId="0" borderId="23" xfId="0" applyFont="1" applyBorder="1"/>
    <xf numFmtId="2" fontId="0" fillId="4" borderId="0" xfId="0" applyNumberFormat="1" applyFill="1"/>
    <xf numFmtId="0" fontId="66" fillId="4" borderId="0" xfId="0" applyFont="1" applyFill="1" applyAlignment="1" applyProtection="1">
      <alignment vertical="center"/>
      <protection hidden="1"/>
    </xf>
    <xf numFmtId="0" fontId="99"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9"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51" fillId="0" borderId="0" xfId="0" applyFont="1" applyAlignment="1">
      <alignment horizontal="right" wrapText="1"/>
    </xf>
    <xf numFmtId="0" fontId="151"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9" fillId="4" borderId="77" xfId="0" applyFont="1" applyFill="1" applyBorder="1" applyAlignment="1" applyProtection="1">
      <alignment horizontal="left" vertical="center"/>
      <protection hidden="1"/>
    </xf>
    <xf numFmtId="0" fontId="99" fillId="4" borderId="63" xfId="0" applyFont="1" applyFill="1" applyBorder="1" applyAlignment="1" applyProtection="1">
      <alignment horizontal="left" vertical="center"/>
      <protection hidden="1"/>
    </xf>
    <xf numFmtId="0" fontId="99"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104" fillId="4" borderId="77" xfId="0" applyFont="1" applyFill="1" applyBorder="1" applyAlignment="1" applyProtection="1">
      <alignment horizontal="center" vertical="center"/>
      <protection hidden="1"/>
    </xf>
    <xf numFmtId="0" fontId="99" fillId="4" borderId="68" xfId="0" applyFont="1" applyFill="1" applyBorder="1" applyAlignment="1" applyProtection="1">
      <alignment vertical="center"/>
      <protection hidden="1"/>
    </xf>
    <xf numFmtId="9" fontId="105"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9"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8" fillId="4" borderId="100" xfId="3" applyNumberFormat="1" applyFont="1" applyFill="1" applyBorder="1" applyAlignment="1" applyProtection="1">
      <alignment horizontal="center" vertical="center" wrapText="1"/>
      <protection hidden="1"/>
    </xf>
    <xf numFmtId="6" fontId="99" fillId="4" borderId="104" xfId="0" applyNumberFormat="1" applyFont="1" applyFill="1" applyBorder="1" applyAlignment="1" applyProtection="1">
      <alignment horizontal="center" vertical="center" wrapText="1"/>
      <protection hidden="1"/>
    </xf>
    <xf numFmtId="10" fontId="98" fillId="4" borderId="29" xfId="3" applyNumberFormat="1" applyFont="1" applyFill="1" applyBorder="1" applyAlignment="1" applyProtection="1">
      <alignment horizontal="center" vertical="center"/>
      <protection hidden="1"/>
    </xf>
    <xf numFmtId="6" fontId="88" fillId="4" borderId="100" xfId="0" applyNumberFormat="1" applyFont="1" applyFill="1" applyBorder="1" applyAlignment="1" applyProtection="1">
      <alignment horizontal="center" vertical="center" wrapText="1"/>
      <protection hidden="1"/>
    </xf>
    <xf numFmtId="6" fontId="88" fillId="4" borderId="100" xfId="0" applyNumberFormat="1" applyFont="1" applyFill="1" applyBorder="1" applyAlignment="1" applyProtection="1">
      <alignment horizontal="center" vertical="center"/>
      <protection hidden="1"/>
    </xf>
    <xf numFmtId="6" fontId="88" fillId="4" borderId="68" xfId="0" applyNumberFormat="1" applyFont="1" applyFill="1" applyBorder="1" applyAlignment="1" applyProtection="1">
      <alignment horizontal="center" vertical="center"/>
      <protection hidden="1"/>
    </xf>
    <xf numFmtId="6" fontId="99" fillId="4" borderId="105" xfId="0" applyNumberFormat="1" applyFont="1" applyFill="1" applyBorder="1" applyAlignment="1" applyProtection="1">
      <alignment horizontal="center" vertical="center" wrapText="1"/>
      <protection hidden="1"/>
    </xf>
    <xf numFmtId="6" fontId="99" fillId="4" borderId="119" xfId="0" applyNumberFormat="1" applyFont="1" applyFill="1" applyBorder="1" applyAlignment="1" applyProtection="1">
      <alignment horizontal="center" vertical="center" wrapText="1"/>
      <protection hidden="1"/>
    </xf>
    <xf numFmtId="9" fontId="154" fillId="4" borderId="18" xfId="0" applyNumberFormat="1" applyFont="1" applyFill="1" applyBorder="1" applyAlignment="1" applyProtection="1">
      <alignment horizontal="center" vertical="center"/>
      <protection hidden="1"/>
    </xf>
    <xf numFmtId="0" fontId="62" fillId="4" borderId="102" xfId="2" applyNumberFormat="1" applyFill="1" applyBorder="1" applyAlignment="1" applyProtection="1">
      <alignment horizontal="center" vertical="center" wrapText="1"/>
      <protection hidden="1"/>
    </xf>
    <xf numFmtId="6" fontId="99" fillId="4" borderId="100" xfId="0" applyNumberFormat="1" applyFont="1" applyFill="1" applyBorder="1" applyAlignment="1" applyProtection="1">
      <alignment horizontal="center" vertical="center"/>
      <protection hidden="1"/>
    </xf>
    <xf numFmtId="8" fontId="103"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9" fillId="4" borderId="141" xfId="3" applyNumberFormat="1" applyFont="1" applyFill="1" applyBorder="1" applyAlignment="1" applyProtection="1">
      <alignment horizontal="center" vertical="center" wrapText="1"/>
      <protection hidden="1"/>
    </xf>
    <xf numFmtId="6" fontId="99" fillId="4" borderId="141" xfId="0" applyNumberFormat="1" applyFont="1" applyFill="1" applyBorder="1" applyAlignment="1" applyProtection="1">
      <alignment horizontal="center" vertical="center"/>
      <protection hidden="1"/>
    </xf>
    <xf numFmtId="6" fontId="99" fillId="4" borderId="143" xfId="0" applyNumberFormat="1" applyFont="1" applyFill="1" applyBorder="1" applyAlignment="1" applyProtection="1">
      <alignment horizontal="center" vertical="center" wrapText="1"/>
      <protection hidden="1"/>
    </xf>
    <xf numFmtId="10" fontId="98" fillId="4" borderId="140" xfId="3" applyNumberFormat="1" applyFont="1" applyFill="1" applyBorder="1" applyAlignment="1" applyProtection="1">
      <alignment horizontal="center" vertical="center"/>
      <protection hidden="1"/>
    </xf>
    <xf numFmtId="8" fontId="103" fillId="4" borderId="68" xfId="0" applyNumberFormat="1" applyFont="1" applyFill="1" applyBorder="1" applyAlignment="1" applyProtection="1">
      <alignment horizontal="center" vertical="center" wrapText="1"/>
      <protection hidden="1"/>
    </xf>
    <xf numFmtId="2" fontId="127" fillId="4" borderId="135" xfId="0" applyNumberFormat="1" applyFont="1" applyFill="1" applyBorder="1" applyAlignment="1" applyProtection="1">
      <alignment horizontal="center" vertical="center"/>
      <protection hidden="1"/>
    </xf>
    <xf numFmtId="8" fontId="127" fillId="4" borderId="135" xfId="0" applyNumberFormat="1" applyFont="1" applyFill="1" applyBorder="1" applyAlignment="1" applyProtection="1">
      <alignment horizontal="center" vertical="center"/>
      <protection hidden="1"/>
    </xf>
    <xf numFmtId="10" fontId="127" fillId="4" borderId="135" xfId="3" applyNumberFormat="1" applyFont="1" applyFill="1" applyBorder="1" applyAlignment="1" applyProtection="1">
      <alignment horizontal="center" vertical="center"/>
      <protection hidden="1"/>
    </xf>
    <xf numFmtId="10" fontId="127" fillId="4" borderId="135" xfId="0" applyNumberFormat="1" applyFont="1" applyFill="1" applyBorder="1" applyAlignment="1" applyProtection="1">
      <alignment horizontal="center" vertical="center"/>
      <protection hidden="1"/>
    </xf>
    <xf numFmtId="6" fontId="127" fillId="4" borderId="135" xfId="0" applyNumberFormat="1" applyFont="1" applyFill="1" applyBorder="1" applyAlignment="1" applyProtection="1">
      <alignment horizontal="center" vertical="center" wrapText="1"/>
      <protection hidden="1"/>
    </xf>
    <xf numFmtId="9" fontId="127" fillId="4" borderId="135" xfId="0" applyNumberFormat="1" applyFont="1" applyFill="1" applyBorder="1" applyAlignment="1" applyProtection="1">
      <alignment horizontal="center" vertical="center"/>
      <protection hidden="1"/>
    </xf>
    <xf numFmtId="6" fontId="156" fillId="4" borderId="135" xfId="0" applyNumberFormat="1" applyFont="1" applyFill="1" applyBorder="1" applyAlignment="1" applyProtection="1">
      <alignment horizontal="center" vertical="center"/>
      <protection hidden="1"/>
    </xf>
    <xf numFmtId="6" fontId="127" fillId="4" borderId="137" xfId="0" applyNumberFormat="1" applyFont="1" applyFill="1" applyBorder="1" applyAlignment="1" applyProtection="1">
      <alignment horizontal="center" vertical="center"/>
      <protection hidden="1"/>
    </xf>
    <xf numFmtId="10" fontId="127" fillId="4" borderId="134" xfId="3" applyNumberFormat="1" applyFont="1" applyFill="1" applyBorder="1" applyAlignment="1" applyProtection="1">
      <alignment horizontal="center" vertical="center"/>
      <protection hidden="1"/>
    </xf>
    <xf numFmtId="167" fontId="140" fillId="4" borderId="135" xfId="0" applyNumberFormat="1" applyFont="1" applyFill="1" applyBorder="1" applyAlignment="1" applyProtection="1">
      <alignment horizontal="center" vertical="center" wrapText="1"/>
      <protection hidden="1"/>
    </xf>
    <xf numFmtId="0" fontId="114" fillId="4" borderId="2" xfId="0" applyFont="1" applyFill="1" applyBorder="1" applyAlignment="1" applyProtection="1">
      <alignment horizontal="center" vertical="center" wrapText="1"/>
      <protection hidden="1"/>
    </xf>
    <xf numFmtId="0" fontId="114" fillId="4" borderId="3" xfId="0" applyFont="1" applyFill="1" applyBorder="1" applyAlignment="1" applyProtection="1">
      <alignment horizontal="center" vertical="center"/>
      <protection hidden="1"/>
    </xf>
    <xf numFmtId="0" fontId="104" fillId="4" borderId="2" xfId="0" applyFont="1" applyFill="1" applyBorder="1" applyAlignment="1" applyProtection="1">
      <alignment horizontal="center" vertical="center"/>
      <protection hidden="1"/>
    </xf>
    <xf numFmtId="0" fontId="114"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8"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103" fillId="0" borderId="3" xfId="0" applyNumberFormat="1" applyFont="1" applyBorder="1" applyAlignment="1" applyProtection="1">
      <alignment horizontal="center" vertical="center"/>
      <protection locked="0"/>
    </xf>
    <xf numFmtId="8" fontId="103" fillId="0" borderId="3" xfId="0" applyNumberFormat="1" applyFont="1" applyBorder="1" applyAlignment="1" applyProtection="1">
      <alignment horizontal="center" vertical="center"/>
      <protection locked="0"/>
    </xf>
    <xf numFmtId="10" fontId="103"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27" fillId="4" borderId="77" xfId="0" applyNumberFormat="1" applyFont="1" applyFill="1" applyBorder="1" applyAlignment="1" applyProtection="1">
      <alignment horizontal="center" vertical="center"/>
      <protection hidden="1"/>
    </xf>
    <xf numFmtId="2" fontId="127" fillId="4" borderId="2" xfId="0" applyNumberFormat="1" applyFont="1" applyFill="1" applyBorder="1" applyAlignment="1" applyProtection="1">
      <alignment horizontal="center" vertical="center"/>
      <protection hidden="1"/>
    </xf>
    <xf numFmtId="0" fontId="61" fillId="22" borderId="0" xfId="0" applyFont="1" applyFill="1"/>
    <xf numFmtId="167" fontId="0" fillId="0" borderId="2" xfId="0" applyNumberFormat="1" applyBorder="1" applyAlignment="1">
      <alignment horizontal="center"/>
    </xf>
    <xf numFmtId="10" fontId="75" fillId="0" borderId="2" xfId="3" applyNumberFormat="1" applyFill="1" applyBorder="1" applyAlignment="1">
      <alignment horizontal="center"/>
    </xf>
    <xf numFmtId="173" fontId="99" fillId="0" borderId="135" xfId="0" applyNumberFormat="1" applyFont="1" applyBorder="1" applyAlignment="1" applyProtection="1">
      <alignment horizontal="center" vertical="center"/>
      <protection locked="0"/>
    </xf>
    <xf numFmtId="0" fontId="99" fillId="4" borderId="2" xfId="0" applyFont="1" applyFill="1" applyBorder="1" applyAlignment="1">
      <alignment horizontal="center"/>
    </xf>
    <xf numFmtId="0" fontId="176"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56"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9" fillId="4" borderId="2" xfId="0" applyFont="1" applyFill="1" applyBorder="1" applyAlignment="1">
      <alignment horizontal="center" vertical="center" wrapText="1"/>
    </xf>
    <xf numFmtId="0" fontId="99" fillId="4" borderId="2" xfId="0" applyFont="1" applyFill="1" applyBorder="1" applyAlignment="1" applyProtection="1">
      <alignment horizontal="left" vertical="center" wrapText="1"/>
      <protection locked="0"/>
    </xf>
    <xf numFmtId="0" fontId="104" fillId="0" borderId="2" xfId="0" applyFont="1" applyBorder="1" applyAlignment="1">
      <alignment vertical="center" wrapText="1"/>
    </xf>
    <xf numFmtId="0" fontId="62" fillId="0" borderId="2" xfId="2" applyNumberFormat="1" applyBorder="1" applyAlignment="1" applyProtection="1">
      <alignment vertical="center" wrapText="1"/>
    </xf>
    <xf numFmtId="0" fontId="170" fillId="0" borderId="2" xfId="0" applyFont="1" applyBorder="1" applyAlignment="1">
      <alignment wrapText="1"/>
    </xf>
    <xf numFmtId="0" fontId="169" fillId="0" borderId="2" xfId="2" applyNumberFormat="1" applyFont="1" applyBorder="1" applyAlignment="1" applyProtection="1">
      <alignment horizontal="left" vertical="center" wrapText="1"/>
    </xf>
    <xf numFmtId="0" fontId="62" fillId="0" borderId="2" xfId="2" applyNumberFormat="1" applyBorder="1" applyAlignment="1" applyProtection="1"/>
    <xf numFmtId="0" fontId="169" fillId="0" borderId="2" xfId="2" applyNumberFormat="1" applyFont="1" applyBorder="1" applyAlignment="1" applyProtection="1">
      <alignment vertical="center" wrapText="1"/>
    </xf>
    <xf numFmtId="14" fontId="151" fillId="0" borderId="0" xfId="0" applyNumberFormat="1" applyFont="1"/>
    <xf numFmtId="0" fontId="179" fillId="0" borderId="0" xfId="0" applyFont="1"/>
    <xf numFmtId="0" fontId="44"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8" fillId="4" borderId="81" xfId="0" applyFont="1" applyFill="1" applyBorder="1" applyAlignment="1" applyProtection="1">
      <alignment horizontal="right" vertical="center" wrapText="1"/>
      <protection locked="0"/>
    </xf>
    <xf numFmtId="2" fontId="127" fillId="4" borderId="9" xfId="0" applyNumberFormat="1" applyFont="1" applyFill="1" applyBorder="1" applyAlignment="1" applyProtection="1">
      <alignment horizontal="center" vertical="center"/>
      <protection hidden="1"/>
    </xf>
    <xf numFmtId="8" fontId="99"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53"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9" fillId="0" borderId="31" xfId="0" applyFont="1" applyBorder="1" applyAlignment="1">
      <alignment vertical="center" wrapText="1"/>
    </xf>
    <xf numFmtId="0" fontId="99" fillId="0" borderId="28" xfId="0" applyFont="1" applyBorder="1" applyAlignment="1">
      <alignment vertical="center" wrapText="1"/>
    </xf>
    <xf numFmtId="8" fontId="120" fillId="0" borderId="0" xfId="0" applyNumberFormat="1" applyFont="1" applyAlignment="1">
      <alignment horizontal="center" vertical="center" wrapText="1"/>
    </xf>
    <xf numFmtId="188" fontId="99" fillId="0" borderId="41" xfId="0" applyNumberFormat="1" applyFont="1" applyBorder="1" applyAlignment="1">
      <alignment horizontal="center" vertical="center" wrapText="1"/>
    </xf>
    <xf numFmtId="8" fontId="120" fillId="0" borderId="2" xfId="0" applyNumberFormat="1" applyFont="1" applyBorder="1" applyAlignment="1">
      <alignment horizontal="center" vertical="center" wrapText="1"/>
    </xf>
    <xf numFmtId="9" fontId="120" fillId="0" borderId="2" xfId="3" applyFont="1" applyBorder="1" applyAlignment="1">
      <alignment horizontal="center" vertical="center" wrapText="1"/>
    </xf>
    <xf numFmtId="165" fontId="0" fillId="0" borderId="0" xfId="0" applyNumberFormat="1" applyAlignment="1">
      <alignment vertical="center"/>
    </xf>
    <xf numFmtId="9" fontId="98"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75" fillId="0" borderId="0" xfId="3" applyNumberFormat="1" applyFill="1"/>
    <xf numFmtId="176" fontId="111" fillId="0" borderId="0" xfId="0" applyNumberFormat="1" applyFont="1"/>
    <xf numFmtId="0" fontId="111"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9" fillId="0" borderId="0" xfId="0" applyFont="1" applyAlignment="1">
      <alignment horizontal="center" vertical="center"/>
    </xf>
    <xf numFmtId="8" fontId="182"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9" fillId="0" borderId="0" xfId="0" applyFont="1" applyAlignment="1">
      <alignment vertical="center"/>
    </xf>
    <xf numFmtId="10" fontId="120" fillId="4" borderId="133" xfId="3" applyNumberFormat="1" applyFont="1" applyFill="1" applyBorder="1" applyAlignment="1" applyProtection="1">
      <alignment vertical="top" wrapText="1"/>
      <protection hidden="1"/>
    </xf>
    <xf numFmtId="0" fontId="99" fillId="4" borderId="4" xfId="0" applyFont="1" applyFill="1" applyBorder="1" applyAlignment="1" applyProtection="1">
      <alignment vertical="center"/>
      <protection hidden="1"/>
    </xf>
    <xf numFmtId="8" fontId="104" fillId="4" borderId="2" xfId="0" applyNumberFormat="1" applyFont="1" applyFill="1" applyBorder="1" applyAlignment="1" applyProtection="1">
      <alignment horizontal="center" vertical="center"/>
      <protection hidden="1"/>
    </xf>
    <xf numFmtId="0" fontId="104" fillId="4" borderId="3" xfId="0" applyFont="1" applyFill="1" applyBorder="1" applyAlignment="1" applyProtection="1">
      <alignment horizontal="center" vertical="center"/>
      <protection hidden="1"/>
    </xf>
    <xf numFmtId="8" fontId="114"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9" fillId="4" borderId="3" xfId="0" applyFont="1" applyFill="1" applyBorder="1" applyAlignment="1" applyProtection="1">
      <alignment horizontal="right" vertical="center"/>
      <protection hidden="1"/>
    </xf>
    <xf numFmtId="8" fontId="99" fillId="4" borderId="2" xfId="0" applyNumberFormat="1" applyFont="1" applyFill="1" applyBorder="1" applyAlignment="1" applyProtection="1">
      <alignment horizontal="right" vertical="center"/>
      <protection hidden="1"/>
    </xf>
    <xf numFmtId="8" fontId="99"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101" fillId="0" borderId="2" xfId="0" quotePrefix="1" applyNumberFormat="1" applyFont="1" applyBorder="1" applyAlignment="1">
      <alignment horizontal="center" vertical="center" wrapText="1"/>
    </xf>
    <xf numFmtId="0" fontId="62"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105" fillId="4" borderId="21" xfId="0" applyFont="1" applyFill="1" applyBorder="1" applyAlignment="1">
      <alignment horizontal="center"/>
    </xf>
    <xf numFmtId="6" fontId="103" fillId="4" borderId="3" xfId="0" applyNumberFormat="1" applyFont="1" applyFill="1" applyBorder="1" applyAlignment="1">
      <alignment vertical="center"/>
    </xf>
    <xf numFmtId="6" fontId="104" fillId="4" borderId="4" xfId="0" applyNumberFormat="1" applyFont="1" applyFill="1" applyBorder="1" applyAlignment="1" applyProtection="1">
      <alignment horizontal="center" vertical="center" wrapText="1"/>
      <protection hidden="1"/>
    </xf>
    <xf numFmtId="0" fontId="105"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62" fillId="0" borderId="1" xfId="0" applyNumberFormat="1" applyFont="1" applyBorder="1" applyAlignment="1" applyProtection="1">
      <alignment vertical="center"/>
      <protection locked="0"/>
    </xf>
    <xf numFmtId="6" fontId="120" fillId="4" borderId="64" xfId="0" applyNumberFormat="1" applyFont="1" applyFill="1" applyBorder="1" applyAlignment="1" applyProtection="1">
      <alignment vertical="center"/>
      <protection hidden="1"/>
    </xf>
    <xf numFmtId="6" fontId="120" fillId="4" borderId="85" xfId="0" applyNumberFormat="1" applyFont="1" applyFill="1" applyBorder="1" applyAlignment="1" applyProtection="1">
      <alignment vertical="center"/>
      <protection hidden="1"/>
    </xf>
    <xf numFmtId="6" fontId="120"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9" fillId="4" borderId="1" xfId="0" applyNumberFormat="1" applyFont="1" applyFill="1" applyBorder="1" applyAlignment="1" applyProtection="1">
      <alignment vertical="center"/>
      <protection hidden="1"/>
    </xf>
    <xf numFmtId="8" fontId="104" fillId="4" borderId="4" xfId="0" applyNumberFormat="1" applyFont="1" applyFill="1" applyBorder="1" applyAlignment="1" applyProtection="1">
      <alignment vertical="center"/>
      <protection hidden="1"/>
    </xf>
    <xf numFmtId="0" fontId="120" fillId="4" borderId="43" xfId="0" applyFont="1" applyFill="1" applyBorder="1" applyAlignment="1" applyProtection="1">
      <alignment horizontal="left" vertical="center" wrapText="1"/>
      <protection hidden="1"/>
    </xf>
    <xf numFmtId="8" fontId="103"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46" fillId="4" borderId="2" xfId="0" applyNumberFormat="1" applyFont="1" applyFill="1" applyBorder="1" applyAlignment="1" applyProtection="1">
      <alignment horizontal="right" vertical="center"/>
      <protection hidden="1"/>
    </xf>
    <xf numFmtId="0" fontId="99" fillId="4" borderId="4" xfId="0" applyFont="1" applyFill="1" applyBorder="1" applyAlignment="1" applyProtection="1">
      <alignment vertical="center" wrapText="1"/>
      <protection hidden="1"/>
    </xf>
    <xf numFmtId="0" fontId="104" fillId="4" borderId="43" xfId="0" applyFont="1" applyFill="1" applyBorder="1" applyAlignment="1">
      <alignment horizontal="center" vertical="center"/>
    </xf>
    <xf numFmtId="0" fontId="104"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9"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81" fillId="0" borderId="0" xfId="0" applyNumberFormat="1" applyFont="1" applyAlignment="1">
      <alignment horizontal="center"/>
    </xf>
    <xf numFmtId="8" fontId="99" fillId="0" borderId="27" xfId="0" applyNumberFormat="1" applyFont="1" applyBorder="1" applyAlignment="1">
      <alignment horizontal="center"/>
    </xf>
    <xf numFmtId="0" fontId="106" fillId="0" borderId="0" xfId="0" applyFont="1" applyAlignment="1">
      <alignment vertical="center"/>
    </xf>
    <xf numFmtId="0" fontId="77"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20" fillId="4" borderId="0" xfId="0" applyFont="1" applyFill="1" applyAlignment="1">
      <alignment horizontal="center" vertical="center" wrapText="1"/>
    </xf>
    <xf numFmtId="0" fontId="61" fillId="24" borderId="0" xfId="0" applyFont="1" applyFill="1"/>
    <xf numFmtId="0" fontId="136" fillId="0" borderId="26" xfId="0" applyFont="1" applyBorder="1" applyAlignment="1">
      <alignment horizontal="center"/>
    </xf>
    <xf numFmtId="2" fontId="136" fillId="0" borderId="27" xfId="0" applyNumberFormat="1" applyFont="1" applyBorder="1" applyAlignment="1">
      <alignment horizontal="center"/>
    </xf>
    <xf numFmtId="169" fontId="133" fillId="0" borderId="0" xfId="0" applyNumberFormat="1" applyFont="1"/>
    <xf numFmtId="169" fontId="133" fillId="0" borderId="0" xfId="0" applyNumberFormat="1" applyFont="1" applyAlignment="1">
      <alignment vertical="center"/>
    </xf>
    <xf numFmtId="169" fontId="135" fillId="0" borderId="0" xfId="0" applyNumberFormat="1" applyFont="1"/>
    <xf numFmtId="169" fontId="0" fillId="0" borderId="18" xfId="0" applyNumberFormat="1" applyBorder="1"/>
    <xf numFmtId="2" fontId="104"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64" fillId="4" borderId="0" xfId="2" applyNumberFormat="1" applyFont="1" applyFill="1" applyBorder="1" applyAlignment="1" applyProtection="1">
      <alignment vertical="center"/>
    </xf>
    <xf numFmtId="0" fontId="62" fillId="4" borderId="0" xfId="2" applyNumberFormat="1" applyFill="1" applyBorder="1" applyAlignment="1" applyProtection="1">
      <alignment vertical="center"/>
    </xf>
    <xf numFmtId="0" fontId="147" fillId="4" borderId="0" xfId="2" applyNumberFormat="1" applyFont="1" applyFill="1" applyBorder="1" applyAlignment="1" applyProtection="1">
      <alignment vertical="center"/>
    </xf>
    <xf numFmtId="0" fontId="62" fillId="4" borderId="15" xfId="2" applyNumberFormat="1" applyFill="1" applyBorder="1" applyAlignment="1" applyProtection="1">
      <alignment vertical="center"/>
    </xf>
    <xf numFmtId="0" fontId="0" fillId="4" borderId="0" xfId="0" applyFill="1" applyAlignment="1">
      <alignment vertical="center" textRotation="180"/>
    </xf>
    <xf numFmtId="10" fontId="104"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9" fillId="4" borderId="7" xfId="0" applyNumberFormat="1" applyFont="1" applyFill="1" applyBorder="1" applyAlignment="1">
      <alignment horizontal="center" vertical="center"/>
    </xf>
    <xf numFmtId="0" fontId="0" fillId="0" borderId="19" xfId="0" applyBorder="1"/>
    <xf numFmtId="0" fontId="98" fillId="4" borderId="0" xfId="0" applyFont="1" applyFill="1" applyAlignment="1">
      <alignment vertical="center"/>
    </xf>
    <xf numFmtId="165" fontId="79"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10"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85"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60"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8" fillId="4" borderId="19" xfId="0" applyFont="1" applyFill="1" applyBorder="1" applyAlignment="1">
      <alignment vertical="center"/>
    </xf>
    <xf numFmtId="0" fontId="104"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8" fillId="0" borderId="0" xfId="0" applyFont="1"/>
    <xf numFmtId="172" fontId="104" fillId="0" borderId="0" xfId="0" applyNumberFormat="1" applyFont="1" applyAlignment="1">
      <alignment horizontal="center" vertical="center"/>
    </xf>
    <xf numFmtId="10" fontId="104" fillId="0" borderId="0" xfId="3" applyNumberFormat="1" applyFont="1" applyAlignment="1">
      <alignment horizontal="center" vertical="center"/>
    </xf>
    <xf numFmtId="2" fontId="104" fillId="0" borderId="0" xfId="0" applyNumberFormat="1" applyFont="1" applyAlignment="1">
      <alignment horizontal="center" vertical="center"/>
    </xf>
    <xf numFmtId="0" fontId="121" fillId="4" borderId="24" xfId="0" applyFont="1" applyFill="1" applyBorder="1" applyAlignment="1">
      <alignment horizontal="right" vertical="center"/>
    </xf>
    <xf numFmtId="0" fontId="184" fillId="4" borderId="44" xfId="0" applyFont="1" applyFill="1" applyBorder="1" applyAlignment="1">
      <alignment vertical="center" wrapText="1"/>
    </xf>
    <xf numFmtId="0" fontId="62" fillId="4" borderId="0" xfId="2" applyNumberFormat="1" applyFill="1" applyAlignment="1" applyProtection="1">
      <alignment horizontal="center"/>
    </xf>
    <xf numFmtId="0" fontId="58" fillId="4" borderId="0" xfId="7" applyNumberFormat="1" applyFont="1" applyFill="1" applyAlignment="1">
      <alignment horizontal="center"/>
    </xf>
    <xf numFmtId="0" fontId="59" fillId="4" borderId="0" xfId="7" applyNumberFormat="1" applyFont="1" applyFill="1" applyAlignment="1">
      <alignment horizontal="center"/>
    </xf>
    <xf numFmtId="2" fontId="101" fillId="0" borderId="0" xfId="0" applyNumberFormat="1" applyFont="1" applyAlignment="1">
      <alignment vertical="center"/>
    </xf>
    <xf numFmtId="2" fontId="101" fillId="8" borderId="0" xfId="0" applyNumberFormat="1" applyFont="1" applyFill="1" applyAlignment="1">
      <alignment vertical="center"/>
    </xf>
    <xf numFmtId="0" fontId="101" fillId="8" borderId="0" xfId="0" applyFont="1" applyFill="1"/>
    <xf numFmtId="0" fontId="58" fillId="4" borderId="0" xfId="6" applyNumberFormat="1" applyFont="1" applyFill="1" applyAlignment="1">
      <alignment horizontal="center"/>
    </xf>
    <xf numFmtId="0" fontId="57" fillId="4" borderId="0" xfId="6" applyNumberFormat="1" applyFill="1" applyAlignment="1">
      <alignment horizontal="center"/>
    </xf>
    <xf numFmtId="0" fontId="59"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9" fillId="4" borderId="23" xfId="0" applyFont="1" applyFill="1" applyBorder="1" applyAlignment="1" applyProtection="1">
      <alignment vertical="center" wrapText="1"/>
      <protection hidden="1"/>
    </xf>
    <xf numFmtId="0" fontId="99"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62"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95" fillId="0" borderId="2" xfId="0" applyNumberFormat="1" applyFont="1" applyBorder="1" applyAlignment="1" applyProtection="1">
      <alignment horizontal="center"/>
      <protection locked="0"/>
    </xf>
    <xf numFmtId="8" fontId="195" fillId="0" borderId="153" xfId="0" applyNumberFormat="1" applyFont="1" applyBorder="1" applyAlignment="1" applyProtection="1">
      <alignment horizontal="center"/>
      <protection locked="0"/>
    </xf>
    <xf numFmtId="184" fontId="195" fillId="0" borderId="10" xfId="0" applyNumberFormat="1" applyFont="1" applyBorder="1" applyAlignment="1" applyProtection="1">
      <alignment horizontal="center"/>
      <protection locked="0"/>
    </xf>
    <xf numFmtId="8" fontId="195"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104"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9" fillId="4" borderId="6" xfId="0" applyFont="1" applyFill="1" applyBorder="1" applyAlignment="1" applyProtection="1">
      <alignment horizontal="center"/>
      <protection hidden="1"/>
    </xf>
    <xf numFmtId="8" fontId="88" fillId="4" borderId="2" xfId="0" applyNumberFormat="1" applyFont="1" applyFill="1" applyBorder="1" applyAlignment="1" applyProtection="1">
      <alignment vertical="center"/>
      <protection hidden="1"/>
    </xf>
    <xf numFmtId="8" fontId="153" fillId="4" borderId="2" xfId="0" applyNumberFormat="1" applyFont="1" applyFill="1" applyBorder="1" applyAlignment="1" applyProtection="1">
      <alignment vertical="center"/>
      <protection hidden="1"/>
    </xf>
    <xf numFmtId="0" fontId="104"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9" fillId="4" borderId="6" xfId="0" applyNumberFormat="1" applyFont="1" applyFill="1" applyBorder="1" applyAlignment="1" applyProtection="1">
      <alignment vertical="center"/>
      <protection hidden="1"/>
    </xf>
    <xf numFmtId="8" fontId="99" fillId="4" borderId="80" xfId="0" applyNumberFormat="1" applyFont="1" applyFill="1" applyBorder="1" applyAlignment="1" applyProtection="1">
      <alignment vertical="center"/>
      <protection hidden="1"/>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9" fillId="4" borderId="4" xfId="0" applyNumberFormat="1" applyFont="1" applyFill="1" applyBorder="1" applyAlignment="1" applyProtection="1">
      <alignment horizontal="center"/>
      <protection hidden="1"/>
    </xf>
    <xf numFmtId="8" fontId="99"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21" fillId="4" borderId="5" xfId="0" applyNumberFormat="1" applyFont="1" applyFill="1" applyBorder="1" applyProtection="1">
      <protection hidden="1"/>
    </xf>
    <xf numFmtId="8" fontId="121" fillId="4" borderId="7" xfId="0" applyNumberFormat="1" applyFont="1" applyFill="1" applyBorder="1" applyProtection="1">
      <protection hidden="1"/>
    </xf>
    <xf numFmtId="0" fontId="99" fillId="4" borderId="4" xfId="0" applyFont="1" applyFill="1" applyBorder="1" applyAlignment="1" applyProtection="1">
      <alignment horizontal="center" vertical="center"/>
      <protection hidden="1"/>
    </xf>
    <xf numFmtId="14" fontId="99"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104"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103"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20" fillId="4" borderId="0" xfId="0" applyFont="1" applyFill="1" applyAlignment="1">
      <alignment vertical="center" wrapText="1"/>
    </xf>
    <xf numFmtId="0" fontId="62" fillId="4" borderId="0" xfId="2" applyNumberFormat="1" applyFill="1" applyAlignment="1" applyProtection="1">
      <alignment vertical="center"/>
    </xf>
    <xf numFmtId="0" fontId="62" fillId="4" borderId="0" xfId="2" applyNumberFormat="1" applyFill="1" applyAlignment="1" applyProtection="1">
      <alignment horizontal="center" vertical="center" wrapText="1"/>
    </xf>
    <xf numFmtId="0" fontId="0" fillId="0" borderId="0" xfId="0" applyAlignment="1">
      <alignment horizontal="right" vertical="center" wrapText="1"/>
    </xf>
    <xf numFmtId="8" fontId="99"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104"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9" fillId="4" borderId="0" xfId="0" applyFont="1" applyFill="1" applyAlignment="1" applyProtection="1">
      <alignment horizontal="center" vertical="center"/>
      <protection hidden="1"/>
    </xf>
    <xf numFmtId="0" fontId="114" fillId="4" borderId="0" xfId="0" applyFont="1" applyFill="1" applyAlignment="1" applyProtection="1">
      <alignment horizontal="center" vertical="center"/>
      <protection hidden="1"/>
    </xf>
    <xf numFmtId="0" fontId="104" fillId="4" borderId="0" xfId="0" applyFont="1" applyFill="1" applyAlignment="1" applyProtection="1">
      <alignment horizontal="center" vertical="center" wrapText="1"/>
      <protection hidden="1"/>
    </xf>
    <xf numFmtId="0" fontId="104"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9"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9" fillId="4" borderId="0" xfId="2" applyNumberFormat="1" applyFont="1" applyFill="1" applyBorder="1" applyAlignment="1" applyProtection="1">
      <alignment horizontal="center" vertical="center"/>
      <protection locked="0" hidden="1"/>
    </xf>
    <xf numFmtId="0" fontId="99"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75"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104" fillId="4" borderId="19" xfId="0" applyNumberFormat="1" applyFont="1" applyFill="1" applyBorder="1" applyAlignment="1" applyProtection="1">
      <alignment vertical="center"/>
      <protection hidden="1"/>
    </xf>
    <xf numFmtId="6" fontId="104" fillId="4" borderId="15" xfId="0" applyNumberFormat="1" applyFont="1" applyFill="1" applyBorder="1" applyAlignment="1" applyProtection="1">
      <alignment vertical="center"/>
      <protection hidden="1"/>
    </xf>
    <xf numFmtId="0" fontId="60" fillId="4" borderId="0" xfId="0" applyFont="1" applyFill="1" applyAlignment="1">
      <alignment vertical="center"/>
    </xf>
    <xf numFmtId="0" fontId="103" fillId="4" borderId="12" xfId="0" applyFont="1" applyFill="1" applyBorder="1" applyAlignment="1" applyProtection="1">
      <alignment vertical="center"/>
      <protection hidden="1"/>
    </xf>
    <xf numFmtId="8" fontId="103" fillId="4" borderId="12" xfId="0" applyNumberFormat="1" applyFont="1" applyFill="1" applyBorder="1" applyAlignment="1" applyProtection="1">
      <alignment vertical="center"/>
      <protection hidden="1"/>
    </xf>
    <xf numFmtId="8" fontId="103" fillId="4" borderId="42" xfId="0" applyNumberFormat="1" applyFont="1" applyFill="1" applyBorder="1" applyAlignment="1" applyProtection="1">
      <alignment vertical="center"/>
      <protection hidden="1"/>
    </xf>
    <xf numFmtId="0" fontId="88" fillId="4" borderId="21" xfId="0" applyFont="1" applyFill="1" applyBorder="1" applyAlignment="1">
      <alignment horizontal="center" vertical="center"/>
    </xf>
    <xf numFmtId="0" fontId="0" fillId="4" borderId="83" xfId="0" applyFill="1" applyBorder="1" applyAlignment="1">
      <alignment horizontal="center" vertical="center"/>
    </xf>
    <xf numFmtId="0" fontId="120" fillId="4" borderId="24" xfId="0" applyFont="1" applyFill="1" applyBorder="1" applyAlignment="1" applyProtection="1">
      <alignment horizontal="center" vertical="center"/>
      <protection hidden="1"/>
    </xf>
    <xf numFmtId="0" fontId="120" fillId="4" borderId="22" xfId="0" applyFont="1" applyFill="1" applyBorder="1" applyAlignment="1" applyProtection="1">
      <alignment horizontal="center" vertical="center"/>
      <protection hidden="1"/>
    </xf>
    <xf numFmtId="0" fontId="147" fillId="4" borderId="4" xfId="2" applyNumberFormat="1" applyFont="1" applyFill="1" applyBorder="1" applyAlignment="1" applyProtection="1">
      <alignment horizontal="right" vertical="center"/>
    </xf>
    <xf numFmtId="0" fontId="62" fillId="4" borderId="4" xfId="2" applyNumberFormat="1" applyFill="1" applyBorder="1" applyAlignment="1" applyProtection="1">
      <alignment horizontal="right" vertical="center"/>
    </xf>
    <xf numFmtId="0" fontId="142" fillId="4" borderId="4" xfId="0" applyFont="1" applyFill="1" applyBorder="1" applyAlignment="1">
      <alignment horizontal="right" vertical="center"/>
    </xf>
    <xf numFmtId="0" fontId="0" fillId="4" borderId="13" xfId="0" applyFill="1" applyBorder="1" applyAlignment="1">
      <alignment horizontal="right" vertical="center"/>
    </xf>
    <xf numFmtId="10" fontId="101" fillId="4" borderId="3" xfId="3" applyNumberFormat="1" applyFont="1" applyFill="1" applyBorder="1" applyAlignment="1" applyProtection="1">
      <alignment horizontal="center" vertical="center"/>
      <protection hidden="1"/>
    </xf>
    <xf numFmtId="0" fontId="105" fillId="4" borderId="3" xfId="0" applyFont="1" applyFill="1" applyBorder="1" applyAlignment="1" applyProtection="1">
      <alignment horizontal="center" vertical="center"/>
      <protection hidden="1"/>
    </xf>
    <xf numFmtId="4" fontId="43" fillId="0" borderId="0" xfId="0" applyNumberFormat="1" applyFont="1"/>
    <xf numFmtId="4" fontId="198" fillId="0" borderId="0" xfId="0" applyNumberFormat="1" applyFont="1"/>
    <xf numFmtId="4" fontId="198" fillId="9" borderId="0" xfId="0" applyNumberFormat="1" applyFont="1" applyFill="1"/>
    <xf numFmtId="167" fontId="198" fillId="0" borderId="0" xfId="0" applyNumberFormat="1" applyFont="1" applyAlignment="1">
      <alignment horizontal="center"/>
    </xf>
    <xf numFmtId="0" fontId="101" fillId="4" borderId="4" xfId="0" applyFont="1" applyFill="1" applyBorder="1" applyAlignment="1" applyProtection="1">
      <alignment vertical="center" wrapText="1"/>
      <protection hidden="1"/>
    </xf>
    <xf numFmtId="0" fontId="101"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104" fillId="4" borderId="3" xfId="0" applyNumberFormat="1" applyFont="1" applyFill="1" applyBorder="1" applyAlignment="1" applyProtection="1">
      <alignment horizontal="center" vertical="center"/>
      <protection hidden="1"/>
    </xf>
    <xf numFmtId="0" fontId="99" fillId="9" borderId="65" xfId="0" applyFont="1" applyFill="1" applyBorder="1" applyAlignment="1" applyProtection="1">
      <alignment horizontal="right" vertical="center"/>
      <protection hidden="1"/>
    </xf>
    <xf numFmtId="0" fontId="196" fillId="9" borderId="19" xfId="0" applyFont="1" applyFill="1" applyBorder="1" applyAlignment="1" applyProtection="1">
      <alignment vertical="center"/>
      <protection hidden="1"/>
    </xf>
    <xf numFmtId="0" fontId="196"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57" fillId="4" borderId="38" xfId="0" applyNumberFormat="1" applyFont="1" applyFill="1" applyBorder="1" applyAlignment="1" applyProtection="1">
      <alignment horizontal="center" vertical="center"/>
      <protection hidden="1"/>
    </xf>
    <xf numFmtId="4" fontId="104" fillId="4" borderId="0" xfId="0" applyNumberFormat="1" applyFont="1" applyFill="1" applyAlignment="1" applyProtection="1">
      <alignment horizontal="center" vertical="center" wrapText="1"/>
      <protection hidden="1"/>
    </xf>
    <xf numFmtId="10" fontId="89"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6" fontId="120" fillId="4" borderId="78" xfId="0" applyNumberFormat="1" applyFont="1" applyFill="1" applyBorder="1" applyAlignment="1" applyProtection="1">
      <alignment vertical="center"/>
      <protection hidden="1"/>
    </xf>
    <xf numFmtId="6" fontId="103" fillId="4" borderId="10" xfId="0" applyNumberFormat="1" applyFont="1" applyFill="1" applyBorder="1" applyAlignment="1">
      <alignment vertical="center"/>
    </xf>
    <xf numFmtId="6" fontId="103" fillId="4" borderId="82" xfId="0" applyNumberFormat="1" applyFont="1" applyFill="1" applyBorder="1" applyAlignment="1" applyProtection="1">
      <alignment horizontal="center" vertical="center"/>
      <protection hidden="1"/>
    </xf>
    <xf numFmtId="8" fontId="103" fillId="6" borderId="3" xfId="0" applyNumberFormat="1" applyFont="1" applyFill="1" applyBorder="1" applyAlignment="1" applyProtection="1">
      <alignment vertical="center"/>
      <protection locked="0"/>
    </xf>
    <xf numFmtId="192" fontId="99"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8" fillId="0" borderId="2" xfId="3" applyNumberFormat="1" applyFont="1" applyBorder="1" applyAlignment="1">
      <alignment horizontal="center" vertical="center"/>
    </xf>
    <xf numFmtId="2" fontId="0" fillId="0" borderId="2" xfId="0" applyNumberFormat="1" applyBorder="1"/>
    <xf numFmtId="10" fontId="104" fillId="0" borderId="0" xfId="3" applyNumberFormat="1" applyFont="1" applyFill="1"/>
    <xf numFmtId="0" fontId="104" fillId="0" borderId="19" xfId="0" applyFont="1" applyBorder="1" applyAlignment="1">
      <alignment horizontal="center" vertical="center"/>
    </xf>
    <xf numFmtId="10" fontId="120"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9"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8" fillId="4" borderId="100" xfId="0" applyNumberFormat="1" applyFont="1" applyFill="1" applyBorder="1" applyAlignment="1" applyProtection="1">
      <alignment horizontal="center" vertical="center" wrapText="1"/>
      <protection hidden="1"/>
    </xf>
    <xf numFmtId="8" fontId="99" fillId="0" borderId="142" xfId="0" applyNumberFormat="1" applyFont="1" applyBorder="1" applyAlignment="1" applyProtection="1">
      <alignment horizontal="center" vertical="center" wrapText="1"/>
      <protection locked="0"/>
    </xf>
    <xf numFmtId="8" fontId="99" fillId="0" borderId="65" xfId="0" applyNumberFormat="1" applyFont="1" applyBorder="1" applyAlignment="1" applyProtection="1">
      <alignment horizontal="center" vertical="center" wrapText="1"/>
      <protection locked="0"/>
    </xf>
    <xf numFmtId="10" fontId="99" fillId="4" borderId="141" xfId="3" applyNumberFormat="1" applyFont="1" applyFill="1" applyBorder="1" applyAlignment="1" applyProtection="1">
      <alignment horizontal="center" vertical="center" wrapText="1"/>
      <protection locked="0"/>
    </xf>
    <xf numFmtId="9" fontId="99" fillId="4" borderId="141" xfId="3" applyFont="1" applyFill="1" applyBorder="1" applyAlignment="1" applyProtection="1">
      <alignment horizontal="center" vertical="center" wrapText="1"/>
      <protection locked="0"/>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62"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9" fillId="4" borderId="63" xfId="0" applyFont="1" applyFill="1" applyBorder="1" applyProtection="1">
      <protection hidden="1"/>
    </xf>
    <xf numFmtId="0" fontId="62" fillId="4" borderId="4" xfId="2" applyNumberFormat="1" applyFill="1" applyBorder="1" applyAlignment="1" applyProtection="1">
      <alignment horizontal="right"/>
      <protection hidden="1"/>
    </xf>
    <xf numFmtId="0" fontId="163" fillId="4" borderId="4" xfId="0" applyFont="1" applyFill="1" applyBorder="1" applyAlignment="1" applyProtection="1">
      <alignment horizontal="right"/>
      <protection hidden="1"/>
    </xf>
    <xf numFmtId="0" fontId="194" fillId="4" borderId="19" xfId="2" applyNumberFormat="1" applyFont="1" applyFill="1" applyBorder="1" applyAlignment="1" applyProtection="1">
      <alignment horizontal="right"/>
      <protection hidden="1"/>
    </xf>
    <xf numFmtId="0" fontId="99" fillId="4" borderId="156" xfId="0" applyFont="1" applyFill="1" applyBorder="1" applyAlignment="1" applyProtection="1">
      <alignment horizontal="right"/>
      <protection hidden="1"/>
    </xf>
    <xf numFmtId="0" fontId="99" fillId="4" borderId="26" xfId="0" applyFont="1" applyFill="1" applyBorder="1" applyAlignment="1" applyProtection="1">
      <alignment horizontal="right"/>
      <protection hidden="1"/>
    </xf>
    <xf numFmtId="0" fontId="62" fillId="4" borderId="4" xfId="2" applyNumberFormat="1" applyFill="1" applyBorder="1" applyAlignment="1" applyProtection="1">
      <alignment horizontal="right" vertical="center" wrapText="1"/>
      <protection hidden="1"/>
    </xf>
    <xf numFmtId="0" fontId="121"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104"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21" fillId="4" borderId="6" xfId="0" applyFont="1" applyFill="1" applyBorder="1" applyAlignment="1" applyProtection="1">
      <alignment horizontal="center" vertical="center"/>
      <protection hidden="1"/>
    </xf>
    <xf numFmtId="8" fontId="121" fillId="4" borderId="152" xfId="0" applyNumberFormat="1" applyFont="1" applyFill="1" applyBorder="1" applyProtection="1">
      <protection hidden="1"/>
    </xf>
    <xf numFmtId="0" fontId="121"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103"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104" fillId="4" borderId="130" xfId="0" applyNumberFormat="1" applyFont="1" applyFill="1" applyBorder="1" applyAlignment="1" applyProtection="1">
      <alignment horizontal="center" vertical="center"/>
      <protection hidden="1"/>
    </xf>
    <xf numFmtId="8" fontId="104"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9" fillId="4" borderId="130" xfId="0" applyNumberFormat="1" applyFont="1" applyFill="1" applyBorder="1" applyAlignment="1" applyProtection="1">
      <alignment horizontal="center"/>
      <protection hidden="1"/>
    </xf>
    <xf numFmtId="8" fontId="163" fillId="4" borderId="130" xfId="0" applyNumberFormat="1" applyFont="1" applyFill="1" applyBorder="1" applyAlignment="1" applyProtection="1">
      <alignment horizontal="center"/>
      <protection hidden="1"/>
    </xf>
    <xf numFmtId="8" fontId="104" fillId="4" borderId="2" xfId="0" applyNumberFormat="1" applyFont="1" applyFill="1" applyBorder="1" applyAlignment="1" applyProtection="1">
      <alignment wrapText="1"/>
      <protection hidden="1"/>
    </xf>
    <xf numFmtId="0" fontId="99" fillId="4" borderId="2" xfId="0" applyFont="1" applyFill="1" applyBorder="1" applyProtection="1">
      <protection hidden="1"/>
    </xf>
    <xf numFmtId="0" fontId="0" fillId="4" borderId="106" xfId="0" applyFill="1" applyBorder="1" applyProtection="1">
      <protection hidden="1"/>
    </xf>
    <xf numFmtId="8" fontId="99"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63"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9" fillId="4" borderId="10" xfId="0" applyFont="1" applyFill="1" applyBorder="1" applyProtection="1">
      <protection hidden="1"/>
    </xf>
    <xf numFmtId="0" fontId="0" fillId="4" borderId="158" xfId="0" applyFill="1" applyBorder="1" applyProtection="1">
      <protection hidden="1"/>
    </xf>
    <xf numFmtId="8" fontId="99" fillId="4" borderId="109" xfId="0" applyNumberFormat="1" applyFont="1" applyFill="1" applyBorder="1" applyAlignment="1" applyProtection="1">
      <alignment horizontal="center"/>
      <protection hidden="1"/>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63" fillId="18" borderId="2" xfId="0" applyFont="1" applyFill="1" applyBorder="1" applyAlignment="1">
      <alignment horizontal="center" vertical="center"/>
    </xf>
    <xf numFmtId="0" fontId="63" fillId="23" borderId="2" xfId="0" applyFont="1" applyFill="1" applyBorder="1" applyAlignment="1">
      <alignment horizontal="center" vertical="center"/>
    </xf>
    <xf numFmtId="10" fontId="0" fillId="0" borderId="0" xfId="0" applyNumberFormat="1" applyProtection="1">
      <protection locked="0"/>
    </xf>
    <xf numFmtId="14" fontId="103" fillId="4" borderId="3" xfId="0" applyNumberFormat="1" applyFont="1" applyFill="1" applyBorder="1" applyAlignment="1" applyProtection="1">
      <alignment horizontal="center" vertical="center"/>
      <protection hidden="1"/>
    </xf>
    <xf numFmtId="2" fontId="103" fillId="4" borderId="3" xfId="0" applyNumberFormat="1" applyFont="1" applyFill="1" applyBorder="1" applyAlignment="1" applyProtection="1">
      <alignment horizontal="center" vertical="center"/>
      <protection hidden="1"/>
    </xf>
    <xf numFmtId="6" fontId="103" fillId="4" borderId="3" xfId="0" applyNumberFormat="1" applyFont="1" applyFill="1" applyBorder="1" applyAlignment="1" applyProtection="1">
      <alignment horizontal="center" vertical="center"/>
      <protection hidden="1"/>
    </xf>
    <xf numFmtId="190" fontId="0" fillId="0" borderId="0" xfId="0" applyNumberFormat="1"/>
    <xf numFmtId="0" fontId="120" fillId="4" borderId="44" xfId="0" applyFont="1" applyFill="1" applyBorder="1" applyAlignment="1" applyProtection="1">
      <alignment horizontal="center" vertical="center" wrapText="1"/>
      <protection hidden="1"/>
    </xf>
    <xf numFmtId="0" fontId="111" fillId="0" borderId="0" xfId="0" applyFont="1" applyAlignment="1">
      <alignment horizontal="center" vertical="center" wrapText="1"/>
    </xf>
    <xf numFmtId="0" fontId="111" fillId="4" borderId="2" xfId="0" applyFont="1" applyFill="1" applyBorder="1" applyAlignment="1">
      <alignment horizontal="center" vertical="center" wrapText="1"/>
    </xf>
    <xf numFmtId="0" fontId="111" fillId="0" borderId="2" xfId="0" applyFont="1" applyBorder="1" applyAlignment="1">
      <alignment horizontal="center" vertical="center" wrapText="1"/>
    </xf>
    <xf numFmtId="0" fontId="111" fillId="0" borderId="2" xfId="0" applyFont="1" applyBorder="1" applyAlignment="1">
      <alignment horizontal="left" vertical="center" wrapText="1"/>
    </xf>
    <xf numFmtId="14" fontId="101" fillId="0" borderId="2" xfId="0" applyNumberFormat="1" applyFont="1" applyBorder="1" applyAlignment="1">
      <alignment horizontal="center" vertical="center" wrapText="1"/>
    </xf>
    <xf numFmtId="0" fontId="202"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27" fillId="4" borderId="141" xfId="0" applyNumberFormat="1" applyFont="1" applyFill="1" applyBorder="1" applyAlignment="1" applyProtection="1">
      <alignment horizontal="center" vertical="center" wrapText="1"/>
      <protection hidden="1"/>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106" fillId="4" borderId="0" xfId="0" applyFont="1" applyFill="1" applyAlignment="1">
      <alignment vertical="center"/>
    </xf>
    <xf numFmtId="2" fontId="88" fillId="4" borderId="2" xfId="0" applyNumberFormat="1" applyFont="1" applyFill="1" applyBorder="1" applyAlignment="1" applyProtection="1">
      <alignment horizontal="center" vertical="center"/>
      <protection hidden="1"/>
    </xf>
    <xf numFmtId="2" fontId="88" fillId="4" borderId="3" xfId="0" applyNumberFormat="1" applyFont="1" applyFill="1" applyBorder="1" applyAlignment="1" applyProtection="1">
      <alignment horizontal="center" vertical="center"/>
      <protection hidden="1"/>
    </xf>
    <xf numFmtId="185" fontId="99" fillId="0" borderId="11" xfId="0" applyNumberFormat="1" applyFont="1" applyBorder="1" applyAlignment="1" applyProtection="1">
      <alignment horizontal="center" vertical="center"/>
      <protection locked="0"/>
    </xf>
    <xf numFmtId="0" fontId="205"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75" fillId="0" borderId="65" xfId="0" applyFont="1" applyBorder="1" applyAlignment="1" applyProtection="1">
      <alignment horizontal="right" vertical="center" wrapText="1"/>
      <protection hidden="1"/>
    </xf>
    <xf numFmtId="8" fontId="75" fillId="0" borderId="112" xfId="3" applyNumberFormat="1" applyFont="1" applyBorder="1" applyAlignment="1" applyProtection="1">
      <alignment horizontal="center" vertical="center" wrapText="1"/>
      <protection hidden="1"/>
    </xf>
    <xf numFmtId="0" fontId="99"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65" fillId="4" borderId="124" xfId="2" applyNumberFormat="1" applyFont="1" applyFill="1" applyBorder="1" applyAlignment="1" applyProtection="1">
      <alignment horizontal="center" vertical="center"/>
      <protection hidden="1"/>
    </xf>
    <xf numFmtId="0" fontId="165" fillId="4" borderId="20" xfId="2" applyNumberFormat="1" applyFont="1" applyFill="1" applyBorder="1" applyAlignment="1" applyProtection="1">
      <alignment horizontal="center" vertical="center"/>
      <protection hidden="1"/>
    </xf>
    <xf numFmtId="0" fontId="169" fillId="0" borderId="0" xfId="2" applyNumberFormat="1" applyFont="1" applyBorder="1" applyAlignment="1" applyProtection="1">
      <alignment vertical="center" wrapText="1"/>
    </xf>
    <xf numFmtId="0" fontId="120" fillId="4" borderId="2" xfId="0" applyFont="1" applyFill="1" applyBorder="1" applyAlignment="1" applyProtection="1">
      <alignment horizontal="center" vertical="center" wrapText="1"/>
      <protection locked="0"/>
    </xf>
    <xf numFmtId="0" fontId="99" fillId="4" borderId="2" xfId="0" applyFont="1" applyFill="1" applyBorder="1" applyAlignment="1" applyProtection="1">
      <alignment horizontal="center" vertical="center" wrapText="1"/>
      <protection locked="0"/>
    </xf>
    <xf numFmtId="0" fontId="101" fillId="0" borderId="0" xfId="0" applyFont="1" applyAlignment="1">
      <alignment vertical="center" wrapText="1"/>
    </xf>
    <xf numFmtId="0" fontId="106" fillId="0" borderId="0" xfId="0" applyFont="1" applyAlignment="1">
      <alignment vertical="center" wrapText="1"/>
    </xf>
    <xf numFmtId="8" fontId="85" fillId="2" borderId="36" xfId="8" applyNumberFormat="1" applyFont="1" applyFill="1" applyBorder="1" applyAlignment="1" applyProtection="1">
      <alignment horizontal="center" vertical="center" wrapText="1"/>
      <protection locked="0"/>
    </xf>
    <xf numFmtId="0" fontId="101" fillId="4" borderId="0" xfId="0" applyFont="1" applyFill="1" applyAlignment="1">
      <alignment vertical="center"/>
    </xf>
    <xf numFmtId="8" fontId="101" fillId="18" borderId="2" xfId="0" applyNumberFormat="1" applyFont="1" applyFill="1" applyBorder="1" applyAlignment="1">
      <alignment vertical="center"/>
    </xf>
    <xf numFmtId="8" fontId="101" fillId="23" borderId="2" xfId="0" applyNumberFormat="1" applyFont="1" applyFill="1" applyBorder="1" applyAlignment="1">
      <alignment vertical="center"/>
    </xf>
    <xf numFmtId="0" fontId="212" fillId="0" borderId="2" xfId="0" applyFont="1" applyBorder="1" applyAlignment="1" applyProtection="1">
      <alignment horizontal="center" vertical="center"/>
      <protection locked="0"/>
    </xf>
    <xf numFmtId="8" fontId="212" fillId="0" borderId="2" xfId="0" applyNumberFormat="1" applyFont="1" applyBorder="1" applyAlignment="1" applyProtection="1">
      <alignment horizontal="center" vertical="center"/>
      <protection locked="0"/>
    </xf>
    <xf numFmtId="2" fontId="61" fillId="22" borderId="0" xfId="0" applyNumberFormat="1" applyFont="1" applyFill="1"/>
    <xf numFmtId="0" fontId="101" fillId="0" borderId="2" xfId="0" applyFont="1" applyBorder="1" applyAlignment="1">
      <alignment horizontal="center" vertical="center"/>
    </xf>
    <xf numFmtId="6" fontId="101" fillId="18" borderId="2" xfId="0" applyNumberFormat="1" applyFont="1" applyFill="1" applyBorder="1" applyAlignment="1">
      <alignment vertical="center"/>
    </xf>
    <xf numFmtId="14" fontId="211" fillId="0" borderId="2" xfId="0" applyNumberFormat="1" applyFont="1" applyBorder="1" applyAlignment="1" applyProtection="1">
      <alignment horizontal="center" vertical="center"/>
      <protection locked="0" hidden="1"/>
    </xf>
    <xf numFmtId="0" fontId="101" fillId="4" borderId="0" xfId="0" applyFont="1" applyFill="1" applyAlignment="1">
      <alignment horizontal="center"/>
    </xf>
    <xf numFmtId="0" fontId="0" fillId="4" borderId="68" xfId="0" applyFill="1" applyBorder="1" applyAlignment="1" applyProtection="1">
      <alignment horizontal="left" vertical="center"/>
      <protection hidden="1"/>
    </xf>
    <xf numFmtId="0" fontId="104"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9" fillId="0" borderId="4" xfId="0" applyNumberFormat="1" applyFont="1" applyBorder="1" applyAlignment="1">
      <alignment horizontal="center"/>
    </xf>
    <xf numFmtId="14" fontId="99" fillId="0" borderId="186" xfId="0" applyNumberFormat="1" applyFont="1" applyBorder="1" applyAlignment="1">
      <alignment horizontal="center"/>
    </xf>
    <xf numFmtId="175" fontId="0" fillId="0" borderId="4" xfId="0" applyNumberFormat="1" applyBorder="1" applyAlignment="1">
      <alignment horizontal="center" wrapText="1"/>
    </xf>
    <xf numFmtId="0" fontId="213" fillId="0" borderId="0" xfId="0" applyFont="1"/>
    <xf numFmtId="0" fontId="62" fillId="4" borderId="20" xfId="2" applyNumberFormat="1" applyFill="1" applyBorder="1" applyAlignment="1" applyProtection="1">
      <alignment horizontal="center" vertical="center" wrapText="1"/>
    </xf>
    <xf numFmtId="0" fontId="95" fillId="4" borderId="65" xfId="0" applyFont="1" applyFill="1" applyBorder="1" applyAlignment="1" applyProtection="1">
      <alignment horizontal="center" vertical="center" wrapText="1"/>
      <protection hidden="1"/>
    </xf>
    <xf numFmtId="10" fontId="99"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76" fillId="4" borderId="15" xfId="0" applyFont="1" applyFill="1" applyBorder="1" applyProtection="1">
      <protection hidden="1"/>
    </xf>
    <xf numFmtId="0" fontId="76" fillId="4" borderId="15" xfId="0" applyFont="1" applyFill="1" applyBorder="1"/>
    <xf numFmtId="0" fontId="105" fillId="23" borderId="2" xfId="0" applyFont="1" applyFill="1" applyBorder="1" applyAlignment="1">
      <alignment horizontal="center" vertical="center"/>
    </xf>
    <xf numFmtId="0" fontId="105" fillId="18" borderId="2" xfId="0" applyFont="1" applyFill="1" applyBorder="1" applyAlignment="1">
      <alignment horizontal="center" vertical="center"/>
    </xf>
    <xf numFmtId="0" fontId="101" fillId="4" borderId="0" xfId="0" applyFont="1" applyFill="1" applyAlignment="1">
      <alignment vertical="center" textRotation="180"/>
    </xf>
    <xf numFmtId="6" fontId="101"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104" fillId="4" borderId="3" xfId="0" applyNumberFormat="1" applyFont="1" applyFill="1" applyBorder="1" applyAlignment="1" applyProtection="1">
      <alignment horizontal="center" vertical="center"/>
      <protection hidden="1"/>
    </xf>
    <xf numFmtId="10" fontId="104"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75" fillId="4" borderId="0" xfId="0" applyFont="1" applyFill="1" applyAlignment="1">
      <alignment horizontal="left" wrapText="1"/>
    </xf>
    <xf numFmtId="0" fontId="57" fillId="4" borderId="115" xfId="0" applyFont="1" applyFill="1" applyBorder="1" applyAlignment="1" applyProtection="1">
      <alignment horizontal="center" wrapText="1"/>
      <protection hidden="1"/>
    </xf>
    <xf numFmtId="0" fontId="89" fillId="4" borderId="193" xfId="0" applyFont="1" applyFill="1" applyBorder="1" applyAlignment="1">
      <alignment horizontal="center"/>
    </xf>
    <xf numFmtId="14" fontId="105"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62" fillId="4" borderId="18" xfId="2" applyNumberFormat="1" applyFill="1" applyBorder="1" applyAlignment="1" applyProtection="1">
      <alignment vertical="center"/>
      <protection hidden="1"/>
    </xf>
    <xf numFmtId="14" fontId="218" fillId="0" borderId="2" xfId="0" applyNumberFormat="1" applyFont="1" applyBorder="1" applyAlignment="1" applyProtection="1">
      <alignment horizontal="center" vertical="center"/>
      <protection locked="0"/>
    </xf>
    <xf numFmtId="0" fontId="104" fillId="4" borderId="25" xfId="0" applyFont="1" applyFill="1" applyBorder="1" applyAlignment="1" applyProtection="1">
      <alignment horizontal="right" vertical="center" wrapText="1"/>
      <protection hidden="1"/>
    </xf>
    <xf numFmtId="0" fontId="138" fillId="12" borderId="17" xfId="0" applyFont="1" applyFill="1" applyBorder="1" applyAlignment="1" applyProtection="1">
      <alignment vertical="center" wrapText="1"/>
      <protection hidden="1"/>
    </xf>
    <xf numFmtId="14" fontId="101"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103"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9"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9"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9" fillId="0" borderId="2" xfId="3" applyNumberFormat="1" applyFont="1" applyBorder="1"/>
    <xf numFmtId="176" fontId="219" fillId="0" borderId="2" xfId="3" applyNumberFormat="1" applyFont="1" applyBorder="1" applyAlignment="1">
      <alignment horizontal="center" vertical="center"/>
    </xf>
    <xf numFmtId="0" fontId="210" fillId="0" borderId="2" xfId="0" applyFont="1" applyBorder="1" applyAlignment="1">
      <alignment horizontal="center" vertical="center"/>
    </xf>
    <xf numFmtId="0" fontId="221" fillId="28" borderId="201" xfId="0" applyFont="1" applyFill="1" applyBorder="1" applyAlignment="1">
      <alignment horizontal="right" vertical="center"/>
    </xf>
    <xf numFmtId="0" fontId="210" fillId="0" borderId="204" xfId="0" applyFont="1" applyBorder="1"/>
    <xf numFmtId="0" fontId="101" fillId="0" borderId="2" xfId="0" applyFont="1" applyBorder="1" applyAlignment="1">
      <alignment horizontal="center"/>
    </xf>
    <xf numFmtId="0" fontId="101" fillId="0" borderId="2" xfId="0" applyFont="1" applyBorder="1" applyAlignment="1">
      <alignment horizontal="center" wrapText="1"/>
    </xf>
    <xf numFmtId="9" fontId="101" fillId="0" borderId="2" xfId="0" applyNumberFormat="1" applyFont="1" applyBorder="1" applyAlignment="1">
      <alignment horizontal="center"/>
    </xf>
    <xf numFmtId="0" fontId="101" fillId="0" borderId="2" xfId="0" applyFont="1" applyBorder="1"/>
    <xf numFmtId="0" fontId="210" fillId="0" borderId="10" xfId="0" applyFont="1" applyBorder="1"/>
    <xf numFmtId="14" fontId="220" fillId="0" borderId="2" xfId="0" applyNumberFormat="1" applyFont="1" applyBorder="1" applyAlignment="1">
      <alignment horizontal="center"/>
    </xf>
    <xf numFmtId="9" fontId="220" fillId="0" borderId="2" xfId="0" applyNumberFormat="1" applyFont="1" applyBorder="1" applyAlignment="1">
      <alignment horizontal="center"/>
    </xf>
    <xf numFmtId="14" fontId="210" fillId="0" borderId="10" xfId="0" applyNumberFormat="1" applyFont="1" applyBorder="1" applyAlignment="1">
      <alignment horizontal="center" vertical="center"/>
    </xf>
    <xf numFmtId="10" fontId="220" fillId="0" borderId="2" xfId="0" applyNumberFormat="1" applyFont="1" applyBorder="1" applyAlignment="1">
      <alignment horizontal="center"/>
    </xf>
    <xf numFmtId="10" fontId="101" fillId="0" borderId="2" xfId="0" applyNumberFormat="1" applyFont="1" applyBorder="1" applyAlignment="1">
      <alignment horizontal="center"/>
    </xf>
    <xf numFmtId="176" fontId="101" fillId="0" borderId="2" xfId="3" applyNumberFormat="1" applyFont="1" applyFill="1" applyBorder="1" applyAlignment="1">
      <alignment horizontal="center"/>
    </xf>
    <xf numFmtId="0" fontId="220" fillId="0" borderId="2" xfId="0" applyFont="1" applyBorder="1" applyAlignment="1">
      <alignment horizontal="center"/>
    </xf>
    <xf numFmtId="0" fontId="210" fillId="0" borderId="10" xfId="0" applyFont="1" applyBorder="1" applyAlignment="1">
      <alignment horizontal="center" vertical="center"/>
    </xf>
    <xf numFmtId="167" fontId="101" fillId="0" borderId="0" xfId="0" applyNumberFormat="1" applyFont="1"/>
    <xf numFmtId="14" fontId="221" fillId="0" borderId="198" xfId="0" applyNumberFormat="1" applyFont="1" applyBorder="1" applyAlignment="1">
      <alignment horizontal="left" vertical="top"/>
    </xf>
    <xf numFmtId="0" fontId="221" fillId="0" borderId="199" xfId="0" applyFont="1" applyBorder="1" applyAlignment="1">
      <alignment horizontal="right" vertical="center"/>
    </xf>
    <xf numFmtId="0" fontId="221" fillId="0" borderId="200" xfId="0" applyFont="1" applyBorder="1" applyAlignment="1">
      <alignment horizontal="right" vertical="center"/>
    </xf>
    <xf numFmtId="0" fontId="221" fillId="0" borderId="202" xfId="0" applyFont="1" applyBorder="1" applyAlignment="1">
      <alignment horizontal="right" vertical="center"/>
    </xf>
    <xf numFmtId="0" fontId="210" fillId="0" borderId="203" xfId="0" applyFont="1" applyBorder="1"/>
    <xf numFmtId="0" fontId="106" fillId="4" borderId="23" xfId="0" applyFont="1" applyFill="1" applyBorder="1" applyProtection="1">
      <protection hidden="1"/>
    </xf>
    <xf numFmtId="179" fontId="0" fillId="0" borderId="2" xfId="0" applyNumberFormat="1" applyBorder="1" applyAlignment="1">
      <alignment horizontal="center" vertical="center"/>
    </xf>
    <xf numFmtId="6" fontId="101" fillId="4" borderId="0" xfId="0" applyNumberFormat="1" applyFont="1" applyFill="1" applyAlignment="1">
      <alignment vertical="center"/>
    </xf>
    <xf numFmtId="178" fontId="124" fillId="0" borderId="0" xfId="0" applyNumberFormat="1" applyFont="1" applyAlignment="1">
      <alignment horizontal="center" vertical="center"/>
    </xf>
    <xf numFmtId="178" fontId="51" fillId="0" borderId="0" xfId="0" applyNumberFormat="1" applyFont="1" applyAlignment="1">
      <alignment horizontal="center"/>
    </xf>
    <xf numFmtId="178" fontId="126" fillId="0" borderId="0" xfId="0" applyNumberFormat="1" applyFont="1" applyAlignment="1">
      <alignment horizontal="center"/>
    </xf>
    <xf numFmtId="178" fontId="52" fillId="0" borderId="0" xfId="0" applyNumberFormat="1" applyFont="1" applyAlignment="1">
      <alignment horizontal="center"/>
    </xf>
    <xf numFmtId="10" fontId="98"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9" fillId="0" borderId="0" xfId="0" applyNumberFormat="1" applyFont="1" applyAlignment="1" applyProtection="1">
      <alignment horizontal="center" vertical="center" wrapText="1"/>
      <protection locked="0"/>
    </xf>
    <xf numFmtId="14" fontId="153"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9" fillId="4" borderId="30" xfId="0" applyFont="1" applyFill="1" applyBorder="1" applyAlignment="1" applyProtection="1">
      <alignment horizontal="left" vertical="center"/>
      <protection hidden="1"/>
    </xf>
    <xf numFmtId="0" fontId="99"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11" fillId="0" borderId="130" xfId="0" applyNumberFormat="1" applyFont="1" applyBorder="1" applyAlignment="1" applyProtection="1">
      <alignment horizontal="center" vertical="center"/>
      <protection locked="0"/>
    </xf>
    <xf numFmtId="0" fontId="105"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105" fillId="4" borderId="22" xfId="0" applyNumberFormat="1" applyFont="1" applyFill="1" applyBorder="1" applyAlignment="1" applyProtection="1">
      <alignment horizontal="center" vertical="center" wrapText="1"/>
      <protection hidden="1"/>
    </xf>
    <xf numFmtId="0" fontId="99" fillId="4" borderId="63" xfId="0" applyFont="1" applyFill="1" applyBorder="1" applyAlignment="1" applyProtection="1">
      <alignment horizontal="right" vertical="center" wrapText="1"/>
      <protection hidden="1"/>
    </xf>
    <xf numFmtId="14" fontId="89"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27"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14" fillId="0" borderId="2" xfId="0" applyNumberFormat="1" applyFont="1" applyBorder="1" applyAlignment="1" applyProtection="1">
      <alignment vertical="center"/>
      <protection locked="0"/>
    </xf>
    <xf numFmtId="0" fontId="99" fillId="0" borderId="0" xfId="0" quotePrefix="1" applyFont="1"/>
    <xf numFmtId="167" fontId="0" fillId="0" borderId="2" xfId="0" applyNumberFormat="1" applyBorder="1" applyAlignment="1">
      <alignment vertical="center"/>
    </xf>
    <xf numFmtId="14" fontId="88"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147" fillId="9" borderId="57" xfId="2" applyNumberFormat="1" applyFont="1" applyFill="1" applyBorder="1" applyAlignment="1" applyProtection="1">
      <alignment horizontal="center" vertical="center" wrapText="1"/>
      <protection hidden="1"/>
    </xf>
    <xf numFmtId="14" fontId="101" fillId="23" borderId="207" xfId="0" applyNumberFormat="1" applyFont="1" applyFill="1" applyBorder="1" applyAlignment="1" applyProtection="1">
      <alignment horizontal="center" vertical="center"/>
      <protection hidden="1"/>
    </xf>
    <xf numFmtId="0" fontId="101" fillId="18" borderId="2" xfId="0" applyFont="1" applyFill="1" applyBorder="1" applyAlignment="1" applyProtection="1">
      <alignment horizontal="center" vertical="center"/>
      <protection hidden="1"/>
    </xf>
    <xf numFmtId="0" fontId="101" fillId="23" borderId="2" xfId="0" applyFont="1" applyFill="1" applyBorder="1" applyAlignment="1" applyProtection="1">
      <alignment horizontal="center" vertical="center"/>
      <protection hidden="1"/>
    </xf>
    <xf numFmtId="0" fontId="101" fillId="23" borderId="130" xfId="0" applyFont="1" applyFill="1" applyBorder="1" applyAlignment="1" applyProtection="1">
      <alignment horizontal="center" vertical="center"/>
      <protection hidden="1"/>
    </xf>
    <xf numFmtId="14" fontId="85"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14" fontId="153"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8"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101" fillId="0" borderId="0" xfId="0" applyNumberFormat="1" applyFont="1" applyAlignment="1" applyProtection="1">
      <alignment horizontal="center" vertical="center"/>
      <protection locked="0"/>
    </xf>
    <xf numFmtId="14" fontId="101" fillId="18" borderId="184" xfId="0" applyNumberFormat="1" applyFont="1" applyFill="1" applyBorder="1" applyAlignment="1" applyProtection="1">
      <alignment horizontal="center" vertical="center"/>
      <protection hidden="1"/>
    </xf>
    <xf numFmtId="9" fontId="104" fillId="4" borderId="0" xfId="3" applyFont="1" applyFill="1" applyAlignment="1">
      <alignment vertical="center"/>
    </xf>
    <xf numFmtId="0" fontId="228" fillId="0" borderId="0" xfId="0" applyFont="1"/>
    <xf numFmtId="0" fontId="212" fillId="0" borderId="170" xfId="0" applyFont="1" applyBorder="1" applyAlignment="1" applyProtection="1">
      <alignment horizontal="center" vertical="center"/>
      <protection locked="0"/>
    </xf>
    <xf numFmtId="0" fontId="212" fillId="0" borderId="131" xfId="0" applyFont="1" applyBorder="1" applyAlignment="1" applyProtection="1">
      <alignment horizontal="center" vertical="center"/>
      <protection locked="0"/>
    </xf>
    <xf numFmtId="8" fontId="114" fillId="0" borderId="33" xfId="0" applyNumberFormat="1" applyFont="1" applyBorder="1" applyAlignment="1" applyProtection="1">
      <alignment vertical="center"/>
      <protection locked="0"/>
    </xf>
    <xf numFmtId="0" fontId="101" fillId="0" borderId="0" xfId="0" applyFont="1" applyAlignment="1">
      <alignment horizontal="left" vertical="center" wrapText="1"/>
    </xf>
    <xf numFmtId="0" fontId="104"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12" fillId="0" borderId="2" xfId="0" applyNumberFormat="1" applyFont="1" applyBorder="1" applyAlignment="1" applyProtection="1">
      <alignment vertical="center"/>
      <protection locked="0"/>
    </xf>
    <xf numFmtId="8" fontId="230" fillId="8" borderId="20" xfId="0" applyNumberFormat="1" applyFont="1" applyFill="1" applyBorder="1" applyAlignment="1" applyProtection="1">
      <alignment horizontal="center" vertical="center"/>
      <protection locked="0"/>
    </xf>
    <xf numFmtId="9" fontId="212" fillId="0" borderId="2" xfId="0" applyNumberFormat="1" applyFont="1" applyBorder="1" applyAlignment="1" applyProtection="1">
      <alignment horizontal="center" vertical="center"/>
      <protection locked="0"/>
    </xf>
    <xf numFmtId="8" fontId="101" fillId="18" borderId="33" xfId="0" applyNumberFormat="1" applyFont="1" applyFill="1" applyBorder="1" applyAlignment="1" applyProtection="1">
      <alignment vertical="center"/>
      <protection hidden="1"/>
    </xf>
    <xf numFmtId="8" fontId="101" fillId="23" borderId="33" xfId="0" applyNumberFormat="1" applyFont="1" applyFill="1" applyBorder="1" applyAlignment="1" applyProtection="1">
      <alignment vertical="center"/>
      <protection hidden="1"/>
    </xf>
    <xf numFmtId="169" fontId="190" fillId="0" borderId="23" xfId="2" applyNumberFormat="1" applyFont="1" applyBorder="1" applyAlignment="1" applyProtection="1">
      <alignment vertical="center"/>
    </xf>
    <xf numFmtId="169" fontId="190" fillId="0" borderId="44" xfId="2" applyNumberFormat="1" applyFont="1" applyBorder="1" applyAlignment="1" applyProtection="1">
      <alignment vertical="center"/>
    </xf>
    <xf numFmtId="169" fontId="190" fillId="0" borderId="0" xfId="2" applyNumberFormat="1" applyFont="1" applyAlignment="1" applyProtection="1">
      <alignment vertical="center"/>
    </xf>
    <xf numFmtId="169" fontId="190"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9"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74" fillId="4" borderId="0" xfId="0" quotePrefix="1" applyNumberFormat="1" applyFont="1" applyFill="1" applyAlignment="1" applyProtection="1">
      <alignment horizontal="center" vertical="center" wrapText="1"/>
      <protection hidden="1"/>
    </xf>
    <xf numFmtId="8" fontId="222" fillId="0" borderId="2" xfId="0" applyNumberFormat="1" applyFont="1" applyBorder="1" applyAlignment="1" applyProtection="1">
      <alignment horizontal="center" vertical="center"/>
      <protection locked="0"/>
    </xf>
    <xf numFmtId="181" fontId="222" fillId="0" borderId="2" xfId="0" applyNumberFormat="1" applyFont="1" applyBorder="1" applyAlignment="1" applyProtection="1">
      <alignment horizontal="center" vertical="center"/>
      <protection locked="0"/>
    </xf>
    <xf numFmtId="10" fontId="212" fillId="0" borderId="2" xfId="0" applyNumberFormat="1" applyFont="1" applyBorder="1" applyAlignment="1" applyProtection="1">
      <alignment horizontal="center" vertical="center"/>
      <protection locked="0"/>
    </xf>
    <xf numFmtId="9" fontId="222" fillId="0" borderId="2" xfId="0" applyNumberFormat="1" applyFont="1" applyBorder="1" applyAlignment="1" applyProtection="1">
      <alignment horizontal="center" vertical="center"/>
      <protection locked="0"/>
    </xf>
    <xf numFmtId="9" fontId="231" fillId="0" borderId="2" xfId="0" applyNumberFormat="1" applyFont="1" applyBorder="1" applyAlignment="1" applyProtection="1">
      <alignment horizontal="center" vertical="center"/>
      <protection locked="0"/>
    </xf>
    <xf numFmtId="10" fontId="212" fillId="0" borderId="131" xfId="0" applyNumberFormat="1" applyFont="1" applyBorder="1" applyAlignment="1" applyProtection="1">
      <alignment horizontal="center" vertical="center"/>
      <protection locked="0"/>
    </xf>
    <xf numFmtId="9" fontId="222" fillId="0" borderId="131" xfId="0" applyNumberFormat="1" applyFont="1" applyBorder="1" applyAlignment="1" applyProtection="1">
      <alignment horizontal="center" vertical="center"/>
      <protection locked="0"/>
    </xf>
    <xf numFmtId="165" fontId="64" fillId="4" borderId="15" xfId="0" applyNumberFormat="1" applyFont="1" applyFill="1" applyBorder="1"/>
    <xf numFmtId="0" fontId="64" fillId="4" borderId="0" xfId="0" quotePrefix="1" applyFont="1" applyFill="1" applyAlignment="1" applyProtection="1">
      <alignment horizontal="center" vertical="center"/>
      <protection hidden="1"/>
    </xf>
    <xf numFmtId="0" fontId="64" fillId="4" borderId="15" xfId="0" applyFont="1" applyFill="1" applyBorder="1"/>
    <xf numFmtId="6" fontId="64" fillId="4" borderId="0" xfId="0" applyNumberFormat="1" applyFont="1" applyFill="1" applyAlignment="1">
      <alignment horizontal="center" vertical="center"/>
    </xf>
    <xf numFmtId="2" fontId="103" fillId="4" borderId="0" xfId="0" applyNumberFormat="1" applyFont="1" applyFill="1" applyAlignment="1">
      <alignment horizontal="center" vertical="center"/>
    </xf>
    <xf numFmtId="2" fontId="62"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75" fillId="0" borderId="2" xfId="3" applyNumberFormat="1" applyFill="1" applyBorder="1"/>
    <xf numFmtId="10" fontId="75" fillId="0" borderId="2" xfId="3" applyNumberFormat="1" applyFill="1" applyBorder="1" applyAlignment="1">
      <alignment vertical="center"/>
    </xf>
    <xf numFmtId="6" fontId="74" fillId="4" borderId="0" xfId="0" applyNumberFormat="1" applyFont="1" applyFill="1" applyAlignment="1" applyProtection="1">
      <alignment horizontal="center" vertical="center" wrapText="1"/>
      <protection hidden="1"/>
    </xf>
    <xf numFmtId="8" fontId="153" fillId="4" borderId="0" xfId="0" applyNumberFormat="1" applyFont="1" applyFill="1" applyAlignment="1">
      <alignment horizontal="center" vertical="center"/>
    </xf>
    <xf numFmtId="6" fontId="153" fillId="4" borderId="0" xfId="0" applyNumberFormat="1" applyFont="1" applyFill="1" applyAlignment="1">
      <alignment horizontal="center" vertical="center"/>
    </xf>
    <xf numFmtId="10" fontId="88" fillId="4" borderId="0" xfId="3" applyNumberFormat="1" applyFont="1" applyFill="1" applyAlignment="1">
      <alignment horizontal="center" vertical="center"/>
    </xf>
    <xf numFmtId="178" fontId="103"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103" fillId="0" borderId="2" xfId="0" applyFont="1" applyBorder="1" applyAlignment="1">
      <alignment vertical="center"/>
    </xf>
    <xf numFmtId="0" fontId="103" fillId="0" borderId="2" xfId="0" applyFont="1" applyBorder="1" applyAlignment="1">
      <alignment horizontal="right" vertical="center"/>
    </xf>
    <xf numFmtId="10" fontId="0" fillId="0" borderId="1" xfId="3" applyNumberFormat="1" applyFont="1" applyBorder="1" applyAlignment="1">
      <alignment vertical="center"/>
    </xf>
    <xf numFmtId="14" fontId="54" fillId="0" borderId="2" xfId="0" applyNumberFormat="1" applyFont="1" applyBorder="1" applyAlignment="1" applyProtection="1">
      <alignment horizontal="center" vertical="center"/>
      <protection locked="0"/>
    </xf>
    <xf numFmtId="0" fontId="54" fillId="4" borderId="2" xfId="0" applyFont="1" applyFill="1" applyBorder="1" applyAlignment="1">
      <alignment horizontal="right" vertical="center" wrapText="1"/>
    </xf>
    <xf numFmtId="180" fontId="54" fillId="4" borderId="2" xfId="0" applyNumberFormat="1" applyFont="1" applyFill="1" applyBorder="1" applyAlignment="1">
      <alignment horizontal="center" vertical="center"/>
    </xf>
    <xf numFmtId="6" fontId="54" fillId="4" borderId="2" xfId="0" applyNumberFormat="1" applyFont="1" applyFill="1" applyBorder="1" applyAlignment="1">
      <alignment horizontal="center" vertical="center"/>
    </xf>
    <xf numFmtId="0" fontId="101" fillId="3" borderId="2" xfId="0" applyFont="1" applyFill="1" applyBorder="1" applyAlignment="1">
      <alignment horizontal="right" vertical="center" wrapText="1"/>
    </xf>
    <xf numFmtId="10" fontId="101" fillId="3" borderId="2" xfId="3" applyNumberFormat="1" applyFont="1" applyFill="1" applyBorder="1" applyAlignment="1">
      <alignment horizontal="center" vertical="center" wrapText="1"/>
    </xf>
    <xf numFmtId="0" fontId="57" fillId="4" borderId="2" xfId="0" applyFont="1" applyFill="1" applyBorder="1" applyAlignment="1" applyProtection="1">
      <alignment horizontal="right" vertical="center" wrapText="1"/>
      <protection hidden="1"/>
    </xf>
    <xf numFmtId="6" fontId="57" fillId="4" borderId="2" xfId="0" applyNumberFormat="1" applyFont="1" applyFill="1" applyBorder="1" applyAlignment="1" applyProtection="1">
      <alignment horizontal="center" vertical="center" wrapText="1"/>
      <protection hidden="1"/>
    </xf>
    <xf numFmtId="9" fontId="57" fillId="4" borderId="2" xfId="0" applyNumberFormat="1" applyFont="1" applyFill="1" applyBorder="1" applyAlignment="1">
      <alignment horizontal="right" vertical="center" wrapText="1"/>
    </xf>
    <xf numFmtId="10" fontId="57" fillId="4" borderId="2" xfId="3" applyNumberFormat="1" applyFont="1" applyFill="1" applyBorder="1" applyAlignment="1">
      <alignment horizontal="center" vertical="center"/>
    </xf>
    <xf numFmtId="6" fontId="89" fillId="4" borderId="2" xfId="0" applyNumberFormat="1" applyFont="1" applyFill="1" applyBorder="1" applyAlignment="1">
      <alignment horizontal="center" vertical="center"/>
    </xf>
    <xf numFmtId="0" fontId="89" fillId="3" borderId="2" xfId="0" applyFont="1" applyFill="1" applyBorder="1" applyAlignment="1">
      <alignment horizontal="right" vertical="center" wrapText="1"/>
    </xf>
    <xf numFmtId="0" fontId="101" fillId="4" borderId="2" xfId="0" applyFont="1" applyFill="1" applyBorder="1" applyAlignment="1">
      <alignment horizontal="right" vertical="center" wrapText="1"/>
    </xf>
    <xf numFmtId="0" fontId="57" fillId="4" borderId="2" xfId="2" applyNumberFormat="1" applyFont="1" applyFill="1" applyBorder="1" applyAlignment="1" applyProtection="1">
      <alignment horizontal="right" vertical="center" wrapText="1"/>
      <protection hidden="1"/>
    </xf>
    <xf numFmtId="0" fontId="54" fillId="4" borderId="2" xfId="0" applyFont="1" applyFill="1" applyBorder="1" applyAlignment="1" applyProtection="1">
      <alignment horizontal="right" vertical="center" wrapText="1"/>
      <protection hidden="1"/>
    </xf>
    <xf numFmtId="180" fontId="57" fillId="4" borderId="2" xfId="0" applyNumberFormat="1" applyFont="1" applyFill="1" applyBorder="1" applyAlignment="1">
      <alignment horizontal="center" vertical="center"/>
    </xf>
    <xf numFmtId="14" fontId="64" fillId="4" borderId="0" xfId="0" applyNumberFormat="1" applyFont="1" applyFill="1" applyAlignment="1">
      <alignment horizontal="center" vertical="center"/>
    </xf>
    <xf numFmtId="10" fontId="88" fillId="4" borderId="0" xfId="3" applyNumberFormat="1" applyFont="1" applyFill="1" applyAlignment="1">
      <alignment vertical="center"/>
    </xf>
    <xf numFmtId="0" fontId="54"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12" fillId="0" borderId="2" xfId="3" applyNumberFormat="1" applyFont="1" applyBorder="1" applyAlignment="1" applyProtection="1">
      <alignment horizontal="center" vertical="center"/>
      <protection locked="0"/>
    </xf>
    <xf numFmtId="6" fontId="101" fillId="18" borderId="33" xfId="0" applyNumberFormat="1" applyFont="1" applyFill="1" applyBorder="1" applyAlignment="1" applyProtection="1">
      <alignment vertical="center"/>
      <protection hidden="1"/>
    </xf>
    <xf numFmtId="6" fontId="101" fillId="23" borderId="218" xfId="0" applyNumberFormat="1" applyFont="1" applyFill="1" applyBorder="1" applyAlignment="1" applyProtection="1">
      <alignment vertical="center"/>
      <protection hidden="1"/>
    </xf>
    <xf numFmtId="6" fontId="101" fillId="18" borderId="2" xfId="0" applyNumberFormat="1" applyFont="1" applyFill="1" applyBorder="1" applyAlignment="1" applyProtection="1">
      <alignment vertical="center"/>
      <protection hidden="1"/>
    </xf>
    <xf numFmtId="6" fontId="101" fillId="23" borderId="130" xfId="0" applyNumberFormat="1" applyFont="1" applyFill="1" applyBorder="1" applyAlignment="1" applyProtection="1">
      <alignment vertical="center"/>
      <protection hidden="1"/>
    </xf>
    <xf numFmtId="183" fontId="75" fillId="0" borderId="6" xfId="3" applyNumberFormat="1" applyFill="1" applyBorder="1" applyAlignment="1">
      <alignment vertical="center"/>
    </xf>
    <xf numFmtId="183" fontId="75" fillId="0" borderId="21" xfId="3" applyNumberFormat="1" applyFill="1" applyBorder="1" applyAlignment="1">
      <alignment vertical="center"/>
    </xf>
    <xf numFmtId="0" fontId="99" fillId="4" borderId="131" xfId="0" applyFont="1" applyFill="1" applyBorder="1" applyAlignment="1" applyProtection="1">
      <alignment horizontal="right" vertical="center"/>
      <protection hidden="1"/>
    </xf>
    <xf numFmtId="6" fontId="101" fillId="4" borderId="175" xfId="0" applyNumberFormat="1" applyFont="1" applyFill="1" applyBorder="1" applyAlignment="1" applyProtection="1">
      <alignment vertical="center"/>
      <protection hidden="1"/>
    </xf>
    <xf numFmtId="6" fontId="101" fillId="4" borderId="132" xfId="0" applyNumberFormat="1" applyFont="1" applyFill="1" applyBorder="1" applyAlignment="1" applyProtection="1">
      <alignment vertical="center"/>
      <protection hidden="1"/>
    </xf>
    <xf numFmtId="9" fontId="101"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104" fillId="12" borderId="17" xfId="0" applyFont="1" applyFill="1" applyBorder="1" applyAlignment="1" applyProtection="1">
      <alignment horizontal="right" vertical="center" wrapText="1"/>
      <protection hidden="1"/>
    </xf>
    <xf numFmtId="14" fontId="99" fillId="12" borderId="228" xfId="0" applyNumberFormat="1" applyFont="1" applyFill="1" applyBorder="1" applyAlignment="1" applyProtection="1">
      <alignment horizontal="right" vertical="center" wrapText="1"/>
      <protection hidden="1"/>
    </xf>
    <xf numFmtId="6" fontId="235"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12" fillId="0" borderId="131" xfId="0" applyNumberFormat="1" applyFont="1" applyBorder="1" applyAlignment="1" applyProtection="1">
      <alignment horizontal="center" vertical="center"/>
      <protection locked="0"/>
    </xf>
    <xf numFmtId="0" fontId="231" fillId="0" borderId="2" xfId="0" applyFont="1" applyBorder="1" applyAlignment="1" applyProtection="1">
      <alignment horizontal="center" vertical="center" wrapText="1"/>
      <protection locked="0"/>
    </xf>
    <xf numFmtId="0" fontId="147"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37" fillId="28" borderId="2" xfId="0" applyNumberFormat="1" applyFont="1" applyFill="1" applyBorder="1" applyAlignment="1">
      <alignment horizontal="center" vertical="top" wrapText="1"/>
    </xf>
    <xf numFmtId="8" fontId="237" fillId="28" borderId="2" xfId="0" applyNumberFormat="1" applyFont="1" applyFill="1" applyBorder="1" applyAlignment="1">
      <alignment horizontal="center" vertical="top" wrapText="1"/>
    </xf>
    <xf numFmtId="10" fontId="237" fillId="28" borderId="2" xfId="0" applyNumberFormat="1" applyFont="1" applyFill="1" applyBorder="1" applyAlignment="1">
      <alignment horizontal="center" vertical="top" wrapText="1"/>
    </xf>
    <xf numFmtId="10" fontId="237" fillId="28"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37" fillId="28" borderId="2" xfId="0" applyNumberFormat="1" applyFont="1" applyFill="1" applyBorder="1" applyAlignment="1">
      <alignment horizontal="center" vertical="center" wrapText="1"/>
    </xf>
    <xf numFmtId="8" fontId="237" fillId="28" borderId="2" xfId="0" applyNumberFormat="1" applyFont="1" applyFill="1" applyBorder="1" applyAlignment="1">
      <alignment horizontal="center" vertical="center" wrapText="1"/>
    </xf>
    <xf numFmtId="10" fontId="237" fillId="28" borderId="2" xfId="0" applyNumberFormat="1" applyFont="1" applyFill="1" applyBorder="1" applyAlignment="1">
      <alignment horizontal="center" vertical="center" wrapText="1"/>
    </xf>
    <xf numFmtId="10" fontId="237" fillId="28"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37" fillId="28" borderId="41" xfId="0" applyNumberFormat="1" applyFont="1" applyFill="1" applyBorder="1" applyAlignment="1">
      <alignment horizontal="center" vertical="center" wrapText="1"/>
    </xf>
    <xf numFmtId="8" fontId="237" fillId="28" borderId="41" xfId="0" applyNumberFormat="1" applyFont="1" applyFill="1" applyBorder="1" applyAlignment="1">
      <alignment horizontal="center" vertical="center" wrapText="1"/>
    </xf>
    <xf numFmtId="10" fontId="237" fillId="28"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87" fillId="25" borderId="229" xfId="0" applyFont="1" applyFill="1" applyBorder="1" applyAlignment="1">
      <alignment horizontal="center" vertical="top" wrapText="1"/>
    </xf>
    <xf numFmtId="0" fontId="187" fillId="25" borderId="0" xfId="0" applyFont="1" applyFill="1" applyAlignment="1">
      <alignment horizontal="center" vertical="top" wrapText="1"/>
    </xf>
    <xf numFmtId="0" fontId="187" fillId="25" borderId="230" xfId="0" applyFont="1" applyFill="1" applyBorder="1" applyAlignment="1">
      <alignment horizontal="center" vertical="top" wrapText="1"/>
    </xf>
    <xf numFmtId="0" fontId="187" fillId="25" borderId="190" xfId="0" applyFont="1" applyFill="1" applyBorder="1" applyAlignment="1">
      <alignment horizontal="center" vertical="top" wrapText="1"/>
    </xf>
    <xf numFmtId="0" fontId="35"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14"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101" fillId="9" borderId="2" xfId="0" applyFont="1" applyFill="1" applyBorder="1" applyAlignment="1">
      <alignment horizontal="center" vertical="center"/>
    </xf>
    <xf numFmtId="0" fontId="0" fillId="4" borderId="0" xfId="0" applyFill="1" applyAlignment="1">
      <alignment vertical="center" wrapText="1"/>
    </xf>
    <xf numFmtId="14" fontId="139" fillId="0" borderId="2" xfId="0" applyNumberFormat="1" applyFont="1" applyBorder="1" applyAlignment="1">
      <alignment horizontal="center" textRotation="90"/>
    </xf>
    <xf numFmtId="14" fontId="139" fillId="0" borderId="3" xfId="0" applyNumberFormat="1" applyFont="1" applyBorder="1" applyAlignment="1">
      <alignment horizontal="center" textRotation="90"/>
    </xf>
    <xf numFmtId="10" fontId="163" fillId="0" borderId="2" xfId="3" applyNumberFormat="1" applyFont="1" applyBorder="1" applyAlignment="1">
      <alignment horizontal="center" vertical="center"/>
    </xf>
    <xf numFmtId="4" fontId="163" fillId="0" borderId="2" xfId="0" applyNumberFormat="1" applyFont="1" applyBorder="1" applyAlignment="1">
      <alignment horizontal="center" vertical="center"/>
    </xf>
    <xf numFmtId="4" fontId="163" fillId="0" borderId="3" xfId="0" applyNumberFormat="1" applyFont="1" applyBorder="1" applyAlignment="1">
      <alignment horizontal="center" vertical="center"/>
    </xf>
    <xf numFmtId="10" fontId="0" fillId="0" borderId="0" xfId="3" applyNumberFormat="1" applyFont="1" applyAlignment="1">
      <alignment vertical="center"/>
    </xf>
    <xf numFmtId="0" fontId="99"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9" fillId="4" borderId="3" xfId="0" applyNumberFormat="1" applyFont="1" applyFill="1" applyBorder="1" applyAlignment="1" applyProtection="1">
      <alignment horizontal="center" vertical="center"/>
      <protection hidden="1"/>
    </xf>
    <xf numFmtId="10" fontId="75"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14" fillId="18" borderId="2" xfId="0" applyNumberFormat="1" applyFont="1" applyFill="1" applyBorder="1" applyAlignment="1" applyProtection="1">
      <alignment horizontal="center" vertical="center"/>
      <protection hidden="1"/>
    </xf>
    <xf numFmtId="172" fontId="122" fillId="8" borderId="0" xfId="0" applyNumberFormat="1" applyFont="1" applyFill="1" applyAlignment="1">
      <alignment vertical="center"/>
    </xf>
    <xf numFmtId="178" fontId="52"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31" fillId="0" borderId="2" xfId="0" applyNumberFormat="1" applyFont="1" applyBorder="1" applyAlignment="1" applyProtection="1">
      <alignment vertical="center"/>
      <protection locked="0"/>
    </xf>
    <xf numFmtId="6" fontId="31" fillId="0" borderId="130" xfId="0" applyNumberFormat="1" applyFont="1" applyBorder="1" applyAlignment="1" applyProtection="1">
      <alignment vertical="center"/>
      <protection locked="0"/>
    </xf>
    <xf numFmtId="8" fontId="101" fillId="0" borderId="2" xfId="0" applyNumberFormat="1" applyFont="1" applyBorder="1"/>
    <xf numFmtId="0" fontId="103" fillId="18" borderId="131" xfId="0" applyFont="1" applyFill="1" applyBorder="1" applyAlignment="1" applyProtection="1">
      <alignment horizontal="center" vertical="center"/>
      <protection hidden="1"/>
    </xf>
    <xf numFmtId="0" fontId="103"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57" fillId="0" borderId="0" xfId="0" applyFont="1" applyAlignment="1">
      <alignment horizontal="center" vertical="center"/>
    </xf>
    <xf numFmtId="2" fontId="0" fillId="0" borderId="0" xfId="0" quotePrefix="1" applyNumberFormat="1" applyAlignment="1">
      <alignment vertical="center" wrapText="1"/>
    </xf>
    <xf numFmtId="8" fontId="105"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104" fillId="4" borderId="130" xfId="0" applyFont="1" applyFill="1" applyBorder="1" applyAlignment="1" applyProtection="1">
      <alignment horizontal="center" vertical="center"/>
      <protection hidden="1"/>
    </xf>
    <xf numFmtId="191" fontId="104" fillId="4" borderId="183" xfId="0" applyNumberFormat="1" applyFont="1" applyFill="1" applyBorder="1" applyAlignment="1" applyProtection="1">
      <alignment horizontal="center" vertical="center"/>
      <protection hidden="1"/>
    </xf>
    <xf numFmtId="0" fontId="104" fillId="4" borderId="153" xfId="0" applyFont="1" applyFill="1" applyBorder="1" applyAlignment="1" applyProtection="1">
      <alignment vertical="center"/>
      <protection hidden="1"/>
    </xf>
    <xf numFmtId="0" fontId="0" fillId="4" borderId="130" xfId="0" applyFill="1" applyBorder="1" applyAlignment="1">
      <alignment horizontal="center"/>
    </xf>
    <xf numFmtId="0" fontId="101"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60" fillId="4" borderId="15" xfId="0" applyFont="1" applyFill="1" applyBorder="1" applyAlignment="1">
      <alignment horizontal="center" vertical="center"/>
    </xf>
    <xf numFmtId="0" fontId="104" fillId="4" borderId="0" xfId="0" applyFont="1" applyFill="1" applyAlignment="1">
      <alignment horizontal="center" vertical="center"/>
    </xf>
    <xf numFmtId="0" fontId="141" fillId="0" borderId="0" xfId="0" applyFont="1" applyAlignment="1">
      <alignment horizontal="center" vertical="center"/>
    </xf>
    <xf numFmtId="8" fontId="48" fillId="0" borderId="19" xfId="0" applyNumberFormat="1" applyFont="1" applyBorder="1" applyAlignment="1">
      <alignment horizontal="center"/>
    </xf>
    <xf numFmtId="8" fontId="48" fillId="9" borderId="19" xfId="0" applyNumberFormat="1" applyFont="1" applyFill="1" applyBorder="1" applyAlignment="1">
      <alignment horizontal="center"/>
    </xf>
    <xf numFmtId="178" fontId="48" fillId="0" borderId="5" xfId="0" applyNumberFormat="1" applyFont="1" applyBorder="1" applyAlignment="1">
      <alignment horizontal="center" vertical="center" wrapText="1"/>
    </xf>
    <xf numFmtId="178" fontId="48" fillId="0" borderId="7" xfId="0" applyNumberFormat="1" applyFont="1" applyBorder="1" applyAlignment="1">
      <alignment horizontal="center" vertical="center" wrapText="1"/>
    </xf>
    <xf numFmtId="0" fontId="48" fillId="0" borderId="0" xfId="0" applyFont="1" applyProtection="1">
      <protection hidden="1"/>
    </xf>
    <xf numFmtId="0" fontId="48" fillId="0" borderId="0" xfId="0" applyFont="1" applyAlignment="1" applyProtection="1">
      <alignment horizontal="center" vertical="center" wrapText="1"/>
      <protection hidden="1"/>
    </xf>
    <xf numFmtId="0" fontId="45" fillId="0" borderId="0" xfId="0" applyFont="1" applyProtection="1">
      <protection hidden="1"/>
    </xf>
    <xf numFmtId="4" fontId="30" fillId="0" borderId="0" xfId="0" applyNumberFormat="1" applyFont="1"/>
    <xf numFmtId="167" fontId="198" fillId="9" borderId="0" xfId="0" applyNumberFormat="1" applyFont="1" applyFill="1" applyAlignment="1">
      <alignment horizontal="center"/>
    </xf>
    <xf numFmtId="14" fontId="88" fillId="0" borderId="2" xfId="0" applyNumberFormat="1" applyFont="1" applyBorder="1" applyAlignment="1" applyProtection="1">
      <alignment horizontal="center" vertical="center"/>
      <protection locked="0"/>
    </xf>
    <xf numFmtId="8" fontId="88" fillId="0" borderId="2" xfId="0" applyNumberFormat="1" applyFont="1" applyBorder="1" applyAlignment="1" applyProtection="1">
      <alignment horizontal="center" vertical="center"/>
      <protection locked="0"/>
    </xf>
    <xf numFmtId="10" fontId="88" fillId="0" borderId="2" xfId="0" applyNumberFormat="1" applyFont="1" applyBorder="1" applyAlignment="1" applyProtection="1">
      <alignment horizontal="center" vertical="center"/>
      <protection locked="0"/>
    </xf>
    <xf numFmtId="198" fontId="0" fillId="0" borderId="0" xfId="0" applyNumberFormat="1"/>
    <xf numFmtId="0" fontId="99" fillId="0" borderId="0" xfId="0" applyFont="1" applyAlignment="1">
      <alignment vertical="center"/>
    </xf>
    <xf numFmtId="0" fontId="242" fillId="0" borderId="0" xfId="0" applyFont="1" applyAlignment="1">
      <alignment vertical="center"/>
    </xf>
    <xf numFmtId="8" fontId="0" fillId="4" borderId="20" xfId="0" applyNumberFormat="1" applyFill="1" applyBorder="1" applyAlignment="1">
      <alignment horizontal="center" vertical="center"/>
    </xf>
    <xf numFmtId="0" fontId="101" fillId="0" borderId="0" xfId="0" applyFont="1" applyAlignment="1">
      <alignment wrapText="1"/>
    </xf>
    <xf numFmtId="0" fontId="104" fillId="9" borderId="0" xfId="0" applyFont="1" applyFill="1" applyAlignment="1">
      <alignment horizontal="center" vertical="center"/>
    </xf>
    <xf numFmtId="0" fontId="152" fillId="0" borderId="0" xfId="0" applyFont="1" applyAlignment="1">
      <alignment horizontal="left" vertical="center" wrapText="1" readingOrder="1"/>
    </xf>
    <xf numFmtId="0" fontId="152" fillId="0" borderId="0" xfId="0" applyFont="1" applyAlignment="1">
      <alignment horizontal="center" vertical="center" wrapText="1" readingOrder="1"/>
    </xf>
    <xf numFmtId="0" fontId="215" fillId="0" borderId="0" xfId="0" applyFont="1" applyAlignment="1">
      <alignment horizontal="center" vertical="top" wrapText="1"/>
    </xf>
    <xf numFmtId="0" fontId="216" fillId="0" borderId="0" xfId="0" applyFont="1" applyAlignment="1">
      <alignment horizontal="left" vertical="center"/>
    </xf>
    <xf numFmtId="176" fontId="0" fillId="0" borderId="0" xfId="3" applyNumberFormat="1" applyFont="1" applyFill="1" applyBorder="1" applyAlignment="1">
      <alignment horizontal="center"/>
    </xf>
    <xf numFmtId="0" fontId="215"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104" fillId="9" borderId="0" xfId="3" applyFont="1" applyFill="1" applyAlignment="1">
      <alignment horizontal="center" vertical="center"/>
    </xf>
    <xf numFmtId="0" fontId="101" fillId="9" borderId="2" xfId="0" applyFont="1" applyFill="1" applyBorder="1" applyAlignment="1" applyProtection="1">
      <alignment horizontal="right" vertical="center"/>
      <protection hidden="1"/>
    </xf>
    <xf numFmtId="0" fontId="101" fillId="9" borderId="12" xfId="0" applyFont="1" applyFill="1" applyBorder="1" applyAlignment="1" applyProtection="1">
      <alignment horizontal="right" vertical="center"/>
      <protection hidden="1"/>
    </xf>
    <xf numFmtId="0" fontId="41" fillId="9" borderId="2" xfId="0" applyFont="1" applyFill="1" applyBorder="1" applyAlignment="1" applyProtection="1">
      <alignment horizontal="center" vertical="center"/>
      <protection hidden="1"/>
    </xf>
    <xf numFmtId="9" fontId="222" fillId="9" borderId="2" xfId="3" applyFont="1" applyFill="1" applyBorder="1" applyAlignment="1" applyProtection="1">
      <alignment horizontal="center" vertical="center"/>
      <protection hidden="1"/>
    </xf>
    <xf numFmtId="10" fontId="212" fillId="9" borderId="2" xfId="3" applyNumberFormat="1" applyFont="1" applyFill="1" applyBorder="1" applyAlignment="1" applyProtection="1">
      <alignment horizontal="center" vertical="center"/>
      <protection hidden="1"/>
    </xf>
    <xf numFmtId="9" fontId="144" fillId="9" borderId="0" xfId="0" applyNumberFormat="1" applyFont="1" applyFill="1"/>
    <xf numFmtId="0" fontId="101" fillId="9" borderId="0" xfId="0" applyFont="1" applyFill="1" applyAlignment="1">
      <alignment vertical="center"/>
    </xf>
    <xf numFmtId="0" fontId="101" fillId="9" borderId="0" xfId="0" applyFont="1" applyFill="1" applyAlignment="1" applyProtection="1">
      <alignment vertical="center"/>
      <protection locked="0"/>
    </xf>
    <xf numFmtId="0" fontId="105" fillId="9" borderId="71" xfId="0" applyFont="1" applyFill="1" applyBorder="1" applyAlignment="1" applyProtection="1">
      <alignment horizontal="center" vertical="center" textRotation="90"/>
      <protection locked="0"/>
    </xf>
    <xf numFmtId="0" fontId="101" fillId="9" borderId="187" xfId="0" applyFont="1" applyFill="1" applyBorder="1" applyAlignment="1">
      <alignment vertical="center"/>
    </xf>
    <xf numFmtId="0" fontId="105" fillId="9" borderId="170" xfId="0" applyFont="1" applyFill="1" applyBorder="1" applyAlignment="1">
      <alignment horizontal="center" vertical="center"/>
    </xf>
    <xf numFmtId="0" fontId="105" fillId="9" borderId="2" xfId="0" applyFont="1" applyFill="1" applyBorder="1" applyAlignment="1">
      <alignment horizontal="center" vertical="center"/>
    </xf>
    <xf numFmtId="0" fontId="99" fillId="9" borderId="219" xfId="0" applyFont="1" applyFill="1" applyBorder="1" applyAlignment="1" applyProtection="1">
      <alignment horizontal="center" vertical="center"/>
      <protection hidden="1"/>
    </xf>
    <xf numFmtId="0" fontId="105" fillId="9" borderId="155" xfId="0" applyFont="1" applyFill="1" applyBorder="1" applyAlignment="1" applyProtection="1">
      <alignment horizontal="center" vertical="center"/>
      <protection hidden="1"/>
    </xf>
    <xf numFmtId="0" fontId="105" fillId="9" borderId="41" xfId="0" applyFont="1" applyFill="1" applyBorder="1" applyAlignment="1" applyProtection="1">
      <alignment horizontal="center" vertical="center"/>
      <protection hidden="1"/>
    </xf>
    <xf numFmtId="0" fontId="101" fillId="9" borderId="170" xfId="0" applyFont="1" applyFill="1" applyBorder="1" applyAlignment="1" applyProtection="1">
      <alignment horizontal="center" vertical="center"/>
      <protection hidden="1"/>
    </xf>
    <xf numFmtId="0" fontId="101" fillId="9" borderId="154" xfId="0" applyFont="1" applyFill="1" applyBorder="1" applyAlignment="1" applyProtection="1">
      <alignment horizontal="center" vertical="center"/>
      <protection hidden="1"/>
    </xf>
    <xf numFmtId="6" fontId="101" fillId="9" borderId="2" xfId="0" applyNumberFormat="1" applyFont="1" applyFill="1" applyBorder="1" applyAlignment="1" applyProtection="1">
      <alignment horizontal="center" vertical="center"/>
      <protection hidden="1"/>
    </xf>
    <xf numFmtId="8" fontId="101" fillId="9" borderId="170" xfId="0" applyNumberFormat="1" applyFont="1" applyFill="1" applyBorder="1" applyAlignment="1" applyProtection="1">
      <alignment horizontal="center" vertical="center"/>
      <protection hidden="1"/>
    </xf>
    <xf numFmtId="8" fontId="101" fillId="9" borderId="2" xfId="0" applyNumberFormat="1" applyFont="1" applyFill="1" applyBorder="1" applyAlignment="1" applyProtection="1">
      <alignment horizontal="center" vertical="center"/>
      <protection hidden="1"/>
    </xf>
    <xf numFmtId="0" fontId="101" fillId="9" borderId="153" xfId="0" applyFont="1" applyFill="1" applyBorder="1" applyAlignment="1">
      <alignment vertical="center"/>
    </xf>
    <xf numFmtId="6" fontId="111" fillId="9" borderId="168" xfId="0" applyNumberFormat="1" applyFont="1" applyFill="1" applyBorder="1" applyAlignment="1">
      <alignment horizontal="center" vertical="top"/>
    </xf>
    <xf numFmtId="6" fontId="111" fillId="9" borderId="169" xfId="0" applyNumberFormat="1" applyFont="1" applyFill="1" applyBorder="1" applyAlignment="1">
      <alignment horizontal="center" vertical="top"/>
    </xf>
    <xf numFmtId="8" fontId="210" fillId="9" borderId="168" xfId="0" applyNumberFormat="1" applyFont="1" applyFill="1" applyBorder="1" applyAlignment="1">
      <alignment vertical="center"/>
    </xf>
    <xf numFmtId="8" fontId="210" fillId="9" borderId="169" xfId="0" applyNumberFormat="1" applyFont="1" applyFill="1" applyBorder="1" applyAlignment="1">
      <alignment vertical="center"/>
    </xf>
    <xf numFmtId="9" fontId="104" fillId="9" borderId="0" xfId="3" applyFont="1" applyFill="1" applyAlignment="1">
      <alignment vertical="center"/>
    </xf>
    <xf numFmtId="0" fontId="101" fillId="9" borderId="221" xfId="0" applyFont="1" applyFill="1" applyBorder="1" applyAlignment="1">
      <alignment vertical="center"/>
    </xf>
    <xf numFmtId="6" fontId="111" fillId="9" borderId="131" xfId="0" applyNumberFormat="1" applyFont="1" applyFill="1" applyBorder="1" applyAlignment="1">
      <alignment horizontal="center" vertical="top"/>
    </xf>
    <xf numFmtId="6" fontId="111" fillId="9" borderId="132" xfId="0" applyNumberFormat="1" applyFont="1" applyFill="1" applyBorder="1" applyAlignment="1">
      <alignment horizontal="center" vertical="top"/>
    </xf>
    <xf numFmtId="8" fontId="211" fillId="9" borderId="131" xfId="0" applyNumberFormat="1" applyFont="1" applyFill="1" applyBorder="1" applyAlignment="1">
      <alignment vertical="center"/>
    </xf>
    <xf numFmtId="0" fontId="211" fillId="9" borderId="131" xfId="0" applyFont="1" applyFill="1" applyBorder="1" applyAlignment="1">
      <alignment vertical="center"/>
    </xf>
    <xf numFmtId="0" fontId="211" fillId="9" borderId="132" xfId="0" applyFont="1" applyFill="1" applyBorder="1" applyAlignment="1">
      <alignment vertical="center"/>
    </xf>
    <xf numFmtId="0" fontId="101" fillId="9" borderId="0" xfId="0" applyFont="1" applyFill="1"/>
    <xf numFmtId="0" fontId="62" fillId="9" borderId="180" xfId="2" applyNumberFormat="1" applyFill="1" applyBorder="1" applyAlignment="1" applyProtection="1">
      <alignment vertical="center"/>
    </xf>
    <xf numFmtId="0" fontId="105" fillId="9" borderId="0" xfId="0" applyFont="1" applyFill="1" applyAlignment="1">
      <alignment vertical="center"/>
    </xf>
    <xf numFmtId="6" fontId="89"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23" fillId="9" borderId="0" xfId="0" applyFont="1" applyFill="1" applyAlignment="1">
      <alignment horizontal="center" vertical="center" textRotation="90" wrapText="1"/>
    </xf>
    <xf numFmtId="0" fontId="101" fillId="9" borderId="0" xfId="0" applyFont="1" applyFill="1" applyAlignment="1">
      <alignment horizontal="center"/>
    </xf>
    <xf numFmtId="0" fontId="101" fillId="9" borderId="0" xfId="0" applyFont="1" applyFill="1" applyAlignment="1">
      <alignment horizontal="center" vertical="center"/>
    </xf>
    <xf numFmtId="0" fontId="101" fillId="9" borderId="2" xfId="0" applyFont="1" applyFill="1" applyBorder="1" applyAlignment="1">
      <alignment vertical="center"/>
    </xf>
    <xf numFmtId="0" fontId="123" fillId="9" borderId="2" xfId="0" applyFont="1" applyFill="1" applyBorder="1" applyAlignment="1">
      <alignment horizontal="center" vertical="center" textRotation="90" wrapText="1"/>
    </xf>
    <xf numFmtId="0" fontId="101" fillId="9" borderId="2" xfId="0" applyFont="1" applyFill="1" applyBorder="1" applyAlignment="1" applyProtection="1">
      <alignment vertical="center"/>
      <protection locked="0"/>
    </xf>
    <xf numFmtId="0" fontId="101" fillId="9" borderId="2" xfId="0" applyFont="1" applyFill="1" applyBorder="1"/>
    <xf numFmtId="0" fontId="101" fillId="9" borderId="2" xfId="0" applyFont="1" applyFill="1" applyBorder="1" applyAlignment="1">
      <alignment horizontal="center"/>
    </xf>
    <xf numFmtId="0" fontId="101" fillId="9" borderId="1" xfId="0" applyFont="1" applyFill="1" applyBorder="1" applyAlignment="1">
      <alignment vertical="center"/>
    </xf>
    <xf numFmtId="0" fontId="101" fillId="9" borderId="4" xfId="0" applyFont="1" applyFill="1" applyBorder="1" applyAlignment="1">
      <alignment horizontal="center" vertical="center"/>
    </xf>
    <xf numFmtId="0" fontId="101" fillId="9" borderId="3" xfId="0" applyFont="1" applyFill="1" applyBorder="1" applyAlignment="1">
      <alignment horizontal="center" vertical="center"/>
    </xf>
    <xf numFmtId="2" fontId="101" fillId="9" borderId="2" xfId="0" applyNumberFormat="1" applyFont="1" applyFill="1" applyBorder="1" applyAlignment="1">
      <alignment horizontal="center" vertical="center"/>
    </xf>
    <xf numFmtId="14" fontId="101" fillId="9" borderId="2" xfId="0" applyNumberFormat="1" applyFont="1" applyFill="1" applyBorder="1" applyAlignment="1">
      <alignment horizontal="center" vertical="center"/>
    </xf>
    <xf numFmtId="10" fontId="101" fillId="9" borderId="2" xfId="3" applyNumberFormat="1" applyFont="1" applyFill="1" applyBorder="1" applyAlignment="1">
      <alignment horizontal="center" vertical="center"/>
    </xf>
    <xf numFmtId="167" fontId="101" fillId="9" borderId="2" xfId="0" applyNumberFormat="1" applyFont="1" applyFill="1" applyBorder="1" applyAlignment="1">
      <alignment horizontal="center" vertical="center"/>
    </xf>
    <xf numFmtId="1" fontId="101" fillId="9" borderId="2" xfId="0" applyNumberFormat="1" applyFont="1" applyFill="1" applyBorder="1" applyAlignment="1">
      <alignment horizontal="center" vertical="center"/>
    </xf>
    <xf numFmtId="194" fontId="101" fillId="9" borderId="2" xfId="0" applyNumberFormat="1" applyFont="1" applyFill="1" applyBorder="1" applyAlignment="1">
      <alignment horizontal="center" vertical="center"/>
    </xf>
    <xf numFmtId="8" fontId="111" fillId="9" borderId="3" xfId="0" applyNumberFormat="1" applyFont="1" applyFill="1" applyBorder="1" applyAlignment="1">
      <alignment horizontal="center" vertical="center"/>
    </xf>
    <xf numFmtId="0" fontId="123" fillId="9" borderId="113" xfId="0" applyFont="1" applyFill="1" applyBorder="1" applyAlignment="1">
      <alignment horizontal="center" vertical="center" textRotation="90" wrapText="1"/>
    </xf>
    <xf numFmtId="0" fontId="101" fillId="9" borderId="5" xfId="0" applyFont="1" applyFill="1" applyBorder="1" applyAlignment="1">
      <alignment horizontal="center" vertical="center"/>
    </xf>
    <xf numFmtId="0" fontId="101" fillId="9" borderId="6" xfId="0" applyFont="1" applyFill="1" applyBorder="1" applyAlignment="1">
      <alignment vertical="center"/>
    </xf>
    <xf numFmtId="0" fontId="101" fillId="9" borderId="6" xfId="0" applyFont="1" applyFill="1" applyBorder="1" applyAlignment="1" applyProtection="1">
      <alignment vertical="center"/>
      <protection locked="0"/>
    </xf>
    <xf numFmtId="2" fontId="101" fillId="9" borderId="6" xfId="0" applyNumberFormat="1" applyFont="1" applyFill="1" applyBorder="1" applyAlignment="1">
      <alignment horizontal="center" vertical="center"/>
    </xf>
    <xf numFmtId="14" fontId="101" fillId="9" borderId="6" xfId="0" applyNumberFormat="1" applyFont="1" applyFill="1" applyBorder="1" applyAlignment="1">
      <alignment horizontal="center" vertical="center"/>
    </xf>
    <xf numFmtId="10" fontId="101" fillId="9" borderId="6" xfId="3" applyNumberFormat="1" applyFont="1" applyFill="1" applyBorder="1" applyAlignment="1">
      <alignment horizontal="center" vertical="center"/>
    </xf>
    <xf numFmtId="0" fontId="101" fillId="9" borderId="6" xfId="0" applyFont="1" applyFill="1" applyBorder="1" applyAlignment="1">
      <alignment horizontal="center" vertical="center"/>
    </xf>
    <xf numFmtId="1" fontId="101" fillId="9" borderId="6" xfId="0" applyNumberFormat="1" applyFont="1" applyFill="1" applyBorder="1" applyAlignment="1">
      <alignment horizontal="center" vertical="center"/>
    </xf>
    <xf numFmtId="194" fontId="101" fillId="9" borderId="6" xfId="0" applyNumberFormat="1" applyFont="1" applyFill="1" applyBorder="1" applyAlignment="1">
      <alignment horizontal="center" vertical="center"/>
    </xf>
    <xf numFmtId="8" fontId="111" fillId="9" borderId="7" xfId="0" applyNumberFormat="1" applyFont="1" applyFill="1" applyBorder="1" applyAlignment="1">
      <alignment horizontal="center" vertical="center"/>
    </xf>
    <xf numFmtId="0" fontId="123" fillId="9" borderId="28" xfId="0" applyFont="1" applyFill="1" applyBorder="1" applyAlignment="1">
      <alignment horizontal="center" vertical="center" textRotation="90" wrapText="1"/>
    </xf>
    <xf numFmtId="0" fontId="101" fillId="9" borderId="0" xfId="0" applyFont="1" applyFill="1" applyAlignment="1" applyProtection="1">
      <alignment horizontal="center" vertical="center"/>
      <protection locked="0"/>
    </xf>
    <xf numFmtId="0" fontId="101" fillId="9" borderId="31" xfId="0" applyFont="1" applyFill="1" applyBorder="1" applyAlignment="1">
      <alignment horizontal="center" vertical="center"/>
    </xf>
    <xf numFmtId="8" fontId="101" fillId="9" borderId="0" xfId="0" applyNumberFormat="1" applyFont="1" applyFill="1" applyAlignment="1">
      <alignment vertical="center"/>
    </xf>
    <xf numFmtId="14" fontId="101" fillId="9" borderId="1" xfId="0" applyNumberFormat="1" applyFont="1" applyFill="1" applyBorder="1" applyAlignment="1">
      <alignment vertical="center"/>
    </xf>
    <xf numFmtId="0" fontId="101" fillId="9" borderId="1" xfId="0" applyFont="1" applyFill="1" applyBorder="1" applyAlignment="1">
      <alignment horizontal="center" vertical="center"/>
    </xf>
    <xf numFmtId="14" fontId="101" fillId="9" borderId="2" xfId="0" applyNumberFormat="1" applyFont="1" applyFill="1" applyBorder="1" applyAlignment="1">
      <alignment vertical="center"/>
    </xf>
    <xf numFmtId="2" fontId="101" fillId="9" borderId="2" xfId="0" applyNumberFormat="1" applyFont="1" applyFill="1" applyBorder="1" applyAlignment="1">
      <alignment vertical="center"/>
    </xf>
    <xf numFmtId="2" fontId="101" fillId="9" borderId="1" xfId="0" applyNumberFormat="1" applyFont="1" applyFill="1" applyBorder="1" applyAlignment="1">
      <alignment vertical="center"/>
    </xf>
    <xf numFmtId="8" fontId="101" fillId="9" borderId="2" xfId="0" applyNumberFormat="1" applyFont="1" applyFill="1" applyBorder="1" applyAlignment="1">
      <alignment vertical="center"/>
    </xf>
    <xf numFmtId="167" fontId="101" fillId="9" borderId="2" xfId="0" applyNumberFormat="1" applyFont="1" applyFill="1" applyBorder="1" applyAlignment="1">
      <alignment vertical="center"/>
    </xf>
    <xf numFmtId="8" fontId="104" fillId="9" borderId="0" xfId="0" applyNumberFormat="1" applyFont="1" applyFill="1" applyAlignment="1">
      <alignment horizontal="center" vertical="center"/>
    </xf>
    <xf numFmtId="0" fontId="123" fillId="9" borderId="0" xfId="3" applyNumberFormat="1" applyFont="1" applyFill="1" applyBorder="1" applyAlignment="1">
      <alignment horizontal="center" vertical="center" wrapText="1"/>
    </xf>
    <xf numFmtId="10" fontId="101" fillId="9" borderId="0" xfId="0" applyNumberFormat="1" applyFont="1" applyFill="1" applyAlignment="1">
      <alignment horizontal="center" vertical="center"/>
    </xf>
    <xf numFmtId="167" fontId="101" fillId="9" borderId="1" xfId="0" applyNumberFormat="1" applyFont="1" applyFill="1" applyBorder="1" applyAlignment="1">
      <alignment vertical="center"/>
    </xf>
    <xf numFmtId="8" fontId="101" fillId="9" borderId="67" xfId="0" applyNumberFormat="1" applyFont="1" applyFill="1" applyBorder="1" applyAlignment="1">
      <alignment vertical="center"/>
    </xf>
    <xf numFmtId="8" fontId="101" fillId="9" borderId="22" xfId="0" applyNumberFormat="1" applyFont="1" applyFill="1" applyBorder="1" applyAlignment="1">
      <alignment vertical="center"/>
    </xf>
    <xf numFmtId="8" fontId="101" fillId="9" borderId="10" xfId="0" applyNumberFormat="1" applyFont="1" applyFill="1" applyBorder="1" applyAlignment="1">
      <alignment vertical="center"/>
    </xf>
    <xf numFmtId="8" fontId="101" fillId="9" borderId="0" xfId="0" applyNumberFormat="1" applyFont="1" applyFill="1" applyAlignment="1" applyProtection="1">
      <alignment vertical="center"/>
      <protection locked="0"/>
    </xf>
    <xf numFmtId="0" fontId="101" fillId="9" borderId="0" xfId="0" applyFont="1" applyFill="1" applyAlignment="1" applyProtection="1">
      <alignment horizontal="center" vertical="center" wrapText="1"/>
      <protection locked="0"/>
    </xf>
    <xf numFmtId="10" fontId="101" fillId="9" borderId="2" xfId="3" applyNumberFormat="1" applyFont="1" applyFill="1" applyBorder="1" applyAlignment="1">
      <alignment vertical="center"/>
    </xf>
    <xf numFmtId="10" fontId="101" fillId="9" borderId="1" xfId="3" applyNumberFormat="1" applyFont="1" applyFill="1" applyBorder="1" applyAlignment="1">
      <alignment vertical="center"/>
    </xf>
    <xf numFmtId="8" fontId="101" fillId="9" borderId="82" xfId="0" applyNumberFormat="1" applyFont="1" applyFill="1" applyBorder="1" applyAlignment="1">
      <alignment vertical="center"/>
    </xf>
    <xf numFmtId="8" fontId="101" fillId="9" borderId="7" xfId="0" applyNumberFormat="1" applyFont="1" applyFill="1" applyBorder="1" applyAlignment="1">
      <alignment vertical="center"/>
    </xf>
    <xf numFmtId="3" fontId="101" fillId="9" borderId="2" xfId="0" applyNumberFormat="1" applyFont="1" applyFill="1" applyBorder="1" applyAlignment="1">
      <alignment vertical="center"/>
    </xf>
    <xf numFmtId="176" fontId="101" fillId="9" borderId="0" xfId="3" applyNumberFormat="1" applyFont="1" applyFill="1" applyBorder="1" applyAlignment="1" applyProtection="1">
      <alignment horizontal="center" vertical="center"/>
      <protection locked="0"/>
    </xf>
    <xf numFmtId="10" fontId="101" fillId="9" borderId="0" xfId="3" applyNumberFormat="1" applyFont="1" applyFill="1" applyAlignment="1" applyProtection="1">
      <alignment horizontal="center" vertical="center"/>
      <protection locked="0"/>
    </xf>
    <xf numFmtId="8" fontId="101" fillId="9" borderId="2" xfId="0" applyNumberFormat="1" applyFont="1" applyFill="1" applyBorder="1" applyAlignment="1">
      <alignment vertical="center" wrapText="1"/>
    </xf>
    <xf numFmtId="3" fontId="101" fillId="9" borderId="2" xfId="8" applyNumberFormat="1" applyFont="1" applyFill="1" applyBorder="1" applyAlignment="1">
      <alignment vertical="center"/>
    </xf>
    <xf numFmtId="0" fontId="101" fillId="9" borderId="2" xfId="0" applyFont="1" applyFill="1" applyBorder="1" applyAlignment="1">
      <alignment horizontal="center" vertical="center" wrapText="1"/>
    </xf>
    <xf numFmtId="6" fontId="101" fillId="9" borderId="2" xfId="0" applyNumberFormat="1" applyFont="1" applyFill="1" applyBorder="1" applyAlignment="1">
      <alignment vertical="center"/>
    </xf>
    <xf numFmtId="8" fontId="101" fillId="9" borderId="2" xfId="3" applyNumberFormat="1" applyFont="1" applyFill="1" applyBorder="1" applyAlignment="1">
      <alignment horizontal="center" vertical="center"/>
    </xf>
    <xf numFmtId="8" fontId="101" fillId="9" borderId="2" xfId="0" applyNumberFormat="1" applyFont="1" applyFill="1" applyBorder="1" applyAlignment="1">
      <alignment horizontal="center" vertical="center"/>
    </xf>
    <xf numFmtId="2" fontId="101" fillId="9" borderId="0" xfId="0" applyNumberFormat="1" applyFont="1" applyFill="1" applyAlignment="1">
      <alignment horizontal="center" vertical="center"/>
    </xf>
    <xf numFmtId="167" fontId="101" fillId="9" borderId="0" xfId="0" applyNumberFormat="1" applyFont="1" applyFill="1" applyAlignment="1">
      <alignment horizontal="center" vertical="center"/>
    </xf>
    <xf numFmtId="10" fontId="101" fillId="9" borderId="0" xfId="3" applyNumberFormat="1" applyFont="1" applyFill="1" applyBorder="1" applyAlignment="1">
      <alignment horizontal="center" vertical="center"/>
    </xf>
    <xf numFmtId="10" fontId="101" fillId="9" borderId="0" xfId="3" quotePrefix="1" applyNumberFormat="1" applyFont="1" applyFill="1" applyBorder="1" applyAlignment="1">
      <alignment horizontal="left" vertical="center"/>
    </xf>
    <xf numFmtId="8" fontId="101" fillId="9" borderId="0" xfId="3" applyNumberFormat="1" applyFont="1" applyFill="1" applyBorder="1" applyAlignment="1">
      <alignment horizontal="center" vertical="center"/>
    </xf>
    <xf numFmtId="8" fontId="101" fillId="9" borderId="0" xfId="0" applyNumberFormat="1" applyFont="1" applyFill="1" applyAlignment="1">
      <alignment horizontal="center" vertical="center"/>
    </xf>
    <xf numFmtId="9" fontId="101" fillId="9" borderId="0" xfId="0" applyNumberFormat="1" applyFont="1" applyFill="1" applyAlignment="1">
      <alignment vertical="center"/>
    </xf>
    <xf numFmtId="10" fontId="101" fillId="9" borderId="0" xfId="0" applyNumberFormat="1" applyFont="1" applyFill="1" applyAlignment="1">
      <alignment vertical="center"/>
    </xf>
    <xf numFmtId="195" fontId="101" fillId="9" borderId="2" xfId="0" applyNumberFormat="1" applyFont="1" applyFill="1" applyBorder="1" applyAlignment="1">
      <alignment vertical="center"/>
    </xf>
    <xf numFmtId="195" fontId="101" fillId="9" borderId="0" xfId="0" applyNumberFormat="1" applyFont="1" applyFill="1" applyAlignment="1">
      <alignment vertical="center"/>
    </xf>
    <xf numFmtId="190" fontId="101" fillId="9" borderId="0" xfId="0" applyNumberFormat="1" applyFont="1" applyFill="1" applyAlignment="1">
      <alignment vertical="center" wrapText="1"/>
    </xf>
    <xf numFmtId="8" fontId="101" fillId="9" borderId="56" xfId="0" applyNumberFormat="1" applyFont="1" applyFill="1" applyBorder="1" applyAlignment="1">
      <alignment vertical="center"/>
    </xf>
    <xf numFmtId="176" fontId="101" fillId="9" borderId="0" xfId="0" applyNumberFormat="1" applyFont="1" applyFill="1" applyAlignment="1" applyProtection="1">
      <alignment vertical="center"/>
      <protection locked="0"/>
    </xf>
    <xf numFmtId="196" fontId="101" fillId="9" borderId="2" xfId="3" applyNumberFormat="1" applyFont="1" applyFill="1" applyBorder="1" applyAlignment="1">
      <alignment horizontal="center" vertical="center"/>
    </xf>
    <xf numFmtId="9" fontId="101" fillId="9" borderId="0" xfId="3" applyFont="1" applyFill="1" applyBorder="1" applyAlignment="1">
      <alignment horizontal="center" vertical="center"/>
    </xf>
    <xf numFmtId="0" fontId="101" fillId="9" borderId="2" xfId="0" applyFont="1" applyFill="1" applyBorder="1" applyProtection="1">
      <protection locked="0"/>
    </xf>
    <xf numFmtId="0" fontId="101" fillId="9" borderId="1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33" xfId="0" applyFont="1" applyFill="1" applyBorder="1" applyAlignment="1" applyProtection="1">
      <alignment horizontal="center" vertical="center"/>
      <protection hidden="1"/>
    </xf>
    <xf numFmtId="0" fontId="99" fillId="9" borderId="56" xfId="0" applyFont="1" applyFill="1" applyBorder="1" applyAlignment="1" applyProtection="1">
      <alignment horizontal="center" vertical="center"/>
      <protection hidden="1"/>
    </xf>
    <xf numFmtId="0" fontId="101" fillId="9" borderId="210" xfId="0" applyFont="1" applyFill="1" applyBorder="1" applyAlignment="1" applyProtection="1">
      <alignment horizontal="center" vertical="center"/>
      <protection hidden="1"/>
    </xf>
    <xf numFmtId="8" fontId="101" fillId="9" borderId="8" xfId="0" applyNumberFormat="1" applyFont="1" applyFill="1" applyBorder="1" applyAlignment="1">
      <alignment horizontal="center" vertical="center"/>
    </xf>
    <xf numFmtId="0" fontId="105"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85" fillId="2" borderId="242" xfId="0" applyNumberFormat="1" applyFont="1" applyFill="1" applyBorder="1" applyAlignment="1" applyProtection="1">
      <alignment horizontal="center" vertical="center"/>
      <protection locked="0"/>
    </xf>
    <xf numFmtId="6" fontId="106"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33" fillId="4" borderId="248" xfId="0" applyNumberFormat="1" applyFont="1" applyFill="1" applyBorder="1" applyAlignment="1">
      <alignment horizontal="center" vertical="center"/>
    </xf>
    <xf numFmtId="9" fontId="103" fillId="9" borderId="0" xfId="3" applyFont="1" applyFill="1" applyAlignment="1">
      <alignment horizontal="center" vertical="center"/>
    </xf>
    <xf numFmtId="0" fontId="0" fillId="9" borderId="0" xfId="0" applyFill="1" applyAlignment="1" applyProtection="1">
      <alignment vertical="center"/>
      <protection hidden="1"/>
    </xf>
    <xf numFmtId="0" fontId="88" fillId="0" borderId="0" xfId="0" applyFont="1"/>
    <xf numFmtId="8" fontId="88" fillId="0" borderId="0" xfId="0" applyNumberFormat="1" applyFont="1"/>
    <xf numFmtId="8" fontId="60" fillId="0" borderId="0" xfId="0" applyNumberFormat="1" applyFont="1" applyAlignment="1">
      <alignment horizontal="center" vertical="center"/>
    </xf>
    <xf numFmtId="0" fontId="115"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8"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8"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8" fillId="0" borderId="0" xfId="0" applyFont="1" applyAlignment="1">
      <alignment horizontal="center" vertical="center"/>
    </xf>
    <xf numFmtId="8" fontId="33" fillId="0" borderId="0" xfId="0" applyNumberFormat="1" applyFont="1" applyAlignment="1" applyProtection="1">
      <alignment horizontal="center" vertical="center"/>
      <protection hidden="1"/>
    </xf>
    <xf numFmtId="6" fontId="33" fillId="0" borderId="0" xfId="3" applyNumberFormat="1" applyFont="1" applyFill="1" applyBorder="1" applyAlignment="1" applyProtection="1">
      <alignment horizontal="center" vertical="center"/>
      <protection hidden="1"/>
    </xf>
    <xf numFmtId="6" fontId="114" fillId="0" borderId="0" xfId="0" applyNumberFormat="1" applyFont="1" applyAlignment="1" applyProtection="1">
      <alignment horizontal="center" vertical="center"/>
      <protection hidden="1"/>
    </xf>
    <xf numFmtId="0" fontId="156"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9"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9" fillId="9" borderId="24" xfId="0" applyFont="1" applyFill="1" applyBorder="1" applyAlignment="1">
      <alignment horizontal="right" vertical="center"/>
    </xf>
    <xf numFmtId="9" fontId="88"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9"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27" fillId="4" borderId="2" xfId="0" applyFont="1" applyFill="1" applyBorder="1" applyAlignment="1">
      <alignment horizontal="center" vertical="center"/>
    </xf>
    <xf numFmtId="185" fontId="27" fillId="2" borderId="2" xfId="0" applyNumberFormat="1" applyFont="1" applyFill="1" applyBorder="1" applyAlignment="1" applyProtection="1">
      <alignment horizontal="center" vertical="center"/>
      <protection locked="0"/>
    </xf>
    <xf numFmtId="190" fontId="27" fillId="0" borderId="2" xfId="0" applyNumberFormat="1" applyFont="1" applyBorder="1" applyAlignment="1" applyProtection="1">
      <alignment horizontal="center" vertical="center"/>
      <protection locked="0"/>
    </xf>
    <xf numFmtId="14" fontId="27" fillId="0" borderId="2" xfId="0" applyNumberFormat="1" applyFont="1" applyBorder="1" applyAlignment="1" applyProtection="1">
      <alignment horizontal="center" vertical="center"/>
      <protection locked="0"/>
    </xf>
    <xf numFmtId="0" fontId="99"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8" fillId="9" borderId="77" xfId="0" applyNumberFormat="1" applyFont="1" applyFill="1" applyBorder="1" applyAlignment="1" applyProtection="1">
      <alignment horizontal="left" vertical="center"/>
      <protection hidden="1"/>
    </xf>
    <xf numFmtId="0" fontId="99" fillId="0" borderId="2" xfId="0" applyFont="1" applyBorder="1" applyAlignment="1">
      <alignment horizontal="center" vertical="center"/>
    </xf>
    <xf numFmtId="0" fontId="249" fillId="9" borderId="0" xfId="0" applyFont="1" applyFill="1" applyAlignment="1">
      <alignment horizontal="center" vertical="center"/>
    </xf>
    <xf numFmtId="0" fontId="108" fillId="9" borderId="0" xfId="0" applyFont="1" applyFill="1" applyAlignment="1">
      <alignment vertical="center"/>
    </xf>
    <xf numFmtId="0" fontId="99" fillId="9" borderId="0" xfId="0" applyFont="1" applyFill="1" applyAlignment="1">
      <alignment vertical="center"/>
    </xf>
    <xf numFmtId="0" fontId="26" fillId="9" borderId="0" xfId="0" applyFont="1" applyFill="1" applyAlignment="1" applyProtection="1">
      <alignment vertical="center"/>
      <protection hidden="1"/>
    </xf>
    <xf numFmtId="0" fontId="244" fillId="9" borderId="0" xfId="2" applyNumberFormat="1" applyFont="1" applyFill="1" applyAlignment="1" applyProtection="1">
      <alignment vertical="center"/>
      <protection hidden="1"/>
    </xf>
    <xf numFmtId="0" fontId="108"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9"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9" fillId="9" borderId="130" xfId="0" applyNumberFormat="1" applyFont="1" applyFill="1" applyBorder="1" applyAlignment="1">
      <alignment horizontal="center" vertical="center"/>
    </xf>
    <xf numFmtId="0" fontId="109" fillId="9" borderId="170" xfId="0" applyFont="1" applyFill="1" applyBorder="1" applyAlignment="1">
      <alignment horizontal="right" vertical="center"/>
    </xf>
    <xf numFmtId="8" fontId="109"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9"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9" fillId="9" borderId="2" xfId="0" applyFont="1" applyFill="1" applyBorder="1" applyAlignment="1" applyProtection="1">
      <alignment horizontal="right" vertical="center"/>
      <protection hidden="1"/>
    </xf>
    <xf numFmtId="8" fontId="99"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11" fillId="0" borderId="41" xfId="0" applyNumberFormat="1" applyFont="1" applyBorder="1" applyAlignment="1" applyProtection="1">
      <alignment horizontal="center" vertical="center" wrapText="1"/>
      <protection locked="0"/>
    </xf>
    <xf numFmtId="0" fontId="99" fillId="9" borderId="41" xfId="0" applyFont="1" applyFill="1" applyBorder="1" applyAlignment="1" applyProtection="1">
      <alignment horizontal="right" vertical="center"/>
      <protection hidden="1"/>
    </xf>
    <xf numFmtId="8" fontId="99" fillId="0" borderId="31" xfId="0" applyNumberFormat="1" applyFont="1" applyBorder="1" applyAlignment="1" applyProtection="1">
      <alignment horizontal="center" vertical="center"/>
      <protection locked="0"/>
    </xf>
    <xf numFmtId="0" fontId="99" fillId="0" borderId="41" xfId="0" applyFont="1" applyBorder="1" applyAlignment="1" applyProtection="1">
      <alignment horizontal="center" vertical="center"/>
      <protection locked="0"/>
    </xf>
    <xf numFmtId="10" fontId="99"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200"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9" fillId="9" borderId="2" xfId="0" applyNumberFormat="1" applyFont="1" applyFill="1" applyBorder="1" applyAlignment="1" applyProtection="1">
      <alignment horizontal="center" vertical="center"/>
      <protection hidden="1"/>
    </xf>
    <xf numFmtId="10" fontId="99" fillId="0" borderId="3" xfId="0" applyNumberFormat="1" applyFont="1" applyBorder="1" applyAlignment="1" applyProtection="1">
      <alignment horizontal="center" vertical="center"/>
      <protection locked="0"/>
    </xf>
    <xf numFmtId="0" fontId="238"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8"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21" fillId="9" borderId="7" xfId="0" applyNumberFormat="1" applyFont="1" applyFill="1" applyBorder="1" applyAlignment="1" applyProtection="1">
      <alignment horizontal="center" vertical="center"/>
      <protection hidden="1"/>
    </xf>
    <xf numFmtId="0" fontId="238" fillId="0" borderId="0" xfId="0" applyFont="1"/>
    <xf numFmtId="0" fontId="254" fillId="0" borderId="0" xfId="0" applyFont="1"/>
    <xf numFmtId="0" fontId="0" fillId="4" borderId="25" xfId="0" applyFill="1" applyBorder="1" applyAlignment="1" applyProtection="1">
      <alignment vertical="center"/>
      <protection hidden="1"/>
    </xf>
    <xf numFmtId="0" fontId="255" fillId="4" borderId="25" xfId="0" applyFont="1" applyFill="1" applyBorder="1" applyAlignment="1" applyProtection="1">
      <alignment horizontal="center" vertical="center"/>
      <protection hidden="1"/>
    </xf>
    <xf numFmtId="0" fontId="99" fillId="18" borderId="2" xfId="0" applyFont="1" applyFill="1" applyBorder="1" applyAlignment="1" applyProtection="1">
      <alignment horizontal="center" vertical="center"/>
      <protection hidden="1"/>
    </xf>
    <xf numFmtId="0" fontId="99" fillId="23" borderId="2" xfId="0" applyFont="1" applyFill="1" applyBorder="1" applyAlignment="1" applyProtection="1">
      <alignment horizontal="center" vertical="center"/>
      <protection hidden="1"/>
    </xf>
    <xf numFmtId="0" fontId="99" fillId="23" borderId="130" xfId="0" applyFont="1" applyFill="1" applyBorder="1" applyAlignment="1" applyProtection="1">
      <alignment horizontal="center" vertical="center"/>
      <protection hidden="1"/>
    </xf>
    <xf numFmtId="0" fontId="99" fillId="18" borderId="41" xfId="0" applyFont="1" applyFill="1" applyBorder="1" applyAlignment="1" applyProtection="1">
      <alignment horizontal="center" vertical="center"/>
      <protection hidden="1"/>
    </xf>
    <xf numFmtId="0" fontId="99" fillId="23" borderId="41" xfId="0" applyFont="1" applyFill="1" applyBorder="1" applyAlignment="1" applyProtection="1">
      <alignment horizontal="center" vertical="center"/>
      <protection hidden="1"/>
    </xf>
    <xf numFmtId="0" fontId="99" fillId="23" borderId="145" xfId="0" applyFont="1" applyFill="1" applyBorder="1" applyAlignment="1" applyProtection="1">
      <alignment horizontal="center" vertical="center"/>
      <protection hidden="1"/>
    </xf>
    <xf numFmtId="0" fontId="256" fillId="0" borderId="0" xfId="0" applyFont="1"/>
    <xf numFmtId="0" fontId="257" fillId="0" borderId="0" xfId="0" applyFont="1"/>
    <xf numFmtId="0" fontId="25" fillId="0" borderId="0" xfId="0" applyFont="1"/>
    <xf numFmtId="0" fontId="114"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9" fillId="0" borderId="131" xfId="0" applyFont="1" applyBorder="1" applyAlignment="1" applyProtection="1">
      <alignment vertical="center"/>
      <protection locked="0"/>
    </xf>
    <xf numFmtId="6" fontId="101" fillId="9" borderId="146" xfId="0" applyNumberFormat="1" applyFont="1" applyFill="1" applyBorder="1" applyAlignment="1">
      <alignment horizontal="center" vertical="center"/>
    </xf>
    <xf numFmtId="0" fontId="247" fillId="9" borderId="0" xfId="0" applyFont="1" applyFill="1" applyAlignment="1" applyProtection="1">
      <alignment vertical="center" wrapText="1"/>
      <protection hidden="1"/>
    </xf>
    <xf numFmtId="2" fontId="99" fillId="0" borderId="2" xfId="0" applyNumberFormat="1" applyFont="1" applyBorder="1" applyAlignment="1">
      <alignment horizontal="center" vertical="center"/>
    </xf>
    <xf numFmtId="14" fontId="114" fillId="23" borderId="130" xfId="0" quotePrefix="1" applyNumberFormat="1" applyFont="1" applyFill="1" applyBorder="1" applyAlignment="1" applyProtection="1">
      <alignment horizontal="center" vertical="center"/>
      <protection hidden="1"/>
    </xf>
    <xf numFmtId="0" fontId="24" fillId="0" borderId="0" xfId="0" applyFont="1"/>
    <xf numFmtId="194" fontId="0" fillId="0" borderId="0" xfId="0" applyNumberFormat="1" applyAlignment="1">
      <alignment horizontal="center" vertical="center"/>
    </xf>
    <xf numFmtId="2" fontId="99"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27" fillId="4" borderId="130" xfId="0" applyFont="1" applyFill="1" applyBorder="1" applyAlignment="1" applyProtection="1">
      <alignment horizontal="center" vertical="center"/>
      <protection hidden="1"/>
    </xf>
    <xf numFmtId="0" fontId="27" fillId="4" borderId="130" xfId="0" applyFont="1" applyFill="1" applyBorder="1" applyAlignment="1" applyProtection="1">
      <alignment vertical="center"/>
      <protection hidden="1"/>
    </xf>
    <xf numFmtId="0" fontId="114" fillId="4" borderId="130" xfId="0" applyFont="1" applyFill="1" applyBorder="1" applyAlignment="1" applyProtection="1">
      <alignment horizontal="center" vertical="center"/>
      <protection hidden="1"/>
    </xf>
    <xf numFmtId="6" fontId="114" fillId="4" borderId="130" xfId="0" applyNumberFormat="1" applyFont="1" applyFill="1" applyBorder="1" applyAlignment="1" applyProtection="1">
      <alignment horizontal="center" vertical="center"/>
      <protection hidden="1"/>
    </xf>
    <xf numFmtId="186" fontId="114" fillId="4" borderId="130" xfId="0" applyNumberFormat="1" applyFont="1" applyFill="1" applyBorder="1" applyAlignment="1" applyProtection="1">
      <alignment horizontal="center" vertical="center"/>
      <protection hidden="1"/>
    </xf>
    <xf numFmtId="190" fontId="114" fillId="4" borderId="130" xfId="0" applyNumberFormat="1" applyFont="1" applyFill="1" applyBorder="1" applyAlignment="1" applyProtection="1">
      <alignment horizontal="center" vertical="center"/>
      <protection hidden="1"/>
    </xf>
    <xf numFmtId="10" fontId="210" fillId="4" borderId="130" xfId="3" applyNumberFormat="1" applyFont="1" applyFill="1" applyBorder="1" applyAlignment="1" applyProtection="1">
      <alignment horizontal="center" vertical="center"/>
      <protection hidden="1"/>
    </xf>
    <xf numFmtId="6" fontId="114"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8" fillId="4" borderId="274" xfId="3" applyFont="1" applyFill="1" applyBorder="1" applyAlignment="1" applyProtection="1">
      <alignment horizontal="center" vertical="center"/>
      <protection hidden="1"/>
    </xf>
    <xf numFmtId="9" fontId="88"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9"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11" fillId="9" borderId="168" xfId="0" applyNumberFormat="1" applyFont="1" applyFill="1" applyBorder="1" applyAlignment="1">
      <alignment horizontal="center" vertical="top"/>
    </xf>
    <xf numFmtId="8" fontId="109" fillId="0" borderId="2" xfId="0" applyNumberFormat="1" applyFont="1" applyBorder="1" applyAlignment="1" applyProtection="1">
      <alignment horizontal="center" vertical="center"/>
      <protection locked="0"/>
    </xf>
    <xf numFmtId="0" fontId="266" fillId="0" borderId="0" xfId="0" applyFont="1" applyAlignment="1">
      <alignment horizontal="left" vertical="center"/>
    </xf>
    <xf numFmtId="0" fontId="267" fillId="0" borderId="0" xfId="0" applyFont="1"/>
    <xf numFmtId="0" fontId="268" fillId="0" borderId="0" xfId="0" applyFont="1"/>
    <xf numFmtId="0" fontId="0" fillId="0" borderId="0" xfId="0" applyAlignment="1">
      <alignment wrapText="1"/>
    </xf>
    <xf numFmtId="0" fontId="99"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103" fillId="4" borderId="2" xfId="0" applyNumberFormat="1" applyFont="1" applyFill="1" applyBorder="1" applyAlignment="1" applyProtection="1">
      <alignment horizontal="center" vertical="center"/>
      <protection hidden="1"/>
    </xf>
    <xf numFmtId="0" fontId="99" fillId="9" borderId="188" xfId="0" applyFont="1" applyFill="1" applyBorder="1" applyAlignment="1" applyProtection="1">
      <alignment horizontal="center" vertical="center"/>
      <protection hidden="1"/>
    </xf>
    <xf numFmtId="0" fontId="57" fillId="4" borderId="79" xfId="0" applyFont="1" applyFill="1" applyBorder="1" applyAlignment="1" applyProtection="1">
      <alignment vertical="center" wrapText="1"/>
      <protection hidden="1"/>
    </xf>
    <xf numFmtId="186" fontId="114"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9" fillId="4" borderId="288" xfId="0" applyFont="1" applyFill="1" applyBorder="1" applyAlignment="1" applyProtection="1">
      <alignment horizontal="right" vertical="center"/>
      <protection hidden="1"/>
    </xf>
    <xf numFmtId="6" fontId="109" fillId="4" borderId="106" xfId="0" applyNumberFormat="1" applyFont="1" applyFill="1" applyBorder="1" applyAlignment="1" applyProtection="1">
      <alignment horizontal="center" vertical="center"/>
      <protection hidden="1"/>
    </xf>
    <xf numFmtId="6" fontId="109"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44" fillId="9" borderId="0" xfId="0" applyNumberFormat="1" applyFont="1" applyFill="1" applyAlignment="1">
      <alignment horizontal="center" vertical="center"/>
    </xf>
    <xf numFmtId="10" fontId="22" fillId="9" borderId="2" xfId="3" applyNumberFormat="1" applyFont="1" applyFill="1" applyBorder="1" applyAlignment="1" applyProtection="1">
      <alignment vertical="center"/>
      <protection hidden="1"/>
    </xf>
    <xf numFmtId="8" fontId="202" fillId="9" borderId="130" xfId="0" applyNumberFormat="1" applyFont="1" applyFill="1" applyBorder="1" applyAlignment="1" applyProtection="1">
      <alignment vertical="center"/>
      <protection hidden="1"/>
    </xf>
    <xf numFmtId="0" fontId="22" fillId="9" borderId="9" xfId="0" quotePrefix="1" applyFont="1" applyFill="1" applyBorder="1" applyAlignment="1" applyProtection="1">
      <alignment vertical="center"/>
      <protection hidden="1"/>
    </xf>
    <xf numFmtId="0" fontId="22" fillId="9" borderId="10" xfId="0" quotePrefix="1" applyFont="1" applyFill="1" applyBorder="1" applyAlignment="1" applyProtection="1">
      <alignment vertical="center"/>
      <protection hidden="1"/>
    </xf>
    <xf numFmtId="8" fontId="22" fillId="0" borderId="2" xfId="0" applyNumberFormat="1" applyFont="1" applyBorder="1" applyAlignment="1" applyProtection="1">
      <alignment vertical="center"/>
      <protection locked="0"/>
    </xf>
    <xf numFmtId="8" fontId="22" fillId="6" borderId="2" xfId="0" applyNumberFormat="1" applyFont="1" applyFill="1" applyBorder="1" applyAlignment="1" applyProtection="1">
      <alignment vertical="center"/>
      <protection locked="0"/>
    </xf>
    <xf numFmtId="10" fontId="22" fillId="0" borderId="10" xfId="0" applyNumberFormat="1" applyFont="1" applyBorder="1" applyAlignment="1" applyProtection="1">
      <alignment horizontal="right" vertical="center"/>
      <protection locked="0"/>
    </xf>
    <xf numFmtId="10" fontId="22" fillId="9" borderId="2" xfId="0" applyNumberFormat="1" applyFont="1" applyFill="1" applyBorder="1" applyAlignment="1" applyProtection="1">
      <alignment vertical="center"/>
      <protection hidden="1"/>
    </xf>
    <xf numFmtId="8" fontId="22" fillId="9" borderId="2" xfId="3" applyNumberFormat="1" applyFont="1" applyFill="1" applyBorder="1" applyAlignment="1" applyProtection="1">
      <alignment vertical="center"/>
      <protection hidden="1"/>
    </xf>
    <xf numFmtId="10" fontId="22" fillId="9" borderId="41" xfId="3" applyNumberFormat="1" applyFont="1" applyFill="1" applyBorder="1" applyAlignment="1" applyProtection="1">
      <alignment vertical="center"/>
      <protection hidden="1"/>
    </xf>
    <xf numFmtId="8" fontId="66" fillId="0" borderId="0" xfId="3" applyNumberFormat="1" applyFont="1" applyFill="1" applyBorder="1" applyAlignment="1" applyProtection="1">
      <alignment horizontal="center" vertical="center"/>
      <protection locked="0"/>
    </xf>
    <xf numFmtId="10" fontId="98" fillId="0" borderId="0" xfId="3" applyNumberFormat="1" applyFont="1" applyFill="1" applyBorder="1" applyAlignment="1" applyProtection="1">
      <alignment horizontal="center" vertical="center"/>
      <protection hidden="1"/>
    </xf>
    <xf numFmtId="8" fontId="99" fillId="0" borderId="0" xfId="0" applyNumberFormat="1" applyFont="1" applyAlignment="1" applyProtection="1">
      <alignment horizontal="center" vertical="center"/>
      <protection hidden="1"/>
    </xf>
    <xf numFmtId="8" fontId="99" fillId="0" borderId="0" xfId="0" applyNumberFormat="1" applyFont="1" applyAlignment="1" applyProtection="1">
      <alignment horizontal="center" vertical="center"/>
      <protection locked="0"/>
    </xf>
    <xf numFmtId="0" fontId="156" fillId="0" borderId="0" xfId="0" applyFont="1" applyAlignment="1">
      <alignment vertical="center" wrapText="1"/>
    </xf>
    <xf numFmtId="0" fontId="115"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9" fillId="0" borderId="0" xfId="0" applyNumberFormat="1" applyFont="1" applyAlignment="1">
      <alignment horizontal="center" vertical="center"/>
    </xf>
    <xf numFmtId="6" fontId="99" fillId="0" borderId="0" xfId="0" applyNumberFormat="1" applyFont="1" applyAlignment="1" applyProtection="1">
      <alignment horizontal="center" vertical="center"/>
      <protection hidden="1"/>
    </xf>
    <xf numFmtId="8" fontId="34" fillId="0" borderId="0" xfId="0" applyNumberFormat="1" applyFont="1" applyAlignment="1" applyProtection="1">
      <alignment horizontal="center" vertical="center"/>
      <protection hidden="1"/>
    </xf>
    <xf numFmtId="8" fontId="171" fillId="0" borderId="0" xfId="0" applyNumberFormat="1" applyFont="1"/>
    <xf numFmtId="10" fontId="103" fillId="0" borderId="0" xfId="0" applyNumberFormat="1" applyFont="1"/>
    <xf numFmtId="10" fontId="22" fillId="0" borderId="2" xfId="0" applyNumberFormat="1" applyFont="1" applyBorder="1" applyAlignment="1" applyProtection="1">
      <alignment horizontal="center" vertical="center"/>
      <protection locked="0"/>
    </xf>
    <xf numFmtId="10" fontId="22" fillId="0" borderId="2" xfId="3" applyNumberFormat="1" applyFont="1" applyFill="1" applyBorder="1" applyAlignment="1" applyProtection="1">
      <alignment horizontal="center" vertical="center"/>
      <protection locked="0"/>
    </xf>
    <xf numFmtId="0" fontId="22" fillId="9" borderId="154" xfId="0" applyFont="1" applyFill="1" applyBorder="1" applyAlignment="1" applyProtection="1">
      <alignment horizontal="right" vertical="center"/>
      <protection hidden="1"/>
    </xf>
    <xf numFmtId="14" fontId="22" fillId="0" borderId="12" xfId="0" applyNumberFormat="1" applyFont="1" applyBorder="1" applyAlignment="1" applyProtection="1">
      <alignment vertical="center"/>
      <protection locked="0"/>
    </xf>
    <xf numFmtId="14" fontId="22" fillId="9" borderId="12" xfId="0" applyNumberFormat="1" applyFont="1" applyFill="1" applyBorder="1" applyAlignment="1" applyProtection="1">
      <alignment horizontal="center" vertical="center"/>
      <protection hidden="1"/>
    </xf>
    <xf numFmtId="0" fontId="22" fillId="9" borderId="111" xfId="0" applyFont="1" applyFill="1" applyBorder="1" applyAlignment="1">
      <alignment vertical="center"/>
    </xf>
    <xf numFmtId="8" fontId="22" fillId="6" borderId="14" xfId="0" applyNumberFormat="1" applyFont="1" applyFill="1" applyBorder="1" applyAlignment="1">
      <alignment horizontal="center" vertical="center"/>
    </xf>
    <xf numFmtId="0" fontId="22" fillId="9" borderId="14" xfId="0" applyFont="1" applyFill="1" applyBorder="1" applyAlignment="1">
      <alignment vertical="center"/>
    </xf>
    <xf numFmtId="185" fontId="22" fillId="0" borderId="14" xfId="0" applyNumberFormat="1" applyFont="1" applyBorder="1" applyAlignment="1" applyProtection="1">
      <alignment horizontal="center" vertical="center"/>
      <protection locked="0"/>
    </xf>
    <xf numFmtId="10" fontId="22" fillId="9" borderId="14" xfId="0" applyNumberFormat="1" applyFont="1" applyFill="1" applyBorder="1" applyAlignment="1">
      <alignment horizontal="center" vertical="center"/>
    </xf>
    <xf numFmtId="8" fontId="22" fillId="9" borderId="183" xfId="0" applyNumberFormat="1" applyFont="1" applyFill="1" applyBorder="1" applyAlignment="1" applyProtection="1">
      <alignment horizontal="center" vertical="center"/>
      <protection hidden="1"/>
    </xf>
    <xf numFmtId="8" fontId="22" fillId="9" borderId="2" xfId="0" applyNumberFormat="1" applyFont="1" applyFill="1" applyBorder="1" applyAlignment="1" applyProtection="1">
      <alignment vertical="center"/>
      <protection hidden="1"/>
    </xf>
    <xf numFmtId="165" fontId="22" fillId="9" borderId="226" xfId="0" applyNumberFormat="1" applyFont="1" applyFill="1" applyBorder="1" applyAlignment="1" applyProtection="1">
      <alignment horizontal="center" vertical="center"/>
      <protection hidden="1"/>
    </xf>
    <xf numFmtId="165" fontId="22" fillId="9" borderId="145" xfId="0" applyNumberFormat="1" applyFont="1" applyFill="1" applyBorder="1" applyAlignment="1" applyProtection="1">
      <alignment horizontal="center" vertical="center"/>
      <protection hidden="1"/>
    </xf>
    <xf numFmtId="0" fontId="210" fillId="9" borderId="2" xfId="0" applyFont="1" applyFill="1" applyBorder="1" applyAlignment="1">
      <alignment horizontal="center" vertical="center"/>
    </xf>
    <xf numFmtId="8" fontId="22" fillId="9" borderId="130" xfId="0" applyNumberFormat="1" applyFont="1" applyFill="1" applyBorder="1" applyAlignment="1" applyProtection="1">
      <alignment horizontal="center" vertical="center"/>
      <protection hidden="1"/>
    </xf>
    <xf numFmtId="8" fontId="173" fillId="0" borderId="41" xfId="0" applyNumberFormat="1" applyFont="1" applyBorder="1" applyAlignment="1" applyProtection="1">
      <alignment horizontal="center" vertical="center"/>
      <protection locked="0"/>
    </xf>
    <xf numFmtId="178" fontId="88" fillId="9" borderId="10" xfId="0" applyNumberFormat="1" applyFont="1" applyFill="1" applyBorder="1" applyAlignment="1" applyProtection="1">
      <alignment horizontal="right" vertical="center" wrapText="1"/>
      <protection hidden="1"/>
    </xf>
    <xf numFmtId="178" fontId="88" fillId="9" borderId="130" xfId="0" applyNumberFormat="1" applyFont="1" applyFill="1" applyBorder="1" applyAlignment="1" applyProtection="1">
      <alignment horizontal="center" vertical="center" wrapText="1"/>
      <protection hidden="1"/>
    </xf>
    <xf numFmtId="178" fontId="153" fillId="9" borderId="55" xfId="0" applyNumberFormat="1" applyFont="1" applyFill="1" applyBorder="1" applyAlignment="1" applyProtection="1">
      <alignment horizontal="right" vertical="center" wrapText="1"/>
      <protection hidden="1"/>
    </xf>
    <xf numFmtId="178" fontId="153" fillId="9" borderId="183" xfId="0" applyNumberFormat="1" applyFont="1" applyFill="1" applyBorder="1" applyAlignment="1" applyProtection="1">
      <alignment horizontal="center" vertical="center" wrapText="1"/>
      <protection hidden="1"/>
    </xf>
    <xf numFmtId="6" fontId="20" fillId="9" borderId="130" xfId="0" applyNumberFormat="1" applyFont="1" applyFill="1" applyBorder="1" applyAlignment="1" applyProtection="1">
      <alignment horizontal="center" vertical="center" wrapText="1"/>
      <protection hidden="1"/>
    </xf>
    <xf numFmtId="178" fontId="20" fillId="9" borderId="130" xfId="0" applyNumberFormat="1" applyFont="1" applyFill="1" applyBorder="1" applyAlignment="1" applyProtection="1">
      <alignment horizontal="center" vertical="center" wrapText="1"/>
      <protection hidden="1"/>
    </xf>
    <xf numFmtId="0" fontId="239" fillId="9" borderId="2" xfId="0" applyFont="1" applyFill="1" applyBorder="1" applyAlignment="1">
      <alignment horizontal="center" vertical="center"/>
    </xf>
    <xf numFmtId="0" fontId="239" fillId="9" borderId="130" xfId="0" applyFont="1" applyFill="1" applyBorder="1" applyAlignment="1">
      <alignment horizontal="center" vertical="center"/>
    </xf>
    <xf numFmtId="8" fontId="114" fillId="0" borderId="2" xfId="0" applyNumberFormat="1" applyFont="1" applyBorder="1" applyAlignment="1" applyProtection="1">
      <alignment horizontal="center" vertical="center" wrapText="1"/>
      <protection locked="0"/>
    </xf>
    <xf numFmtId="8" fontId="114" fillId="9" borderId="130" xfId="0" applyNumberFormat="1" applyFont="1" applyFill="1" applyBorder="1" applyAlignment="1" applyProtection="1">
      <alignment horizontal="center" vertical="center" wrapText="1"/>
      <protection hidden="1"/>
    </xf>
    <xf numFmtId="184" fontId="20" fillId="9" borderId="130" xfId="0" applyNumberFormat="1" applyFont="1" applyFill="1" applyBorder="1" applyAlignment="1" applyProtection="1">
      <alignment horizontal="center" vertical="center" wrapText="1"/>
      <protection hidden="1"/>
    </xf>
    <xf numFmtId="8" fontId="20" fillId="9" borderId="130" xfId="0" applyNumberFormat="1" applyFont="1" applyFill="1" applyBorder="1" applyAlignment="1" applyProtection="1">
      <alignment horizontal="center" vertical="center" wrapText="1"/>
      <protection hidden="1"/>
    </xf>
    <xf numFmtId="6" fontId="114" fillId="9" borderId="130" xfId="0" applyNumberFormat="1" applyFont="1" applyFill="1" applyBorder="1" applyAlignment="1" applyProtection="1">
      <alignment horizontal="center" vertical="center" wrapText="1"/>
      <protection hidden="1"/>
    </xf>
    <xf numFmtId="6" fontId="210" fillId="9" borderId="183" xfId="0" applyNumberFormat="1" applyFont="1" applyFill="1" applyBorder="1" applyAlignment="1" applyProtection="1">
      <alignment horizontal="center" vertical="center" wrapText="1"/>
      <protection hidden="1"/>
    </xf>
    <xf numFmtId="6" fontId="202" fillId="9" borderId="267" xfId="0" applyNumberFormat="1" applyFont="1" applyFill="1" applyBorder="1" applyAlignment="1" applyProtection="1">
      <alignment horizontal="center" vertical="center" wrapText="1"/>
      <protection hidden="1"/>
    </xf>
    <xf numFmtId="6" fontId="202" fillId="9" borderId="132" xfId="0" applyNumberFormat="1" applyFont="1" applyFill="1" applyBorder="1" applyAlignment="1" applyProtection="1">
      <alignment horizontal="center" vertical="center" wrapText="1"/>
      <protection hidden="1"/>
    </xf>
    <xf numFmtId="14" fontId="22" fillId="9" borderId="183" xfId="0" applyNumberFormat="1" applyFont="1" applyFill="1" applyBorder="1" applyAlignment="1" applyProtection="1">
      <alignment horizontal="center" vertical="center"/>
      <protection hidden="1"/>
    </xf>
    <xf numFmtId="0" fontId="109" fillId="0" borderId="0" xfId="0" applyFont="1" applyAlignment="1" applyProtection="1">
      <alignment vertical="center"/>
      <protection hidden="1"/>
    </xf>
    <xf numFmtId="0" fontId="109" fillId="0" borderId="0" xfId="0" applyFont="1" applyAlignment="1">
      <alignment vertical="center" wrapText="1"/>
    </xf>
    <xf numFmtId="0" fontId="104" fillId="9" borderId="8" xfId="0" applyFont="1" applyFill="1" applyBorder="1" applyAlignment="1">
      <alignment vertical="center"/>
    </xf>
    <xf numFmtId="0" fontId="99" fillId="9" borderId="55" xfId="0" applyFont="1" applyFill="1" applyBorder="1"/>
    <xf numFmtId="0" fontId="144" fillId="9" borderId="0" xfId="0" applyFont="1" applyFill="1" applyAlignment="1">
      <alignment horizontal="left"/>
    </xf>
    <xf numFmtId="0" fontId="104" fillId="0" borderId="8" xfId="0" applyFont="1" applyBorder="1" applyAlignment="1">
      <alignment vertical="center"/>
    </xf>
    <xf numFmtId="0" fontId="62" fillId="0" borderId="0" xfId="2" applyNumberFormat="1" applyFill="1" applyAlignment="1" applyProtection="1">
      <alignment vertical="center" wrapText="1"/>
    </xf>
    <xf numFmtId="0" fontId="106" fillId="0" borderId="8" xfId="0" applyFont="1" applyBorder="1" applyAlignment="1">
      <alignment vertical="center" textRotation="90"/>
    </xf>
    <xf numFmtId="0" fontId="239" fillId="9" borderId="113" xfId="0" applyFont="1" applyFill="1" applyBorder="1" applyAlignment="1">
      <alignment horizontal="right" vertical="center"/>
    </xf>
    <xf numFmtId="6" fontId="34"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9" fillId="0" borderId="0" xfId="0" applyFont="1" applyAlignment="1" applyProtection="1">
      <alignment horizontal="right" vertical="center" wrapText="1"/>
      <protection hidden="1"/>
    </xf>
    <xf numFmtId="0" fontId="104" fillId="9" borderId="0" xfId="0" applyFont="1" applyFill="1" applyAlignment="1">
      <alignment vertical="center"/>
    </xf>
    <xf numFmtId="0" fontId="281" fillId="9" borderId="78" xfId="0" applyFont="1" applyFill="1" applyBorder="1" applyAlignment="1" applyProtection="1">
      <alignment horizontal="center" vertical="center" wrapText="1"/>
      <protection hidden="1"/>
    </xf>
    <xf numFmtId="0" fontId="104" fillId="9" borderId="78" xfId="0" applyFont="1" applyFill="1" applyBorder="1" applyAlignment="1" applyProtection="1">
      <alignment horizontal="center" vertical="center" wrapText="1"/>
      <protection hidden="1"/>
    </xf>
    <xf numFmtId="0" fontId="144" fillId="4" borderId="0" xfId="0" applyFont="1" applyFill="1"/>
    <xf numFmtId="0" fontId="144" fillId="0" borderId="0" xfId="0" applyFont="1"/>
    <xf numFmtId="9" fontId="144" fillId="9" borderId="28" xfId="0" applyNumberFormat="1" applyFont="1" applyFill="1" applyBorder="1"/>
    <xf numFmtId="8" fontId="99" fillId="0" borderId="0" xfId="0" applyNumberFormat="1" applyFont="1" applyAlignment="1">
      <alignment vertical="center"/>
    </xf>
    <xf numFmtId="0" fontId="272" fillId="9" borderId="67" xfId="0" applyFont="1" applyFill="1" applyBorder="1" applyAlignment="1" applyProtection="1">
      <alignment vertical="center"/>
      <protection hidden="1"/>
    </xf>
    <xf numFmtId="0" fontId="272" fillId="9" borderId="21" xfId="0" applyFont="1" applyFill="1" applyBorder="1" applyAlignment="1" applyProtection="1">
      <alignment vertical="center"/>
      <protection hidden="1"/>
    </xf>
    <xf numFmtId="0" fontId="22" fillId="9" borderId="10" xfId="0" applyFont="1" applyFill="1" applyBorder="1" applyAlignment="1" applyProtection="1">
      <alignment vertical="center"/>
      <protection hidden="1"/>
    </xf>
    <xf numFmtId="0" fontId="22" fillId="9" borderId="56" xfId="0" applyFont="1" applyFill="1" applyBorder="1" applyAlignment="1" applyProtection="1">
      <alignment vertical="center"/>
      <protection hidden="1"/>
    </xf>
    <xf numFmtId="0" fontId="33" fillId="0" borderId="0" xfId="0" applyFont="1" applyAlignment="1" applyProtection="1">
      <alignment vertical="center"/>
      <protection hidden="1"/>
    </xf>
    <xf numFmtId="0" fontId="114" fillId="0" borderId="0" xfId="0" applyFont="1" applyAlignment="1" applyProtection="1">
      <alignment vertical="center" wrapText="1"/>
      <protection hidden="1"/>
    </xf>
    <xf numFmtId="14" fontId="104" fillId="0" borderId="0" xfId="0" applyNumberFormat="1" applyFont="1" applyAlignment="1" applyProtection="1">
      <alignment vertical="center" wrapText="1"/>
      <protection hidden="1"/>
    </xf>
    <xf numFmtId="0" fontId="104" fillId="0" borderId="0" xfId="0" applyFont="1" applyAlignment="1" applyProtection="1">
      <alignment vertical="center" wrapText="1"/>
      <protection hidden="1"/>
    </xf>
    <xf numFmtId="0" fontId="99" fillId="0" borderId="0" xfId="0" applyFont="1" applyAlignment="1" applyProtection="1">
      <alignment vertical="center" wrapText="1"/>
      <protection hidden="1"/>
    </xf>
    <xf numFmtId="6" fontId="34" fillId="0" borderId="0" xfId="0" applyNumberFormat="1" applyFont="1" applyAlignment="1" applyProtection="1">
      <alignment vertical="center"/>
      <protection hidden="1"/>
    </xf>
    <xf numFmtId="0" fontId="101" fillId="0" borderId="0" xfId="0" applyFont="1" applyAlignment="1" applyProtection="1">
      <alignment vertical="center" wrapText="1"/>
      <protection hidden="1"/>
    </xf>
    <xf numFmtId="8" fontId="62" fillId="0" borderId="0" xfId="2" applyNumberFormat="1" applyFill="1" applyBorder="1" applyAlignment="1" applyProtection="1"/>
    <xf numFmtId="0" fontId="114" fillId="0" borderId="0" xfId="0" applyFont="1" applyAlignment="1" applyProtection="1">
      <alignment vertical="center"/>
      <protection hidden="1"/>
    </xf>
    <xf numFmtId="0" fontId="109" fillId="0" borderId="0" xfId="0" applyFont="1" applyAlignment="1" applyProtection="1">
      <alignment vertical="center" wrapText="1"/>
      <protection hidden="1"/>
    </xf>
    <xf numFmtId="6" fontId="111" fillId="0" borderId="0" xfId="0" applyNumberFormat="1" applyFont="1" applyAlignment="1" applyProtection="1">
      <alignment vertical="center"/>
      <protection locked="0"/>
    </xf>
    <xf numFmtId="0" fontId="239" fillId="0" borderId="0" xfId="0" applyFont="1" applyAlignment="1">
      <alignment vertical="center" wrapText="1"/>
    </xf>
    <xf numFmtId="6" fontId="114" fillId="0" borderId="0" xfId="0" applyNumberFormat="1" applyFont="1" applyAlignment="1" applyProtection="1">
      <alignment vertical="center"/>
      <protection hidden="1"/>
    </xf>
    <xf numFmtId="6" fontId="109" fillId="0" borderId="0" xfId="0" applyNumberFormat="1" applyFont="1" applyAlignment="1" applyProtection="1">
      <alignment vertical="center"/>
      <protection hidden="1"/>
    </xf>
    <xf numFmtId="0" fontId="114" fillId="9" borderId="0" xfId="0" applyFont="1" applyFill="1" applyAlignment="1">
      <alignment vertical="center" wrapText="1"/>
    </xf>
    <xf numFmtId="8" fontId="22" fillId="6" borderId="144" xfId="0" applyNumberFormat="1" applyFont="1" applyFill="1" applyBorder="1" applyAlignment="1" applyProtection="1">
      <alignment horizontal="right" vertical="center" wrapText="1"/>
      <protection locked="0"/>
    </xf>
    <xf numFmtId="0" fontId="144" fillId="9" borderId="0" xfId="0" applyFont="1" applyFill="1"/>
    <xf numFmtId="0" fontId="147" fillId="9" borderId="171" xfId="2" applyNumberFormat="1" applyFont="1" applyFill="1" applyBorder="1" applyAlignment="1" applyProtection="1">
      <alignment horizontal="center" vertical="center" wrapText="1"/>
    </xf>
    <xf numFmtId="0" fontId="272" fillId="9" borderId="227" xfId="0" applyFont="1" applyFill="1" applyBorder="1" applyAlignment="1" applyProtection="1">
      <alignment vertical="center"/>
      <protection hidden="1"/>
    </xf>
    <xf numFmtId="0" fontId="272" fillId="9" borderId="159" xfId="0" applyFont="1" applyFill="1" applyBorder="1" applyAlignment="1" applyProtection="1">
      <alignment vertical="center"/>
      <protection hidden="1"/>
    </xf>
    <xf numFmtId="177" fontId="248" fillId="9" borderId="130" xfId="3" applyNumberFormat="1" applyFont="1" applyFill="1" applyBorder="1" applyAlignment="1" applyProtection="1">
      <alignment horizontal="center" vertical="center"/>
      <protection hidden="1"/>
    </xf>
    <xf numFmtId="10" fontId="273" fillId="9" borderId="130" xfId="3" applyNumberFormat="1" applyFont="1" applyFill="1" applyBorder="1" applyAlignment="1" applyProtection="1">
      <alignment horizontal="center" vertical="center"/>
      <protection hidden="1"/>
    </xf>
    <xf numFmtId="8" fontId="114" fillId="9" borderId="152" xfId="3" applyNumberFormat="1" applyFont="1" applyFill="1" applyBorder="1" applyAlignment="1" applyProtection="1">
      <alignment horizontal="center" vertical="center"/>
      <protection hidden="1"/>
    </xf>
    <xf numFmtId="0" fontId="22" fillId="9" borderId="220" xfId="0" applyFont="1" applyFill="1" applyBorder="1" applyAlignment="1">
      <alignment vertical="center"/>
    </xf>
    <xf numFmtId="8" fontId="22" fillId="9" borderId="297" xfId="0" applyNumberFormat="1" applyFont="1" applyFill="1" applyBorder="1" applyAlignment="1">
      <alignment horizontal="right" vertical="center"/>
    </xf>
    <xf numFmtId="0" fontId="22" fillId="9" borderId="0" xfId="0" applyFont="1" applyFill="1" applyAlignment="1">
      <alignment horizontal="center" vertical="center"/>
    </xf>
    <xf numFmtId="8" fontId="239" fillId="9" borderId="113" xfId="0" applyNumberFormat="1" applyFont="1" applyFill="1" applyBorder="1" applyAlignment="1">
      <alignment horizontal="center" vertical="center"/>
    </xf>
    <xf numFmtId="8" fontId="114" fillId="9" borderId="131" xfId="0" applyNumberFormat="1" applyFont="1" applyFill="1" applyBorder="1" applyAlignment="1" applyProtection="1">
      <alignment vertical="center"/>
      <protection hidden="1"/>
    </xf>
    <xf numFmtId="0" fontId="114" fillId="9" borderId="184" xfId="0" applyFont="1" applyFill="1" applyBorder="1" applyAlignment="1">
      <alignment vertical="center"/>
    </xf>
    <xf numFmtId="10" fontId="114" fillId="9" borderId="131" xfId="0" applyNumberFormat="1" applyFont="1" applyFill="1" applyBorder="1" applyAlignment="1" applyProtection="1">
      <alignment vertical="center"/>
      <protection hidden="1"/>
    </xf>
    <xf numFmtId="8" fontId="114"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62" fillId="0" borderId="0" xfId="2" applyNumberFormat="1" applyAlignment="1" applyProtection="1">
      <alignment wrapText="1"/>
    </xf>
    <xf numFmtId="0" fontId="62"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51" fillId="0" borderId="2" xfId="0" applyFont="1" applyBorder="1" applyAlignment="1">
      <alignment horizontal="center" vertical="center" wrapText="1"/>
    </xf>
    <xf numFmtId="14" fontId="105" fillId="4" borderId="2" xfId="0" applyNumberFormat="1" applyFont="1" applyFill="1" applyBorder="1" applyAlignment="1" applyProtection="1">
      <alignment horizontal="center" vertical="center" wrapText="1"/>
      <protection locked="0"/>
    </xf>
    <xf numFmtId="14" fontId="101"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104" fillId="0" borderId="0" xfId="0" quotePrefix="1" applyFont="1" applyAlignment="1">
      <alignment horizontal="left" vertical="center"/>
    </xf>
    <xf numFmtId="0" fontId="104"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61" fillId="4" borderId="300" xfId="0" applyFont="1" applyFill="1" applyBorder="1" applyAlignment="1">
      <alignment horizontal="right" vertical="center"/>
    </xf>
    <xf numFmtId="0" fontId="57" fillId="12" borderId="17" xfId="0" applyFont="1" applyFill="1" applyBorder="1" applyAlignment="1" applyProtection="1">
      <alignment horizontal="center" vertical="center" wrapText="1"/>
      <protection hidden="1"/>
    </xf>
    <xf numFmtId="0" fontId="101" fillId="9" borderId="99" xfId="0" applyFont="1" applyFill="1" applyBorder="1" applyAlignment="1">
      <alignment horizontal="center" vertical="center" wrapText="1"/>
    </xf>
    <xf numFmtId="8" fontId="98"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9" fillId="0" borderId="102" xfId="0" applyNumberFormat="1" applyFont="1" applyBorder="1" applyAlignment="1" applyProtection="1">
      <alignment horizontal="center" vertical="center" wrapText="1"/>
      <protection locked="0"/>
    </xf>
    <xf numFmtId="178" fontId="101" fillId="9" borderId="2" xfId="0" applyNumberFormat="1" applyFont="1" applyFill="1" applyBorder="1" applyAlignment="1">
      <alignment horizontal="center" vertical="center"/>
    </xf>
    <xf numFmtId="178" fontId="101" fillId="9" borderId="6" xfId="0" applyNumberFormat="1" applyFont="1" applyFill="1" applyBorder="1" applyAlignment="1">
      <alignment horizontal="center" vertical="center"/>
    </xf>
    <xf numFmtId="0" fontId="212" fillId="9" borderId="0" xfId="0" applyFont="1" applyFill="1" applyAlignment="1">
      <alignment wrapText="1"/>
    </xf>
    <xf numFmtId="10" fontId="105" fillId="9" borderId="21" xfId="3" applyNumberFormat="1" applyFont="1" applyFill="1" applyBorder="1" applyAlignment="1">
      <alignment horizontal="center" vertical="center"/>
    </xf>
    <xf numFmtId="0" fontId="212" fillId="9" borderId="99" xfId="0" applyFont="1" applyFill="1" applyBorder="1" applyAlignment="1">
      <alignment wrapText="1"/>
    </xf>
    <xf numFmtId="10" fontId="105"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9" fillId="9" borderId="2" xfId="0" applyFont="1" applyFill="1" applyBorder="1" applyAlignment="1" applyProtection="1">
      <alignment horizontal="center" vertical="center" wrapText="1"/>
      <protection hidden="1"/>
    </xf>
    <xf numFmtId="0" fontId="99" fillId="9" borderId="130" xfId="0" applyFont="1" applyFill="1" applyBorder="1" applyAlignment="1" applyProtection="1">
      <alignment horizontal="center" vertical="center" wrapText="1"/>
      <protection hidden="1"/>
    </xf>
    <xf numFmtId="6" fontId="101" fillId="9" borderId="184" xfId="0" applyNumberFormat="1" applyFont="1" applyFill="1" applyBorder="1" applyAlignment="1">
      <alignment horizontal="center" vertical="center"/>
    </xf>
    <xf numFmtId="6" fontId="101" fillId="9" borderId="221" xfId="0" applyNumberFormat="1" applyFont="1" applyFill="1" applyBorder="1" applyAlignment="1">
      <alignment horizontal="center" vertical="center"/>
    </xf>
    <xf numFmtId="6" fontId="98"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8" fillId="23" borderId="183" xfId="3" applyNumberFormat="1" applyFont="1" applyFill="1" applyBorder="1" applyAlignment="1" applyProtection="1">
      <alignment horizontal="center" vertical="center"/>
      <protection hidden="1"/>
    </xf>
    <xf numFmtId="8" fontId="101" fillId="18" borderId="2" xfId="0" applyNumberFormat="1" applyFont="1" applyFill="1" applyBorder="1" applyAlignment="1" applyProtection="1">
      <alignment vertical="center"/>
      <protection hidden="1"/>
    </xf>
    <xf numFmtId="8" fontId="101" fillId="23" borderId="2" xfId="0" applyNumberFormat="1" applyFont="1" applyFill="1" applyBorder="1" applyAlignment="1" applyProtection="1">
      <alignment vertical="center"/>
      <protection hidden="1"/>
    </xf>
    <xf numFmtId="14" fontId="105" fillId="9" borderId="10" xfId="0" applyNumberFormat="1" applyFont="1" applyFill="1" applyBorder="1" applyAlignment="1" applyProtection="1">
      <alignment horizontal="right" vertical="center"/>
      <protection hidden="1"/>
    </xf>
    <xf numFmtId="6" fontId="101" fillId="18" borderId="2" xfId="3" applyNumberFormat="1" applyFont="1" applyFill="1" applyBorder="1" applyAlignment="1" applyProtection="1">
      <alignment horizontal="center" vertical="center"/>
      <protection hidden="1"/>
    </xf>
    <xf numFmtId="6" fontId="101"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9" fillId="4" borderId="0" xfId="0" applyFont="1" applyFill="1" applyAlignment="1">
      <alignment horizontal="center" vertical="center"/>
    </xf>
    <xf numFmtId="0" fontId="121" fillId="4" borderId="0" xfId="0" applyFont="1" applyFill="1" applyAlignment="1">
      <alignment horizontal="center" vertical="center"/>
    </xf>
    <xf numFmtId="0" fontId="121"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31"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9" fillId="4" borderId="170" xfId="0" applyFont="1" applyFill="1" applyBorder="1" applyAlignment="1" applyProtection="1">
      <alignment horizontal="right" vertical="center"/>
      <protection hidden="1"/>
    </xf>
    <xf numFmtId="8" fontId="99" fillId="0" borderId="130" xfId="0" applyNumberFormat="1" applyFont="1" applyBorder="1" applyAlignment="1" applyProtection="1">
      <alignment horizontal="center" vertical="center"/>
      <protection locked="0"/>
    </xf>
    <xf numFmtId="0" fontId="17" fillId="4" borderId="151" xfId="0" applyFont="1" applyFill="1" applyBorder="1" applyAlignment="1" applyProtection="1">
      <alignment horizontal="center" vertical="center" wrapText="1"/>
      <protection hidden="1"/>
    </xf>
    <xf numFmtId="0" fontId="172" fillId="9" borderId="223" xfId="0" applyFont="1" applyFill="1" applyBorder="1" applyAlignment="1" applyProtection="1">
      <alignment vertical="center"/>
      <protection hidden="1"/>
    </xf>
    <xf numFmtId="0" fontId="172" fillId="9" borderId="171" xfId="0" applyFont="1" applyFill="1" applyBorder="1" applyAlignment="1" applyProtection="1">
      <alignment vertical="center"/>
      <protection hidden="1"/>
    </xf>
    <xf numFmtId="0" fontId="18" fillId="9" borderId="188" xfId="0" applyFont="1" applyFill="1" applyBorder="1" applyAlignment="1" applyProtection="1">
      <alignment vertical="center"/>
      <protection hidden="1"/>
    </xf>
    <xf numFmtId="8" fontId="273" fillId="9" borderId="130" xfId="3" applyNumberFormat="1" applyFont="1" applyFill="1" applyBorder="1" applyAlignment="1" applyProtection="1">
      <alignment horizontal="center" vertical="center"/>
      <protection hidden="1"/>
    </xf>
    <xf numFmtId="8" fontId="248" fillId="9" borderId="132" xfId="3" applyNumberFormat="1" applyFont="1" applyFill="1" applyBorder="1" applyAlignment="1" applyProtection="1">
      <alignment horizontal="center" vertical="center"/>
      <protection hidden="1"/>
    </xf>
    <xf numFmtId="8" fontId="114" fillId="9" borderId="174" xfId="0" applyNumberFormat="1" applyFont="1" applyFill="1" applyBorder="1" applyAlignment="1" applyProtection="1">
      <alignment horizontal="center" vertical="center"/>
      <protection hidden="1"/>
    </xf>
    <xf numFmtId="8" fontId="202" fillId="9" borderId="145" xfId="0" applyNumberFormat="1" applyFont="1" applyFill="1" applyBorder="1" applyAlignment="1" applyProtection="1">
      <alignment horizontal="center" vertical="center"/>
      <protection hidden="1"/>
    </xf>
    <xf numFmtId="8" fontId="114" fillId="9" borderId="130" xfId="0" applyNumberFormat="1" applyFont="1" applyFill="1" applyBorder="1" applyAlignment="1" applyProtection="1">
      <alignment horizontal="center" vertical="center"/>
      <protection hidden="1"/>
    </xf>
    <xf numFmtId="8" fontId="114" fillId="9" borderId="130" xfId="0" applyNumberFormat="1" applyFont="1" applyFill="1" applyBorder="1" applyAlignment="1">
      <alignment horizontal="center" vertical="center"/>
    </xf>
    <xf numFmtId="10" fontId="22" fillId="9" borderId="130" xfId="0" applyNumberFormat="1" applyFont="1" applyFill="1" applyBorder="1" applyAlignment="1" applyProtection="1">
      <alignment horizontal="center" vertical="center"/>
      <protection hidden="1"/>
    </xf>
    <xf numFmtId="8" fontId="172"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10" fillId="0" borderId="0" xfId="0" applyNumberFormat="1" applyFont="1" applyAlignment="1" applyProtection="1">
      <alignment vertical="center" wrapText="1"/>
      <protection hidden="1"/>
    </xf>
    <xf numFmtId="14" fontId="99" fillId="0" borderId="0" xfId="0" applyNumberFormat="1" applyFont="1" applyAlignment="1" applyProtection="1">
      <alignment vertical="center"/>
      <protection hidden="1"/>
    </xf>
    <xf numFmtId="8" fontId="164" fillId="0" borderId="0" xfId="2" applyNumberFormat="1" applyFont="1" applyFill="1" applyBorder="1" applyAlignment="1" applyProtection="1">
      <alignment vertical="center"/>
      <protection hidden="1"/>
    </xf>
    <xf numFmtId="0" fontId="99" fillId="0" borderId="0" xfId="0" applyFont="1" applyAlignment="1" applyProtection="1">
      <alignment vertical="center"/>
      <protection hidden="1"/>
    </xf>
    <xf numFmtId="0" fontId="109"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9" fillId="0" borderId="0" xfId="0" applyNumberFormat="1" applyFont="1" applyAlignment="1">
      <alignment horizontal="center" vertical="center"/>
    </xf>
    <xf numFmtId="0" fontId="103" fillId="0" borderId="0" xfId="0" applyFont="1" applyAlignment="1" applyProtection="1">
      <alignment horizontal="center" vertical="center"/>
      <protection hidden="1"/>
    </xf>
    <xf numFmtId="8" fontId="99" fillId="0" borderId="0" xfId="0" applyNumberFormat="1" applyFont="1" applyAlignment="1" applyProtection="1">
      <alignment vertical="center"/>
      <protection locked="0"/>
    </xf>
    <xf numFmtId="0" fontId="34" fillId="0" borderId="0" xfId="0" applyFont="1" applyAlignment="1" applyProtection="1">
      <alignment vertical="center"/>
      <protection hidden="1"/>
    </xf>
    <xf numFmtId="0" fontId="34" fillId="0" borderId="0" xfId="0" applyFont="1" applyAlignment="1" applyProtection="1">
      <alignment vertical="center" wrapText="1"/>
      <protection hidden="1"/>
    </xf>
    <xf numFmtId="0" fontId="171" fillId="0" borderId="0" xfId="0" applyFont="1"/>
    <xf numFmtId="0" fontId="104"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10" fillId="3" borderId="0" xfId="0" applyFont="1" applyFill="1" applyAlignment="1">
      <alignment vertical="center" wrapText="1"/>
    </xf>
    <xf numFmtId="0" fontId="62" fillId="4" borderId="0" xfId="2" applyNumberFormat="1" applyFill="1" applyAlignment="1" applyProtection="1"/>
    <xf numFmtId="0" fontId="62" fillId="9" borderId="0" xfId="2" applyNumberFormat="1" applyFill="1" applyAlignment="1" applyProtection="1">
      <alignment vertical="center"/>
    </xf>
    <xf numFmtId="14" fontId="22" fillId="0" borderId="6" xfId="0" applyNumberFormat="1" applyFont="1" applyBorder="1" applyAlignment="1" applyProtection="1">
      <alignment horizontal="center" vertical="center"/>
      <protection locked="0"/>
    </xf>
    <xf numFmtId="9" fontId="0" fillId="4" borderId="15" xfId="3" applyFont="1" applyFill="1" applyBorder="1"/>
    <xf numFmtId="9" fontId="58"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9" fillId="4" borderId="38" xfId="3" applyFont="1" applyFill="1" applyBorder="1" applyAlignment="1" applyProtection="1">
      <alignment vertical="center"/>
      <protection hidden="1"/>
    </xf>
    <xf numFmtId="9" fontId="107" fillId="0" borderId="0" xfId="3" applyFont="1"/>
    <xf numFmtId="8" fontId="112" fillId="4" borderId="7" xfId="3" applyNumberFormat="1" applyFont="1" applyFill="1" applyBorder="1" applyAlignment="1" applyProtection="1">
      <alignment vertical="center"/>
      <protection hidden="1"/>
    </xf>
    <xf numFmtId="0" fontId="284" fillId="9" borderId="0" xfId="0" applyFont="1" applyFill="1" applyAlignment="1" applyProtection="1">
      <alignment horizontal="center" vertical="center" wrapText="1"/>
      <protection hidden="1"/>
    </xf>
    <xf numFmtId="0" fontId="284" fillId="9" borderId="0" xfId="0" applyFont="1" applyFill="1" applyAlignment="1">
      <alignment horizontal="center" vertical="center" wrapText="1"/>
    </xf>
    <xf numFmtId="198" fontId="101" fillId="9" borderId="0" xfId="0" applyNumberFormat="1" applyFont="1" applyFill="1" applyAlignment="1">
      <alignment vertical="center"/>
    </xf>
    <xf numFmtId="6" fontId="101" fillId="18" borderId="131" xfId="3" applyNumberFormat="1" applyFont="1" applyFill="1" applyBorder="1" applyAlignment="1" applyProtection="1">
      <alignment horizontal="center" vertical="center"/>
      <protection hidden="1"/>
    </xf>
    <xf numFmtId="6" fontId="101" fillId="23" borderId="132" xfId="0" applyNumberFormat="1" applyFont="1" applyFill="1" applyBorder="1" applyAlignment="1">
      <alignment horizontal="center" vertical="center"/>
    </xf>
    <xf numFmtId="8" fontId="101" fillId="9" borderId="177" xfId="0" applyNumberFormat="1" applyFont="1" applyFill="1" applyBorder="1" applyAlignment="1" applyProtection="1">
      <alignment horizontal="center" vertical="center"/>
      <protection hidden="1"/>
    </xf>
    <xf numFmtId="8" fontId="101" fillId="9" borderId="131" xfId="0" applyNumberFormat="1" applyFont="1" applyFill="1" applyBorder="1" applyAlignment="1" applyProtection="1">
      <alignment horizontal="center" vertical="center"/>
      <protection hidden="1"/>
    </xf>
    <xf numFmtId="6" fontId="101"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101" fillId="9" borderId="2" xfId="0" applyNumberFormat="1" applyFont="1" applyFill="1" applyBorder="1" applyAlignment="1">
      <alignment vertical="center"/>
    </xf>
    <xf numFmtId="14" fontId="105"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101" fillId="9" borderId="0" xfId="0" applyNumberFormat="1" applyFont="1" applyFill="1" applyAlignment="1" applyProtection="1">
      <alignment horizontal="center" vertical="center" wrapText="1"/>
      <protection hidden="1"/>
    </xf>
    <xf numFmtId="203" fontId="101" fillId="0" borderId="0" xfId="0" applyNumberFormat="1" applyFont="1" applyAlignment="1" applyProtection="1">
      <alignment horizontal="center"/>
      <protection hidden="1"/>
    </xf>
    <xf numFmtId="0" fontId="76" fillId="4" borderId="0" xfId="0" applyFont="1" applyFill="1" applyAlignment="1" applyProtection="1">
      <alignment horizontal="center" vertical="center"/>
      <protection locked="0"/>
    </xf>
    <xf numFmtId="0" fontId="101" fillId="8" borderId="0" xfId="0" applyFont="1" applyFill="1" applyAlignment="1">
      <alignment vertical="center"/>
    </xf>
    <xf numFmtId="177" fontId="101" fillId="9" borderId="2" xfId="3" applyNumberFormat="1" applyFont="1" applyFill="1" applyBorder="1" applyAlignment="1">
      <alignment horizontal="center" vertical="center"/>
    </xf>
    <xf numFmtId="0" fontId="0" fillId="23" borderId="0" xfId="0" applyFill="1" applyAlignment="1">
      <alignment horizontal="center" vertical="center"/>
    </xf>
    <xf numFmtId="0" fontId="104" fillId="23" borderId="0" xfId="0" applyFont="1" applyFill="1" applyAlignment="1">
      <alignment horizontal="center" vertical="center" wrapText="1"/>
    </xf>
    <xf numFmtId="0" fontId="63" fillId="23" borderId="0" xfId="0" applyFont="1" applyFill="1" applyAlignment="1">
      <alignment horizontal="center"/>
    </xf>
    <xf numFmtId="0" fontId="0" fillId="29" borderId="0" xfId="0" applyFill="1" applyAlignment="1">
      <alignment horizontal="center" vertical="center"/>
    </xf>
    <xf numFmtId="0" fontId="0" fillId="29" borderId="0" xfId="0" applyFill="1" applyAlignment="1">
      <alignment horizontal="center" vertical="center" wrapText="1"/>
    </xf>
    <xf numFmtId="0" fontId="78" fillId="29" borderId="0" xfId="0" applyFont="1" applyFill="1" applyAlignment="1">
      <alignment horizontal="center"/>
    </xf>
    <xf numFmtId="0" fontId="104" fillId="18" borderId="0" xfId="0" applyFont="1" applyFill="1" applyAlignment="1">
      <alignment horizontal="center" vertical="center" wrapText="1"/>
    </xf>
    <xf numFmtId="0" fontId="63" fillId="18" borderId="0" xfId="0" applyFont="1" applyFill="1" applyAlignment="1">
      <alignment horizontal="center"/>
    </xf>
    <xf numFmtId="0" fontId="0" fillId="8" borderId="0" xfId="0" applyFill="1" applyAlignment="1">
      <alignment horizontal="center" vertical="center" wrapText="1"/>
    </xf>
    <xf numFmtId="0" fontId="78" fillId="29" borderId="2" xfId="0" applyFont="1" applyFill="1" applyBorder="1" applyAlignment="1">
      <alignment horizontal="center" vertical="center"/>
    </xf>
    <xf numFmtId="10" fontId="0" fillId="0" borderId="2" xfId="3" applyNumberFormat="1" applyFont="1" applyBorder="1" applyAlignment="1">
      <alignment horizontal="center"/>
    </xf>
    <xf numFmtId="0" fontId="63" fillId="18" borderId="2" xfId="0" applyFont="1" applyFill="1" applyBorder="1" applyAlignment="1">
      <alignment horizontal="center"/>
    </xf>
    <xf numFmtId="168" fontId="0" fillId="9" borderId="2" xfId="0" applyNumberFormat="1" applyFill="1" applyBorder="1" applyAlignment="1">
      <alignment horizontal="center"/>
    </xf>
    <xf numFmtId="10" fontId="75"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8" fillId="18" borderId="24" xfId="0" applyFont="1" applyFill="1" applyBorder="1" applyAlignment="1">
      <alignment horizontal="center"/>
    </xf>
    <xf numFmtId="0" fontId="104" fillId="18" borderId="21" xfId="0" applyFont="1" applyFill="1" applyBorder="1" applyAlignment="1">
      <alignment horizontal="center" vertical="center" wrapText="1"/>
    </xf>
    <xf numFmtId="0" fontId="78" fillId="18" borderId="4" xfId="0" applyFont="1" applyFill="1" applyBorder="1" applyAlignment="1">
      <alignment horizontal="center"/>
    </xf>
    <xf numFmtId="0" fontId="63" fillId="18" borderId="3" xfId="0" applyFont="1" applyFill="1" applyBorder="1" applyAlignment="1">
      <alignment horizontal="center" vertical="center"/>
    </xf>
    <xf numFmtId="0" fontId="0" fillId="9" borderId="4" xfId="0" applyFill="1" applyBorder="1" applyAlignment="1">
      <alignment horizontal="center"/>
    </xf>
    <xf numFmtId="10" fontId="75" fillId="9" borderId="3" xfId="3" applyNumberFormat="1" applyFill="1" applyBorder="1" applyAlignment="1">
      <alignment horizontal="center"/>
    </xf>
    <xf numFmtId="10" fontId="75"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75" fillId="9" borderId="6" xfId="3" applyNumberFormat="1" applyFill="1" applyBorder="1" applyAlignment="1">
      <alignment horizontal="center"/>
    </xf>
    <xf numFmtId="10" fontId="75" fillId="9" borderId="7" xfId="3" applyNumberFormat="1" applyFill="1" applyBorder="1" applyAlignment="1">
      <alignment horizontal="center"/>
    </xf>
    <xf numFmtId="0" fontId="0" fillId="23" borderId="24" xfId="0" applyFill="1" applyBorder="1" applyAlignment="1">
      <alignment horizontal="center" vertical="center"/>
    </xf>
    <xf numFmtId="0" fontId="104" fillId="23" borderId="21" xfId="0" applyFont="1" applyFill="1" applyBorder="1" applyAlignment="1">
      <alignment horizontal="center" vertical="center" wrapText="1"/>
    </xf>
    <xf numFmtId="0" fontId="63" fillId="23" borderId="4" xfId="0" applyFont="1" applyFill="1" applyBorder="1" applyAlignment="1">
      <alignment horizontal="center" vertical="center"/>
    </xf>
    <xf numFmtId="0" fontId="63"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29" borderId="24" xfId="0" applyFill="1" applyBorder="1" applyAlignment="1">
      <alignment horizontal="center" vertical="center"/>
    </xf>
    <xf numFmtId="0" fontId="104" fillId="29" borderId="21" xfId="0" applyFont="1" applyFill="1" applyBorder="1" applyAlignment="1">
      <alignment horizontal="center" vertical="center" wrapText="1"/>
    </xf>
    <xf numFmtId="0" fontId="78" fillId="29" borderId="4" xfId="0" applyFont="1" applyFill="1" applyBorder="1" applyAlignment="1">
      <alignment horizontal="center" vertical="center"/>
    </xf>
    <xf numFmtId="0" fontId="78" fillId="29"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75" fillId="8" borderId="2" xfId="3" applyNumberFormat="1" applyFill="1" applyBorder="1" applyAlignment="1">
      <alignment horizontal="center"/>
    </xf>
    <xf numFmtId="10" fontId="75"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63" fillId="29" borderId="4" xfId="0" applyFont="1" applyFill="1" applyBorder="1" applyAlignment="1">
      <alignment horizontal="center" vertical="center"/>
    </xf>
    <xf numFmtId="0" fontId="63" fillId="29" borderId="2" xfId="0" applyFont="1" applyFill="1" applyBorder="1" applyAlignment="1">
      <alignment horizontal="center" vertical="center"/>
    </xf>
    <xf numFmtId="0" fontId="63" fillId="29" borderId="3" xfId="0" applyFont="1" applyFill="1" applyBorder="1" applyAlignment="1">
      <alignment horizontal="center" vertical="center"/>
    </xf>
    <xf numFmtId="0" fontId="121" fillId="9" borderId="0" xfId="0" applyFont="1" applyFill="1" applyAlignment="1">
      <alignment horizontal="center"/>
    </xf>
    <xf numFmtId="0" fontId="121" fillId="9" borderId="0" xfId="0" applyFont="1" applyFill="1" applyAlignment="1">
      <alignment horizontal="center" wrapText="1"/>
    </xf>
    <xf numFmtId="181" fontId="57"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104"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9"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9"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9" fillId="4" borderId="170" xfId="0" applyFont="1" applyFill="1" applyBorder="1" applyAlignment="1">
      <alignment horizontal="left" vertical="center"/>
    </xf>
    <xf numFmtId="6" fontId="99"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9"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9" fillId="4" borderId="170" xfId="0" applyFont="1" applyFill="1" applyBorder="1" applyAlignment="1" applyProtection="1">
      <alignment vertical="center"/>
      <protection hidden="1"/>
    </xf>
    <xf numFmtId="0" fontId="99"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101" fillId="0" borderId="0" xfId="0" applyFont="1" applyAlignment="1">
      <alignment horizontal="center" vertical="center" wrapText="1"/>
    </xf>
    <xf numFmtId="2" fontId="101" fillId="0" borderId="0" xfId="0" applyNumberFormat="1" applyFont="1" applyAlignment="1">
      <alignment horizontal="center" vertical="center"/>
    </xf>
    <xf numFmtId="167" fontId="101" fillId="0" borderId="0" xfId="0" applyNumberFormat="1" applyFont="1" applyAlignment="1">
      <alignment horizontal="center" vertical="center"/>
    </xf>
    <xf numFmtId="14" fontId="101"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9"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9"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9"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9"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15" fillId="0" borderId="2" xfId="0" applyNumberFormat="1" applyFont="1" applyBorder="1" applyAlignment="1" applyProtection="1">
      <alignment horizontal="center" vertical="center"/>
      <protection locked="0"/>
    </xf>
    <xf numFmtId="167" fontId="111" fillId="4" borderId="1" xfId="0" applyNumberFormat="1" applyFont="1" applyFill="1" applyBorder="1" applyAlignment="1">
      <alignment horizontal="center" vertical="center"/>
    </xf>
    <xf numFmtId="167" fontId="111" fillId="4" borderId="130" xfId="0" applyNumberFormat="1" applyFont="1" applyFill="1" applyBorder="1" applyAlignment="1">
      <alignment horizontal="center" vertical="center"/>
    </xf>
    <xf numFmtId="0" fontId="111" fillId="4" borderId="0" xfId="0" applyFont="1" applyFill="1" applyAlignment="1">
      <alignment vertical="center"/>
    </xf>
    <xf numFmtId="0" fontId="111" fillId="0" borderId="0" xfId="0" applyFont="1" applyAlignment="1">
      <alignment vertical="center"/>
    </xf>
    <xf numFmtId="0" fontId="111" fillId="0" borderId="0" xfId="0" applyFont="1" applyAlignment="1" applyProtection="1">
      <alignment vertical="center"/>
      <protection locked="0"/>
    </xf>
    <xf numFmtId="6" fontId="109" fillId="4" borderId="130" xfId="0" applyNumberFormat="1" applyFont="1" applyFill="1" applyBorder="1" applyAlignment="1" applyProtection="1">
      <alignment horizontal="center" vertical="center" wrapText="1"/>
      <protection hidden="1"/>
    </xf>
    <xf numFmtId="0" fontId="109"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11" fillId="4" borderId="130" xfId="0" applyNumberFormat="1" applyFont="1" applyFill="1" applyBorder="1" applyAlignment="1" applyProtection="1">
      <alignment horizontal="center" vertical="center" wrapText="1"/>
      <protection hidden="1"/>
    </xf>
    <xf numFmtId="9" fontId="111" fillId="4" borderId="0" xfId="3" applyFont="1" applyFill="1" applyAlignment="1">
      <alignment vertical="center"/>
    </xf>
    <xf numFmtId="9" fontId="111"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11" fillId="0" borderId="0" xfId="0" applyNumberFormat="1" applyFont="1" applyAlignment="1">
      <alignment horizontal="center" vertical="center"/>
    </xf>
    <xf numFmtId="8" fontId="111"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9"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9" fillId="9" borderId="2" xfId="0" applyNumberFormat="1" applyFont="1" applyFill="1" applyBorder="1" applyAlignment="1" applyProtection="1">
      <alignment horizontal="center" vertical="center" wrapText="1"/>
      <protection hidden="1"/>
    </xf>
    <xf numFmtId="6" fontId="109" fillId="9" borderId="2" xfId="0" applyNumberFormat="1" applyFont="1" applyFill="1" applyBorder="1" applyAlignment="1" applyProtection="1">
      <alignment horizontal="center" vertical="center" wrapText="1"/>
      <protection locked="0"/>
    </xf>
    <xf numFmtId="6" fontId="287" fillId="9" borderId="2" xfId="0" applyNumberFormat="1" applyFont="1" applyFill="1" applyBorder="1" applyAlignment="1" applyProtection="1">
      <alignment horizontal="center" vertical="center" wrapText="1"/>
      <protection hidden="1"/>
    </xf>
    <xf numFmtId="6" fontId="109"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9"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105" fillId="9" borderId="12" xfId="0" applyNumberFormat="1" applyFont="1" applyFill="1" applyBorder="1" applyAlignment="1" applyProtection="1">
      <alignment horizontal="center" vertical="center"/>
      <protection hidden="1"/>
    </xf>
    <xf numFmtId="14" fontId="280" fillId="0" borderId="0" xfId="0" applyNumberFormat="1" applyFont="1" applyAlignment="1" applyProtection="1">
      <alignment vertical="center" wrapText="1"/>
      <protection hidden="1"/>
    </xf>
    <xf numFmtId="3" fontId="136" fillId="14" borderId="2" xfId="0" applyNumberFormat="1" applyFont="1" applyFill="1" applyBorder="1" applyAlignment="1">
      <alignment horizontal="center"/>
    </xf>
    <xf numFmtId="3" fontId="136" fillId="0" borderId="2" xfId="0" applyNumberFormat="1" applyFont="1" applyBorder="1" applyAlignment="1">
      <alignment horizontal="center"/>
    </xf>
    <xf numFmtId="3" fontId="136" fillId="14" borderId="6" xfId="0" applyNumberFormat="1" applyFont="1" applyFill="1" applyBorder="1" applyAlignment="1">
      <alignment horizontal="center"/>
    </xf>
    <xf numFmtId="3" fontId="136" fillId="0" borderId="41" xfId="0" applyNumberFormat="1" applyFont="1" applyBorder="1" applyAlignment="1">
      <alignment horizontal="center"/>
    </xf>
    <xf numFmtId="0" fontId="66" fillId="0" borderId="165" xfId="0" applyFont="1" applyBorder="1" applyAlignment="1" applyProtection="1">
      <alignment horizontal="left" vertical="center" wrapText="1"/>
      <protection hidden="1"/>
    </xf>
    <xf numFmtId="6" fontId="66" fillId="0" borderId="166" xfId="3" applyNumberFormat="1" applyFont="1" applyBorder="1" applyAlignment="1" applyProtection="1">
      <alignment horizontal="center" vertical="center" wrapText="1"/>
      <protection hidden="1"/>
    </xf>
    <xf numFmtId="0" fontId="75" fillId="0" borderId="43" xfId="0" applyFont="1" applyBorder="1" applyAlignment="1" applyProtection="1">
      <alignment horizontal="right" vertical="center" wrapText="1"/>
      <protection hidden="1"/>
    </xf>
    <xf numFmtId="8" fontId="0" fillId="0" borderId="2" xfId="0" quotePrefix="1" applyNumberFormat="1" applyBorder="1" applyAlignment="1">
      <alignment horizontal="center"/>
    </xf>
    <xf numFmtId="8" fontId="0" fillId="0" borderId="2" xfId="0" quotePrefix="1" applyNumberFormat="1" applyBorder="1" applyAlignment="1">
      <alignment horizontal="center" vertical="center"/>
    </xf>
    <xf numFmtId="8" fontId="208" fillId="9" borderId="2" xfId="0" applyNumberFormat="1" applyFont="1" applyFill="1" applyBorder="1" applyAlignment="1">
      <alignment vertical="center"/>
    </xf>
    <xf numFmtId="8" fontId="103" fillId="9" borderId="2" xfId="0" applyNumberFormat="1" applyFont="1" applyFill="1" applyBorder="1" applyAlignment="1">
      <alignment horizontal="center" vertical="center"/>
    </xf>
    <xf numFmtId="8" fontId="103" fillId="9" borderId="130" xfId="0" applyNumberFormat="1" applyFont="1" applyFill="1" applyBorder="1" applyAlignment="1">
      <alignment horizontal="center" vertical="center"/>
    </xf>
    <xf numFmtId="0" fontId="151" fillId="8" borderId="0" xfId="0" applyFont="1" applyFill="1" applyAlignment="1">
      <alignment horizontal="center" vertical="center" wrapText="1"/>
    </xf>
    <xf numFmtId="0" fontId="151" fillId="8" borderId="0" xfId="0" applyFont="1" applyFill="1" applyAlignment="1">
      <alignment horizontal="center" vertical="center"/>
    </xf>
    <xf numFmtId="0" fontId="0" fillId="31" borderId="0" xfId="0" applyFill="1"/>
    <xf numFmtId="0" fontId="228" fillId="31" borderId="0" xfId="0" applyFont="1" applyFill="1"/>
    <xf numFmtId="0" fontId="101" fillId="31" borderId="0" xfId="0" applyFont="1" applyFill="1"/>
    <xf numFmtId="0" fontId="123" fillId="31" borderId="0" xfId="0" applyFont="1" applyFill="1"/>
    <xf numFmtId="0" fontId="111" fillId="31" borderId="0" xfId="0" applyFont="1" applyFill="1"/>
    <xf numFmtId="0" fontId="111" fillId="31" borderId="0" xfId="0" applyFont="1" applyFill="1" applyAlignment="1">
      <alignment horizontal="center" vertical="center"/>
    </xf>
    <xf numFmtId="0" fontId="62" fillId="31" borderId="0" xfId="2" applyNumberFormat="1" applyFill="1" applyAlignment="1" applyProtection="1">
      <alignment horizontal="left"/>
    </xf>
    <xf numFmtId="0" fontId="0" fillId="31" borderId="113" xfId="0" applyFill="1" applyBorder="1" applyAlignment="1">
      <alignment vertical="top" wrapText="1"/>
    </xf>
    <xf numFmtId="0" fontId="0" fillId="31" borderId="0" xfId="0" applyFill="1" applyAlignment="1">
      <alignment vertical="top" wrapText="1"/>
    </xf>
    <xf numFmtId="0" fontId="0" fillId="6" borderId="0" xfId="0" applyFill="1"/>
    <xf numFmtId="0" fontId="228" fillId="6" borderId="0" xfId="0" applyFont="1" applyFill="1"/>
    <xf numFmtId="0" fontId="227" fillId="6" borderId="0" xfId="0" applyFont="1" applyFill="1"/>
    <xf numFmtId="0" fontId="121" fillId="6" borderId="0" xfId="0" applyFont="1" applyFill="1"/>
    <xf numFmtId="0" fontId="115" fillId="6" borderId="0" xfId="0" applyFont="1" applyFill="1"/>
    <xf numFmtId="0" fontId="101" fillId="6" borderId="0" xfId="0" applyFont="1" applyFill="1"/>
    <xf numFmtId="0" fontId="105" fillId="6" borderId="0" xfId="0" applyFont="1" applyFill="1"/>
    <xf numFmtId="0" fontId="62" fillId="6" borderId="0" xfId="2" applyNumberFormat="1" applyFill="1" applyAlignment="1" applyProtection="1">
      <alignment horizontal="center"/>
    </xf>
    <xf numFmtId="0" fontId="101" fillId="6" borderId="18" xfId="0" applyFont="1" applyFill="1" applyBorder="1" applyAlignment="1">
      <alignment horizontal="center"/>
    </xf>
    <xf numFmtId="0" fontId="62" fillId="6" borderId="18" xfId="2" applyNumberFormat="1" applyFill="1" applyBorder="1" applyAlignment="1" applyProtection="1">
      <alignment horizontal="center"/>
    </xf>
    <xf numFmtId="0" fontId="159" fillId="6" borderId="65" xfId="0" applyFont="1" applyFill="1" applyBorder="1" applyAlignment="1" applyProtection="1">
      <alignment vertical="center"/>
      <protection hidden="1"/>
    </xf>
    <xf numFmtId="0" fontId="129" fillId="6" borderId="65" xfId="0" applyFont="1" applyFill="1" applyBorder="1" applyAlignment="1" applyProtection="1">
      <alignment vertical="center"/>
      <protection hidden="1"/>
    </xf>
    <xf numFmtId="0" fontId="129" fillId="6" borderId="23" xfId="0" applyFont="1" applyFill="1" applyBorder="1" applyAlignment="1" applyProtection="1">
      <alignment vertical="center"/>
      <protection hidden="1"/>
    </xf>
    <xf numFmtId="0" fontId="153" fillId="6" borderId="23" xfId="0" applyFont="1" applyFill="1" applyBorder="1" applyAlignment="1" applyProtection="1">
      <alignment horizontal="right" vertical="center"/>
      <protection hidden="1"/>
    </xf>
    <xf numFmtId="0" fontId="165" fillId="6" borderId="23" xfId="2" applyNumberFormat="1" applyFont="1" applyFill="1" applyBorder="1" applyAlignment="1" applyProtection="1">
      <alignment horizontal="center" vertical="center"/>
      <protection hidden="1"/>
    </xf>
    <xf numFmtId="0" fontId="123" fillId="6" borderId="0" xfId="0" applyFont="1" applyFill="1"/>
    <xf numFmtId="0" fontId="121" fillId="6" borderId="0" xfId="0" applyFont="1" applyFill="1" applyAlignment="1">
      <alignment horizontal="left" vertical="center"/>
    </xf>
    <xf numFmtId="0" fontId="225" fillId="6" borderId="0" xfId="2" applyNumberFormat="1" applyFont="1" applyFill="1" applyBorder="1" applyAlignment="1" applyProtection="1">
      <alignment horizontal="center" vertical="center"/>
    </xf>
    <xf numFmtId="0" fontId="111" fillId="6" borderId="0" xfId="0" applyFont="1" applyFill="1"/>
    <xf numFmtId="0" fontId="197" fillId="6" borderId="0" xfId="2" applyNumberFormat="1" applyFont="1" applyFill="1" applyAlignment="1" applyProtection="1">
      <alignment horizontal="center" vertical="center"/>
    </xf>
    <xf numFmtId="0" fontId="290" fillId="6" borderId="16" xfId="2" applyNumberFormat="1" applyFont="1" applyFill="1" applyBorder="1" applyAlignment="1" applyProtection="1">
      <alignment horizontal="center" vertical="center"/>
    </xf>
    <xf numFmtId="0" fontId="291" fillId="6" borderId="39" xfId="2" applyNumberFormat="1" applyFont="1" applyFill="1" applyBorder="1" applyAlignment="1" applyProtection="1">
      <alignment horizontal="center" vertical="center"/>
    </xf>
    <xf numFmtId="0" fontId="143" fillId="6" borderId="0" xfId="2" applyNumberFormat="1" applyFont="1" applyFill="1" applyAlignment="1" applyProtection="1"/>
    <xf numFmtId="0" fontId="147" fillId="6" borderId="0" xfId="2" applyNumberFormat="1" applyFont="1" applyFill="1" applyAlignment="1" applyProtection="1">
      <alignment vertical="center"/>
    </xf>
    <xf numFmtId="0" fontId="147" fillId="6" borderId="0" xfId="2" applyNumberFormat="1" applyFont="1" applyFill="1" applyBorder="1" applyAlignment="1" applyProtection="1">
      <alignment vertical="center"/>
    </xf>
    <xf numFmtId="0" fontId="143" fillId="6" borderId="0" xfId="2" applyNumberFormat="1" applyFont="1" applyFill="1" applyAlignment="1" applyProtection="1">
      <alignment vertical="center"/>
    </xf>
    <xf numFmtId="0" fontId="217" fillId="6" borderId="0" xfId="2" applyNumberFormat="1" applyFont="1" applyFill="1" applyAlignment="1" applyProtection="1">
      <alignment horizontal="center" vertical="center" wrapText="1"/>
    </xf>
    <xf numFmtId="0" fontId="143" fillId="6" borderId="0" xfId="2" applyNumberFormat="1" applyFont="1" applyFill="1" applyAlignment="1" applyProtection="1">
      <alignment horizontal="left"/>
    </xf>
    <xf numFmtId="0" fontId="111" fillId="6" borderId="0" xfId="0" applyFont="1" applyFill="1" applyAlignment="1">
      <alignment horizontal="center" vertical="center"/>
    </xf>
    <xf numFmtId="0" fontId="101" fillId="6" borderId="0" xfId="0" applyFont="1" applyFill="1" applyAlignment="1">
      <alignment horizontal="center" vertical="center"/>
    </xf>
    <xf numFmtId="0" fontId="62" fillId="6" borderId="0" xfId="2" applyNumberFormat="1" applyFill="1" applyAlignment="1" applyProtection="1">
      <alignment horizontal="left" vertical="center"/>
    </xf>
    <xf numFmtId="0" fontId="62" fillId="6" borderId="0" xfId="2" applyNumberFormat="1" applyFill="1" applyAlignment="1" applyProtection="1">
      <alignment vertical="center"/>
    </xf>
    <xf numFmtId="0" fontId="271" fillId="6" borderId="0" xfId="2" applyNumberFormat="1" applyFont="1" applyFill="1" applyAlignment="1" applyProtection="1">
      <alignment horizontal="left" vertical="center"/>
    </xf>
    <xf numFmtId="0" fontId="62" fillId="6" borderId="0" xfId="2" applyNumberFormat="1" applyFill="1" applyAlignment="1" applyProtection="1"/>
    <xf numFmtId="0" fontId="190" fillId="6" borderId="0" xfId="2" applyNumberFormat="1" applyFont="1" applyFill="1" applyAlignment="1" applyProtection="1"/>
    <xf numFmtId="0" fontId="0" fillId="6" borderId="113" xfId="0" applyFill="1" applyBorder="1" applyAlignment="1">
      <alignment vertical="top" wrapText="1"/>
    </xf>
    <xf numFmtId="0" fontId="0" fillId="6" borderId="0" xfId="0" applyFill="1" applyAlignment="1">
      <alignment vertical="top" wrapText="1"/>
    </xf>
    <xf numFmtId="4" fontId="101" fillId="0" borderId="0" xfId="31" applyNumberFormat="1" applyFont="1" applyAlignment="1">
      <alignment horizontal="right"/>
    </xf>
    <xf numFmtId="14" fontId="101" fillId="0" borderId="0" xfId="31" applyNumberFormat="1" applyFont="1"/>
    <xf numFmtId="14" fontId="101" fillId="0" borderId="0" xfId="0" applyNumberFormat="1" applyFont="1"/>
    <xf numFmtId="4" fontId="101" fillId="0" borderId="0" xfId="0" applyNumberFormat="1" applyFont="1" applyAlignment="1">
      <alignment horizontal="right"/>
    </xf>
    <xf numFmtId="4" fontId="101" fillId="0" borderId="0" xfId="32" applyNumberFormat="1" applyFont="1" applyAlignment="1">
      <alignment horizontal="right"/>
    </xf>
    <xf numFmtId="14" fontId="101" fillId="0" borderId="0" xfId="32" applyNumberFormat="1" applyFont="1"/>
    <xf numFmtId="14" fontId="101" fillId="0" borderId="0" xfId="0" applyNumberFormat="1" applyFont="1" applyAlignment="1">
      <alignment horizontal="center"/>
    </xf>
    <xf numFmtId="10" fontId="101" fillId="0" borderId="0" xfId="3" applyNumberFormat="1" applyFont="1" applyAlignment="1">
      <alignment horizontal="center"/>
    </xf>
    <xf numFmtId="8" fontId="101" fillId="0" borderId="0" xfId="0" applyNumberFormat="1" applyFont="1" applyAlignment="1">
      <alignment horizontal="center"/>
    </xf>
    <xf numFmtId="10" fontId="101" fillId="0" borderId="0" xfId="3" applyNumberFormat="1" applyFont="1" applyFill="1" applyAlignment="1">
      <alignment horizontal="center"/>
    </xf>
    <xf numFmtId="175" fontId="10" fillId="0" borderId="0" xfId="0" applyNumberFormat="1" applyFont="1" applyAlignment="1">
      <alignment horizontal="center"/>
    </xf>
    <xf numFmtId="0" fontId="0" fillId="0" borderId="0" xfId="0" applyAlignment="1" applyProtection="1">
      <alignment horizontal="left"/>
      <protection locked="0"/>
    </xf>
    <xf numFmtId="0" fontId="0" fillId="4" borderId="6" xfId="0" applyFill="1" applyBorder="1" applyAlignment="1">
      <alignment horizontal="left"/>
    </xf>
    <xf numFmtId="0" fontId="0" fillId="4" borderId="6" xfId="0" applyFill="1" applyBorder="1" applyAlignment="1">
      <alignment horizontal="right"/>
    </xf>
    <xf numFmtId="14" fontId="0" fillId="4" borderId="6" xfId="0" applyNumberFormat="1" applyFill="1" applyBorder="1" applyAlignment="1">
      <alignment horizontal="center"/>
    </xf>
    <xf numFmtId="4" fontId="101" fillId="0" borderId="0" xfId="33" applyNumberFormat="1" applyFont="1" applyAlignment="1">
      <alignment horizontal="right"/>
    </xf>
    <xf numFmtId="14" fontId="101" fillId="0" borderId="0" xfId="33" applyNumberFormat="1" applyFont="1"/>
    <xf numFmtId="0" fontId="0" fillId="0" borderId="0" xfId="0" applyAlignment="1" applyProtection="1">
      <alignment horizontal="right"/>
      <protection locked="0"/>
    </xf>
    <xf numFmtId="0" fontId="62" fillId="9" borderId="21" xfId="2" applyNumberFormat="1" applyFill="1" applyBorder="1" applyAlignment="1" applyProtection="1">
      <alignment horizontal="center" vertical="center"/>
      <protection hidden="1"/>
    </xf>
    <xf numFmtId="6" fontId="212" fillId="0" borderId="2" xfId="3" applyNumberFormat="1" applyFont="1" applyBorder="1" applyAlignment="1" applyProtection="1">
      <alignment horizontal="center" vertical="center"/>
      <protection locked="0"/>
    </xf>
    <xf numFmtId="174" fontId="101" fillId="0" borderId="0" xfId="34" applyNumberFormat="1" applyFont="1"/>
    <xf numFmtId="4" fontId="101" fillId="0" borderId="0" xfId="34" applyNumberFormat="1" applyFont="1" applyAlignment="1">
      <alignment horizontal="right"/>
    </xf>
    <xf numFmtId="0" fontId="151" fillId="8" borderId="0" xfId="0" applyFont="1" applyFill="1" applyAlignment="1">
      <alignment horizontal="center"/>
    </xf>
    <xf numFmtId="4" fontId="101" fillId="8" borderId="0" xfId="31" applyNumberFormat="1" applyFont="1" applyFill="1" applyAlignment="1">
      <alignment horizontal="center"/>
    </xf>
    <xf numFmtId="4" fontId="101" fillId="8" borderId="0" xfId="32" applyNumberFormat="1" applyFont="1" applyFill="1" applyAlignment="1">
      <alignment horizontal="center"/>
    </xf>
    <xf numFmtId="4" fontId="101" fillId="8" borderId="0" xfId="0" applyNumberFormat="1" applyFont="1" applyFill="1" applyAlignment="1">
      <alignment horizontal="center"/>
    </xf>
    <xf numFmtId="4" fontId="101" fillId="8" borderId="0" xfId="34" applyNumberFormat="1" applyFont="1" applyFill="1" applyAlignment="1">
      <alignment horizontal="center"/>
    </xf>
    <xf numFmtId="0" fontId="0" fillId="31" borderId="0" xfId="0" applyFill="1" applyAlignment="1">
      <alignment horizontal="center" vertical="center"/>
    </xf>
    <xf numFmtId="0" fontId="68" fillId="31" borderId="0" xfId="0" applyFont="1" applyFill="1" applyAlignment="1">
      <alignment horizontal="center" vertical="center"/>
    </xf>
    <xf numFmtId="0" fontId="54" fillId="31" borderId="0" xfId="0" applyFont="1" applyFill="1" applyAlignment="1">
      <alignment horizontal="center" vertical="center"/>
    </xf>
    <xf numFmtId="0" fontId="151" fillId="31" borderId="0" xfId="0" applyFont="1" applyFill="1" applyAlignment="1">
      <alignment horizontal="center"/>
    </xf>
    <xf numFmtId="4" fontId="101" fillId="31" borderId="0" xfId="31" applyNumberFormat="1" applyFont="1" applyFill="1" applyAlignment="1">
      <alignment horizontal="center"/>
    </xf>
    <xf numFmtId="4" fontId="101" fillId="31" borderId="0" xfId="0" applyNumberFormat="1" applyFont="1" applyFill="1" applyAlignment="1">
      <alignment horizontal="center"/>
    </xf>
    <xf numFmtId="4" fontId="101" fillId="31" borderId="0" xfId="33" applyNumberFormat="1" applyFont="1" applyFill="1" applyAlignment="1">
      <alignment horizontal="center"/>
    </xf>
    <xf numFmtId="4" fontId="101" fillId="0" borderId="0" xfId="35" applyNumberFormat="1" applyFont="1" applyAlignment="1">
      <alignment horizontal="right"/>
    </xf>
    <xf numFmtId="14" fontId="101" fillId="0" borderId="0" xfId="35" applyNumberFormat="1" applyFont="1"/>
    <xf numFmtId="4" fontId="4" fillId="9" borderId="0" xfId="0" applyNumberFormat="1" applyFont="1" applyFill="1"/>
    <xf numFmtId="4" fontId="4" fillId="0" borderId="0" xfId="0" applyNumberFormat="1" applyFont="1"/>
    <xf numFmtId="0" fontId="0" fillId="0" borderId="0" xfId="3" applyNumberFormat="1" applyFont="1" applyAlignment="1" applyProtection="1">
      <protection locked="0"/>
    </xf>
    <xf numFmtId="0" fontId="0" fillId="0" borderId="23" xfId="0" applyBorder="1" applyProtection="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99" fillId="0" borderId="0" xfId="0" applyFont="1" applyAlignment="1" applyProtection="1">
      <alignment horizontal="left"/>
      <protection locked="0"/>
    </xf>
    <xf numFmtId="0" fontId="99" fillId="0" borderId="0" xfId="0" applyFont="1" applyProtection="1">
      <protection locked="0"/>
    </xf>
    <xf numFmtId="0" fontId="0" fillId="0" borderId="0" xfId="3" applyNumberFormat="1" applyFont="1" applyAlignment="1" applyProtection="1">
      <alignment horizontal="center" vertical="center" wrapText="1"/>
      <protection locked="0"/>
    </xf>
    <xf numFmtId="0" fontId="99" fillId="0" borderId="0" xfId="3" applyNumberFormat="1" applyFont="1" applyProtection="1">
      <protection locked="0"/>
    </xf>
    <xf numFmtId="206" fontId="48" fillId="9" borderId="0" xfId="0" applyNumberFormat="1" applyFont="1" applyFill="1" applyAlignment="1">
      <alignment horizontal="center"/>
    </xf>
    <xf numFmtId="4" fontId="101" fillId="0" borderId="0" xfId="36" applyNumberFormat="1" applyFont="1" applyAlignment="1">
      <alignment horizontal="right"/>
    </xf>
    <xf numFmtId="14" fontId="101" fillId="0" borderId="0" xfId="36" applyNumberFormat="1" applyFont="1"/>
    <xf numFmtId="0" fontId="104" fillId="0" borderId="31" xfId="0" applyFont="1" applyBorder="1" applyAlignment="1">
      <alignment horizontal="center" vertical="center" wrapText="1"/>
    </xf>
    <xf numFmtId="0" fontId="104" fillId="0" borderId="28" xfId="0" applyFont="1" applyBorder="1" applyAlignment="1">
      <alignment horizontal="center" vertical="center" wrapText="1"/>
    </xf>
    <xf numFmtId="0" fontId="106" fillId="0" borderId="0" xfId="0" applyFont="1" applyAlignment="1">
      <alignment horizontal="center" vertical="center" wrapText="1"/>
    </xf>
    <xf numFmtId="0" fontId="104" fillId="0" borderId="0" xfId="0" applyFont="1" applyAlignment="1">
      <alignment horizontal="left" vertical="top" wrapText="1"/>
    </xf>
    <xf numFmtId="0" fontId="139" fillId="4" borderId="12" xfId="0" applyFont="1" applyFill="1" applyBorder="1" applyAlignment="1" applyProtection="1">
      <alignment horizontal="center" vertical="center" wrapText="1"/>
      <protection locked="0"/>
    </xf>
    <xf numFmtId="0" fontId="139" fillId="4" borderId="41" xfId="0" applyFont="1" applyFill="1" applyBorder="1" applyAlignment="1" applyProtection="1">
      <alignment horizontal="center" vertical="center" wrapText="1"/>
      <protection locked="0"/>
    </xf>
    <xf numFmtId="0" fontId="0" fillId="0" borderId="0" xfId="0" applyAlignment="1">
      <alignment horizontal="center"/>
    </xf>
    <xf numFmtId="0" fontId="101" fillId="0" borderId="0" xfId="0" applyFont="1" applyAlignment="1">
      <alignment horizontal="center"/>
    </xf>
    <xf numFmtId="0" fontId="121" fillId="4" borderId="2" xfId="0" applyFont="1" applyFill="1" applyBorder="1" applyAlignment="1">
      <alignment horizontal="center" vertical="center"/>
    </xf>
    <xf numFmtId="0" fontId="191" fillId="0" borderId="10" xfId="0" applyFont="1" applyBorder="1" applyAlignment="1">
      <alignment horizontal="center"/>
    </xf>
    <xf numFmtId="0" fontId="191" fillId="0" borderId="2" xfId="0" applyFont="1" applyBorder="1" applyAlignment="1">
      <alignment horizontal="center"/>
    </xf>
    <xf numFmtId="0" fontId="180" fillId="0" borderId="2" xfId="0" applyFont="1" applyBorder="1" applyAlignment="1">
      <alignment horizontal="center" vertical="center"/>
    </xf>
    <xf numFmtId="0" fontId="105" fillId="0" borderId="2" xfId="0" applyFont="1" applyBorder="1" applyAlignment="1">
      <alignment horizontal="center"/>
    </xf>
    <xf numFmtId="175" fontId="204" fillId="0" borderId="24" xfId="0" applyNumberFormat="1" applyFont="1" applyBorder="1" applyAlignment="1">
      <alignment horizontal="center" vertical="center"/>
    </xf>
    <xf numFmtId="175" fontId="204" fillId="0" borderId="21" xfId="0" applyNumberFormat="1" applyFont="1" applyBorder="1" applyAlignment="1">
      <alignment horizontal="center" vertical="center"/>
    </xf>
    <xf numFmtId="175" fontId="204" fillId="0" borderId="22" xfId="0" applyNumberFormat="1" applyFont="1" applyBorder="1" applyAlignment="1">
      <alignment horizontal="center" vertical="center"/>
    </xf>
    <xf numFmtId="175" fontId="204" fillId="0" borderId="4" xfId="0" applyNumberFormat="1" applyFont="1" applyBorder="1" applyAlignment="1">
      <alignment horizontal="center" vertical="center"/>
    </xf>
    <xf numFmtId="175" fontId="204" fillId="0" borderId="2" xfId="0" applyNumberFormat="1" applyFont="1" applyBorder="1" applyAlignment="1">
      <alignment horizontal="center" vertical="center"/>
    </xf>
    <xf numFmtId="175" fontId="204"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62" fillId="0" borderId="0" xfId="2" applyNumberFormat="1" applyFill="1" applyBorder="1" applyAlignment="1" applyProtection="1">
      <alignment horizontal="center"/>
    </xf>
    <xf numFmtId="0" fontId="227" fillId="6" borderId="0" xfId="0" applyFont="1" applyFill="1" applyAlignment="1">
      <alignment horizontal="center"/>
    </xf>
    <xf numFmtId="0" fontId="121" fillId="6" borderId="0" xfId="0" applyFont="1" applyFill="1" applyAlignment="1">
      <alignment horizontal="center"/>
    </xf>
    <xf numFmtId="0" fontId="115" fillId="6" borderId="0" xfId="0" applyFont="1" applyFill="1" applyAlignment="1">
      <alignment horizontal="center"/>
    </xf>
    <xf numFmtId="0" fontId="109" fillId="6" borderId="12" xfId="0" applyFont="1" applyFill="1" applyBorder="1" applyAlignment="1">
      <alignment horizontal="center" vertical="center" wrapText="1"/>
    </xf>
    <xf numFmtId="0" fontId="109" fillId="6" borderId="12" xfId="0" applyFont="1" applyFill="1" applyBorder="1" applyAlignment="1">
      <alignment horizontal="center" vertical="center"/>
    </xf>
    <xf numFmtId="0" fontId="109" fillId="6" borderId="108" xfId="0" applyFont="1" applyFill="1" applyBorder="1" applyAlignment="1">
      <alignment horizontal="center" vertical="center"/>
    </xf>
    <xf numFmtId="0" fontId="164" fillId="6" borderId="0" xfId="2" applyNumberFormat="1" applyFont="1" applyFill="1" applyAlignment="1" applyProtection="1">
      <alignment horizontal="left" vertical="center"/>
    </xf>
    <xf numFmtId="0" fontId="143" fillId="6" borderId="0" xfId="2" applyNumberFormat="1" applyFont="1" applyFill="1" applyAlignment="1" applyProtection="1">
      <alignment horizontal="left" vertical="center"/>
    </xf>
    <xf numFmtId="0" fontId="143" fillId="6" borderId="0" xfId="2" applyNumberFormat="1" applyFont="1" applyFill="1" applyBorder="1" applyAlignment="1" applyProtection="1">
      <alignment horizontal="left" vertical="center"/>
    </xf>
    <xf numFmtId="0" fontId="143" fillId="6" borderId="0" xfId="2" applyNumberFormat="1" applyFont="1" applyFill="1" applyAlignment="1" applyProtection="1">
      <alignment vertical="center"/>
    </xf>
    <xf numFmtId="0" fontId="101" fillId="6" borderId="0" xfId="0" applyFont="1" applyFill="1" applyAlignment="1">
      <alignment horizontal="center"/>
    </xf>
    <xf numFmtId="0" fontId="190" fillId="0" borderId="0" xfId="2" applyNumberFormat="1" applyFont="1" applyFill="1" applyAlignment="1" applyProtection="1">
      <alignment horizontal="center" vertical="center"/>
    </xf>
    <xf numFmtId="0" fontId="105" fillId="6" borderId="0" xfId="0" applyFont="1" applyFill="1" applyAlignment="1">
      <alignment horizontal="center"/>
    </xf>
    <xf numFmtId="0" fontId="121" fillId="6" borderId="0" xfId="0" applyFont="1" applyFill="1" applyAlignment="1">
      <alignment horizontal="left" vertical="center"/>
    </xf>
    <xf numFmtId="0" fontId="62" fillId="6" borderId="0" xfId="2" applyNumberFormat="1" applyFill="1" applyAlignment="1" applyProtection="1">
      <alignment horizontal="center"/>
    </xf>
    <xf numFmtId="0" fontId="95" fillId="6" borderId="79" xfId="0" applyFont="1" applyFill="1" applyBorder="1" applyAlignment="1" applyProtection="1">
      <alignment horizontal="right" vertical="center"/>
      <protection hidden="1"/>
    </xf>
    <xf numFmtId="0" fontId="95" fillId="6" borderId="20" xfId="0" applyFont="1" applyFill="1" applyBorder="1" applyAlignment="1" applyProtection="1">
      <alignment horizontal="right" vertical="center"/>
      <protection hidden="1"/>
    </xf>
    <xf numFmtId="0" fontId="166" fillId="6" borderId="0" xfId="2" applyNumberFormat="1" applyFont="1" applyFill="1" applyAlignment="1" applyProtection="1"/>
    <xf numFmtId="0" fontId="199" fillId="6" borderId="43" xfId="0" applyFont="1" applyFill="1" applyBorder="1" applyAlignment="1">
      <alignment horizontal="center" vertical="center" wrapText="1"/>
    </xf>
    <xf numFmtId="0" fontId="199" fillId="6" borderId="44" xfId="0" applyFont="1" applyFill="1" applyBorder="1" applyAlignment="1">
      <alignment horizontal="center" vertical="center"/>
    </xf>
    <xf numFmtId="0" fontId="199" fillId="6" borderId="19" xfId="0" applyFont="1" applyFill="1" applyBorder="1" applyAlignment="1">
      <alignment horizontal="center" vertical="center"/>
    </xf>
    <xf numFmtId="0" fontId="199" fillId="6" borderId="15" xfId="0" applyFont="1" applyFill="1" applyBorder="1" applyAlignment="1">
      <alignment horizontal="center" vertical="center"/>
    </xf>
    <xf numFmtId="0" fontId="0" fillId="6" borderId="113" xfId="0" applyFill="1" applyBorder="1" applyAlignment="1">
      <alignment horizontal="left" vertical="top" wrapText="1"/>
    </xf>
    <xf numFmtId="0" fontId="0" fillId="6" borderId="0" xfId="0" applyFill="1" applyAlignment="1">
      <alignment horizontal="left" vertical="top" wrapText="1"/>
    </xf>
    <xf numFmtId="0" fontId="166" fillId="6" borderId="31" xfId="2" applyNumberFormat="1" applyFont="1" applyFill="1" applyBorder="1" applyAlignment="1" applyProtection="1">
      <alignment horizontal="center" vertical="top"/>
    </xf>
    <xf numFmtId="0" fontId="166" fillId="6" borderId="28" xfId="2" applyNumberFormat="1" applyFont="1" applyFill="1" applyBorder="1" applyAlignment="1" applyProtection="1">
      <alignment horizontal="center" vertical="top"/>
    </xf>
    <xf numFmtId="0" fontId="166" fillId="6" borderId="56" xfId="2" applyNumberFormat="1" applyFont="1" applyFill="1" applyBorder="1" applyAlignment="1" applyProtection="1">
      <alignment horizontal="center" vertical="top"/>
    </xf>
    <xf numFmtId="0" fontId="143" fillId="6" borderId="0" xfId="2" applyNumberFormat="1" applyFont="1" applyFill="1" applyAlignment="1" applyProtection="1">
      <alignment horizontal="left"/>
    </xf>
    <xf numFmtId="0" fontId="109" fillId="6" borderId="19" xfId="0" applyFont="1" applyFill="1" applyBorder="1" applyAlignment="1">
      <alignment horizontal="center" vertical="center" wrapText="1"/>
    </xf>
    <xf numFmtId="0" fontId="109" fillId="6" borderId="15" xfId="0" applyFont="1" applyFill="1" applyBorder="1" applyAlignment="1">
      <alignment horizontal="center" vertical="center" wrapText="1"/>
    </xf>
    <xf numFmtId="0" fontId="0" fillId="6" borderId="19" xfId="0" applyFill="1" applyBorder="1" applyAlignment="1">
      <alignment horizontal="center" wrapText="1"/>
    </xf>
    <xf numFmtId="0" fontId="0" fillId="6" borderId="15" xfId="0" applyFill="1" applyBorder="1" applyAlignment="1">
      <alignment horizontal="center" wrapText="1"/>
    </xf>
    <xf numFmtId="0" fontId="166" fillId="6" borderId="19" xfId="2" applyNumberFormat="1" applyFont="1" applyFill="1" applyBorder="1" applyAlignment="1" applyProtection="1">
      <alignment horizontal="center" vertical="center"/>
    </xf>
    <xf numFmtId="0" fontId="166" fillId="6" borderId="15" xfId="2" applyNumberFormat="1" applyFont="1" applyFill="1" applyBorder="1" applyAlignment="1" applyProtection="1">
      <alignment horizontal="center" vertical="center"/>
    </xf>
    <xf numFmtId="0" fontId="143" fillId="6" borderId="16" xfId="2" applyNumberFormat="1" applyFont="1" applyFill="1" applyBorder="1" applyAlignment="1" applyProtection="1">
      <alignment horizontal="center" vertical="center"/>
    </xf>
    <xf numFmtId="0" fontId="143" fillId="6" borderId="39" xfId="2" applyNumberFormat="1" applyFont="1" applyFill="1" applyBorder="1" applyAlignment="1" applyProtection="1">
      <alignment horizontal="center" vertical="center"/>
    </xf>
    <xf numFmtId="0" fontId="0" fillId="6" borderId="19" xfId="0" applyFill="1" applyBorder="1" applyAlignment="1">
      <alignment horizontal="center" vertical="top" wrapText="1"/>
    </xf>
    <xf numFmtId="0" fontId="0" fillId="6" borderId="15" xfId="0" applyFill="1" applyBorder="1" applyAlignment="1">
      <alignment horizontal="center" vertical="top" wrapText="1"/>
    </xf>
    <xf numFmtId="0" fontId="101" fillId="9" borderId="184" xfId="0" applyFont="1" applyFill="1" applyBorder="1" applyAlignment="1">
      <alignment horizontal="center" vertical="center"/>
    </xf>
    <xf numFmtId="0" fontId="109" fillId="9" borderId="184" xfId="0" applyFont="1" applyFill="1" applyBorder="1" applyAlignment="1">
      <alignment horizontal="center" vertical="center"/>
    </xf>
    <xf numFmtId="0" fontId="239" fillId="9" borderId="224" xfId="0" applyFont="1" applyFill="1" applyBorder="1" applyAlignment="1">
      <alignment horizontal="center" vertical="center" wrapText="1"/>
    </xf>
    <xf numFmtId="0" fontId="239" fillId="9" borderId="23" xfId="0" applyFont="1" applyFill="1" applyBorder="1" applyAlignment="1">
      <alignment horizontal="center" vertical="center" wrapText="1"/>
    </xf>
    <xf numFmtId="0" fontId="239" fillId="9" borderId="84" xfId="0" applyFont="1" applyFill="1" applyBorder="1" applyAlignment="1">
      <alignment horizontal="center" vertical="center" wrapText="1"/>
    </xf>
    <xf numFmtId="0" fontId="239" fillId="9" borderId="185" xfId="0" applyFont="1" applyFill="1" applyBorder="1" applyAlignment="1">
      <alignment horizontal="center" vertical="center" wrapText="1"/>
    </xf>
    <xf numFmtId="0" fontId="239" fillId="9" borderId="0" xfId="0" applyFont="1" applyFill="1" applyAlignment="1">
      <alignment horizontal="center" vertical="center" wrapText="1"/>
    </xf>
    <xf numFmtId="0" fontId="239" fillId="9" borderId="99" xfId="0" applyFont="1" applyFill="1" applyBorder="1" applyAlignment="1">
      <alignment horizontal="center" vertical="center" wrapText="1"/>
    </xf>
    <xf numFmtId="0" fontId="101" fillId="9" borderId="164" xfId="0" applyFont="1" applyFill="1" applyBorder="1" applyAlignment="1" applyProtection="1">
      <alignment horizontal="center" vertical="center"/>
      <protection hidden="1"/>
    </xf>
    <xf numFmtId="0" fontId="101" fillId="9" borderId="10" xfId="0" applyFont="1" applyFill="1" applyBorder="1" applyAlignment="1" applyProtection="1">
      <alignment horizontal="center" vertical="center"/>
      <protection hidden="1"/>
    </xf>
    <xf numFmtId="0" fontId="101" fillId="9" borderId="19" xfId="0" applyFont="1" applyFill="1" applyBorder="1" applyAlignment="1">
      <alignment horizontal="center" vertical="center" wrapText="1"/>
    </xf>
    <xf numFmtId="0" fontId="101" fillId="9" borderId="63" xfId="0" applyFont="1" applyFill="1" applyBorder="1" applyAlignment="1">
      <alignment horizontal="center" vertical="center"/>
    </xf>
    <xf numFmtId="0" fontId="101" fillId="9" borderId="78" xfId="0" applyFont="1" applyFill="1" applyBorder="1" applyAlignment="1">
      <alignment horizontal="center" vertical="center"/>
    </xf>
    <xf numFmtId="0" fontId="101" fillId="9" borderId="64" xfId="0" applyFont="1" applyFill="1" applyBorder="1" applyAlignment="1">
      <alignment horizontal="center" vertical="center"/>
    </xf>
    <xf numFmtId="0" fontId="101" fillId="9" borderId="2" xfId="0" applyFont="1" applyFill="1" applyBorder="1" applyAlignment="1">
      <alignment horizontal="center" vertical="center"/>
    </xf>
    <xf numFmtId="0" fontId="101" fillId="9" borderId="42" xfId="0" applyFont="1" applyFill="1" applyBorder="1" applyAlignment="1">
      <alignment horizontal="center" vertical="center"/>
    </xf>
    <xf numFmtId="0" fontId="101" fillId="9" borderId="113" xfId="0" applyFont="1" applyFill="1" applyBorder="1" applyAlignment="1">
      <alignment horizontal="center" vertical="center"/>
    </xf>
    <xf numFmtId="0" fontId="101" fillId="9" borderId="55" xfId="0" applyFont="1" applyFill="1" applyBorder="1" applyAlignment="1">
      <alignment horizontal="center" vertical="center"/>
    </xf>
    <xf numFmtId="0" fontId="226" fillId="9" borderId="42" xfId="0" applyFont="1" applyFill="1" applyBorder="1" applyAlignment="1" applyProtection="1">
      <alignment horizontal="center" vertical="center" wrapText="1"/>
      <protection hidden="1"/>
    </xf>
    <xf numFmtId="0" fontId="226" fillId="9" borderId="113" xfId="0" applyFont="1" applyFill="1" applyBorder="1" applyAlignment="1" applyProtection="1">
      <alignment horizontal="center" vertical="center" wrapText="1"/>
      <protection hidden="1"/>
    </xf>
    <xf numFmtId="0" fontId="226" fillId="9" borderId="55" xfId="0" applyFont="1" applyFill="1" applyBorder="1" applyAlignment="1" applyProtection="1">
      <alignment horizontal="center" vertical="center" wrapText="1"/>
      <protection hidden="1"/>
    </xf>
    <xf numFmtId="0" fontId="226" fillId="9" borderId="31" xfId="0" applyFont="1" applyFill="1" applyBorder="1" applyAlignment="1" applyProtection="1">
      <alignment horizontal="center" vertical="center" wrapText="1"/>
      <protection hidden="1"/>
    </xf>
    <xf numFmtId="0" fontId="226" fillId="9" borderId="28" xfId="0" applyFont="1" applyFill="1" applyBorder="1" applyAlignment="1" applyProtection="1">
      <alignment horizontal="center" vertical="center" wrapText="1"/>
      <protection hidden="1"/>
    </xf>
    <xf numFmtId="0" fontId="226" fillId="9" borderId="56" xfId="0" applyFont="1" applyFill="1" applyBorder="1" applyAlignment="1" applyProtection="1">
      <alignment horizontal="center" vertical="center" wrapText="1"/>
      <protection hidden="1"/>
    </xf>
    <xf numFmtId="0" fontId="40" fillId="0" borderId="12" xfId="0" applyFont="1" applyBorder="1" applyAlignment="1" applyProtection="1">
      <alignment horizontal="center" vertical="center"/>
      <protection locked="0"/>
    </xf>
    <xf numFmtId="0" fontId="42" fillId="0" borderId="12" xfId="0" applyFont="1" applyBorder="1" applyAlignment="1" applyProtection="1">
      <alignment horizontal="center" vertical="center"/>
      <protection locked="0"/>
    </xf>
    <xf numFmtId="0" fontId="42" fillId="0" borderId="131" xfId="0" applyFont="1" applyBorder="1" applyAlignment="1" applyProtection="1">
      <alignment horizontal="center" vertical="center"/>
      <protection locked="0"/>
    </xf>
    <xf numFmtId="0" fontId="210" fillId="0" borderId="170" xfId="0" applyFont="1" applyBorder="1" applyAlignment="1" applyProtection="1">
      <alignment horizontal="left" vertical="center"/>
      <protection locked="0"/>
    </xf>
    <xf numFmtId="0" fontId="210" fillId="0" borderId="2" xfId="0" applyFont="1" applyBorder="1" applyAlignment="1" applyProtection="1">
      <alignment horizontal="left" vertical="center"/>
      <protection locked="0"/>
    </xf>
    <xf numFmtId="0" fontId="210" fillId="0" borderId="130" xfId="0" applyFont="1" applyBorder="1" applyAlignment="1" applyProtection="1">
      <alignment horizontal="left" vertical="center"/>
      <protection locked="0"/>
    </xf>
    <xf numFmtId="0" fontId="210" fillId="0" borderId="177" xfId="0" applyFont="1" applyBorder="1" applyAlignment="1" applyProtection="1">
      <alignment horizontal="left" vertical="center"/>
      <protection locked="0"/>
    </xf>
    <xf numFmtId="0" fontId="210" fillId="0" borderId="131" xfId="0" applyFont="1" applyBorder="1" applyAlignment="1" applyProtection="1">
      <alignment horizontal="left" vertical="center"/>
      <protection locked="0"/>
    </xf>
    <xf numFmtId="0" fontId="210"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101" fillId="9" borderId="170" xfId="0" applyFont="1" applyFill="1" applyBorder="1" applyAlignment="1" applyProtection="1">
      <alignment horizontal="right" vertical="center"/>
      <protection hidden="1"/>
    </xf>
    <xf numFmtId="0" fontId="101" fillId="9" borderId="2" xfId="0" applyFont="1" applyFill="1" applyBorder="1" applyAlignment="1" applyProtection="1">
      <alignment horizontal="right" vertical="center"/>
      <protection hidden="1"/>
    </xf>
    <xf numFmtId="0" fontId="165" fillId="9" borderId="187" xfId="2" applyNumberFormat="1" applyFont="1" applyFill="1" applyBorder="1" applyAlignment="1" applyProtection="1">
      <alignment horizontal="center" vertical="center" wrapText="1"/>
      <protection hidden="1"/>
    </xf>
    <xf numFmtId="0" fontId="165" fillId="9" borderId="113" xfId="2" applyNumberFormat="1" applyFont="1" applyFill="1" applyBorder="1" applyAlignment="1" applyProtection="1">
      <alignment horizontal="center" vertical="center" wrapText="1"/>
      <protection hidden="1"/>
    </xf>
    <xf numFmtId="0" fontId="165" fillId="9" borderId="55" xfId="2" applyNumberFormat="1" applyFont="1" applyFill="1" applyBorder="1" applyAlignment="1" applyProtection="1">
      <alignment horizontal="center" vertical="center" wrapText="1"/>
      <protection hidden="1"/>
    </xf>
    <xf numFmtId="0" fontId="165" fillId="9" borderId="215" xfId="2" applyNumberFormat="1" applyFont="1" applyFill="1" applyBorder="1" applyAlignment="1" applyProtection="1">
      <alignment horizontal="center" vertical="center" wrapText="1"/>
      <protection hidden="1"/>
    </xf>
    <xf numFmtId="0" fontId="165" fillId="9" borderId="216" xfId="2" applyNumberFormat="1" applyFont="1" applyFill="1" applyBorder="1" applyAlignment="1" applyProtection="1">
      <alignment horizontal="center" vertical="center" wrapText="1"/>
      <protection hidden="1"/>
    </xf>
    <xf numFmtId="0" fontId="165" fillId="9" borderId="217" xfId="2" applyNumberFormat="1" applyFont="1" applyFill="1" applyBorder="1" applyAlignment="1" applyProtection="1">
      <alignment horizontal="center" vertical="center" wrapText="1"/>
      <protection hidden="1"/>
    </xf>
    <xf numFmtId="0" fontId="36" fillId="6" borderId="131" xfId="0" applyFont="1" applyFill="1" applyBorder="1" applyAlignment="1" applyProtection="1">
      <alignment horizontal="center" vertical="center"/>
      <protection locked="0"/>
    </xf>
    <xf numFmtId="0" fontId="42" fillId="6" borderId="131" xfId="0" applyFont="1" applyFill="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123" fillId="9" borderId="2" xfId="0" applyFont="1" applyFill="1" applyBorder="1" applyAlignment="1">
      <alignment horizontal="center" vertical="center" textRotation="90" wrapText="1"/>
    </xf>
    <xf numFmtId="0" fontId="123" fillId="9" borderId="10" xfId="0" applyFont="1" applyFill="1" applyBorder="1" applyAlignment="1">
      <alignment horizontal="center" vertical="center" textRotation="90" wrapText="1"/>
    </xf>
    <xf numFmtId="0" fontId="101" fillId="9" borderId="28" xfId="0" applyFont="1" applyFill="1" applyBorder="1" applyAlignment="1">
      <alignment horizontal="center"/>
    </xf>
    <xf numFmtId="0" fontId="101" fillId="9" borderId="1" xfId="0" applyFont="1" applyFill="1" applyBorder="1" applyAlignment="1" applyProtection="1">
      <alignment horizontal="right" vertical="center"/>
      <protection hidden="1"/>
    </xf>
    <xf numFmtId="0" fontId="101" fillId="9" borderId="9" xfId="0" applyFont="1" applyFill="1" applyBorder="1" applyAlignment="1" applyProtection="1">
      <alignment horizontal="right" vertical="center"/>
      <protection hidden="1"/>
    </xf>
    <xf numFmtId="0" fontId="101" fillId="9" borderId="10" xfId="0" applyFont="1" applyFill="1" applyBorder="1" applyAlignment="1" applyProtection="1">
      <alignment horizontal="right" vertical="center"/>
      <protection hidden="1"/>
    </xf>
    <xf numFmtId="0" fontId="101" fillId="4" borderId="180" xfId="0" applyFont="1" applyFill="1" applyBorder="1" applyAlignment="1" applyProtection="1">
      <alignment horizontal="center" vertical="center" wrapText="1"/>
      <protection hidden="1"/>
    </xf>
    <xf numFmtId="0" fontId="101" fillId="4" borderId="211" xfId="0" applyFont="1" applyFill="1" applyBorder="1" applyAlignment="1" applyProtection="1">
      <alignment horizontal="center" vertical="center" wrapText="1"/>
      <protection hidden="1"/>
    </xf>
    <xf numFmtId="0" fontId="101" fillId="4" borderId="28" xfId="0" applyFont="1" applyFill="1" applyBorder="1" applyAlignment="1" applyProtection="1">
      <alignment horizontal="center" vertical="center" wrapText="1"/>
      <protection hidden="1"/>
    </xf>
    <xf numFmtId="0" fontId="101"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8" fillId="0" borderId="9" xfId="0" applyNumberFormat="1" applyFont="1" applyBorder="1" applyAlignment="1" applyProtection="1">
      <alignment horizontal="center" vertical="center"/>
      <protection locked="0"/>
    </xf>
    <xf numFmtId="14" fontId="38" fillId="0" borderId="10"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0" fontId="109" fillId="18" borderId="2" xfId="0" applyFont="1" applyFill="1" applyBorder="1" applyAlignment="1" applyProtection="1">
      <alignment horizontal="left" vertical="center"/>
      <protection hidden="1"/>
    </xf>
    <xf numFmtId="0" fontId="101" fillId="9" borderId="154" xfId="0" applyFont="1" applyFill="1" applyBorder="1" applyAlignment="1" applyProtection="1">
      <alignment horizontal="right" vertical="center"/>
      <protection hidden="1"/>
    </xf>
    <xf numFmtId="0" fontId="101" fillId="9" borderId="12" xfId="0" applyFont="1" applyFill="1" applyBorder="1" applyAlignment="1" applyProtection="1">
      <alignment horizontal="right" vertical="center"/>
      <protection hidden="1"/>
    </xf>
    <xf numFmtId="0" fontId="110" fillId="4" borderId="108" xfId="0" applyFont="1" applyFill="1" applyBorder="1" applyAlignment="1">
      <alignment horizontal="center"/>
    </xf>
    <xf numFmtId="0" fontId="110" fillId="4" borderId="209" xfId="0" applyFont="1" applyFill="1" applyBorder="1" applyAlignment="1">
      <alignment horizontal="center"/>
    </xf>
    <xf numFmtId="190" fontId="114" fillId="0" borderId="2" xfId="0" applyNumberFormat="1" applyFont="1" applyBorder="1" applyAlignment="1" applyProtection="1">
      <alignment horizontal="center" vertical="center"/>
      <protection locked="0"/>
    </xf>
    <xf numFmtId="0" fontId="109" fillId="27" borderId="178" xfId="0" applyFont="1" applyFill="1" applyBorder="1" applyAlignment="1" applyProtection="1">
      <alignment horizontal="center" vertical="center"/>
      <protection hidden="1"/>
    </xf>
    <xf numFmtId="0" fontId="109" fillId="27" borderId="171" xfId="0" applyFont="1" applyFill="1" applyBorder="1" applyAlignment="1" applyProtection="1">
      <alignment horizontal="center" vertical="center"/>
      <protection hidden="1"/>
    </xf>
    <xf numFmtId="0" fontId="109" fillId="27" borderId="172" xfId="0" applyFont="1" applyFill="1" applyBorder="1" applyAlignment="1" applyProtection="1">
      <alignment horizontal="center" vertical="center"/>
      <protection hidden="1"/>
    </xf>
    <xf numFmtId="0" fontId="110" fillId="4" borderId="179" xfId="0" applyFont="1" applyFill="1" applyBorder="1" applyAlignment="1" applyProtection="1">
      <alignment horizontal="center" vertical="center"/>
      <protection hidden="1"/>
    </xf>
    <xf numFmtId="0" fontId="110" fillId="4" borderId="180" xfId="0" applyFont="1" applyFill="1" applyBorder="1" applyAlignment="1" applyProtection="1">
      <alignment horizontal="center" vertical="center"/>
      <protection hidden="1"/>
    </xf>
    <xf numFmtId="0" fontId="110" fillId="4" borderId="182" xfId="0" applyFont="1" applyFill="1" applyBorder="1" applyAlignment="1" applyProtection="1">
      <alignment horizontal="center" vertical="center"/>
      <protection hidden="1"/>
    </xf>
    <xf numFmtId="0" fontId="110" fillId="4" borderId="28" xfId="0" applyFont="1" applyFill="1" applyBorder="1" applyAlignment="1" applyProtection="1">
      <alignment horizontal="center" vertical="center"/>
      <protection hidden="1"/>
    </xf>
    <xf numFmtId="0" fontId="101" fillId="9" borderId="0" xfId="0" quotePrefix="1" applyFont="1" applyFill="1" applyAlignment="1">
      <alignment horizontal="center" vertical="center"/>
    </xf>
    <xf numFmtId="0" fontId="101" fillId="9" borderId="153" xfId="0" applyFont="1" applyFill="1" applyBorder="1" applyAlignment="1">
      <alignment horizontal="center" vertical="center"/>
    </xf>
    <xf numFmtId="0" fontId="210" fillId="9" borderId="8" xfId="0" applyFont="1" applyFill="1" applyBorder="1" applyAlignment="1" applyProtection="1">
      <alignment horizontal="center" vertical="top" wrapText="1"/>
      <protection hidden="1"/>
    </xf>
    <xf numFmtId="0" fontId="210" fillId="9" borderId="153" xfId="0" applyFont="1" applyFill="1" applyBorder="1" applyAlignment="1" applyProtection="1">
      <alignment horizontal="center" vertical="top" wrapText="1"/>
      <protection hidden="1"/>
    </xf>
    <xf numFmtId="0" fontId="210" fillId="9" borderId="31" xfId="0" applyFont="1" applyFill="1" applyBorder="1" applyAlignment="1" applyProtection="1">
      <alignment horizontal="center" vertical="top" wrapText="1"/>
      <protection hidden="1"/>
    </xf>
    <xf numFmtId="0" fontId="210" fillId="9" borderId="174" xfId="0" applyFont="1" applyFill="1" applyBorder="1" applyAlignment="1" applyProtection="1">
      <alignment horizontal="center" vertical="top" wrapText="1"/>
      <protection hidden="1"/>
    </xf>
    <xf numFmtId="0" fontId="210" fillId="9" borderId="185" xfId="0" applyFont="1" applyFill="1" applyBorder="1" applyAlignment="1">
      <alignment horizontal="center" vertical="center" wrapText="1"/>
    </xf>
    <xf numFmtId="0" fontId="210" fillId="9" borderId="0" xfId="0" applyFont="1" applyFill="1" applyAlignment="1">
      <alignment horizontal="center" vertical="center" wrapText="1"/>
    </xf>
    <xf numFmtId="0" fontId="210" fillId="9" borderId="99" xfId="0" applyFont="1" applyFill="1" applyBorder="1" applyAlignment="1">
      <alignment horizontal="center" vertical="center" wrapText="1"/>
    </xf>
    <xf numFmtId="0" fontId="109" fillId="4" borderId="189" xfId="0" applyFont="1" applyFill="1" applyBorder="1" applyAlignment="1" applyProtection="1">
      <alignment horizontal="center" vertical="center" wrapText="1"/>
      <protection hidden="1"/>
    </xf>
    <xf numFmtId="0" fontId="109" fillId="4" borderId="181" xfId="0" applyFont="1" applyFill="1" applyBorder="1" applyAlignment="1" applyProtection="1">
      <alignment horizontal="center" vertical="center" wrapText="1"/>
      <protection hidden="1"/>
    </xf>
    <xf numFmtId="0" fontId="109" fillId="4" borderId="8" xfId="0" applyFont="1" applyFill="1" applyBorder="1" applyAlignment="1" applyProtection="1">
      <alignment horizontal="center" vertical="center" wrapText="1"/>
      <protection hidden="1"/>
    </xf>
    <xf numFmtId="0" fontId="109" fillId="4" borderId="153" xfId="0" applyFont="1" applyFill="1" applyBorder="1" applyAlignment="1" applyProtection="1">
      <alignment horizontal="center" vertical="center" wrapText="1"/>
      <protection hidden="1"/>
    </xf>
    <xf numFmtId="0" fontId="101" fillId="9" borderId="113" xfId="0" applyFont="1" applyFill="1" applyBorder="1" applyAlignment="1">
      <alignment horizontal="center" vertical="center" wrapText="1"/>
    </xf>
    <xf numFmtId="0" fontId="101" fillId="9" borderId="0" xfId="0" applyFont="1" applyFill="1" applyAlignment="1">
      <alignment horizontal="center" vertical="center" wrapText="1"/>
    </xf>
    <xf numFmtId="0" fontId="101" fillId="9" borderId="28" xfId="0" applyFont="1" applyFill="1" applyBorder="1" applyAlignment="1">
      <alignment horizontal="center" vertical="center" wrapText="1"/>
    </xf>
    <xf numFmtId="0" fontId="101" fillId="0" borderId="170" xfId="0" applyFont="1" applyBorder="1" applyAlignment="1" applyProtection="1">
      <alignment horizontal="right" vertical="center"/>
      <protection locked="0"/>
    </xf>
    <xf numFmtId="0" fontId="101" fillId="0" borderId="2" xfId="0" applyFont="1" applyBorder="1" applyAlignment="1" applyProtection="1">
      <alignment horizontal="right" vertical="center"/>
      <protection locked="0"/>
    </xf>
    <xf numFmtId="0" fontId="36" fillId="6" borderId="2" xfId="0" applyFont="1" applyFill="1" applyBorder="1" applyAlignment="1" applyProtection="1">
      <alignment horizontal="center" vertical="center"/>
      <protection locked="0"/>
    </xf>
    <xf numFmtId="0" fontId="42" fillId="6" borderId="2" xfId="0" applyFont="1" applyFill="1" applyBorder="1" applyAlignment="1" applyProtection="1">
      <alignment horizontal="center" vertical="center"/>
      <protection locked="0"/>
    </xf>
    <xf numFmtId="0" fontId="89" fillId="9" borderId="180" xfId="2" applyNumberFormat="1" applyFont="1" applyFill="1" applyBorder="1" applyAlignment="1" applyProtection="1">
      <alignment horizontal="center" vertical="center"/>
    </xf>
    <xf numFmtId="0" fontId="101" fillId="9" borderId="19" xfId="0" applyFont="1" applyFill="1" applyBorder="1" applyAlignment="1">
      <alignment horizontal="center" vertical="center"/>
    </xf>
    <xf numFmtId="0" fontId="101" fillId="9" borderId="0" xfId="0" applyFont="1" applyFill="1" applyAlignment="1">
      <alignment horizontal="center" vertical="center"/>
    </xf>
    <xf numFmtId="0" fontId="101" fillId="9" borderId="99" xfId="0" applyFont="1" applyFill="1" applyBorder="1" applyAlignment="1">
      <alignment horizontal="center" vertical="center"/>
    </xf>
    <xf numFmtId="0" fontId="101" fillId="9" borderId="171" xfId="0" applyFont="1" applyFill="1" applyBorder="1" applyAlignment="1">
      <alignment horizontal="right" vertical="center"/>
    </xf>
    <xf numFmtId="0" fontId="101" fillId="9" borderId="188" xfId="0" applyFont="1" applyFill="1" applyBorder="1" applyAlignment="1">
      <alignment horizontal="right" vertical="center"/>
    </xf>
    <xf numFmtId="0" fontId="12" fillId="0" borderId="2" xfId="0" applyFont="1" applyBorder="1" applyAlignment="1" applyProtection="1">
      <alignment horizontal="center" vertical="center"/>
      <protection locked="0"/>
    </xf>
    <xf numFmtId="8" fontId="105"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9" fillId="4" borderId="155" xfId="0" applyFont="1" applyFill="1" applyBorder="1" applyAlignment="1" applyProtection="1">
      <alignment horizontal="left" vertical="center"/>
      <protection hidden="1"/>
    </xf>
    <xf numFmtId="0" fontId="109" fillId="4" borderId="41" xfId="0" applyFont="1" applyFill="1" applyBorder="1" applyAlignment="1" applyProtection="1">
      <alignment horizontal="left" vertical="center"/>
      <protection hidden="1"/>
    </xf>
    <xf numFmtId="6" fontId="99" fillId="4" borderId="304" xfId="0" applyNumberFormat="1" applyFont="1" applyFill="1" applyBorder="1" applyAlignment="1" applyProtection="1">
      <alignment horizontal="center" vertical="center" wrapText="1"/>
      <protection hidden="1"/>
    </xf>
    <xf numFmtId="6" fontId="99" fillId="4" borderId="305" xfId="0" applyNumberFormat="1" applyFont="1" applyFill="1" applyBorder="1" applyAlignment="1" applyProtection="1">
      <alignment horizontal="center" vertical="center" wrapText="1"/>
      <protection hidden="1"/>
    </xf>
    <xf numFmtId="167" fontId="99" fillId="4" borderId="115" xfId="0" quotePrefix="1" applyNumberFormat="1" applyFont="1" applyFill="1" applyBorder="1" applyAlignment="1" applyProtection="1">
      <alignment horizontal="center" vertical="center" wrapText="1"/>
      <protection hidden="1"/>
    </xf>
    <xf numFmtId="167" fontId="99" fillId="4" borderId="225" xfId="0" quotePrefix="1" applyNumberFormat="1" applyFont="1" applyFill="1" applyBorder="1" applyAlignment="1" applyProtection="1">
      <alignment horizontal="center" vertical="center" wrapText="1"/>
      <protection hidden="1"/>
    </xf>
    <xf numFmtId="167" fontId="99" fillId="4" borderId="31" xfId="0" quotePrefix="1" applyNumberFormat="1" applyFont="1" applyFill="1" applyBorder="1" applyAlignment="1" applyProtection="1">
      <alignment horizontal="center" vertical="center" wrapText="1"/>
      <protection hidden="1"/>
    </xf>
    <xf numFmtId="167" fontId="99" fillId="4" borderId="174" xfId="0" quotePrefix="1" applyNumberFormat="1" applyFont="1" applyFill="1" applyBorder="1" applyAlignment="1" applyProtection="1">
      <alignment horizontal="center" vertical="center" wrapText="1"/>
      <protection hidden="1"/>
    </xf>
    <xf numFmtId="167" fontId="264" fillId="9" borderId="42" xfId="0" quotePrefix="1" applyNumberFormat="1" applyFont="1" applyFill="1" applyBorder="1" applyAlignment="1" applyProtection="1">
      <alignment horizontal="center" vertical="center" wrapText="1"/>
      <protection hidden="1"/>
    </xf>
    <xf numFmtId="167" fontId="264" fillId="9" borderId="173" xfId="0" quotePrefix="1" applyNumberFormat="1" applyFont="1" applyFill="1" applyBorder="1" applyAlignment="1" applyProtection="1">
      <alignment horizontal="center" vertical="center" wrapText="1"/>
      <protection hidden="1"/>
    </xf>
    <xf numFmtId="167" fontId="264" fillId="9" borderId="8" xfId="0" quotePrefix="1" applyNumberFormat="1" applyFont="1" applyFill="1" applyBorder="1" applyAlignment="1" applyProtection="1">
      <alignment horizontal="center" vertical="center" wrapText="1"/>
      <protection hidden="1"/>
    </xf>
    <xf numFmtId="167" fontId="264" fillId="9" borderId="153" xfId="0" quotePrefix="1" applyNumberFormat="1" applyFont="1" applyFill="1" applyBorder="1" applyAlignment="1" applyProtection="1">
      <alignment horizontal="center" vertical="center" wrapText="1"/>
      <protection hidden="1"/>
    </xf>
    <xf numFmtId="167" fontId="264" fillId="9" borderId="31" xfId="0" quotePrefix="1" applyNumberFormat="1" applyFont="1" applyFill="1" applyBorder="1" applyAlignment="1" applyProtection="1">
      <alignment horizontal="center" vertical="center" wrapText="1"/>
      <protection hidden="1"/>
    </xf>
    <xf numFmtId="167" fontId="264" fillId="9" borderId="174" xfId="0" quotePrefix="1" applyNumberFormat="1" applyFont="1" applyFill="1" applyBorder="1" applyAlignment="1" applyProtection="1">
      <alignment horizontal="center" vertical="center" wrapText="1"/>
      <protection hidden="1"/>
    </xf>
    <xf numFmtId="6" fontId="104" fillId="9" borderId="180" xfId="3" applyNumberFormat="1" applyFont="1" applyFill="1" applyBorder="1" applyAlignment="1" applyProtection="1">
      <alignment horizontal="center" vertical="center"/>
    </xf>
    <xf numFmtId="197" fontId="114" fillId="0" borderId="1" xfId="0" applyNumberFormat="1" applyFont="1" applyBorder="1" applyAlignment="1" applyProtection="1">
      <alignment horizontal="center" vertical="center"/>
      <protection locked="0"/>
    </xf>
    <xf numFmtId="197" fontId="114" fillId="0" borderId="146" xfId="0" applyNumberFormat="1" applyFont="1" applyBorder="1" applyAlignment="1" applyProtection="1">
      <alignment horizontal="center" vertical="center"/>
      <protection locked="0"/>
    </xf>
    <xf numFmtId="0" fontId="109" fillId="4" borderId="223" xfId="0" applyFont="1" applyFill="1" applyBorder="1" applyAlignment="1" applyProtection="1">
      <alignment horizontal="center" vertical="center"/>
      <protection hidden="1"/>
    </xf>
    <xf numFmtId="0" fontId="109" fillId="4" borderId="171" xfId="0" applyFont="1" applyFill="1" applyBorder="1" applyAlignment="1" applyProtection="1">
      <alignment horizontal="center" vertical="center"/>
      <protection hidden="1"/>
    </xf>
    <xf numFmtId="0" fontId="109" fillId="4" borderId="188" xfId="0" applyFont="1" applyFill="1" applyBorder="1" applyAlignment="1" applyProtection="1">
      <alignment horizontal="center" vertical="center"/>
      <protection hidden="1"/>
    </xf>
    <xf numFmtId="0" fontId="62" fillId="9" borderId="170" xfId="2" applyNumberFormat="1" applyFill="1" applyBorder="1" applyAlignment="1" applyProtection="1">
      <alignment horizontal="center" vertical="center"/>
      <protection hidden="1"/>
    </xf>
    <xf numFmtId="0" fontId="62" fillId="9" borderId="2" xfId="2" applyNumberFormat="1" applyFill="1" applyBorder="1" applyAlignment="1" applyProtection="1">
      <alignment horizontal="center" vertical="center"/>
      <protection hidden="1"/>
    </xf>
    <xf numFmtId="0" fontId="283" fillId="9" borderId="41" xfId="0" applyFont="1" applyFill="1" applyBorder="1" applyAlignment="1" applyProtection="1">
      <alignment horizontal="center" vertical="top" wrapText="1"/>
      <protection hidden="1"/>
    </xf>
    <xf numFmtId="0" fontId="283" fillId="9" borderId="2" xfId="0" applyFont="1" applyFill="1" applyBorder="1" applyAlignment="1" applyProtection="1">
      <alignment horizontal="center" vertical="top" wrapText="1"/>
      <protection hidden="1"/>
    </xf>
    <xf numFmtId="0" fontId="37" fillId="9" borderId="41" xfId="0" applyFont="1" applyFill="1" applyBorder="1" applyAlignment="1" applyProtection="1">
      <alignment horizontal="center" vertical="center" textRotation="90" wrapText="1"/>
      <protection hidden="1"/>
    </xf>
    <xf numFmtId="0" fontId="40" fillId="9" borderId="2" xfId="0" applyFont="1" applyFill="1" applyBorder="1" applyAlignment="1" applyProtection="1">
      <alignment horizontal="center" vertical="center" textRotation="90" wrapText="1"/>
      <protection hidden="1"/>
    </xf>
    <xf numFmtId="0" fontId="210" fillId="9" borderId="41" xfId="0" applyFont="1" applyFill="1" applyBorder="1" applyAlignment="1" applyProtection="1">
      <alignment horizontal="center" vertical="center" textRotation="90" wrapText="1"/>
      <protection hidden="1"/>
    </xf>
    <xf numFmtId="0" fontId="210" fillId="9" borderId="2" xfId="0" applyFont="1" applyFill="1" applyBorder="1" applyAlignment="1" applyProtection="1">
      <alignment horizontal="center" vertical="center" textRotation="90" wrapText="1"/>
      <protection hidden="1"/>
    </xf>
    <xf numFmtId="0" fontId="41" fillId="9" borderId="41" xfId="0" applyFont="1" applyFill="1" applyBorder="1" applyAlignment="1" applyProtection="1">
      <alignment horizontal="center" vertical="center"/>
      <protection hidden="1"/>
    </xf>
    <xf numFmtId="0" fontId="99" fillId="4" borderId="2" xfId="0" applyFont="1" applyFill="1" applyBorder="1" applyAlignment="1" applyProtection="1">
      <alignment horizontal="center" vertical="center" wrapText="1"/>
      <protection hidden="1"/>
    </xf>
    <xf numFmtId="0" fontId="99" fillId="4" borderId="130" xfId="0" applyFont="1" applyFill="1" applyBorder="1" applyAlignment="1" applyProtection="1">
      <alignment horizontal="center" vertical="center" wrapText="1"/>
      <protection hidden="1"/>
    </xf>
    <xf numFmtId="0" fontId="101" fillId="0" borderId="1"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101" fillId="9" borderId="2" xfId="0" applyFont="1" applyFill="1" applyBorder="1" applyAlignment="1">
      <alignment horizontal="center" vertical="center" wrapText="1"/>
    </xf>
    <xf numFmtId="8" fontId="101" fillId="4" borderId="187" xfId="0" applyNumberFormat="1" applyFont="1" applyFill="1" applyBorder="1" applyAlignment="1" applyProtection="1">
      <alignment horizontal="center" vertical="center"/>
      <protection hidden="1"/>
    </xf>
    <xf numFmtId="8" fontId="101" fillId="4" borderId="113" xfId="0" applyNumberFormat="1" applyFont="1" applyFill="1" applyBorder="1" applyAlignment="1" applyProtection="1">
      <alignment horizontal="center" vertical="center"/>
      <protection hidden="1"/>
    </xf>
    <xf numFmtId="0" fontId="101" fillId="9" borderId="12" xfId="0" applyFont="1" applyFill="1" applyBorder="1" applyAlignment="1">
      <alignment horizontal="center" vertical="center" wrapText="1"/>
    </xf>
    <xf numFmtId="0" fontId="101" fillId="9" borderId="41" xfId="0" applyFont="1" applyFill="1" applyBorder="1" applyAlignment="1">
      <alignment horizontal="center" vertical="center" wrapText="1"/>
    </xf>
    <xf numFmtId="0" fontId="109" fillId="27" borderId="31" xfId="0" applyFont="1" applyFill="1" applyBorder="1" applyAlignment="1" applyProtection="1">
      <alignment horizontal="center" vertical="center"/>
      <protection hidden="1"/>
    </xf>
    <xf numFmtId="0" fontId="109" fillId="27" borderId="28" xfId="0" applyFont="1" applyFill="1" applyBorder="1" applyAlignment="1" applyProtection="1">
      <alignment horizontal="center" vertical="center"/>
      <protection hidden="1"/>
    </xf>
    <xf numFmtId="0" fontId="109" fillId="27" borderId="174" xfId="0" applyFont="1" applyFill="1" applyBorder="1" applyAlignment="1" applyProtection="1">
      <alignment horizontal="center" vertical="center"/>
      <protection hidden="1"/>
    </xf>
    <xf numFmtId="197" fontId="114" fillId="0" borderId="10" xfId="0" applyNumberFormat="1" applyFont="1" applyBorder="1" applyAlignment="1" applyProtection="1">
      <alignment horizontal="center" vertical="center"/>
      <protection locked="0"/>
    </xf>
    <xf numFmtId="0" fontId="99" fillId="10" borderId="220" xfId="0" applyFont="1" applyFill="1" applyBorder="1" applyAlignment="1">
      <alignment horizontal="center" vertical="center"/>
    </xf>
    <xf numFmtId="0" fontId="99" fillId="10" borderId="79" xfId="0" applyFont="1" applyFill="1" applyBorder="1" applyAlignment="1">
      <alignment horizontal="center" vertical="center"/>
    </xf>
    <xf numFmtId="0" fontId="99" fillId="10" borderId="111" xfId="0" applyFont="1" applyFill="1" applyBorder="1" applyAlignment="1">
      <alignment horizontal="center" vertical="center"/>
    </xf>
    <xf numFmtId="0" fontId="99" fillId="10" borderId="224" xfId="0" applyFont="1" applyFill="1" applyBorder="1" applyAlignment="1" applyProtection="1">
      <alignment horizontal="center" vertical="center"/>
      <protection hidden="1"/>
    </xf>
    <xf numFmtId="0" fontId="99" fillId="10" borderId="23" xfId="0" applyFont="1" applyFill="1" applyBorder="1" applyAlignment="1" applyProtection="1">
      <alignment horizontal="center" vertical="center"/>
      <protection hidden="1"/>
    </xf>
    <xf numFmtId="0" fontId="99" fillId="10" borderId="84" xfId="0" applyFont="1" applyFill="1" applyBorder="1" applyAlignment="1" applyProtection="1">
      <alignment horizontal="center" vertical="center"/>
      <protection hidden="1"/>
    </xf>
    <xf numFmtId="0" fontId="264" fillId="9" borderId="41" xfId="0" applyFont="1" applyFill="1" applyBorder="1" applyAlignment="1" applyProtection="1">
      <alignment horizontal="center" vertical="center" wrapText="1"/>
      <protection hidden="1"/>
    </xf>
    <xf numFmtId="0" fontId="264" fillId="9" borderId="2" xfId="0" applyFont="1" applyFill="1" applyBorder="1" applyAlignment="1" applyProtection="1">
      <alignment horizontal="center" vertical="center" wrapText="1"/>
      <protection hidden="1"/>
    </xf>
    <xf numFmtId="0" fontId="101" fillId="9" borderId="0" xfId="0" applyFont="1" applyFill="1" applyAlignment="1" applyProtection="1">
      <alignment horizontal="center" vertical="center" wrapText="1"/>
      <protection locked="0"/>
    </xf>
    <xf numFmtId="0" fontId="101" fillId="9" borderId="99" xfId="0" applyFont="1" applyFill="1" applyBorder="1" applyAlignment="1">
      <alignment horizontal="center" vertical="center" wrapText="1"/>
    </xf>
    <xf numFmtId="0" fontId="101" fillId="0" borderId="219" xfId="0" applyFont="1" applyBorder="1" applyAlignment="1" applyProtection="1">
      <alignment horizontal="right" vertical="center"/>
      <protection locked="0"/>
    </xf>
    <xf numFmtId="0" fontId="101" fillId="0" borderId="33" xfId="0" applyFont="1" applyBorder="1" applyAlignment="1" applyProtection="1">
      <alignment horizontal="right" vertical="center"/>
      <protection locked="0"/>
    </xf>
    <xf numFmtId="0" fontId="115" fillId="9" borderId="0" xfId="0" applyFont="1" applyFill="1" applyAlignment="1">
      <alignment horizontal="center" vertical="center"/>
    </xf>
    <xf numFmtId="0" fontId="105" fillId="9" borderId="153" xfId="0" applyFont="1" applyFill="1" applyBorder="1" applyAlignment="1">
      <alignment horizontal="center" vertical="center" textRotation="90"/>
    </xf>
    <xf numFmtId="0" fontId="111" fillId="9" borderId="167" xfId="0" applyFont="1" applyFill="1" applyBorder="1" applyAlignment="1">
      <alignment horizontal="right" vertical="top"/>
    </xf>
    <xf numFmtId="0" fontId="111" fillId="9" borderId="168" xfId="0" applyFont="1" applyFill="1" applyBorder="1" applyAlignment="1">
      <alignment horizontal="right" vertical="top"/>
    </xf>
    <xf numFmtId="0" fontId="210" fillId="9" borderId="185" xfId="0" applyFont="1" applyFill="1" applyBorder="1" applyAlignment="1" applyProtection="1">
      <alignment horizontal="center" vertical="center" wrapText="1"/>
      <protection hidden="1"/>
    </xf>
    <xf numFmtId="0" fontId="210" fillId="9" borderId="0" xfId="0" applyFont="1" applyFill="1" applyAlignment="1" applyProtection="1">
      <alignment horizontal="center" vertical="center" wrapText="1"/>
      <protection hidden="1"/>
    </xf>
    <xf numFmtId="0" fontId="210" fillId="9" borderId="99" xfId="0" applyFont="1" applyFill="1" applyBorder="1" applyAlignment="1" applyProtection="1">
      <alignment horizontal="center" vertical="center" wrapText="1"/>
      <protection hidden="1"/>
    </xf>
    <xf numFmtId="0" fontId="210" fillId="9" borderId="182" xfId="0" applyFont="1" applyFill="1" applyBorder="1" applyAlignment="1" applyProtection="1">
      <alignment horizontal="center" vertical="center" wrapText="1"/>
      <protection hidden="1"/>
    </xf>
    <xf numFmtId="0" fontId="210" fillId="9" borderId="28" xfId="0" applyFont="1" applyFill="1" applyBorder="1" applyAlignment="1" applyProtection="1">
      <alignment horizontal="center" vertical="center" wrapText="1"/>
      <protection hidden="1"/>
    </xf>
    <xf numFmtId="0" fontId="210" fillId="9" borderId="56" xfId="0" applyFont="1" applyFill="1" applyBorder="1" applyAlignment="1" applyProtection="1">
      <alignment horizontal="center" vertical="center" wrapText="1"/>
      <protection hidden="1"/>
    </xf>
    <xf numFmtId="0" fontId="40" fillId="9" borderId="41" xfId="0" applyFont="1" applyFill="1" applyBorder="1" applyAlignment="1" applyProtection="1">
      <alignment horizontal="center" vertical="center" textRotation="90" wrapText="1"/>
      <protection hidden="1"/>
    </xf>
    <xf numFmtId="0" fontId="105" fillId="9" borderId="176" xfId="0" applyFont="1" applyFill="1" applyBorder="1" applyAlignment="1">
      <alignment horizontal="right" vertical="center"/>
    </xf>
    <xf numFmtId="0" fontId="105" fillId="9" borderId="210" xfId="0" applyFont="1" applyFill="1" applyBorder="1" applyAlignment="1">
      <alignment horizontal="right" vertical="center"/>
    </xf>
    <xf numFmtId="0" fontId="105" fillId="9" borderId="179" xfId="0" applyFont="1" applyFill="1" applyBorder="1" applyAlignment="1">
      <alignment horizontal="right" vertical="center" wrapText="1"/>
    </xf>
    <xf numFmtId="0" fontId="105" fillId="9" borderId="180" xfId="0" applyFont="1" applyFill="1" applyBorder="1" applyAlignment="1">
      <alignment horizontal="right" vertical="center" wrapText="1"/>
    </xf>
    <xf numFmtId="0" fontId="105" fillId="9" borderId="211" xfId="0" applyFont="1" applyFill="1" applyBorder="1" applyAlignment="1">
      <alignment horizontal="right" vertical="center" wrapText="1"/>
    </xf>
    <xf numFmtId="0" fontId="105" fillId="9" borderId="212" xfId="0" applyFont="1" applyFill="1" applyBorder="1" applyAlignment="1">
      <alignment horizontal="right" vertical="center" wrapText="1"/>
    </xf>
    <xf numFmtId="0" fontId="105" fillId="9" borderId="184" xfId="0" applyFont="1" applyFill="1" applyBorder="1" applyAlignment="1">
      <alignment horizontal="right" vertical="center" wrapText="1"/>
    </xf>
    <xf numFmtId="0" fontId="105" fillId="9" borderId="213" xfId="0" applyFont="1" applyFill="1" applyBorder="1" applyAlignment="1">
      <alignment horizontal="right" vertical="center" wrapText="1"/>
    </xf>
    <xf numFmtId="8" fontId="101" fillId="4" borderId="28" xfId="0" applyNumberFormat="1" applyFont="1" applyFill="1" applyBorder="1" applyAlignment="1">
      <alignment horizontal="center" vertical="center"/>
    </xf>
    <xf numFmtId="8" fontId="101" fillId="4" borderId="174" xfId="0" applyNumberFormat="1" applyFont="1" applyFill="1" applyBorder="1" applyAlignment="1">
      <alignment horizontal="center" vertical="center"/>
    </xf>
    <xf numFmtId="0" fontId="99" fillId="9" borderId="12" xfId="0" applyFont="1" applyFill="1" applyBorder="1" applyAlignment="1">
      <alignment horizontal="center" textRotation="90" wrapText="1"/>
    </xf>
    <xf numFmtId="0" fontId="99" fillId="9" borderId="108" xfId="0" applyFont="1" applyFill="1" applyBorder="1" applyAlignment="1">
      <alignment horizontal="center" textRotation="90" wrapText="1"/>
    </xf>
    <xf numFmtId="0" fontId="99" fillId="9" borderId="41" xfId="0" applyFont="1" applyFill="1" applyBorder="1" applyAlignment="1">
      <alignment horizontal="center" textRotation="90" wrapText="1"/>
    </xf>
    <xf numFmtId="0" fontId="41" fillId="9" borderId="2" xfId="0" applyFont="1" applyFill="1" applyBorder="1" applyAlignment="1" applyProtection="1">
      <alignment horizontal="center" vertical="center"/>
      <protection hidden="1"/>
    </xf>
    <xf numFmtId="10" fontId="146" fillId="9" borderId="2" xfId="0" applyNumberFormat="1" applyFont="1" applyFill="1" applyBorder="1" applyAlignment="1" applyProtection="1">
      <alignment horizontal="center" vertical="center"/>
      <protection hidden="1"/>
    </xf>
    <xf numFmtId="0" fontId="146" fillId="9" borderId="2" xfId="0" applyFont="1" applyFill="1" applyBorder="1" applyAlignment="1" applyProtection="1">
      <alignment horizontal="center" vertical="center"/>
      <protection hidden="1"/>
    </xf>
    <xf numFmtId="0" fontId="39" fillId="9" borderId="41" xfId="0" applyFont="1" applyFill="1" applyBorder="1" applyAlignment="1" applyProtection="1">
      <alignment horizontal="center" vertical="center" textRotation="90" wrapText="1"/>
      <protection hidden="1"/>
    </xf>
    <xf numFmtId="0" fontId="101" fillId="9" borderId="303" xfId="0" applyFont="1" applyFill="1" applyBorder="1" applyAlignment="1">
      <alignment horizontal="center" vertical="center"/>
    </xf>
    <xf numFmtId="0" fontId="101" fillId="9" borderId="213" xfId="0" applyFont="1" applyFill="1" applyBorder="1" applyAlignment="1">
      <alignment horizontal="center" vertical="center"/>
    </xf>
    <xf numFmtId="0" fontId="99" fillId="10" borderId="224" xfId="0" applyFont="1" applyFill="1" applyBorder="1" applyAlignment="1" applyProtection="1">
      <alignment horizontal="center" vertical="center" wrapText="1"/>
      <protection hidden="1"/>
    </xf>
    <xf numFmtId="0" fontId="99" fillId="10" borderId="23" xfId="0" applyFont="1" applyFill="1" applyBorder="1" applyAlignment="1" applyProtection="1">
      <alignment horizontal="center" vertical="center" wrapText="1"/>
      <protection hidden="1"/>
    </xf>
    <xf numFmtId="0" fontId="99" fillId="10" borderId="84" xfId="0" applyFont="1" applyFill="1" applyBorder="1" applyAlignment="1" applyProtection="1">
      <alignment horizontal="center" vertical="center" wrapText="1"/>
      <protection hidden="1"/>
    </xf>
    <xf numFmtId="0" fontId="99" fillId="10" borderId="182" xfId="0" applyFont="1" applyFill="1" applyBorder="1" applyAlignment="1" applyProtection="1">
      <alignment horizontal="center" vertical="center" wrapText="1"/>
      <protection hidden="1"/>
    </xf>
    <xf numFmtId="0" fontId="99" fillId="10" borderId="28" xfId="0" applyFont="1" applyFill="1" applyBorder="1" applyAlignment="1" applyProtection="1">
      <alignment horizontal="center" vertical="center" wrapText="1"/>
      <protection hidden="1"/>
    </xf>
    <xf numFmtId="0" fontId="99" fillId="10" borderId="56" xfId="0" applyFont="1" applyFill="1" applyBorder="1" applyAlignment="1" applyProtection="1">
      <alignment horizontal="center" vertical="center" wrapText="1"/>
      <protection hidden="1"/>
    </xf>
    <xf numFmtId="0" fontId="264" fillId="9" borderId="155" xfId="0" applyFont="1" applyFill="1" applyBorder="1" applyAlignment="1" applyProtection="1">
      <alignment horizontal="center" vertical="center" wrapText="1"/>
      <protection hidden="1"/>
    </xf>
    <xf numFmtId="0" fontId="264" fillId="9" borderId="170" xfId="0" applyFont="1" applyFill="1" applyBorder="1" applyAlignment="1" applyProtection="1">
      <alignment horizontal="center" vertical="center" wrapText="1"/>
      <protection hidden="1"/>
    </xf>
    <xf numFmtId="0" fontId="111" fillId="9" borderId="177" xfId="0" applyFont="1" applyFill="1" applyBorder="1" applyAlignment="1">
      <alignment horizontal="right" vertical="top" wrapText="1"/>
    </xf>
    <xf numFmtId="0" fontId="111" fillId="9" borderId="131" xfId="0" applyFont="1" applyFill="1" applyBorder="1" applyAlignment="1">
      <alignment horizontal="right" vertical="top" wrapText="1"/>
    </xf>
    <xf numFmtId="8" fontId="103" fillId="9" borderId="1" xfId="0" applyNumberFormat="1" applyFont="1" applyFill="1" applyBorder="1" applyAlignment="1">
      <alignment horizontal="center" vertical="center"/>
    </xf>
    <xf numFmtId="8" fontId="103" fillId="9" borderId="146" xfId="0" applyNumberFormat="1" applyFont="1" applyFill="1" applyBorder="1" applyAlignment="1">
      <alignment horizontal="center" vertical="center"/>
    </xf>
    <xf numFmtId="0" fontId="99" fillId="9" borderId="0" xfId="0" applyFont="1" applyFill="1" applyAlignment="1">
      <alignment horizontal="center" vertical="center" textRotation="90"/>
    </xf>
    <xf numFmtId="0" fontId="32" fillId="9" borderId="41" xfId="0" applyFont="1" applyFill="1" applyBorder="1" applyAlignment="1" applyProtection="1">
      <alignment horizontal="center" vertical="center" textRotation="90" wrapText="1"/>
      <protection hidden="1"/>
    </xf>
    <xf numFmtId="0" fontId="114" fillId="9" borderId="155" xfId="0" applyFont="1" applyFill="1" applyBorder="1" applyAlignment="1" applyProtection="1">
      <alignment horizontal="center" vertical="center" textRotation="90" wrapText="1"/>
      <protection hidden="1"/>
    </xf>
    <xf numFmtId="0" fontId="40" fillId="9" borderId="170" xfId="0" applyFont="1" applyFill="1" applyBorder="1" applyAlignment="1" applyProtection="1">
      <alignment horizontal="center" vertical="center" textRotation="90" wrapText="1"/>
      <protection hidden="1"/>
    </xf>
    <xf numFmtId="0" fontId="114" fillId="9" borderId="41" xfId="0" applyFont="1" applyFill="1" applyBorder="1" applyAlignment="1" applyProtection="1">
      <alignment horizontal="center" vertical="center" wrapText="1"/>
      <protection hidden="1"/>
    </xf>
    <xf numFmtId="0" fontId="40" fillId="9" borderId="2" xfId="0" applyFont="1" applyFill="1" applyBorder="1" applyAlignment="1" applyProtection="1">
      <alignment horizontal="center" vertical="center" wrapText="1"/>
      <protection hidden="1"/>
    </xf>
    <xf numFmtId="0" fontId="40" fillId="9" borderId="41" xfId="0" applyFont="1" applyFill="1" applyBorder="1" applyAlignment="1" applyProtection="1">
      <alignment horizontal="center" vertical="center" wrapText="1"/>
      <protection hidden="1"/>
    </xf>
    <xf numFmtId="0" fontId="109" fillId="9" borderId="179" xfId="0" applyFont="1" applyFill="1" applyBorder="1" applyAlignment="1">
      <alignment horizontal="center" vertical="center"/>
    </xf>
    <xf numFmtId="0" fontId="109" fillId="9" borderId="180" xfId="0" applyFont="1" applyFill="1" applyBorder="1" applyAlignment="1">
      <alignment horizontal="center" vertical="center"/>
    </xf>
    <xf numFmtId="0" fontId="109" fillId="9" borderId="185" xfId="0" applyFont="1" applyFill="1" applyBorder="1" applyAlignment="1">
      <alignment horizontal="center" vertical="center"/>
    </xf>
    <xf numFmtId="0" fontId="109" fillId="9" borderId="0" xfId="0" applyFont="1" applyFill="1" applyAlignment="1">
      <alignment horizontal="center" vertical="center"/>
    </xf>
    <xf numFmtId="0" fontId="103" fillId="9" borderId="189" xfId="0" applyFont="1" applyFill="1" applyBorder="1" applyAlignment="1">
      <alignment horizontal="center" wrapText="1"/>
    </xf>
    <xf numFmtId="0" fontId="103" fillId="9" borderId="180" xfId="0" applyFont="1" applyFill="1" applyBorder="1" applyAlignment="1">
      <alignment horizontal="center" wrapText="1"/>
    </xf>
    <xf numFmtId="0" fontId="103" fillId="9" borderId="181" xfId="0" applyFont="1" applyFill="1" applyBorder="1" applyAlignment="1">
      <alignment horizontal="center" wrapText="1"/>
    </xf>
    <xf numFmtId="0" fontId="103" fillId="9" borderId="8" xfId="0" applyFont="1" applyFill="1" applyBorder="1" applyAlignment="1">
      <alignment horizontal="center" wrapText="1"/>
    </xf>
    <xf numFmtId="0" fontId="103" fillId="9" borderId="0" xfId="0" applyFont="1" applyFill="1" applyAlignment="1">
      <alignment horizontal="center" wrapText="1"/>
    </xf>
    <xf numFmtId="0" fontId="103" fillId="9" borderId="153" xfId="0" applyFont="1" applyFill="1" applyBorder="1" applyAlignment="1">
      <alignment horizontal="center" wrapText="1"/>
    </xf>
    <xf numFmtId="0" fontId="99" fillId="9" borderId="31" xfId="0" applyFont="1" applyFill="1" applyBorder="1" applyAlignment="1">
      <alignment horizontal="center" vertical="center"/>
    </xf>
    <xf numFmtId="0" fontId="99" fillId="9" borderId="28" xfId="0" applyFont="1" applyFill="1" applyBorder="1" applyAlignment="1">
      <alignment horizontal="center" vertical="center"/>
    </xf>
    <xf numFmtId="0" fontId="99" fillId="9" borderId="174" xfId="0" applyFont="1" applyFill="1" applyBorder="1" applyAlignment="1">
      <alignment horizontal="center" vertical="center"/>
    </xf>
    <xf numFmtId="0" fontId="121" fillId="4" borderId="182" xfId="0" applyFont="1" applyFill="1" applyBorder="1" applyAlignment="1">
      <alignment horizontal="center" vertical="center"/>
    </xf>
    <xf numFmtId="0" fontId="121"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9" fillId="9" borderId="170" xfId="0" applyFont="1" applyFill="1" applyBorder="1" applyAlignment="1" applyProtection="1">
      <alignment horizontal="center" vertical="center"/>
      <protection hidden="1"/>
    </xf>
    <xf numFmtId="0" fontId="109" fillId="9" borderId="2" xfId="0" applyFont="1" applyFill="1" applyBorder="1" applyAlignment="1" applyProtection="1">
      <alignment horizontal="center" vertical="center"/>
      <protection hidden="1"/>
    </xf>
    <xf numFmtId="0" fontId="109" fillId="9" borderId="130" xfId="0" applyFont="1" applyFill="1" applyBorder="1" applyAlignment="1" applyProtection="1">
      <alignment horizontal="center" vertical="center"/>
      <protection hidden="1"/>
    </xf>
    <xf numFmtId="8" fontId="210" fillId="0" borderId="170" xfId="0" applyNumberFormat="1" applyFont="1" applyBorder="1" applyAlignment="1" applyProtection="1">
      <alignment horizontal="center" vertical="center"/>
      <protection locked="0"/>
    </xf>
    <xf numFmtId="8" fontId="210" fillId="0" borderId="2" xfId="0" applyNumberFormat="1" applyFont="1" applyBorder="1" applyAlignment="1" applyProtection="1">
      <alignment horizontal="center" vertical="center"/>
      <protection locked="0"/>
    </xf>
    <xf numFmtId="8" fontId="210" fillId="0" borderId="130" xfId="0" applyNumberFormat="1" applyFont="1" applyBorder="1" applyAlignment="1" applyProtection="1">
      <alignment horizontal="center" vertical="center"/>
      <protection locked="0"/>
    </xf>
    <xf numFmtId="8" fontId="165" fillId="4" borderId="187" xfId="2" applyNumberFormat="1" applyFont="1" applyFill="1" applyBorder="1" applyAlignment="1" applyProtection="1">
      <alignment horizontal="center" vertical="center" wrapText="1"/>
    </xf>
    <xf numFmtId="8" fontId="165" fillId="4" borderId="113" xfId="2" applyNumberFormat="1" applyFont="1" applyFill="1" applyBorder="1" applyAlignment="1" applyProtection="1">
      <alignment horizontal="center" vertical="center" wrapText="1"/>
    </xf>
    <xf numFmtId="8" fontId="165" fillId="4" borderId="173" xfId="2" applyNumberFormat="1" applyFont="1" applyFill="1" applyBorder="1" applyAlignment="1" applyProtection="1">
      <alignment horizontal="center" vertical="center" wrapText="1"/>
    </xf>
    <xf numFmtId="0" fontId="101" fillId="9" borderId="1" xfId="0" applyFont="1" applyFill="1" applyBorder="1" applyAlignment="1" applyProtection="1">
      <alignment horizontal="center" vertical="center"/>
      <protection hidden="1"/>
    </xf>
    <xf numFmtId="0" fontId="29" fillId="9" borderId="41" xfId="0" applyFont="1" applyFill="1" applyBorder="1" applyAlignment="1" applyProtection="1">
      <alignment horizontal="center" vertical="center" textRotation="90" wrapText="1"/>
      <protection hidden="1"/>
    </xf>
    <xf numFmtId="0" fontId="23" fillId="9" borderId="41" xfId="0" applyFont="1" applyFill="1" applyBorder="1" applyAlignment="1" applyProtection="1">
      <alignment horizontal="center" vertical="center" textRotation="90" wrapText="1"/>
      <protection hidden="1"/>
    </xf>
    <xf numFmtId="190" fontId="114" fillId="0" borderId="130" xfId="0" applyNumberFormat="1" applyFont="1" applyBorder="1" applyAlignment="1" applyProtection="1">
      <alignment horizontal="center" vertical="center"/>
      <protection locked="0"/>
    </xf>
    <xf numFmtId="0" fontId="120" fillId="4" borderId="0" xfId="0" applyFont="1" applyFill="1" applyAlignment="1">
      <alignment horizontal="center" textRotation="180" wrapText="1"/>
    </xf>
    <xf numFmtId="0" fontId="109" fillId="23" borderId="2" xfId="0" applyFont="1" applyFill="1" applyBorder="1" applyAlignment="1" applyProtection="1">
      <alignment horizontal="left" vertical="center"/>
      <protection hidden="1"/>
    </xf>
    <xf numFmtId="0" fontId="109" fillId="23" borderId="130" xfId="0" applyFont="1" applyFill="1" applyBorder="1" applyAlignment="1" applyProtection="1">
      <alignment horizontal="left" vertical="center"/>
      <protection hidden="1"/>
    </xf>
    <xf numFmtId="0" fontId="109" fillId="4" borderId="179" xfId="0" applyFont="1" applyFill="1" applyBorder="1" applyAlignment="1">
      <alignment horizontal="center" vertical="center"/>
    </xf>
    <xf numFmtId="0" fontId="109" fillId="4" borderId="180" xfId="0" applyFont="1" applyFill="1" applyBorder="1" applyAlignment="1">
      <alignment horizontal="center" vertical="center"/>
    </xf>
    <xf numFmtId="0" fontId="109" fillId="4" borderId="211" xfId="0" applyFont="1" applyFill="1" applyBorder="1" applyAlignment="1">
      <alignment horizontal="center" vertical="center"/>
    </xf>
    <xf numFmtId="0" fontId="139" fillId="9" borderId="205" xfId="0" applyFont="1" applyFill="1" applyBorder="1" applyAlignment="1">
      <alignment horizontal="right" vertical="center"/>
    </xf>
    <xf numFmtId="0" fontId="139" fillId="9" borderId="74" xfId="0" applyFont="1" applyFill="1" applyBorder="1" applyAlignment="1">
      <alignment horizontal="right" vertical="center"/>
    </xf>
    <xf numFmtId="0" fontId="212" fillId="9" borderId="206" xfId="0" applyFont="1" applyFill="1" applyBorder="1" applyAlignment="1">
      <alignment horizontal="right" vertical="center" wrapText="1"/>
    </xf>
    <xf numFmtId="0" fontId="212" fillId="9" borderId="67" xfId="0" applyFont="1" applyFill="1" applyBorder="1" applyAlignment="1">
      <alignment horizontal="right" vertical="center" wrapText="1"/>
    </xf>
    <xf numFmtId="0" fontId="101" fillId="9" borderId="41" xfId="0" applyFont="1" applyFill="1" applyBorder="1" applyAlignment="1">
      <alignment horizontal="center" vertical="center"/>
    </xf>
    <xf numFmtId="8" fontId="109" fillId="27" borderId="2" xfId="0" applyNumberFormat="1" applyFont="1" applyFill="1" applyBorder="1" applyAlignment="1">
      <alignment horizontal="center" vertical="center" wrapText="1"/>
    </xf>
    <xf numFmtId="8" fontId="109" fillId="27" borderId="130" xfId="0" applyNumberFormat="1" applyFont="1" applyFill="1" applyBorder="1" applyAlignment="1">
      <alignment horizontal="center" vertical="center" wrapText="1"/>
    </xf>
    <xf numFmtId="0" fontId="120" fillId="4" borderId="0" xfId="0" applyFont="1" applyFill="1" applyAlignment="1">
      <alignment horizontal="center" vertical="center" textRotation="180" wrapText="1"/>
    </xf>
    <xf numFmtId="0" fontId="101" fillId="9" borderId="31" xfId="0" applyFont="1" applyFill="1" applyBorder="1" applyAlignment="1">
      <alignment horizontal="center" vertical="center"/>
    </xf>
    <xf numFmtId="0" fontId="101" fillId="9" borderId="1" xfId="0" applyFont="1" applyFill="1" applyBorder="1" applyAlignment="1">
      <alignment horizontal="center" vertic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106" fillId="0" borderId="44" xfId="0" applyFont="1" applyBorder="1" applyAlignment="1">
      <alignment horizontal="center" vertical="center"/>
    </xf>
    <xf numFmtId="0" fontId="106" fillId="0" borderId="16" xfId="0" applyFont="1" applyBorder="1" applyAlignment="1">
      <alignment horizontal="center" vertical="center"/>
    </xf>
    <xf numFmtId="0" fontId="106" fillId="0" borderId="18" xfId="0" applyFont="1" applyBorder="1" applyAlignment="1">
      <alignment horizontal="center" vertical="center"/>
    </xf>
    <xf numFmtId="0" fontId="106" fillId="0" borderId="39" xfId="0" applyFont="1" applyBorder="1" applyAlignment="1">
      <alignment horizontal="center" vertical="center"/>
    </xf>
    <xf numFmtId="0" fontId="99" fillId="0" borderId="24" xfId="0" applyFont="1" applyBorder="1" applyAlignment="1">
      <alignment horizontal="center"/>
    </xf>
    <xf numFmtId="0" fontId="99" fillId="0" borderId="21" xfId="0" applyFont="1" applyBorder="1" applyAlignment="1">
      <alignment horizontal="center"/>
    </xf>
    <xf numFmtId="0" fontId="99" fillId="0" borderId="22" xfId="0" applyFont="1" applyBorder="1" applyAlignment="1">
      <alignment horizontal="center"/>
    </xf>
    <xf numFmtId="0" fontId="83" fillId="4" borderId="243" xfId="0" applyFont="1" applyFill="1" applyBorder="1" applyAlignment="1" applyProtection="1">
      <alignment horizontal="right" vertical="center" wrapText="1"/>
      <protection hidden="1"/>
    </xf>
    <xf numFmtId="0" fontId="83"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101" fillId="3" borderId="10" xfId="0" applyFont="1" applyFill="1" applyBorder="1" applyAlignment="1">
      <alignment horizontal="right" vertical="center"/>
    </xf>
    <xf numFmtId="0" fontId="101" fillId="3" borderId="3" xfId="0" applyFont="1" applyFill="1" applyBorder="1" applyAlignment="1">
      <alignment horizontal="right" vertical="center"/>
    </xf>
    <xf numFmtId="10" fontId="103" fillId="4" borderId="10" xfId="3" applyNumberFormat="1" applyFont="1" applyFill="1" applyBorder="1" applyAlignment="1" applyProtection="1">
      <alignment horizontal="center" vertical="center" wrapText="1"/>
      <protection hidden="1"/>
    </xf>
    <xf numFmtId="10" fontId="103" fillId="4" borderId="3" xfId="3" applyNumberFormat="1" applyFont="1" applyFill="1" applyBorder="1" applyAlignment="1" applyProtection="1">
      <alignment horizontal="center" vertical="center" wrapText="1"/>
      <protection hidden="1"/>
    </xf>
    <xf numFmtId="0" fontId="138" fillId="3" borderId="65" xfId="0" applyFont="1" applyFill="1" applyBorder="1" applyAlignment="1" applyProtection="1">
      <alignment horizontal="center"/>
      <protection hidden="1"/>
    </xf>
    <xf numFmtId="0" fontId="138" fillId="3" borderId="20" xfId="0" applyFont="1" applyFill="1" applyBorder="1" applyAlignment="1" applyProtection="1">
      <alignment horizontal="center"/>
      <protection hidden="1"/>
    </xf>
    <xf numFmtId="0" fontId="108" fillId="3" borderId="18" xfId="0" applyFont="1" applyFill="1" applyBorder="1" applyAlignment="1" applyProtection="1">
      <alignment horizontal="center" vertical="center"/>
      <protection hidden="1"/>
    </xf>
    <xf numFmtId="0" fontId="234" fillId="5" borderId="43" xfId="0" applyFont="1" applyFill="1" applyBorder="1" applyAlignment="1" applyProtection="1">
      <alignment horizontal="center" vertical="center" wrapText="1"/>
      <protection hidden="1"/>
    </xf>
    <xf numFmtId="0" fontId="115" fillId="5" borderId="23" xfId="0" applyFont="1" applyFill="1" applyBorder="1" applyAlignment="1" applyProtection="1">
      <alignment horizontal="center"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104" fillId="4" borderId="50" xfId="0" applyFont="1" applyFill="1" applyBorder="1" applyAlignment="1" applyProtection="1">
      <alignment horizontal="left" vertical="center"/>
      <protection hidden="1"/>
    </xf>
    <xf numFmtId="0" fontId="105" fillId="4" borderId="65" xfId="0" applyFont="1" applyFill="1" applyBorder="1" applyAlignment="1">
      <alignment horizontal="center" vertical="center" wrapText="1"/>
    </xf>
    <xf numFmtId="0" fontId="105" fillId="4" borderId="20" xfId="0" applyFont="1" applyFill="1" applyBorder="1" applyAlignment="1">
      <alignment horizontal="center" vertical="center" wrapText="1"/>
    </xf>
    <xf numFmtId="0" fontId="0" fillId="4" borderId="17" xfId="0" applyFill="1" applyBorder="1" applyAlignment="1" applyProtection="1">
      <alignment horizontal="right" vertical="center"/>
      <protection hidden="1"/>
    </xf>
    <xf numFmtId="0" fontId="103" fillId="4" borderId="54" xfId="0" applyFont="1" applyFill="1" applyBorder="1" applyAlignment="1" applyProtection="1">
      <alignment horizontal="center" vertical="center" wrapText="1"/>
      <protection hidden="1"/>
    </xf>
    <xf numFmtId="0" fontId="103" fillId="4" borderId="58" xfId="0" applyFont="1" applyFill="1" applyBorder="1" applyAlignment="1" applyProtection="1">
      <alignment horizontal="center" vertical="center" wrapText="1"/>
      <protection hidden="1"/>
    </xf>
    <xf numFmtId="0" fontId="103" fillId="4" borderId="30" xfId="0" applyFont="1" applyFill="1" applyBorder="1" applyAlignment="1" applyProtection="1">
      <alignment horizontal="center" vertical="center" wrapText="1"/>
      <protection hidden="1"/>
    </xf>
    <xf numFmtId="0" fontId="103" fillId="4" borderId="57" xfId="0" applyFont="1" applyFill="1" applyBorder="1" applyAlignment="1" applyProtection="1">
      <alignment horizontal="center" vertical="center" wrapText="1"/>
      <protection hidden="1"/>
    </xf>
    <xf numFmtId="0" fontId="104" fillId="4" borderId="68" xfId="0" applyFont="1" applyFill="1" applyBorder="1" applyAlignment="1" applyProtection="1">
      <alignment horizontal="center" vertical="center" wrapText="1"/>
      <protection hidden="1"/>
    </xf>
    <xf numFmtId="0" fontId="104" fillId="4" borderId="77" xfId="0" applyFont="1" applyFill="1" applyBorder="1" applyAlignment="1" applyProtection="1">
      <alignment horizontal="center" vertical="center" wrapText="1"/>
      <protection hidden="1"/>
    </xf>
    <xf numFmtId="0" fontId="113" fillId="7" borderId="19" xfId="0" applyFont="1" applyFill="1" applyBorder="1" applyAlignment="1" applyProtection="1">
      <alignment horizontal="center" vertical="center"/>
      <protection hidden="1"/>
    </xf>
    <xf numFmtId="0" fontId="113" fillId="7" borderId="0" xfId="0" applyFont="1" applyFill="1" applyAlignment="1" applyProtection="1">
      <alignment horizontal="center" vertical="center"/>
      <protection hidden="1"/>
    </xf>
    <xf numFmtId="0" fontId="113" fillId="7" borderId="15" xfId="0" applyFont="1" applyFill="1" applyBorder="1" applyAlignment="1" applyProtection="1">
      <alignment horizontal="center" vertical="center"/>
      <protection hidden="1"/>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66" fillId="4" borderId="41" xfId="0" applyFont="1" applyFill="1" applyBorder="1" applyAlignment="1">
      <alignment horizontal="center" vertical="center" wrapText="1"/>
    </xf>
    <xf numFmtId="0" fontId="64"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104" fillId="3" borderId="15" xfId="0" applyFont="1" applyFill="1" applyBorder="1" applyAlignment="1">
      <alignment horizontal="center" vertical="center" wrapText="1"/>
    </xf>
    <xf numFmtId="0" fontId="116" fillId="4" borderId="43" xfId="0" applyFont="1" applyFill="1" applyBorder="1" applyAlignment="1" applyProtection="1">
      <alignment horizontal="left" vertical="center"/>
      <protection hidden="1"/>
    </xf>
    <xf numFmtId="0" fontId="116" fillId="4" borderId="23" xfId="0" applyFont="1" applyFill="1" applyBorder="1" applyAlignment="1" applyProtection="1">
      <alignment horizontal="left" vertical="center"/>
      <protection hidden="1"/>
    </xf>
    <xf numFmtId="0" fontId="116" fillId="4" borderId="44" xfId="0" applyFont="1" applyFill="1" applyBorder="1" applyAlignment="1" applyProtection="1">
      <alignment horizontal="left" vertical="center"/>
      <protection hidden="1"/>
    </xf>
    <xf numFmtId="0" fontId="62" fillId="4" borderId="18" xfId="2" applyNumberFormat="1" applyFill="1" applyBorder="1" applyAlignment="1" applyProtection="1">
      <alignment horizontal="center" vertical="center"/>
      <protection hidden="1"/>
    </xf>
    <xf numFmtId="0" fontId="62" fillId="4" borderId="39" xfId="2" applyNumberFormat="1" applyFill="1" applyBorder="1" applyAlignment="1" applyProtection="1">
      <alignment horizontal="center" vertical="center"/>
      <protection hidden="1"/>
    </xf>
    <xf numFmtId="0" fontId="0" fillId="4" borderId="46" xfId="0" applyFill="1" applyBorder="1" applyAlignment="1" applyProtection="1">
      <alignment horizontal="left" vertical="center"/>
      <protection hidden="1"/>
    </xf>
    <xf numFmtId="0" fontId="76" fillId="4" borderId="19" xfId="0" quotePrefix="1" applyFont="1" applyFill="1" applyBorder="1" applyAlignment="1" applyProtection="1">
      <alignment horizontal="center" vertical="center"/>
      <protection hidden="1"/>
    </xf>
    <xf numFmtId="0" fontId="76" fillId="4" borderId="0" xfId="0" quotePrefix="1" applyFont="1" applyFill="1" applyAlignment="1" applyProtection="1">
      <alignment horizontal="center" vertical="center"/>
      <protection hidden="1"/>
    </xf>
    <xf numFmtId="0" fontId="76" fillId="4" borderId="15" xfId="0" quotePrefix="1" applyFont="1" applyFill="1" applyBorder="1" applyAlignment="1" applyProtection="1">
      <alignment horizontal="center" vertical="center"/>
      <protection hidden="1"/>
    </xf>
    <xf numFmtId="0" fontId="77" fillId="4" borderId="17" xfId="0" applyFont="1" applyFill="1" applyBorder="1" applyAlignment="1" applyProtection="1">
      <alignment horizontal="left" vertical="center" wrapText="1"/>
      <protection hidden="1"/>
    </xf>
    <xf numFmtId="0" fontId="77" fillId="4" borderId="49" xfId="0" applyFont="1" applyFill="1" applyBorder="1" applyAlignment="1" applyProtection="1">
      <alignment horizontal="left" vertical="center" wrapText="1"/>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9" fillId="4" borderId="51" xfId="2" applyNumberFormat="1" applyFont="1" applyFill="1" applyBorder="1" applyAlignment="1" applyProtection="1">
      <alignment vertical="center" wrapText="1"/>
    </xf>
    <xf numFmtId="0" fontId="169" fillId="4" borderId="17" xfId="2" applyNumberFormat="1" applyFont="1" applyFill="1" applyBorder="1" applyAlignment="1" applyProtection="1">
      <alignment vertical="center" wrapText="1"/>
    </xf>
    <xf numFmtId="0" fontId="169"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9" fillId="4" borderId="17" xfId="2" applyNumberFormat="1" applyFont="1" applyFill="1" applyBorder="1" applyAlignment="1" applyProtection="1">
      <alignment horizontal="left" vertical="center" wrapText="1"/>
      <protection hidden="1"/>
    </xf>
    <xf numFmtId="0" fontId="169" fillId="4" borderId="49" xfId="2" applyNumberFormat="1" applyFont="1"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9" fillId="4" borderId="19" xfId="0" applyFont="1" applyFill="1" applyBorder="1" applyAlignment="1" applyProtection="1">
      <alignment horizontal="center" vertical="center" wrapText="1"/>
      <protection hidden="1"/>
    </xf>
    <xf numFmtId="0" fontId="79" fillId="4" borderId="0" xfId="0" applyFont="1" applyFill="1" applyAlignment="1" applyProtection="1">
      <alignment horizontal="center" vertical="center" wrapText="1"/>
      <protection hidden="1"/>
    </xf>
    <xf numFmtId="0" fontId="79" fillId="4" borderId="15" xfId="0" applyFont="1" applyFill="1" applyBorder="1" applyAlignment="1" applyProtection="1">
      <alignment horizontal="center" vertical="center" wrapText="1"/>
      <protection hidden="1"/>
    </xf>
    <xf numFmtId="0" fontId="103" fillId="4" borderId="10" xfId="2" applyNumberFormat="1" applyFont="1" applyFill="1" applyBorder="1" applyAlignment="1" applyProtection="1">
      <alignment horizontal="center" vertical="center" wrapText="1"/>
      <protection hidden="1"/>
    </xf>
    <xf numFmtId="0" fontId="103" fillId="4" borderId="3" xfId="2" applyNumberFormat="1" applyFont="1" applyFill="1" applyBorder="1" applyAlignment="1" applyProtection="1">
      <alignment horizontal="center" vertical="center" wrapText="1"/>
      <protection hidden="1"/>
    </xf>
    <xf numFmtId="0" fontId="62" fillId="4" borderId="68" xfId="2" applyNumberFormat="1" applyFill="1" applyBorder="1" applyAlignment="1" applyProtection="1">
      <alignment horizontal="center" wrapText="1"/>
    </xf>
    <xf numFmtId="0" fontId="62" fillId="4" borderId="77" xfId="2" applyNumberFormat="1" applyFill="1" applyBorder="1" applyAlignment="1" applyProtection="1">
      <alignment horizontal="center" wrapText="1"/>
    </xf>
    <xf numFmtId="0" fontId="64" fillId="4" borderId="85" xfId="0" applyFont="1" applyFill="1" applyBorder="1" applyAlignment="1" applyProtection="1">
      <alignment horizontal="center" vertical="center" wrapText="1"/>
      <protection hidden="1"/>
    </xf>
    <xf numFmtId="0" fontId="64"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74" fillId="4" borderId="19" xfId="0" quotePrefix="1" applyNumberFormat="1" applyFont="1" applyFill="1" applyBorder="1" applyAlignment="1" applyProtection="1">
      <alignment horizontal="center" vertical="center" wrapText="1"/>
      <protection hidden="1"/>
    </xf>
    <xf numFmtId="165" fontId="74" fillId="4" borderId="0" xfId="0" quotePrefix="1" applyNumberFormat="1" applyFont="1" applyFill="1" applyAlignment="1" applyProtection="1">
      <alignment horizontal="center" vertical="center" wrapText="1"/>
      <protection hidden="1"/>
    </xf>
    <xf numFmtId="165" fontId="74"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77" fillId="4" borderId="51" xfId="0" applyFont="1" applyFill="1" applyBorder="1" applyAlignment="1" applyProtection="1">
      <alignment horizontal="left" vertical="center" wrapText="1"/>
      <protection hidden="1"/>
    </xf>
    <xf numFmtId="0" fontId="84" fillId="4" borderId="0" xfId="0" applyFont="1" applyFill="1" applyAlignment="1" applyProtection="1">
      <alignment horizontal="center" vertical="center" wrapText="1"/>
      <protection hidden="1"/>
    </xf>
    <xf numFmtId="0" fontId="84" fillId="4" borderId="15" xfId="0" applyFont="1" applyFill="1" applyBorder="1" applyAlignment="1" applyProtection="1">
      <alignment horizontal="center" vertical="center" wrapText="1"/>
      <protection hidden="1"/>
    </xf>
    <xf numFmtId="0" fontId="104" fillId="4" borderId="52" xfId="0" applyFont="1" applyFill="1" applyBorder="1" applyAlignment="1" applyProtection="1">
      <alignment horizontal="right" vertical="center" wrapText="1"/>
      <protection hidden="1"/>
    </xf>
    <xf numFmtId="0" fontId="104"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232" fillId="4" borderId="30" xfId="2" applyNumberFormat="1" applyFont="1" applyFill="1" applyBorder="1" applyAlignment="1" applyProtection="1">
      <alignment horizontal="center" vertical="center" wrapText="1"/>
      <protection hidden="1"/>
    </xf>
    <xf numFmtId="0" fontId="232" fillId="4" borderId="57" xfId="2" applyNumberFormat="1" applyFont="1" applyFill="1" applyBorder="1" applyAlignment="1" applyProtection="1">
      <alignment horizontal="center" vertical="center" wrapText="1"/>
      <protection hidden="1"/>
    </xf>
    <xf numFmtId="0" fontId="103" fillId="4" borderId="9" xfId="0" applyFont="1" applyFill="1" applyBorder="1" applyAlignment="1" applyProtection="1">
      <alignment horizontal="center" vertical="center" wrapText="1"/>
      <protection hidden="1"/>
    </xf>
    <xf numFmtId="0" fontId="103" fillId="4" borderId="77" xfId="0" applyFont="1" applyFill="1" applyBorder="1" applyAlignment="1" applyProtection="1">
      <alignment horizontal="center" vertical="center" wrapText="1"/>
      <protection hidden="1"/>
    </xf>
    <xf numFmtId="0" fontId="120" fillId="4" borderId="301" xfId="0" applyFont="1" applyFill="1" applyBorder="1" applyAlignment="1">
      <alignment horizontal="center" vertical="center"/>
    </xf>
    <xf numFmtId="0" fontId="120" fillId="4" borderId="298" xfId="0" applyFont="1" applyFill="1" applyBorder="1" applyAlignment="1">
      <alignment horizontal="center" vertical="center"/>
    </xf>
    <xf numFmtId="0" fontId="120" fillId="4" borderId="302" xfId="0" applyFont="1" applyFill="1" applyBorder="1" applyAlignment="1">
      <alignment horizontal="center" vertical="center"/>
    </xf>
    <xf numFmtId="0" fontId="120" fillId="4" borderId="298" xfId="0" quotePrefix="1" applyFont="1" applyFill="1" applyBorder="1" applyAlignment="1">
      <alignment horizontal="center" vertical="center"/>
    </xf>
    <xf numFmtId="0" fontId="120" fillId="4" borderId="299" xfId="0" applyFont="1" applyFill="1" applyBorder="1" applyAlignment="1">
      <alignment horizontal="center" vertical="center"/>
    </xf>
    <xf numFmtId="10" fontId="75" fillId="0" borderId="2" xfId="3" applyNumberFormat="1" applyFill="1" applyBorder="1" applyAlignment="1">
      <alignment horizontal="center" vertical="center"/>
    </xf>
    <xf numFmtId="0" fontId="64" fillId="4" borderId="54" xfId="0" applyFont="1" applyFill="1" applyBorder="1" applyAlignment="1" applyProtection="1">
      <alignment horizontal="center" vertical="center" wrapText="1"/>
      <protection hidden="1"/>
    </xf>
    <xf numFmtId="0" fontId="64" fillId="4" borderId="58" xfId="0" applyFont="1" applyFill="1" applyBorder="1" applyAlignment="1" applyProtection="1">
      <alignment horizontal="center" vertical="center" wrapText="1"/>
      <protection hidden="1"/>
    </xf>
    <xf numFmtId="0" fontId="139" fillId="4" borderId="68" xfId="0" applyFont="1" applyFill="1" applyBorder="1" applyAlignment="1" applyProtection="1">
      <alignment horizontal="center" vertical="center" wrapText="1"/>
      <protection hidden="1"/>
    </xf>
    <xf numFmtId="0" fontId="139" fillId="4" borderId="77" xfId="0" applyFont="1" applyFill="1" applyBorder="1" applyAlignment="1" applyProtection="1">
      <alignment horizontal="center" vertical="center" wrapText="1"/>
      <protection hidden="1"/>
    </xf>
    <xf numFmtId="8" fontId="103" fillId="4" borderId="85" xfId="0" applyNumberFormat="1" applyFont="1" applyFill="1" applyBorder="1" applyAlignment="1" applyProtection="1">
      <alignment horizontal="center" vertical="center"/>
      <protection hidden="1"/>
    </xf>
    <xf numFmtId="0" fontId="103" fillId="4" borderId="86" xfId="0" applyFont="1" applyFill="1" applyBorder="1" applyAlignment="1" applyProtection="1">
      <alignment horizontal="center" vertical="center"/>
      <protection hidden="1"/>
    </xf>
    <xf numFmtId="0" fontId="103" fillId="4" borderId="68" xfId="0" applyFont="1" applyFill="1" applyBorder="1" applyAlignment="1" applyProtection="1">
      <alignment horizontal="center" vertical="center"/>
      <protection hidden="1"/>
    </xf>
    <xf numFmtId="0" fontId="103"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103" fillId="4" borderId="0" xfId="0" applyFont="1" applyFill="1" applyAlignment="1" applyProtection="1">
      <alignment horizontal="center" vertical="center" wrapText="1"/>
      <protection hidden="1"/>
    </xf>
    <xf numFmtId="0" fontId="103" fillId="4" borderId="0" xfId="0" quotePrefix="1" applyFont="1" applyFill="1" applyAlignment="1" applyProtection="1">
      <alignment horizontal="center" vertical="center"/>
      <protection hidden="1"/>
    </xf>
    <xf numFmtId="165" fontId="232" fillId="4" borderId="4" xfId="2" applyNumberFormat="1" applyFont="1" applyFill="1" applyBorder="1" applyAlignment="1" applyProtection="1">
      <alignment horizontal="center" vertical="center"/>
      <protection hidden="1"/>
    </xf>
    <xf numFmtId="165" fontId="232" fillId="4" borderId="3" xfId="2" applyNumberFormat="1" applyFont="1" applyFill="1" applyBorder="1" applyAlignment="1" applyProtection="1">
      <alignment horizontal="center" vertical="center"/>
      <protection hidden="1"/>
    </xf>
    <xf numFmtId="0" fontId="88" fillId="4" borderId="19" xfId="0" applyFont="1" applyFill="1" applyBorder="1" applyAlignment="1" applyProtection="1">
      <alignment horizontal="left" vertical="center" wrapText="1"/>
      <protection hidden="1"/>
    </xf>
    <xf numFmtId="0" fontId="88" fillId="4" borderId="0" xfId="0" applyFont="1" applyFill="1" applyAlignment="1" applyProtection="1">
      <alignment horizontal="left" vertical="center" wrapText="1"/>
      <protection hidden="1"/>
    </xf>
    <xf numFmtId="0" fontId="88" fillId="4" borderId="15" xfId="0" applyFont="1" applyFill="1" applyBorder="1" applyAlignment="1" applyProtection="1">
      <alignment horizontal="left" vertical="center" wrapText="1"/>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77" fillId="0" borderId="61" xfId="0" applyFont="1" applyBorder="1" applyAlignment="1">
      <alignment horizontal="center" vertical="center" wrapText="1"/>
    </xf>
    <xf numFmtId="0" fontId="77" fillId="0" borderId="62" xfId="0" applyFont="1" applyBorder="1" applyAlignment="1">
      <alignment horizontal="center" vertical="center" wrapText="1"/>
    </xf>
    <xf numFmtId="0" fontId="82" fillId="0" borderId="63" xfId="0" applyFont="1" applyBorder="1" applyAlignment="1" applyProtection="1">
      <alignment horizontal="left" vertical="center"/>
      <protection hidden="1"/>
    </xf>
    <xf numFmtId="0" fontId="82" fillId="0" borderId="64" xfId="0" applyFont="1" applyBorder="1" applyAlignment="1" applyProtection="1">
      <alignment horizontal="left" vertical="center"/>
      <protection hidden="1"/>
    </xf>
    <xf numFmtId="0" fontId="82" fillId="0" borderId="4" xfId="0" applyFont="1" applyBorder="1" applyAlignment="1" applyProtection="1">
      <alignment horizontal="left"/>
      <protection hidden="1"/>
    </xf>
    <xf numFmtId="0" fontId="82" fillId="0" borderId="3" xfId="0" applyFont="1" applyBorder="1" applyAlignment="1" applyProtection="1">
      <alignment horizontal="left"/>
      <protection hidden="1"/>
    </xf>
    <xf numFmtId="0" fontId="82" fillId="0" borderId="54" xfId="0" applyFont="1" applyBorder="1" applyAlignment="1" applyProtection="1">
      <alignment horizontal="left"/>
      <protection hidden="1"/>
    </xf>
    <xf numFmtId="0" fontId="82"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95" fillId="4" borderId="43" xfId="0" applyFont="1" applyFill="1" applyBorder="1" applyAlignment="1">
      <alignment horizontal="center"/>
    </xf>
    <xf numFmtId="0" fontId="95" fillId="4" borderId="23" xfId="0" applyFont="1" applyFill="1" applyBorder="1" applyAlignment="1">
      <alignment horizontal="center"/>
    </xf>
    <xf numFmtId="0" fontId="95" fillId="4" borderId="44" xfId="0" applyFont="1" applyFill="1" applyBorder="1" applyAlignment="1">
      <alignment horizontal="center"/>
    </xf>
    <xf numFmtId="0" fontId="57" fillId="4" borderId="30" xfId="0" applyFont="1" applyFill="1" applyBorder="1" applyAlignment="1">
      <alignment horizontal="center" wrapText="1"/>
    </xf>
    <xf numFmtId="0" fontId="57" fillId="4" borderId="28" xfId="0" applyFont="1" applyFill="1" applyBorder="1" applyAlignment="1">
      <alignment horizontal="center" wrapText="1"/>
    </xf>
    <xf numFmtId="0" fontId="60" fillId="4" borderId="75" xfId="0" applyFont="1" applyFill="1" applyBorder="1" applyAlignment="1">
      <alignment horizontal="center"/>
    </xf>
    <xf numFmtId="0" fontId="104"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9" fontId="112" fillId="4" borderId="60" xfId="3" applyFont="1" applyFill="1" applyBorder="1" applyAlignment="1" applyProtection="1">
      <alignment horizontal="center" vertical="center"/>
      <protection hidden="1"/>
    </xf>
    <xf numFmtId="9" fontId="112" fillId="4" borderId="103" xfId="3" applyFont="1" applyFill="1" applyBorder="1" applyAlignment="1" applyProtection="1">
      <alignment horizontal="center" vertical="center"/>
      <protection hidden="1"/>
    </xf>
    <xf numFmtId="9" fontId="112" fillId="4" borderId="27" xfId="3" applyFont="1" applyFill="1" applyBorder="1" applyAlignment="1" applyProtection="1">
      <alignment horizontal="center" vertical="center"/>
      <protection hidden="1"/>
    </xf>
    <xf numFmtId="0" fontId="186" fillId="4" borderId="0" xfId="2" applyNumberFormat="1" applyFont="1" applyFill="1" applyBorder="1" applyAlignment="1" applyProtection="1">
      <alignment horizontal="center" vertical="center"/>
      <protection hidden="1"/>
    </xf>
    <xf numFmtId="0" fontId="165" fillId="4" borderId="0" xfId="2" applyNumberFormat="1" applyFont="1" applyFill="1" applyBorder="1" applyAlignment="1" applyProtection="1">
      <alignment horizontal="center" vertical="center"/>
      <protection hidden="1"/>
    </xf>
    <xf numFmtId="0" fontId="58" fillId="4" borderId="59" xfId="0" applyFont="1" applyFill="1" applyBorder="1" applyAlignment="1">
      <alignment horizontal="center" vertical="center" wrapText="1"/>
    </xf>
    <xf numFmtId="0" fontId="58" fillId="4" borderId="191" xfId="0" applyFont="1" applyFill="1" applyBorder="1" applyAlignment="1">
      <alignment horizontal="center" vertical="center" wrapText="1"/>
    </xf>
    <xf numFmtId="0" fontId="58" fillId="4" borderId="144" xfId="0" applyFont="1" applyFill="1" applyBorder="1" applyAlignment="1">
      <alignment horizontal="center" wrapText="1"/>
    </xf>
    <xf numFmtId="0" fontId="58" fillId="4" borderId="192" xfId="0" applyFont="1" applyFill="1" applyBorder="1" applyAlignment="1">
      <alignment horizontal="center" wrapText="1"/>
    </xf>
    <xf numFmtId="0" fontId="60" fillId="4" borderId="115" xfId="0" applyFont="1" applyFill="1" applyBorder="1" applyAlignment="1">
      <alignment horizontal="center" vertical="center" wrapText="1"/>
    </xf>
    <xf numFmtId="0" fontId="60" fillId="4" borderId="194" xfId="0" applyFont="1" applyFill="1" applyBorder="1" applyAlignment="1">
      <alignment horizontal="center" vertical="center" wrapText="1"/>
    </xf>
    <xf numFmtId="0" fontId="60" fillId="4" borderId="59" xfId="0" applyFont="1" applyFill="1" applyBorder="1" applyAlignment="1" applyProtection="1">
      <alignment horizontal="right" wrapText="1"/>
      <protection hidden="1"/>
    </xf>
    <xf numFmtId="0" fontId="60" fillId="4" borderId="191" xfId="0" applyFont="1" applyFill="1" applyBorder="1" applyAlignment="1" applyProtection="1">
      <alignment horizontal="right" wrapText="1"/>
      <protection hidden="1"/>
    </xf>
    <xf numFmtId="14" fontId="58" fillId="4" borderId="72" xfId="0" applyNumberFormat="1" applyFont="1" applyFill="1" applyBorder="1" applyAlignment="1">
      <alignment horizontal="center" vertical="center" wrapText="1"/>
    </xf>
    <xf numFmtId="14" fontId="58" fillId="4" borderId="73" xfId="0" applyNumberFormat="1" applyFont="1" applyFill="1" applyBorder="1" applyAlignment="1">
      <alignment horizontal="center" vertical="center" wrapText="1"/>
    </xf>
    <xf numFmtId="0" fontId="58" fillId="4" borderId="75" xfId="0" applyFont="1" applyFill="1" applyBorder="1" applyAlignment="1" applyProtection="1">
      <alignment horizontal="center" vertical="center"/>
      <protection hidden="1"/>
    </xf>
    <xf numFmtId="0" fontId="58" fillId="4" borderId="196" xfId="0" applyFont="1" applyFill="1" applyBorder="1" applyAlignment="1" applyProtection="1">
      <alignment horizontal="center" vertical="center"/>
      <protection hidden="1"/>
    </xf>
    <xf numFmtId="0" fontId="58" fillId="4" borderId="76" xfId="0" applyFont="1" applyFill="1" applyBorder="1" applyAlignment="1" applyProtection="1">
      <alignment horizontal="center" vertical="center"/>
      <protection hidden="1"/>
    </xf>
    <xf numFmtId="0" fontId="95" fillId="4" borderId="43" xfId="0" applyFont="1" applyFill="1" applyBorder="1" applyProtection="1">
      <protection hidden="1"/>
    </xf>
    <xf numFmtId="0" fontId="95" fillId="4" borderId="23" xfId="0" applyFont="1" applyFill="1" applyBorder="1" applyProtection="1">
      <protection hidden="1"/>
    </xf>
    <xf numFmtId="0" fontId="95" fillId="4" borderId="44" xfId="0" applyFont="1" applyFill="1" applyBorder="1" applyProtection="1">
      <protection hidden="1"/>
    </xf>
    <xf numFmtId="0" fontId="60" fillId="4" borderId="16"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0" fontId="60" fillId="4" borderId="39" xfId="0" applyFont="1" applyFill="1" applyBorder="1" applyAlignment="1" applyProtection="1">
      <alignment horizontal="center" vertical="center"/>
      <protection hidden="1"/>
    </xf>
    <xf numFmtId="0" fontId="57" fillId="4" borderId="65" xfId="0" applyFont="1" applyFill="1" applyBorder="1" applyAlignment="1" applyProtection="1">
      <alignment horizontal="center" wrapText="1"/>
      <protection hidden="1"/>
    </xf>
    <xf numFmtId="0" fontId="57" fillId="4" borderId="79" xfId="0" applyFont="1" applyFill="1" applyBorder="1" applyAlignment="1" applyProtection="1">
      <alignment horizontal="center" wrapText="1"/>
      <protection hidden="1"/>
    </xf>
    <xf numFmtId="0" fontId="57" fillId="4" borderId="20" xfId="0" applyFont="1" applyFill="1" applyBorder="1" applyAlignment="1" applyProtection="1">
      <alignment horizontal="center" wrapText="1"/>
      <protection hidden="1"/>
    </xf>
    <xf numFmtId="0" fontId="0" fillId="4" borderId="0" xfId="0" applyFill="1" applyAlignment="1">
      <alignment horizontal="center"/>
    </xf>
    <xf numFmtId="0" fontId="175"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104" fillId="4" borderId="16" xfId="0" applyFont="1" applyFill="1" applyBorder="1" applyAlignment="1" applyProtection="1">
      <alignment horizontal="center"/>
      <protection hidden="1"/>
    </xf>
    <xf numFmtId="0" fontId="104" fillId="4" borderId="18" xfId="0" applyFont="1" applyFill="1" applyBorder="1" applyAlignment="1" applyProtection="1">
      <alignment horizontal="center"/>
      <protection hidden="1"/>
    </xf>
    <xf numFmtId="0" fontId="104" fillId="4" borderId="39" xfId="0" applyFont="1" applyFill="1" applyBorder="1" applyAlignment="1" applyProtection="1">
      <alignment horizontal="center"/>
      <protection hidden="1"/>
    </xf>
    <xf numFmtId="10" fontId="57" fillId="0" borderId="1" xfId="3" applyNumberFormat="1" applyFont="1" applyBorder="1" applyAlignment="1" applyProtection="1">
      <alignment horizontal="center" vertical="center"/>
      <protection locked="0"/>
    </xf>
    <xf numFmtId="10" fontId="57" fillId="0" borderId="9" xfId="3" applyNumberFormat="1" applyFont="1" applyBorder="1" applyAlignment="1" applyProtection="1">
      <alignment horizontal="center" vertical="center"/>
      <protection locked="0"/>
    </xf>
    <xf numFmtId="10" fontId="57" fillId="0" borderId="10" xfId="3" applyNumberFormat="1" applyFont="1" applyBorder="1" applyAlignment="1" applyProtection="1">
      <alignment horizontal="center" vertical="center"/>
      <protection locked="0"/>
    </xf>
    <xf numFmtId="0" fontId="60" fillId="4" borderId="0" xfId="0" applyFont="1" applyFill="1" applyAlignment="1">
      <alignment horizontal="center"/>
    </xf>
    <xf numFmtId="0" fontId="60" fillId="4" borderId="43" xfId="0" applyFont="1" applyFill="1" applyBorder="1" applyAlignment="1" applyProtection="1">
      <alignment horizontal="center" vertical="center" wrapText="1"/>
      <protection hidden="1"/>
    </xf>
    <xf numFmtId="0" fontId="60" fillId="4" borderId="23" xfId="0" applyFont="1" applyFill="1" applyBorder="1" applyAlignment="1" applyProtection="1">
      <alignment horizontal="center" vertical="center" wrapText="1"/>
      <protection hidden="1"/>
    </xf>
    <xf numFmtId="0" fontId="60" fillId="4" borderId="19" xfId="0" applyFont="1" applyFill="1" applyBorder="1" applyAlignment="1" applyProtection="1">
      <alignment horizontal="center" vertical="center" wrapText="1"/>
      <protection hidden="1"/>
    </xf>
    <xf numFmtId="0" fontId="60" fillId="4" borderId="0" xfId="0" applyFont="1" applyFill="1" applyAlignment="1" applyProtection="1">
      <alignment horizontal="center" vertical="center" wrapText="1"/>
      <protection hidden="1"/>
    </xf>
    <xf numFmtId="0" fontId="60" fillId="4" borderId="16" xfId="0" applyFont="1" applyFill="1" applyBorder="1" applyAlignment="1" applyProtection="1">
      <alignment horizontal="center" vertical="center" wrapText="1"/>
      <protection hidden="1"/>
    </xf>
    <xf numFmtId="0" fontId="60" fillId="4" borderId="18" xfId="0" applyFont="1" applyFill="1" applyBorder="1" applyAlignment="1" applyProtection="1">
      <alignment horizontal="center" vertical="center" wrapText="1"/>
      <protection hidden="1"/>
    </xf>
    <xf numFmtId="0" fontId="96" fillId="4" borderId="69" xfId="0" applyFont="1" applyFill="1" applyBorder="1" applyAlignment="1" applyProtection="1">
      <alignment horizontal="center" vertical="center"/>
      <protection hidden="1"/>
    </xf>
    <xf numFmtId="0" fontId="96" fillId="4" borderId="71" xfId="0" applyFont="1" applyFill="1" applyBorder="1" applyAlignment="1" applyProtection="1">
      <alignment horizontal="center" vertical="center"/>
      <protection hidden="1"/>
    </xf>
    <xf numFmtId="0" fontId="96" fillId="4" borderId="70" xfId="0" applyFont="1" applyFill="1" applyBorder="1" applyAlignment="1" applyProtection="1">
      <alignment horizontal="center" vertical="center"/>
      <protection hidden="1"/>
    </xf>
    <xf numFmtId="0" fontId="96" fillId="4" borderId="19" xfId="0" applyFont="1" applyFill="1" applyBorder="1" applyAlignment="1" applyProtection="1">
      <alignment horizontal="center" vertical="center"/>
      <protection hidden="1"/>
    </xf>
    <xf numFmtId="0" fontId="96" fillId="4" borderId="0" xfId="0" applyFont="1" applyFill="1" applyAlignment="1" applyProtection="1">
      <alignment horizontal="center" vertical="center"/>
      <protection hidden="1"/>
    </xf>
    <xf numFmtId="0" fontId="96" fillId="4" borderId="15" xfId="0" applyFont="1" applyFill="1" applyBorder="1" applyAlignment="1" applyProtection="1">
      <alignment horizontal="center" vertical="center"/>
      <protection hidden="1"/>
    </xf>
    <xf numFmtId="0" fontId="96" fillId="4" borderId="16" xfId="0" applyFont="1" applyFill="1" applyBorder="1" applyAlignment="1" applyProtection="1">
      <alignment horizontal="center" vertical="center"/>
      <protection hidden="1"/>
    </xf>
    <xf numFmtId="0" fontId="96" fillId="4" borderId="18" xfId="0" applyFont="1" applyFill="1" applyBorder="1" applyAlignment="1" applyProtection="1">
      <alignment horizontal="center" vertical="center"/>
      <protection hidden="1"/>
    </xf>
    <xf numFmtId="0" fontId="96" fillId="4" borderId="39" xfId="0" applyFont="1" applyFill="1" applyBorder="1" applyAlignment="1" applyProtection="1">
      <alignment horizontal="center" vertical="center"/>
      <protection hidden="1"/>
    </xf>
    <xf numFmtId="0" fontId="57" fillId="4" borderId="5" xfId="0" applyFont="1" applyFill="1" applyBorder="1" applyAlignment="1" applyProtection="1">
      <alignment horizontal="left" vertical="center"/>
      <protection hidden="1"/>
    </xf>
    <xf numFmtId="0" fontId="57" fillId="4" borderId="6" xfId="0" applyFont="1" applyFill="1" applyBorder="1" applyAlignment="1" applyProtection="1">
      <alignment horizontal="left" vertical="center"/>
      <protection hidden="1"/>
    </xf>
    <xf numFmtId="0" fontId="101" fillId="4" borderId="4" xfId="0" applyFont="1" applyFill="1" applyBorder="1" applyAlignment="1">
      <alignment horizontal="left" vertical="center"/>
    </xf>
    <xf numFmtId="0" fontId="101" fillId="4" borderId="2" xfId="0" applyFont="1" applyFill="1" applyBorder="1" applyAlignment="1">
      <alignment horizontal="left" vertical="center"/>
    </xf>
    <xf numFmtId="178" fontId="89" fillId="4" borderId="38" xfId="0" applyNumberFormat="1" applyFont="1" applyFill="1" applyBorder="1" applyAlignment="1" applyProtection="1">
      <alignment horizontal="center" vertical="center"/>
      <protection hidden="1"/>
    </xf>
    <xf numFmtId="178" fontId="89" fillId="4" borderId="66" xfId="0" applyNumberFormat="1" applyFont="1" applyFill="1" applyBorder="1" applyAlignment="1" applyProtection="1">
      <alignment horizontal="center" vertical="center"/>
      <protection hidden="1"/>
    </xf>
    <xf numFmtId="178" fontId="89" fillId="4" borderId="40" xfId="0" applyNumberFormat="1" applyFont="1" applyFill="1" applyBorder="1" applyAlignment="1" applyProtection="1">
      <alignment horizontal="center" vertical="center"/>
      <protection hidden="1"/>
    </xf>
    <xf numFmtId="3" fontId="89" fillId="4" borderId="38" xfId="0" applyNumberFormat="1" applyFont="1" applyFill="1" applyBorder="1" applyAlignment="1" applyProtection="1">
      <alignment horizontal="center" vertical="center"/>
      <protection hidden="1"/>
    </xf>
    <xf numFmtId="3" fontId="89" fillId="4" borderId="66" xfId="0" applyNumberFormat="1" applyFont="1" applyFill="1" applyBorder="1" applyAlignment="1" applyProtection="1">
      <alignment horizontal="center" vertical="center"/>
      <protection hidden="1"/>
    </xf>
    <xf numFmtId="3" fontId="89" fillId="4" borderId="40" xfId="0" applyNumberFormat="1" applyFont="1" applyFill="1" applyBorder="1" applyAlignment="1" applyProtection="1">
      <alignment horizontal="center" vertical="center"/>
      <protection hidden="1"/>
    </xf>
    <xf numFmtId="0" fontId="96" fillId="4" borderId="69" xfId="0" applyFont="1" applyFill="1" applyBorder="1" applyAlignment="1">
      <alignment horizontal="center" vertical="center"/>
    </xf>
    <xf numFmtId="0" fontId="96" fillId="4" borderId="70" xfId="0" applyFont="1" applyFill="1" applyBorder="1" applyAlignment="1">
      <alignment horizontal="center" vertical="center"/>
    </xf>
    <xf numFmtId="3" fontId="57" fillId="4" borderId="119" xfId="0" applyNumberFormat="1" applyFont="1" applyFill="1" applyBorder="1" applyAlignment="1" applyProtection="1">
      <alignment horizontal="center" vertical="center"/>
      <protection hidden="1"/>
    </xf>
    <xf numFmtId="3" fontId="57" fillId="4" borderId="125" xfId="0" applyNumberFormat="1" applyFont="1" applyFill="1" applyBorder="1" applyAlignment="1" applyProtection="1">
      <alignment horizontal="center" vertical="center"/>
      <protection hidden="1"/>
    </xf>
    <xf numFmtId="3" fontId="57" fillId="4" borderId="126" xfId="0" applyNumberFormat="1" applyFont="1" applyFill="1" applyBorder="1" applyAlignment="1" applyProtection="1">
      <alignment horizontal="center" vertical="center"/>
      <protection hidden="1"/>
    </xf>
    <xf numFmtId="8" fontId="101" fillId="4" borderId="80" xfId="8" applyNumberFormat="1" applyFont="1" applyFill="1" applyBorder="1" applyAlignment="1" applyProtection="1">
      <alignment horizontal="center" vertical="center"/>
      <protection hidden="1"/>
    </xf>
    <xf numFmtId="8" fontId="101" fillId="4" borderId="81" xfId="8" applyNumberFormat="1" applyFont="1" applyFill="1" applyBorder="1" applyAlignment="1" applyProtection="1">
      <alignment horizontal="center" vertical="center"/>
      <protection hidden="1"/>
    </xf>
    <xf numFmtId="8" fontId="101" fillId="4" borderId="82" xfId="8" applyNumberFormat="1" applyFont="1" applyFill="1" applyBorder="1" applyAlignment="1" applyProtection="1">
      <alignment horizontal="center" vertical="center"/>
      <protection hidden="1"/>
    </xf>
    <xf numFmtId="0" fontId="57" fillId="4" borderId="63" xfId="0" applyFont="1" applyFill="1" applyBorder="1" applyAlignment="1" applyProtection="1">
      <alignment horizontal="left" vertical="center"/>
      <protection hidden="1"/>
    </xf>
    <xf numFmtId="0" fontId="57" fillId="4" borderId="78" xfId="0" applyFont="1" applyFill="1" applyBorder="1" applyAlignment="1" applyProtection="1">
      <alignment horizontal="left" vertical="center"/>
      <protection hidden="1"/>
    </xf>
    <xf numFmtId="0" fontId="57" fillId="4" borderId="67" xfId="0" applyFont="1" applyFill="1" applyBorder="1" applyAlignment="1" applyProtection="1">
      <alignment horizontal="left" vertical="center"/>
      <protection hidden="1"/>
    </xf>
    <xf numFmtId="8" fontId="101" fillId="0" borderId="1" xfId="3" applyNumberFormat="1" applyFont="1" applyBorder="1" applyAlignment="1" applyProtection="1">
      <alignment horizontal="center" vertical="center"/>
      <protection locked="0"/>
    </xf>
    <xf numFmtId="8" fontId="101" fillId="0" borderId="9" xfId="3" applyNumberFormat="1" applyFont="1" applyBorder="1" applyAlignment="1" applyProtection="1">
      <alignment horizontal="center" vertical="center"/>
      <protection locked="0"/>
    </xf>
    <xf numFmtId="8" fontId="101" fillId="0" borderId="10" xfId="3" applyNumberFormat="1" applyFont="1" applyBorder="1" applyAlignment="1" applyProtection="1">
      <alignment horizontal="center" vertical="center"/>
      <protection locked="0"/>
    </xf>
    <xf numFmtId="8" fontId="101" fillId="4" borderId="1" xfId="0" applyNumberFormat="1" applyFont="1" applyFill="1" applyBorder="1" applyAlignment="1" applyProtection="1">
      <alignment horizontal="center" vertical="center"/>
      <protection hidden="1"/>
    </xf>
    <xf numFmtId="8" fontId="101" fillId="4" borderId="9" xfId="0" applyNumberFormat="1" applyFont="1" applyFill="1" applyBorder="1" applyAlignment="1" applyProtection="1">
      <alignment horizontal="center" vertical="center"/>
      <protection hidden="1"/>
    </xf>
    <xf numFmtId="8" fontId="101" fillId="4" borderId="10" xfId="0" applyNumberFormat="1" applyFont="1" applyFill="1" applyBorder="1" applyAlignment="1" applyProtection="1">
      <alignment horizontal="center" vertical="center"/>
      <protection hidden="1"/>
    </xf>
    <xf numFmtId="0" fontId="104" fillId="4" borderId="4" xfId="0" applyFont="1" applyFill="1" applyBorder="1" applyAlignment="1">
      <alignment horizontal="center" vertical="center" wrapText="1"/>
    </xf>
    <xf numFmtId="0" fontId="104" fillId="4" borderId="2" xfId="0" applyFont="1" applyFill="1" applyBorder="1" applyAlignment="1">
      <alignment horizontal="center" vertical="center" wrapText="1"/>
    </xf>
    <xf numFmtId="0" fontId="104" fillId="4" borderId="3" xfId="0" applyFont="1" applyFill="1" applyBorder="1" applyAlignment="1">
      <alignment horizontal="center" vertical="center" wrapText="1"/>
    </xf>
    <xf numFmtId="14" fontId="99" fillId="0" borderId="2" xfId="0" applyNumberFormat="1" applyFont="1" applyBorder="1" applyAlignment="1">
      <alignment horizontal="center"/>
    </xf>
    <xf numFmtId="0" fontId="99" fillId="4" borderId="43" xfId="0" applyFont="1" applyFill="1" applyBorder="1" applyAlignment="1">
      <alignment horizontal="center" vertical="center" wrapText="1"/>
    </xf>
    <xf numFmtId="0" fontId="99" fillId="4" borderId="23" xfId="0" applyFont="1" applyFill="1" applyBorder="1" applyAlignment="1">
      <alignment horizontal="center" vertical="center" wrapText="1"/>
    </xf>
    <xf numFmtId="0" fontId="99" fillId="4" borderId="44" xfId="0" applyFont="1" applyFill="1" applyBorder="1" applyAlignment="1">
      <alignment horizontal="center" vertical="center" wrapText="1"/>
    </xf>
    <xf numFmtId="0" fontId="99" fillId="4" borderId="19" xfId="0" applyFont="1" applyFill="1" applyBorder="1" applyAlignment="1">
      <alignment horizontal="center" vertical="center" wrapText="1"/>
    </xf>
    <xf numFmtId="0" fontId="99" fillId="4" borderId="0" xfId="0" applyFont="1" applyFill="1" applyAlignment="1">
      <alignment horizontal="center" vertical="center" wrapText="1"/>
    </xf>
    <xf numFmtId="0" fontId="99" fillId="4" borderId="15" xfId="0" applyFont="1" applyFill="1" applyBorder="1" applyAlignment="1">
      <alignment horizontal="center" vertical="center" wrapText="1"/>
    </xf>
    <xf numFmtId="0" fontId="99" fillId="4" borderId="30" xfId="0" applyFont="1" applyFill="1" applyBorder="1" applyAlignment="1">
      <alignment horizontal="center" vertical="center" wrapText="1"/>
    </xf>
    <xf numFmtId="0" fontId="99" fillId="4" borderId="28" xfId="0" applyFont="1" applyFill="1" applyBorder="1" applyAlignment="1">
      <alignment horizontal="center" vertical="center" wrapText="1"/>
    </xf>
    <xf numFmtId="0" fontId="99" fillId="4" borderId="57" xfId="0" applyFont="1" applyFill="1" applyBorder="1" applyAlignment="1">
      <alignment horizontal="center" vertical="center" wrapText="1"/>
    </xf>
    <xf numFmtId="0" fontId="0" fillId="0" borderId="15" xfId="0" applyBorder="1" applyAlignment="1">
      <alignment horizontal="center"/>
    </xf>
    <xf numFmtId="169" fontId="132" fillId="0" borderId="21" xfId="0" applyNumberFormat="1" applyFont="1" applyBorder="1" applyAlignment="1">
      <alignment horizontal="center" vertical="center" wrapText="1"/>
    </xf>
    <xf numFmtId="169" fontId="132" fillId="0" borderId="2" xfId="0" applyNumberFormat="1" applyFont="1" applyBorder="1" applyAlignment="1">
      <alignment horizontal="center" vertical="center" wrapText="1"/>
    </xf>
    <xf numFmtId="169" fontId="132" fillId="0" borderId="22" xfId="0" applyNumberFormat="1" applyFont="1" applyBorder="1" applyAlignment="1">
      <alignment horizontal="center" vertical="center" wrapText="1"/>
    </xf>
    <xf numFmtId="169" fontId="132" fillId="0" borderId="3" xfId="0" applyNumberFormat="1" applyFont="1" applyBorder="1" applyAlignment="1">
      <alignment horizontal="center" vertical="center" wrapText="1"/>
    </xf>
    <xf numFmtId="0" fontId="123" fillId="0" borderId="88" xfId="0" applyFont="1" applyBorder="1" applyAlignment="1">
      <alignment horizontal="center" vertical="center"/>
    </xf>
    <xf numFmtId="0" fontId="123" fillId="0" borderId="89" xfId="0" applyFont="1" applyBorder="1" applyAlignment="1">
      <alignment horizontal="center" vertical="center"/>
    </xf>
    <xf numFmtId="0" fontId="123" fillId="0" borderId="90" xfId="0" applyFont="1" applyBorder="1" applyAlignment="1">
      <alignment horizontal="center" vertical="center"/>
    </xf>
    <xf numFmtId="0" fontId="123" fillId="0" borderId="91" xfId="0" applyFont="1" applyBorder="1" applyAlignment="1">
      <alignment horizontal="center" vertical="center"/>
    </xf>
    <xf numFmtId="0" fontId="123" fillId="0" borderId="92" xfId="0" applyFont="1" applyBorder="1" applyAlignment="1">
      <alignment horizontal="center" vertical="center"/>
    </xf>
    <xf numFmtId="0" fontId="123" fillId="0" borderId="93" xfId="0" applyFont="1" applyBorder="1" applyAlignment="1">
      <alignment horizontal="center" vertical="center"/>
    </xf>
    <xf numFmtId="0" fontId="104" fillId="4" borderId="43" xfId="0" applyFont="1" applyFill="1" applyBorder="1" applyAlignment="1">
      <alignment horizontal="center" vertical="center" wrapText="1"/>
    </xf>
    <xf numFmtId="0" fontId="104" fillId="4" borderId="23" xfId="0" applyFont="1" applyFill="1" applyBorder="1" applyAlignment="1">
      <alignment horizontal="center" vertical="center" wrapText="1"/>
    </xf>
    <xf numFmtId="0" fontId="104" fillId="4" borderId="44" xfId="0" applyFont="1" applyFill="1" applyBorder="1" applyAlignment="1">
      <alignment horizontal="center" vertical="center" wrapText="1"/>
    </xf>
    <xf numFmtId="0" fontId="104" fillId="4" borderId="16" xfId="0" applyFont="1" applyFill="1" applyBorder="1" applyAlignment="1">
      <alignment horizontal="center" vertical="center" wrapText="1"/>
    </xf>
    <xf numFmtId="0" fontId="104" fillId="4" borderId="18" xfId="0" applyFont="1" applyFill="1" applyBorder="1" applyAlignment="1">
      <alignment horizontal="center" vertical="center" wrapText="1"/>
    </xf>
    <xf numFmtId="0" fontId="104"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9" fillId="4" borderId="2" xfId="0" applyFont="1" applyFill="1" applyBorder="1" applyAlignment="1">
      <alignment horizontal="right" vertical="center"/>
    </xf>
    <xf numFmtId="0" fontId="99" fillId="4" borderId="4" xfId="0" applyFont="1" applyFill="1" applyBorder="1" applyAlignment="1">
      <alignment horizontal="right"/>
    </xf>
    <xf numFmtId="0" fontId="99" fillId="4" borderId="2" xfId="0" applyFont="1" applyFill="1" applyBorder="1" applyAlignment="1">
      <alignment horizontal="right"/>
    </xf>
    <xf numFmtId="169" fontId="132" fillId="0" borderId="24" xfId="0" applyNumberFormat="1" applyFont="1" applyBorder="1" applyAlignment="1">
      <alignment horizontal="center" vertical="center" textRotation="90" wrapText="1"/>
    </xf>
    <xf numFmtId="169" fontId="132" fillId="0" borderId="4" xfId="0" applyNumberFormat="1" applyFont="1" applyBorder="1" applyAlignment="1">
      <alignment horizontal="center" vertical="center" textRotation="90" wrapText="1"/>
    </xf>
    <xf numFmtId="0" fontId="110" fillId="9" borderId="43" xfId="0" applyFont="1" applyFill="1" applyBorder="1" applyAlignment="1">
      <alignment horizontal="center" vertical="center"/>
    </xf>
    <xf numFmtId="0" fontId="110" fillId="9" borderId="23" xfId="0" applyFont="1" applyFill="1" applyBorder="1" applyAlignment="1">
      <alignment horizontal="center" vertical="center"/>
    </xf>
    <xf numFmtId="0" fontId="110" fillId="9" borderId="44" xfId="0" applyFont="1" applyFill="1" applyBorder="1" applyAlignment="1">
      <alignment horizontal="center" vertical="center"/>
    </xf>
    <xf numFmtId="0" fontId="110" fillId="9" borderId="19" xfId="0" applyFont="1" applyFill="1" applyBorder="1" applyAlignment="1">
      <alignment horizontal="center" vertical="center"/>
    </xf>
    <xf numFmtId="0" fontId="110" fillId="9" borderId="0" xfId="0" applyFont="1" applyFill="1" applyAlignment="1">
      <alignment horizontal="center" vertical="center"/>
    </xf>
    <xf numFmtId="0" fontId="110" fillId="9" borderId="15" xfId="0" applyFont="1" applyFill="1" applyBorder="1" applyAlignment="1">
      <alignment horizontal="center" vertical="center"/>
    </xf>
    <xf numFmtId="0" fontId="110" fillId="9" borderId="30" xfId="0" applyFont="1" applyFill="1" applyBorder="1" applyAlignment="1">
      <alignment horizontal="center" vertical="center"/>
    </xf>
    <xf numFmtId="0" fontId="110" fillId="9" borderId="28" xfId="0" applyFont="1" applyFill="1" applyBorder="1" applyAlignment="1">
      <alignment horizontal="center" vertical="center"/>
    </xf>
    <xf numFmtId="0" fontId="110" fillId="9" borderId="57" xfId="0" applyFont="1" applyFill="1" applyBorder="1" applyAlignment="1">
      <alignment horizontal="center" vertical="center"/>
    </xf>
    <xf numFmtId="169" fontId="131" fillId="0" borderId="5" xfId="0" applyNumberFormat="1" applyFont="1" applyBorder="1" applyAlignment="1">
      <alignment horizontal="center"/>
    </xf>
    <xf numFmtId="169" fontId="131" fillId="0" borderId="6" xfId="0" applyNumberFormat="1" applyFont="1" applyBorder="1" applyAlignment="1">
      <alignment horizontal="center"/>
    </xf>
    <xf numFmtId="169" fontId="131" fillId="0" borderId="7" xfId="0" applyNumberFormat="1" applyFont="1" applyBorder="1" applyAlignment="1">
      <alignment horizontal="center"/>
    </xf>
    <xf numFmtId="0" fontId="99" fillId="6" borderId="88" xfId="0" applyFont="1" applyFill="1" applyBorder="1" applyAlignment="1">
      <alignment horizontal="center" vertical="center"/>
    </xf>
    <xf numFmtId="0" fontId="99" fillId="6" borderId="89" xfId="0" applyFont="1" applyFill="1" applyBorder="1" applyAlignment="1">
      <alignment horizontal="center" vertical="center"/>
    </xf>
    <xf numFmtId="0" fontId="99" fillId="6" borderId="90" xfId="0" applyFont="1" applyFill="1" applyBorder="1" applyAlignment="1">
      <alignment horizontal="center" vertical="center"/>
    </xf>
    <xf numFmtId="0" fontId="99" fillId="6" borderId="94" xfId="0" applyFont="1" applyFill="1" applyBorder="1" applyAlignment="1">
      <alignment horizontal="center" vertical="center"/>
    </xf>
    <xf numFmtId="0" fontId="99" fillId="6" borderId="0" xfId="0" applyFont="1" applyFill="1" applyAlignment="1">
      <alignment horizontal="center" vertical="center"/>
    </xf>
    <xf numFmtId="0" fontId="99" fillId="6" borderId="95" xfId="0" applyFont="1" applyFill="1" applyBorder="1" applyAlignment="1">
      <alignment horizontal="center" vertical="center"/>
    </xf>
    <xf numFmtId="0" fontId="99" fillId="6" borderId="94" xfId="0" applyFont="1" applyFill="1" applyBorder="1" applyAlignment="1">
      <alignment horizontal="center" vertical="center" textRotation="90"/>
    </xf>
    <xf numFmtId="0" fontId="99" fillId="6" borderId="91" xfId="0" applyFont="1" applyFill="1" applyBorder="1" applyAlignment="1">
      <alignment horizontal="center" vertical="center" textRotation="90"/>
    </xf>
    <xf numFmtId="10" fontId="99" fillId="9" borderId="2" xfId="3" applyNumberFormat="1" applyFont="1" applyFill="1" applyBorder="1" applyAlignment="1">
      <alignment horizontal="center"/>
    </xf>
    <xf numFmtId="10" fontId="99"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9" fillId="9" borderId="6" xfId="0" applyNumberFormat="1" applyFont="1" applyFill="1" applyBorder="1" applyAlignment="1">
      <alignment horizontal="center"/>
    </xf>
    <xf numFmtId="2" fontId="99" fillId="9" borderId="7" xfId="0" applyNumberFormat="1" applyFont="1" applyFill="1" applyBorder="1" applyAlignment="1">
      <alignment horizontal="center"/>
    </xf>
    <xf numFmtId="0" fontId="99" fillId="9" borderId="24" xfId="0" applyFont="1" applyFill="1" applyBorder="1" applyAlignment="1">
      <alignment horizontal="center" vertical="center"/>
    </xf>
    <xf numFmtId="0" fontId="99" fillId="9" borderId="21" xfId="0" applyFont="1" applyFill="1" applyBorder="1" applyAlignment="1">
      <alignment horizontal="center" vertical="center"/>
    </xf>
    <xf numFmtId="0" fontId="99" fillId="9" borderId="22" xfId="0" applyFont="1" applyFill="1" applyBorder="1" applyAlignment="1">
      <alignment horizontal="center" vertical="center"/>
    </xf>
    <xf numFmtId="0" fontId="99" fillId="9" borderId="4" xfId="0" applyFont="1" applyFill="1" applyBorder="1" applyAlignment="1">
      <alignment horizontal="center" vertical="center"/>
    </xf>
    <xf numFmtId="0" fontId="99" fillId="9" borderId="2" xfId="0" applyFont="1" applyFill="1" applyBorder="1" applyAlignment="1">
      <alignment horizontal="center" vertical="center"/>
    </xf>
    <xf numFmtId="0" fontId="99"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9" fillId="9" borderId="42" xfId="0" applyNumberFormat="1" applyFont="1" applyFill="1" applyBorder="1" applyAlignment="1">
      <alignment horizontal="center" vertical="center"/>
    </xf>
    <xf numFmtId="8" fontId="99" fillId="9" borderId="58" xfId="0" applyNumberFormat="1" applyFont="1" applyFill="1" applyBorder="1" applyAlignment="1">
      <alignment horizontal="center" vertical="center"/>
    </xf>
    <xf numFmtId="8" fontId="99" fillId="9" borderId="31" xfId="0" applyNumberFormat="1" applyFont="1" applyFill="1" applyBorder="1" applyAlignment="1">
      <alignment horizontal="center" vertical="center"/>
    </xf>
    <xf numFmtId="8" fontId="99" fillId="9" borderId="57" xfId="0" applyNumberFormat="1" applyFont="1" applyFill="1" applyBorder="1" applyAlignment="1">
      <alignment horizontal="center" vertical="center"/>
    </xf>
    <xf numFmtId="0" fontId="99" fillId="9" borderId="13" xfId="0" applyFont="1" applyFill="1" applyBorder="1" applyAlignment="1">
      <alignment horizontal="center" wrapText="1"/>
    </xf>
    <xf numFmtId="0" fontId="99" fillId="9" borderId="26" xfId="0" applyFont="1" applyFill="1" applyBorder="1" applyAlignment="1">
      <alignment horizontal="center" wrapText="1"/>
    </xf>
    <xf numFmtId="0" fontId="132" fillId="0" borderId="24" xfId="0" applyFont="1" applyBorder="1" applyAlignment="1">
      <alignment horizontal="center" vertical="center" textRotation="90" wrapText="1"/>
    </xf>
    <xf numFmtId="0" fontId="132" fillId="0" borderId="4" xfId="0" applyFont="1" applyBorder="1" applyAlignment="1">
      <alignment horizontal="center" vertical="center" textRotation="90" wrapText="1"/>
    </xf>
    <xf numFmtId="169" fontId="190" fillId="0" borderId="43" xfId="2" applyNumberFormat="1" applyFont="1" applyBorder="1" applyAlignment="1" applyProtection="1">
      <alignment horizontal="center" vertical="center"/>
    </xf>
    <xf numFmtId="169" fontId="190" fillId="0" borderId="23" xfId="2" applyNumberFormat="1" applyFont="1" applyBorder="1" applyAlignment="1" applyProtection="1">
      <alignment horizontal="center" vertical="center"/>
    </xf>
    <xf numFmtId="169" fontId="190" fillId="0" borderId="19" xfId="2" applyNumberFormat="1" applyFont="1" applyBorder="1" applyAlignment="1" applyProtection="1">
      <alignment horizontal="center" vertical="center"/>
    </xf>
    <xf numFmtId="169" fontId="190" fillId="0" borderId="0" xfId="2" applyNumberFormat="1" applyFont="1" applyBorder="1" applyAlignment="1" applyProtection="1">
      <alignment horizontal="center" vertical="center"/>
    </xf>
    <xf numFmtId="169" fontId="61" fillId="0" borderId="4" xfId="0" applyNumberFormat="1" applyFont="1" applyBorder="1" applyAlignment="1">
      <alignment horizontal="center"/>
    </xf>
    <xf numFmtId="169" fontId="61" fillId="0" borderId="2" xfId="0" applyNumberFormat="1" applyFont="1" applyBorder="1" applyAlignment="1">
      <alignment horizontal="center"/>
    </xf>
    <xf numFmtId="169" fontId="61" fillId="0" borderId="3" xfId="0" applyNumberFormat="1" applyFont="1" applyBorder="1" applyAlignment="1">
      <alignment horizontal="center"/>
    </xf>
    <xf numFmtId="169" fontId="130" fillId="0" borderId="4" xfId="0" applyNumberFormat="1" applyFont="1" applyBorder="1" applyAlignment="1">
      <alignment horizontal="center"/>
    </xf>
    <xf numFmtId="169" fontId="130" fillId="0" borderId="2" xfId="0" applyNumberFormat="1" applyFont="1" applyBorder="1" applyAlignment="1">
      <alignment horizontal="center"/>
    </xf>
    <xf numFmtId="169" fontId="130" fillId="0" borderId="3" xfId="0" applyNumberFormat="1" applyFont="1" applyBorder="1" applyAlignment="1">
      <alignment horizontal="center"/>
    </xf>
    <xf numFmtId="0" fontId="0" fillId="0" borderId="0" xfId="0" applyAlignment="1" applyProtection="1">
      <alignment horizontal="center" wrapText="1"/>
      <protection hidden="1"/>
    </xf>
    <xf numFmtId="0" fontId="99" fillId="4" borderId="19" xfId="0" applyFont="1" applyFill="1" applyBorder="1" applyAlignment="1" applyProtection="1">
      <alignment horizontal="center" vertical="center" wrapText="1"/>
      <protection hidden="1"/>
    </xf>
    <xf numFmtId="0" fontId="99" fillId="4" borderId="15" xfId="0" applyFont="1" applyFill="1" applyBorder="1" applyAlignment="1" applyProtection="1">
      <alignment horizontal="center" vertical="center" wrapText="1"/>
      <protection hidden="1"/>
    </xf>
    <xf numFmtId="0" fontId="99" fillId="4" borderId="30" xfId="0" applyFont="1" applyFill="1" applyBorder="1" applyAlignment="1" applyProtection="1">
      <alignment horizontal="center" vertical="center" wrapText="1"/>
      <protection hidden="1"/>
    </xf>
    <xf numFmtId="0" fontId="99" fillId="4" borderId="57" xfId="0" applyFont="1" applyFill="1" applyBorder="1" applyAlignment="1" applyProtection="1">
      <alignment horizontal="center" vertical="center" wrapText="1"/>
      <protection hidden="1"/>
    </xf>
    <xf numFmtId="0" fontId="121" fillId="4" borderId="24" xfId="0" applyFont="1" applyFill="1" applyBorder="1" applyAlignment="1" applyProtection="1">
      <alignment horizontal="center" vertical="center"/>
      <protection hidden="1"/>
    </xf>
    <xf numFmtId="0" fontId="121" fillId="4" borderId="21" xfId="0" applyFont="1" applyFill="1" applyBorder="1" applyAlignment="1" applyProtection="1">
      <alignment horizontal="center" vertical="center"/>
      <protection hidden="1"/>
    </xf>
    <xf numFmtId="0" fontId="121" fillId="4" borderId="22" xfId="0" applyFont="1" applyFill="1" applyBorder="1" applyAlignment="1" applyProtection="1">
      <alignment horizontal="center" vertical="center"/>
      <protection hidden="1"/>
    </xf>
    <xf numFmtId="0" fontId="121" fillId="4" borderId="78" xfId="0" applyFont="1" applyFill="1" applyBorder="1" applyAlignment="1" applyProtection="1">
      <alignment horizontal="center" vertical="center"/>
      <protection hidden="1"/>
    </xf>
    <xf numFmtId="0" fontId="121"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11" fillId="4" borderId="19" xfId="0" quotePrefix="1" applyFont="1" applyFill="1" applyBorder="1" applyAlignment="1" applyProtection="1">
      <alignment horizontal="center" vertical="center" wrapText="1"/>
      <protection hidden="1"/>
    </xf>
    <xf numFmtId="0" fontId="111" fillId="4" borderId="0" xfId="0" applyFont="1" applyFill="1" applyAlignment="1" applyProtection="1">
      <alignment horizontal="center" vertical="center" wrapText="1"/>
      <protection hidden="1"/>
    </xf>
    <xf numFmtId="0" fontId="111"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15" fillId="4" borderId="43" xfId="0" applyFont="1" applyFill="1" applyBorder="1" applyAlignment="1" applyProtection="1">
      <alignment horizontal="center" vertical="center" textRotation="90" wrapText="1"/>
      <protection hidden="1"/>
    </xf>
    <xf numFmtId="0" fontId="115" fillId="4" borderId="19" xfId="0" applyFont="1" applyFill="1" applyBorder="1" applyAlignment="1" applyProtection="1">
      <alignment horizontal="center" vertical="center" textRotation="90" wrapText="1"/>
      <protection hidden="1"/>
    </xf>
    <xf numFmtId="0" fontId="110" fillId="9" borderId="106" xfId="0" applyFont="1" applyFill="1" applyBorder="1" applyAlignment="1" applyProtection="1">
      <alignment horizontal="center" vertical="center" wrapText="1"/>
      <protection hidden="1"/>
    </xf>
    <xf numFmtId="0" fontId="102" fillId="4" borderId="78" xfId="0" applyFont="1" applyFill="1" applyBorder="1" applyAlignment="1" applyProtection="1">
      <alignment horizontal="center" vertical="center"/>
      <protection hidden="1"/>
    </xf>
    <xf numFmtId="0" fontId="102"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104" fillId="4" borderId="23" xfId="0" applyFont="1" applyFill="1" applyBorder="1" applyAlignment="1">
      <alignment horizontal="center" vertical="center"/>
    </xf>
    <xf numFmtId="0" fontId="153" fillId="4" borderId="79" xfId="0" applyFont="1" applyFill="1" applyBorder="1" applyAlignment="1">
      <alignment horizontal="center" vertical="center"/>
    </xf>
    <xf numFmtId="0" fontId="153" fillId="4" borderId="163" xfId="0" applyFont="1" applyFill="1" applyBorder="1" applyAlignment="1">
      <alignment horizontal="center" vertical="center"/>
    </xf>
    <xf numFmtId="14" fontId="104" fillId="4" borderId="138" xfId="0" applyNumberFormat="1" applyFont="1" applyFill="1" applyBorder="1" applyAlignment="1" applyProtection="1">
      <alignment horizontal="center" vertical="center" wrapText="1"/>
      <protection hidden="1"/>
    </xf>
    <xf numFmtId="14" fontId="104" fillId="4" borderId="139" xfId="0" applyNumberFormat="1" applyFont="1" applyFill="1" applyBorder="1" applyAlignment="1" applyProtection="1">
      <alignment horizontal="center" vertical="center" wrapText="1"/>
      <protection hidden="1"/>
    </xf>
    <xf numFmtId="14" fontId="104" fillId="4" borderId="140" xfId="0" applyNumberFormat="1" applyFont="1" applyFill="1" applyBorder="1" applyAlignment="1" applyProtection="1">
      <alignment horizontal="center" vertical="center" wrapText="1"/>
      <protection hidden="1"/>
    </xf>
    <xf numFmtId="0" fontId="99" fillId="4" borderId="119" xfId="0" applyFont="1" applyFill="1" applyBorder="1" applyAlignment="1" applyProtection="1">
      <alignment horizontal="right" vertical="center" wrapText="1"/>
      <protection hidden="1"/>
    </xf>
    <xf numFmtId="0" fontId="99" fillId="4" borderId="125" xfId="0" applyFont="1" applyFill="1" applyBorder="1" applyAlignment="1" applyProtection="1">
      <alignment horizontal="right" vertical="center" wrapText="1"/>
      <protection hidden="1"/>
    </xf>
    <xf numFmtId="0" fontId="99" fillId="4" borderId="126" xfId="0" applyFont="1" applyFill="1" applyBorder="1" applyAlignment="1" applyProtection="1">
      <alignment horizontal="right" vertical="center" wrapText="1"/>
      <protection hidden="1"/>
    </xf>
    <xf numFmtId="0" fontId="104" fillId="4" borderId="29" xfId="0" applyFont="1" applyFill="1" applyBorder="1" applyAlignment="1" applyProtection="1">
      <alignment horizontal="center" vertical="center" wrapText="1"/>
      <protection hidden="1"/>
    </xf>
    <xf numFmtId="0" fontId="104" fillId="4" borderId="100" xfId="0" applyFont="1" applyFill="1" applyBorder="1" applyAlignment="1" applyProtection="1">
      <alignment horizontal="center" vertical="center" wrapText="1"/>
      <protection hidden="1"/>
    </xf>
    <xf numFmtId="0" fontId="99" fillId="4" borderId="118" xfId="0" quotePrefix="1" applyFont="1" applyFill="1" applyBorder="1" applyAlignment="1" applyProtection="1">
      <alignment horizontal="right" vertical="center"/>
      <protection hidden="1"/>
    </xf>
    <xf numFmtId="0" fontId="99"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57" fillId="4" borderId="65" xfId="0" applyFont="1" applyFill="1" applyBorder="1" applyAlignment="1" applyProtection="1">
      <alignment horizontal="center" vertical="center" wrapText="1"/>
      <protection hidden="1"/>
    </xf>
    <xf numFmtId="0" fontId="57"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99" fillId="4" borderId="68" xfId="0" applyFont="1" applyFill="1" applyBorder="1" applyAlignment="1" applyProtection="1">
      <alignment horizontal="right" vertical="center" wrapText="1"/>
      <protection hidden="1"/>
    </xf>
    <xf numFmtId="0" fontId="99"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104" fillId="4" borderId="101" xfId="0" applyFont="1" applyFill="1" applyBorder="1" applyAlignment="1" applyProtection="1">
      <alignment horizontal="center" vertical="center" wrapText="1"/>
      <protection hidden="1"/>
    </xf>
    <xf numFmtId="0" fontId="104"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99" fillId="4" borderId="65" xfId="0" applyFont="1" applyFill="1" applyBorder="1" applyAlignment="1">
      <alignment horizontal="right" vertical="center" wrapText="1"/>
    </xf>
    <xf numFmtId="0" fontId="99" fillId="4" borderId="79" xfId="0" applyFont="1" applyFill="1" applyBorder="1" applyAlignment="1">
      <alignment horizontal="right" vertical="center" wrapText="1"/>
    </xf>
    <xf numFmtId="0" fontId="99"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9" fillId="4" borderId="4" xfId="0" applyFont="1" applyFill="1" applyBorder="1" applyAlignment="1">
      <alignment horizontal="right" vertical="center" wrapText="1"/>
    </xf>
    <xf numFmtId="0" fontId="99" fillId="4" borderId="2" xfId="0" applyFont="1" applyFill="1" applyBorder="1" applyAlignment="1">
      <alignment horizontal="right" vertical="center" wrapText="1"/>
    </xf>
    <xf numFmtId="0" fontId="99" fillId="4" borderId="68" xfId="0" applyFont="1" applyFill="1" applyBorder="1" applyAlignment="1">
      <alignment horizontal="right" vertical="center" wrapText="1"/>
    </xf>
    <xf numFmtId="0" fontId="99" fillId="4" borderId="9" xfId="0" applyFont="1" applyFill="1" applyBorder="1" applyAlignment="1">
      <alignment horizontal="right" vertical="center" wrapText="1"/>
    </xf>
    <xf numFmtId="0" fontId="99" fillId="4" borderId="10" xfId="0" applyFont="1"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40" fillId="4" borderId="136" xfId="0" applyFont="1" applyFill="1" applyBorder="1" applyAlignment="1" applyProtection="1">
      <alignment horizontal="center" vertical="center" wrapText="1"/>
      <protection hidden="1"/>
    </xf>
    <xf numFmtId="0" fontId="140" fillId="4" borderId="133" xfId="0" applyFont="1" applyFill="1" applyBorder="1" applyAlignment="1" applyProtection="1">
      <alignment horizontal="center" vertical="center" wrapText="1"/>
      <protection hidden="1"/>
    </xf>
    <xf numFmtId="0" fontId="140"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9" fillId="0" borderId="1" xfId="0" applyFont="1" applyBorder="1" applyAlignment="1">
      <alignment horizontal="right" vertical="center" wrapText="1"/>
    </xf>
    <xf numFmtId="0" fontId="99" fillId="0" borderId="10" xfId="0" applyFont="1" applyBorder="1" applyAlignment="1">
      <alignment horizontal="right" vertical="center" wrapText="1"/>
    </xf>
    <xf numFmtId="0" fontId="106" fillId="4" borderId="30" xfId="0" applyFont="1" applyFill="1" applyBorder="1" applyAlignment="1">
      <alignment horizontal="center" vertical="center" wrapText="1"/>
    </xf>
    <xf numFmtId="0" fontId="106" fillId="4" borderId="28" xfId="0" applyFont="1" applyFill="1" applyBorder="1" applyAlignment="1">
      <alignment horizontal="center" vertical="center" wrapText="1"/>
    </xf>
    <xf numFmtId="0" fontId="104" fillId="0" borderId="2" xfId="0" applyFont="1" applyBorder="1" applyAlignment="1">
      <alignment horizontal="right" vertical="center" wrapText="1"/>
    </xf>
    <xf numFmtId="0" fontId="0" fillId="0" borderId="0" xfId="0" applyAlignment="1">
      <alignment horizontal="left" vertical="center" wrapText="1"/>
    </xf>
    <xf numFmtId="0" fontId="127" fillId="4" borderId="19" xfId="0" applyFont="1" applyFill="1" applyBorder="1" applyAlignment="1" applyProtection="1">
      <alignment horizontal="left" vertical="center"/>
      <protection hidden="1"/>
    </xf>
    <xf numFmtId="0" fontId="127"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104" fillId="4" borderId="1" xfId="0" applyNumberFormat="1" applyFont="1" applyFill="1" applyBorder="1" applyAlignment="1" applyProtection="1">
      <alignment horizontal="center" vertical="center" wrapText="1"/>
      <protection hidden="1"/>
    </xf>
    <xf numFmtId="8" fontId="104" fillId="4" borderId="77" xfId="0" applyNumberFormat="1" applyFont="1" applyFill="1" applyBorder="1" applyAlignment="1" applyProtection="1">
      <alignment horizontal="center" vertical="center" wrapText="1"/>
      <protection hidden="1"/>
    </xf>
    <xf numFmtId="0" fontId="88" fillId="4" borderId="19" xfId="0" applyFont="1" applyFill="1" applyBorder="1" applyAlignment="1" applyProtection="1">
      <alignment horizontal="center" vertical="center" wrapText="1"/>
      <protection hidden="1"/>
    </xf>
    <xf numFmtId="0" fontId="88" fillId="4" borderId="0" xfId="0" applyFont="1" applyFill="1" applyAlignment="1" applyProtection="1">
      <alignment horizontal="center" vertical="center" wrapText="1"/>
      <protection hidden="1"/>
    </xf>
    <xf numFmtId="0" fontId="121" fillId="4" borderId="43" xfId="0" applyFont="1" applyFill="1" applyBorder="1" applyAlignment="1" applyProtection="1">
      <alignment horizontal="center" vertical="center" wrapText="1"/>
      <protection hidden="1"/>
    </xf>
    <xf numFmtId="0" fontId="121" fillId="4" borderId="44" xfId="0" applyFont="1" applyFill="1" applyBorder="1" applyAlignment="1" applyProtection="1">
      <alignment horizontal="center" vertical="center" wrapText="1"/>
      <protection hidden="1"/>
    </xf>
    <xf numFmtId="0" fontId="121" fillId="4" borderId="19" xfId="0" applyFont="1" applyFill="1" applyBorder="1" applyAlignment="1" applyProtection="1">
      <alignment horizontal="center" vertical="center" wrapText="1"/>
      <protection hidden="1"/>
    </xf>
    <xf numFmtId="0" fontId="121"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88" fillId="4" borderId="19" xfId="0" applyFont="1" applyFill="1" applyBorder="1" applyAlignment="1">
      <alignment horizontal="center" vertical="center" wrapText="1"/>
    </xf>
    <xf numFmtId="0" fontId="88" fillId="4" borderId="0" xfId="0" applyFont="1" applyFill="1" applyAlignment="1">
      <alignment horizontal="center" vertical="center" wrapText="1"/>
    </xf>
    <xf numFmtId="0" fontId="88" fillId="4" borderId="15" xfId="0" applyFont="1" applyFill="1" applyBorder="1" applyAlignment="1">
      <alignment horizontal="center" vertical="center" wrapText="1"/>
    </xf>
    <xf numFmtId="9" fontId="156" fillId="4" borderId="0" xfId="3" applyFont="1" applyFill="1" applyBorder="1" applyAlignment="1" applyProtection="1">
      <alignment horizontal="center" vertical="center" wrapText="1"/>
      <protection hidden="1"/>
    </xf>
    <xf numFmtId="9" fontId="156" fillId="4" borderId="15" xfId="3" applyFont="1" applyFill="1" applyBorder="1" applyAlignment="1" applyProtection="1">
      <alignment horizontal="center" vertical="center" wrapText="1"/>
      <protection hidden="1"/>
    </xf>
    <xf numFmtId="0" fontId="156" fillId="4" borderId="0" xfId="0" applyFont="1" applyFill="1" applyAlignment="1" applyProtection="1">
      <alignment horizontal="center" vertical="center" wrapText="1"/>
      <protection hidden="1"/>
    </xf>
    <xf numFmtId="0" fontId="156" fillId="4" borderId="15" xfId="0" applyFont="1" applyFill="1" applyBorder="1" applyAlignment="1" applyProtection="1">
      <alignment horizontal="center" vertical="center" wrapText="1"/>
      <protection hidden="1"/>
    </xf>
    <xf numFmtId="0" fontId="156" fillId="4" borderId="18" xfId="0" applyFont="1" applyFill="1" applyBorder="1" applyAlignment="1" applyProtection="1">
      <alignment horizontal="center" vertical="center" wrapText="1"/>
      <protection hidden="1"/>
    </xf>
    <xf numFmtId="0" fontId="156" fillId="4" borderId="39" xfId="0" applyFont="1" applyFill="1" applyBorder="1" applyAlignment="1" applyProtection="1">
      <alignment horizontal="center" vertical="center" wrapText="1"/>
      <protection hidden="1"/>
    </xf>
    <xf numFmtId="0" fontId="99" fillId="4" borderId="102" xfId="0" applyFont="1" applyFill="1" applyBorder="1" applyAlignment="1" applyProtection="1">
      <alignment horizontal="right" vertical="center" wrapText="1"/>
      <protection hidden="1"/>
    </xf>
    <xf numFmtId="0" fontId="127" fillId="4" borderId="19" xfId="0" applyFont="1" applyFill="1" applyBorder="1" applyAlignment="1" applyProtection="1">
      <alignment horizontal="left" vertical="center" wrapText="1"/>
      <protection hidden="1"/>
    </xf>
    <xf numFmtId="0" fontId="127" fillId="4" borderId="0" xfId="0" applyFont="1" applyFill="1" applyAlignment="1" applyProtection="1">
      <alignment horizontal="left" vertical="center" wrapText="1"/>
      <protection hidden="1"/>
    </xf>
    <xf numFmtId="0" fontId="189" fillId="4" borderId="65" xfId="2" applyNumberFormat="1" applyFont="1" applyFill="1" applyBorder="1" applyAlignment="1" applyProtection="1">
      <alignment horizontal="center" vertical="center" wrapText="1"/>
      <protection hidden="1"/>
    </xf>
    <xf numFmtId="0" fontId="189" fillId="4" borderId="79" xfId="2" applyNumberFormat="1" applyFont="1" applyFill="1" applyBorder="1" applyAlignment="1" applyProtection="1">
      <alignment horizontal="center" vertical="center" wrapText="1"/>
      <protection hidden="1"/>
    </xf>
    <xf numFmtId="0" fontId="189" fillId="4" borderId="20" xfId="2" applyNumberFormat="1" applyFont="1" applyFill="1" applyBorder="1" applyAlignment="1" applyProtection="1">
      <alignment horizontal="center" vertical="center" wrapText="1"/>
      <protection hidden="1"/>
    </xf>
    <xf numFmtId="0" fontId="154" fillId="4" borderId="16" xfId="0" applyFont="1" applyFill="1" applyBorder="1" applyAlignment="1" applyProtection="1">
      <alignment horizontal="left" vertical="center"/>
      <protection hidden="1"/>
    </xf>
    <xf numFmtId="0" fontId="154" fillId="4" borderId="18" xfId="0" applyFont="1" applyFill="1" applyBorder="1" applyAlignment="1" applyProtection="1">
      <alignment horizontal="left" vertical="center"/>
      <protection hidden="1"/>
    </xf>
    <xf numFmtId="0" fontId="0" fillId="0" borderId="0" xfId="0" applyAlignment="1">
      <alignment horizontal="center" wrapText="1"/>
    </xf>
    <xf numFmtId="0" fontId="169" fillId="4" borderId="23" xfId="2" applyNumberFormat="1" applyFont="1" applyFill="1" applyBorder="1" applyAlignment="1" applyProtection="1">
      <alignment horizontal="center" vertical="center" wrapText="1"/>
      <protection locked="0" hidden="1"/>
    </xf>
    <xf numFmtId="0" fontId="169"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9" fillId="4" borderId="43" xfId="0" applyFont="1" applyFill="1" applyBorder="1" applyAlignment="1" applyProtection="1">
      <alignment horizontal="center" vertical="center"/>
      <protection hidden="1"/>
    </xf>
    <xf numFmtId="0" fontId="109" fillId="4" borderId="23" xfId="0" applyFont="1" applyFill="1" applyBorder="1" applyAlignment="1" applyProtection="1">
      <alignment horizontal="center" vertical="center"/>
      <protection hidden="1"/>
    </xf>
    <xf numFmtId="0" fontId="109"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104" fillId="4" borderId="11" xfId="0" applyFont="1" applyFill="1" applyBorder="1" applyAlignment="1" applyProtection="1">
      <alignment horizontal="center" vertical="center" wrapText="1"/>
      <protection hidden="1"/>
    </xf>
    <xf numFmtId="0" fontId="104" fillId="4" borderId="27" xfId="0" applyFont="1" applyFill="1" applyBorder="1" applyAlignment="1" applyProtection="1">
      <alignment horizontal="center" vertical="center" wrapText="1"/>
      <protection hidden="1"/>
    </xf>
    <xf numFmtId="0" fontId="121" fillId="9" borderId="4" xfId="0" applyFont="1" applyFill="1" applyBorder="1" applyAlignment="1" applyProtection="1">
      <alignment horizontal="center" vertical="center" wrapText="1"/>
      <protection hidden="1"/>
    </xf>
    <xf numFmtId="0" fontId="121" fillId="9" borderId="2" xfId="0" applyFont="1" applyFill="1" applyBorder="1" applyAlignment="1" applyProtection="1">
      <alignment horizontal="center" vertical="center" wrapText="1"/>
      <protection hidden="1"/>
    </xf>
    <xf numFmtId="0" fontId="110" fillId="9" borderId="24" xfId="0" applyFont="1" applyFill="1" applyBorder="1" applyAlignment="1" applyProtection="1">
      <alignment horizontal="center" vertical="center"/>
      <protection hidden="1"/>
    </xf>
    <xf numFmtId="0" fontId="110" fillId="9" borderId="21" xfId="0" applyFont="1" applyFill="1" applyBorder="1" applyAlignment="1" applyProtection="1">
      <alignment horizontal="center" vertical="center"/>
      <protection hidden="1"/>
    </xf>
    <xf numFmtId="0" fontId="110"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101" fillId="9" borderId="1" xfId="0" applyFont="1" applyFill="1" applyBorder="1" applyAlignment="1" applyProtection="1">
      <alignment horizontal="center" vertical="center" wrapText="1"/>
      <protection hidden="1"/>
    </xf>
    <xf numFmtId="0" fontId="101" fillId="9" borderId="9" xfId="0" applyFont="1" applyFill="1" applyBorder="1" applyAlignment="1" applyProtection="1">
      <alignment horizontal="center" vertical="center" wrapText="1"/>
      <protection hidden="1"/>
    </xf>
    <xf numFmtId="0" fontId="101" fillId="9" borderId="77" xfId="0" applyFont="1" applyFill="1" applyBorder="1" applyAlignment="1" applyProtection="1">
      <alignment horizontal="center" vertical="center" wrapText="1"/>
      <protection hidden="1"/>
    </xf>
    <xf numFmtId="0" fontId="121" fillId="9" borderId="1" xfId="0" applyFont="1" applyFill="1" applyBorder="1" applyAlignment="1">
      <alignment horizontal="center"/>
    </xf>
    <xf numFmtId="0" fontId="121" fillId="9" borderId="9" xfId="0" applyFont="1" applyFill="1" applyBorder="1" applyAlignment="1">
      <alignment horizontal="center"/>
    </xf>
    <xf numFmtId="0" fontId="121"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103" fillId="9" borderId="79" xfId="0" applyFont="1" applyFill="1" applyBorder="1" applyAlignment="1" applyProtection="1">
      <alignment horizontal="center" vertical="center" wrapText="1"/>
      <protection hidden="1"/>
    </xf>
    <xf numFmtId="0" fontId="103"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203" fillId="26" borderId="11" xfId="2" applyNumberFormat="1" applyFont="1" applyFill="1" applyBorder="1" applyAlignment="1" applyProtection="1">
      <alignment horizontal="center" vertical="center" wrapText="1"/>
      <protection hidden="1"/>
    </xf>
    <xf numFmtId="0" fontId="203" fillId="26"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205" fillId="9" borderId="79" xfId="0" applyFont="1" applyFill="1" applyBorder="1" applyAlignment="1" applyProtection="1">
      <alignment horizontal="center" vertical="center" wrapText="1"/>
      <protection hidden="1"/>
    </xf>
    <xf numFmtId="0" fontId="205" fillId="9" borderId="20" xfId="0" applyFont="1" applyFill="1" applyBorder="1" applyAlignment="1" applyProtection="1">
      <alignment horizontal="center" vertical="center" wrapText="1"/>
      <protection hidden="1"/>
    </xf>
    <xf numFmtId="0" fontId="99" fillId="9" borderId="65" xfId="0" applyFont="1" applyFill="1" applyBorder="1" applyAlignment="1" applyProtection="1">
      <alignment horizontal="center" vertical="center" wrapText="1"/>
      <protection hidden="1"/>
    </xf>
    <xf numFmtId="0" fontId="99" fillId="9" borderId="79" xfId="0" applyFont="1" applyFill="1" applyBorder="1" applyAlignment="1" applyProtection="1">
      <alignment horizontal="center" vertical="center" wrapText="1"/>
      <protection hidden="1"/>
    </xf>
    <xf numFmtId="0" fontId="104" fillId="9" borderId="0" xfId="0" applyFont="1" applyFill="1" applyAlignment="1">
      <alignment horizontal="center" vertical="center" wrapText="1"/>
    </xf>
    <xf numFmtId="0" fontId="0" fillId="0" borderId="0" xfId="0" applyAlignment="1">
      <alignment horizontal="left" vertical="top" wrapText="1"/>
    </xf>
    <xf numFmtId="0" fontId="172" fillId="9" borderId="171" xfId="0" applyFont="1" applyFill="1" applyBorder="1" applyAlignment="1">
      <alignment horizontal="center" vertical="center"/>
    </xf>
    <xf numFmtId="0" fontId="172" fillId="9" borderId="172" xfId="0" applyFont="1" applyFill="1" applyBorder="1" applyAlignment="1">
      <alignment horizontal="center" vertical="center"/>
    </xf>
    <xf numFmtId="0" fontId="114" fillId="9" borderId="223" xfId="0" applyFont="1" applyFill="1" applyBorder="1" applyAlignment="1">
      <alignment horizontal="left" vertical="center"/>
    </xf>
    <xf numFmtId="0" fontId="114" fillId="9" borderId="171" xfId="0" applyFont="1" applyFill="1" applyBorder="1" applyAlignment="1">
      <alignment horizontal="left" vertical="center"/>
    </xf>
    <xf numFmtId="0" fontId="22" fillId="9" borderId="80" xfId="0" applyFont="1" applyFill="1" applyBorder="1" applyAlignment="1">
      <alignment horizontal="right" vertical="center"/>
    </xf>
    <xf numFmtId="0" fontId="22" fillId="9" borderId="82" xfId="0" applyFont="1" applyFill="1" applyBorder="1" applyAlignment="1">
      <alignment horizontal="right" vertical="center"/>
    </xf>
    <xf numFmtId="8" fontId="6" fillId="6" borderId="164" xfId="0" applyNumberFormat="1" applyFont="1" applyFill="1" applyBorder="1" applyAlignment="1" applyProtection="1">
      <alignment horizontal="center" vertical="center"/>
      <protection locked="0"/>
    </xf>
    <xf numFmtId="8" fontId="21" fillId="6" borderId="10"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8" fontId="22" fillId="6" borderId="10" xfId="0" applyNumberFormat="1" applyFont="1" applyFill="1" applyBorder="1" applyAlignment="1" applyProtection="1">
      <alignment horizontal="center" vertical="center"/>
      <protection locked="0"/>
    </xf>
    <xf numFmtId="14" fontId="210" fillId="9" borderId="187" xfId="0" applyNumberFormat="1" applyFont="1" applyFill="1" applyBorder="1" applyAlignment="1" applyProtection="1">
      <alignment horizontal="center" vertical="center" wrapText="1"/>
      <protection hidden="1"/>
    </xf>
    <xf numFmtId="14" fontId="210" fillId="9" borderId="55" xfId="0" applyNumberFormat="1" applyFont="1" applyFill="1" applyBorder="1" applyAlignment="1" applyProtection="1">
      <alignment horizontal="center" vertical="center" wrapText="1"/>
      <protection hidden="1"/>
    </xf>
    <xf numFmtId="14" fontId="210" fillId="9" borderId="182" xfId="0" applyNumberFormat="1" applyFont="1" applyFill="1" applyBorder="1" applyAlignment="1" applyProtection="1">
      <alignment horizontal="center" vertical="center" wrapText="1"/>
      <protection hidden="1"/>
    </xf>
    <xf numFmtId="14" fontId="210" fillId="9" borderId="56" xfId="0" applyNumberFormat="1" applyFont="1" applyFill="1" applyBorder="1" applyAlignment="1" applyProtection="1">
      <alignment horizontal="center" vertical="center" wrapText="1"/>
      <protection hidden="1"/>
    </xf>
    <xf numFmtId="0" fontId="62" fillId="9" borderId="0" xfId="2" applyNumberFormat="1" applyFill="1" applyAlignment="1" applyProtection="1">
      <alignment horizontal="right" vertical="center"/>
      <protection hidden="1"/>
    </xf>
    <xf numFmtId="14" fontId="62" fillId="9" borderId="295" xfId="2" applyNumberFormat="1" applyFill="1" applyBorder="1" applyAlignment="1" applyProtection="1">
      <alignment horizontal="right" vertical="center"/>
      <protection hidden="1"/>
    </xf>
    <xf numFmtId="14" fontId="62" fillId="9" borderId="81" xfId="2" applyNumberFormat="1" applyFill="1" applyBorder="1" applyAlignment="1" applyProtection="1">
      <alignment horizontal="right" vertical="center"/>
      <protection hidden="1"/>
    </xf>
    <xf numFmtId="14" fontId="62" fillId="9" borderId="82" xfId="2" applyNumberFormat="1" applyFill="1" applyBorder="1" applyAlignment="1" applyProtection="1">
      <alignment horizontal="right" vertical="center"/>
      <protection hidden="1"/>
    </xf>
    <xf numFmtId="0" fontId="19" fillId="9" borderId="187" xfId="0" applyFont="1" applyFill="1" applyBorder="1" applyAlignment="1" applyProtection="1">
      <alignment horizontal="right" vertical="center" wrapText="1"/>
      <protection hidden="1"/>
    </xf>
    <xf numFmtId="0" fontId="19" fillId="9" borderId="113" xfId="0" applyFont="1" applyFill="1" applyBorder="1" applyAlignment="1" applyProtection="1">
      <alignment horizontal="right" vertical="center" wrapText="1"/>
      <protection hidden="1"/>
    </xf>
    <xf numFmtId="0" fontId="19" fillId="9" borderId="55" xfId="0" applyFont="1" applyFill="1" applyBorder="1" applyAlignment="1" applyProtection="1">
      <alignment horizontal="right" vertical="center" wrapText="1"/>
      <protection hidden="1"/>
    </xf>
    <xf numFmtId="0" fontId="19" fillId="9" borderId="182" xfId="0" applyFont="1" applyFill="1" applyBorder="1" applyAlignment="1" applyProtection="1">
      <alignment horizontal="right" vertical="center" wrapText="1"/>
      <protection hidden="1"/>
    </xf>
    <xf numFmtId="0" fontId="19" fillId="9" borderId="28" xfId="0" applyFont="1" applyFill="1" applyBorder="1" applyAlignment="1" applyProtection="1">
      <alignment horizontal="right" vertical="center" wrapText="1"/>
      <protection hidden="1"/>
    </xf>
    <xf numFmtId="0" fontId="19" fillId="9" borderId="56" xfId="0" applyFont="1" applyFill="1" applyBorder="1" applyAlignment="1" applyProtection="1">
      <alignment horizontal="right" vertical="center" wrapText="1"/>
      <protection hidden="1"/>
    </xf>
    <xf numFmtId="0" fontId="141" fillId="9" borderId="164" xfId="0" applyFont="1" applyFill="1" applyBorder="1" applyAlignment="1" applyProtection="1">
      <alignment horizontal="left" vertical="center"/>
      <protection hidden="1"/>
    </xf>
    <xf numFmtId="0" fontId="141" fillId="9" borderId="9" xfId="0" applyFont="1" applyFill="1" applyBorder="1" applyAlignment="1" applyProtection="1">
      <alignment horizontal="left" vertical="center"/>
      <protection hidden="1"/>
    </xf>
    <xf numFmtId="0" fontId="141" fillId="9" borderId="10" xfId="0" applyFont="1" applyFill="1" applyBorder="1" applyAlignment="1" applyProtection="1">
      <alignment horizontal="left" vertical="center"/>
      <protection hidden="1"/>
    </xf>
    <xf numFmtId="0" fontId="172" fillId="0" borderId="1" xfId="0" applyFont="1" applyBorder="1" applyAlignment="1" applyProtection="1">
      <alignment horizontal="center" vertical="center"/>
      <protection locked="0"/>
    </xf>
    <xf numFmtId="0" fontId="172" fillId="0" borderId="9" xfId="0" applyFont="1" applyBorder="1" applyAlignment="1" applyProtection="1">
      <alignment horizontal="center" vertical="center"/>
      <protection locked="0"/>
    </xf>
    <xf numFmtId="0" fontId="172" fillId="0" borderId="146" xfId="0" applyFont="1" applyBorder="1" applyAlignment="1" applyProtection="1">
      <alignment horizontal="center" vertical="center"/>
      <protection locked="0"/>
    </xf>
    <xf numFmtId="0" fontId="172" fillId="9" borderId="224" xfId="0" applyFont="1" applyFill="1" applyBorder="1" applyAlignment="1" applyProtection="1">
      <alignment horizontal="center" vertical="center"/>
      <protection hidden="1"/>
    </xf>
    <xf numFmtId="0" fontId="172" fillId="9" borderId="23" xfId="0" applyFont="1" applyFill="1" applyBorder="1" applyAlignment="1" applyProtection="1">
      <alignment horizontal="center" vertical="center"/>
      <protection hidden="1"/>
    </xf>
    <xf numFmtId="0" fontId="172" fillId="9" borderId="225" xfId="0" applyFont="1" applyFill="1" applyBorder="1" applyAlignment="1" applyProtection="1">
      <alignment horizontal="center" vertical="center"/>
      <protection hidden="1"/>
    </xf>
    <xf numFmtId="0" fontId="239" fillId="9" borderId="185" xfId="0" applyFont="1" applyFill="1" applyBorder="1" applyAlignment="1" applyProtection="1">
      <alignment horizontal="center" vertical="center" wrapText="1"/>
      <protection hidden="1"/>
    </xf>
    <xf numFmtId="0" fontId="239" fillId="9" borderId="0" xfId="0" applyFont="1" applyFill="1" applyAlignment="1" applyProtection="1">
      <alignment horizontal="center" vertical="center" wrapText="1"/>
      <protection hidden="1"/>
    </xf>
    <xf numFmtId="0" fontId="239" fillId="9" borderId="153" xfId="0" applyFont="1" applyFill="1" applyBorder="1" applyAlignment="1" applyProtection="1">
      <alignment horizontal="center" vertical="center" wrapText="1"/>
      <protection hidden="1"/>
    </xf>
    <xf numFmtId="0" fontId="239" fillId="9" borderId="205" xfId="0" applyFont="1" applyFill="1" applyBorder="1" applyAlignment="1" applyProtection="1">
      <alignment horizontal="center" vertical="center" wrapText="1"/>
      <protection hidden="1"/>
    </xf>
    <xf numFmtId="0" fontId="239" fillId="9" borderId="18" xfId="0" applyFont="1" applyFill="1" applyBorder="1" applyAlignment="1" applyProtection="1">
      <alignment horizontal="center" vertical="center" wrapText="1"/>
      <protection hidden="1"/>
    </xf>
    <xf numFmtId="0" fontId="239" fillId="9" borderId="296" xfId="0" applyFont="1" applyFill="1" applyBorder="1" applyAlignment="1" applyProtection="1">
      <alignment horizontal="center" vertical="center" wrapText="1"/>
      <protection hidden="1"/>
    </xf>
    <xf numFmtId="0" fontId="112" fillId="9" borderId="115" xfId="0" quotePrefix="1" applyFont="1" applyFill="1" applyBorder="1" applyAlignment="1" applyProtection="1">
      <alignment horizontal="center" vertical="center" wrapText="1"/>
      <protection hidden="1"/>
    </xf>
    <xf numFmtId="0" fontId="112" fillId="9" borderId="23" xfId="0" quotePrefix="1" applyFont="1" applyFill="1" applyBorder="1" applyAlignment="1" applyProtection="1">
      <alignment horizontal="center" vertical="center" wrapText="1"/>
      <protection hidden="1"/>
    </xf>
    <xf numFmtId="14" fontId="210" fillId="9" borderId="12" xfId="0" applyNumberFormat="1" applyFont="1" applyFill="1" applyBorder="1" applyAlignment="1" applyProtection="1">
      <alignment horizontal="center" vertical="center" wrapText="1"/>
      <protection hidden="1"/>
    </xf>
    <xf numFmtId="14" fontId="210" fillId="9" borderId="41" xfId="0" applyNumberFormat="1" applyFont="1" applyFill="1" applyBorder="1" applyAlignment="1" applyProtection="1">
      <alignment horizontal="center" vertical="center" wrapText="1"/>
      <protection hidden="1"/>
    </xf>
    <xf numFmtId="8" fontId="210" fillId="9" borderId="12" xfId="3" applyNumberFormat="1" applyFont="1" applyFill="1" applyBorder="1" applyAlignment="1" applyProtection="1">
      <alignment horizontal="center" vertical="center" wrapText="1"/>
      <protection hidden="1"/>
    </xf>
    <xf numFmtId="8" fontId="210" fillId="9" borderId="41" xfId="3" applyNumberFormat="1" applyFont="1" applyFill="1" applyBorder="1" applyAlignment="1" applyProtection="1">
      <alignment horizontal="center" vertical="center" wrapText="1"/>
      <protection hidden="1"/>
    </xf>
    <xf numFmtId="0" fontId="22" fillId="9" borderId="164" xfId="0" applyFont="1" applyFill="1" applyBorder="1" applyAlignment="1">
      <alignment horizontal="left" vertical="center"/>
    </xf>
    <xf numFmtId="0" fontId="22" fillId="9" borderId="9" xfId="0" applyFont="1" applyFill="1" applyBorder="1" applyAlignment="1">
      <alignment horizontal="left" vertical="center"/>
    </xf>
    <xf numFmtId="0" fontId="22" fillId="9" borderId="10" xfId="0" applyFont="1" applyFill="1" applyBorder="1" applyAlignment="1">
      <alignment horizontal="left" vertical="center"/>
    </xf>
    <xf numFmtId="0" fontId="22" fillId="9" borderId="81" xfId="0" applyFont="1" applyFill="1" applyBorder="1" applyAlignment="1">
      <alignment horizontal="center" vertical="center"/>
    </xf>
    <xf numFmtId="0" fontId="22" fillId="9" borderId="252" xfId="0" applyFont="1" applyFill="1" applyBorder="1" applyAlignment="1">
      <alignment horizontal="center" vertical="center"/>
    </xf>
    <xf numFmtId="10" fontId="219" fillId="9" borderId="225" xfId="3" applyNumberFormat="1" applyFont="1" applyFill="1" applyBorder="1" applyAlignment="1" applyProtection="1">
      <alignment horizontal="center" vertical="center" wrapText="1"/>
      <protection hidden="1"/>
    </xf>
    <xf numFmtId="10" fontId="219" fillId="9" borderId="153" xfId="3" applyNumberFormat="1" applyFont="1" applyFill="1" applyBorder="1" applyAlignment="1" applyProtection="1">
      <alignment horizontal="center" vertical="center" wrapText="1"/>
      <protection hidden="1"/>
    </xf>
    <xf numFmtId="10" fontId="219" fillId="9" borderId="174" xfId="3" applyNumberFormat="1" applyFont="1" applyFill="1" applyBorder="1" applyAlignment="1" applyProtection="1">
      <alignment horizontal="center" vertical="center" wrapText="1"/>
      <protection hidden="1"/>
    </xf>
    <xf numFmtId="0" fontId="22" fillId="9" borderId="224" xfId="0" applyFont="1" applyFill="1" applyBorder="1" applyAlignment="1" applyProtection="1">
      <alignment horizontal="right" vertical="center" wrapText="1"/>
      <protection hidden="1"/>
    </xf>
    <xf numFmtId="0" fontId="22" fillId="9" borderId="23" xfId="0" applyFont="1" applyFill="1" applyBorder="1" applyAlignment="1" applyProtection="1">
      <alignment horizontal="right" vertical="center" wrapText="1"/>
      <protection hidden="1"/>
    </xf>
    <xf numFmtId="0" fontId="22" fillId="9" borderId="84" xfId="0" applyFont="1" applyFill="1" applyBorder="1" applyAlignment="1" applyProtection="1">
      <alignment horizontal="right" vertical="center" wrapText="1"/>
      <protection hidden="1"/>
    </xf>
    <xf numFmtId="0" fontId="19" fillId="9" borderId="295" xfId="0" applyFont="1" applyFill="1" applyBorder="1" applyAlignment="1">
      <alignment horizontal="center" vertical="center"/>
    </xf>
    <xf numFmtId="0" fontId="19" fillId="9" borderId="81" xfId="0" applyFont="1" applyFill="1" applyBorder="1" applyAlignment="1">
      <alignment horizontal="center" vertical="center"/>
    </xf>
    <xf numFmtId="0" fontId="62" fillId="9" borderId="164" xfId="2" applyNumberFormat="1" applyFill="1" applyBorder="1" applyAlignment="1" applyProtection="1">
      <alignment horizontal="left" vertical="center"/>
      <protection hidden="1"/>
    </xf>
    <xf numFmtId="0" fontId="62" fillId="9" borderId="9" xfId="2" applyNumberFormat="1" applyFill="1" applyBorder="1" applyAlignment="1" applyProtection="1">
      <alignment horizontal="left" vertical="center"/>
      <protection hidden="1"/>
    </xf>
    <xf numFmtId="8" fontId="124" fillId="6" borderId="164" xfId="0" applyNumberFormat="1" applyFont="1" applyFill="1" applyBorder="1" applyAlignment="1" applyProtection="1">
      <alignment horizontal="center" vertical="center"/>
      <protection locked="0"/>
    </xf>
    <xf numFmtId="8" fontId="22" fillId="6" borderId="164" xfId="0" applyNumberFormat="1" applyFont="1" applyFill="1" applyBorder="1" applyAlignment="1" applyProtection="1">
      <alignment horizontal="center" vertical="center"/>
      <protection locked="0"/>
    </xf>
    <xf numFmtId="14" fontId="114" fillId="9" borderId="214" xfId="0" applyNumberFormat="1" applyFont="1" applyFill="1" applyBorder="1" applyAlignment="1" applyProtection="1">
      <alignment horizontal="right" vertical="center"/>
      <protection hidden="1"/>
    </xf>
    <xf numFmtId="14" fontId="114" fillId="9" borderId="210" xfId="0" applyNumberFormat="1" applyFont="1" applyFill="1" applyBorder="1" applyAlignment="1" applyProtection="1">
      <alignment horizontal="right" vertical="center"/>
      <protection hidden="1"/>
    </xf>
    <xf numFmtId="0" fontId="17" fillId="9" borderId="171" xfId="0" applyFont="1" applyFill="1" applyBorder="1" applyAlignment="1" applyProtection="1">
      <alignment horizontal="right" vertical="center"/>
      <protection hidden="1"/>
    </xf>
    <xf numFmtId="0" fontId="18" fillId="9" borderId="171" xfId="0" applyFont="1" applyFill="1" applyBorder="1" applyAlignment="1" applyProtection="1">
      <alignment horizontal="right" vertical="center"/>
      <protection hidden="1"/>
    </xf>
    <xf numFmtId="0" fontId="62" fillId="9" borderId="164" xfId="2" quotePrefix="1" applyNumberFormat="1" applyFill="1" applyBorder="1" applyAlignment="1" applyProtection="1">
      <alignment horizontal="left" vertical="center"/>
      <protection hidden="1"/>
    </xf>
    <xf numFmtId="0" fontId="62" fillId="9" borderId="9" xfId="2" quotePrefix="1" applyNumberFormat="1" applyFill="1" applyBorder="1" applyAlignment="1" applyProtection="1">
      <alignment horizontal="left" vertical="center"/>
      <protection hidden="1"/>
    </xf>
    <xf numFmtId="0" fontId="22" fillId="9" borderId="206" xfId="0" applyFont="1" applyFill="1" applyBorder="1" applyAlignment="1" applyProtection="1">
      <alignment horizontal="left" vertical="center"/>
      <protection hidden="1"/>
    </xf>
    <xf numFmtId="0" fontId="22" fillId="9" borderId="78" xfId="0" applyFont="1" applyFill="1" applyBorder="1" applyAlignment="1" applyProtection="1">
      <alignment horizontal="left" vertical="center"/>
      <protection hidden="1"/>
    </xf>
    <xf numFmtId="0" fontId="99" fillId="0" borderId="0" xfId="0" applyFont="1" applyAlignment="1">
      <alignment horizontal="center" vertical="center"/>
    </xf>
    <xf numFmtId="10" fontId="0" fillId="0" borderId="0" xfId="0" applyNumberFormat="1" applyAlignment="1">
      <alignment horizontal="center" vertical="center"/>
    </xf>
    <xf numFmtId="0" fontId="114" fillId="9" borderId="164" xfId="0" applyFont="1" applyFill="1" applyBorder="1" applyAlignment="1" applyProtection="1">
      <alignment horizontal="left" vertical="center"/>
      <protection hidden="1"/>
    </xf>
    <xf numFmtId="0" fontId="114" fillId="9" borderId="9" xfId="0" applyFont="1" applyFill="1" applyBorder="1" applyAlignment="1" applyProtection="1">
      <alignment horizontal="left" vertical="center"/>
      <protection hidden="1"/>
    </xf>
    <xf numFmtId="0" fontId="114" fillId="9" borderId="10" xfId="0" applyFont="1" applyFill="1" applyBorder="1" applyAlignment="1" applyProtection="1">
      <alignment horizontal="left" vertical="center"/>
      <protection hidden="1"/>
    </xf>
    <xf numFmtId="0" fontId="22" fillId="9" borderId="164" xfId="0" applyFont="1" applyFill="1" applyBorder="1" applyAlignment="1" applyProtection="1">
      <alignment horizontal="left" vertical="center"/>
      <protection hidden="1"/>
    </xf>
    <xf numFmtId="0" fontId="22" fillId="9" borderId="9" xfId="0" applyFont="1" applyFill="1" applyBorder="1" applyAlignment="1" applyProtection="1">
      <alignment horizontal="left" vertical="center"/>
      <protection hidden="1"/>
    </xf>
    <xf numFmtId="0" fontId="22"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202" fillId="9" borderId="164" xfId="0" applyFont="1" applyFill="1" applyBorder="1" applyAlignment="1" applyProtection="1">
      <alignment horizontal="left" vertical="center"/>
      <protection hidden="1"/>
    </xf>
    <xf numFmtId="0" fontId="202" fillId="9" borderId="9" xfId="0" applyFont="1" applyFill="1" applyBorder="1" applyAlignment="1" applyProtection="1">
      <alignment horizontal="left" vertical="center"/>
      <protection hidden="1"/>
    </xf>
    <xf numFmtId="0" fontId="202" fillId="9" borderId="10" xfId="0" applyFont="1" applyFill="1" applyBorder="1" applyAlignment="1" applyProtection="1">
      <alignment horizontal="left" vertical="center"/>
      <protection hidden="1"/>
    </xf>
    <xf numFmtId="0" fontId="172" fillId="9" borderId="164" xfId="0" applyFont="1" applyFill="1" applyBorder="1" applyAlignment="1" applyProtection="1">
      <alignment horizontal="left" vertical="center"/>
      <protection hidden="1"/>
    </xf>
    <xf numFmtId="0" fontId="172" fillId="9" borderId="9" xfId="0" applyFont="1" applyFill="1" applyBorder="1" applyAlignment="1" applyProtection="1">
      <alignment horizontal="left" vertical="center"/>
      <protection hidden="1"/>
    </xf>
    <xf numFmtId="0" fontId="172" fillId="9" borderId="10" xfId="0" applyFont="1" applyFill="1" applyBorder="1" applyAlignment="1" applyProtection="1">
      <alignment horizontal="left" vertical="center"/>
      <protection hidden="1"/>
    </xf>
    <xf numFmtId="0" fontId="114" fillId="9" borderId="214" xfId="0" applyFont="1" applyFill="1" applyBorder="1" applyAlignment="1">
      <alignment horizontal="center" vertical="center"/>
    </xf>
    <xf numFmtId="0" fontId="114" fillId="9" borderId="176" xfId="0" applyFont="1" applyFill="1" applyBorder="1" applyAlignment="1">
      <alignment horizontal="center" vertical="center"/>
    </xf>
    <xf numFmtId="0" fontId="114" fillId="9" borderId="231" xfId="0" applyFont="1" applyFill="1" applyBorder="1" applyAlignment="1">
      <alignment horizontal="center" vertical="center"/>
    </xf>
    <xf numFmtId="8" fontId="105" fillId="4" borderId="189" xfId="0" applyNumberFormat="1" applyFont="1" applyFill="1" applyBorder="1" applyAlignment="1" applyProtection="1">
      <alignment horizontal="center" vertical="center" wrapText="1"/>
      <protection hidden="1"/>
    </xf>
    <xf numFmtId="8" fontId="105" fillId="4" borderId="180" xfId="0" applyNumberFormat="1" applyFont="1" applyFill="1" applyBorder="1" applyAlignment="1" applyProtection="1">
      <alignment horizontal="center" vertical="center" wrapText="1"/>
      <protection hidden="1"/>
    </xf>
    <xf numFmtId="8" fontId="105" fillId="4" borderId="181" xfId="0" applyNumberFormat="1" applyFont="1" applyFill="1" applyBorder="1" applyAlignment="1" applyProtection="1">
      <alignment horizontal="center" vertical="center" wrapText="1"/>
      <protection hidden="1"/>
    </xf>
    <xf numFmtId="8" fontId="105" fillId="4" borderId="31" xfId="0" applyNumberFormat="1" applyFont="1" applyFill="1" applyBorder="1" applyAlignment="1" applyProtection="1">
      <alignment horizontal="center" vertical="center" wrapText="1"/>
      <protection hidden="1"/>
    </xf>
    <xf numFmtId="8" fontId="105" fillId="4" borderId="28" xfId="0" applyNumberFormat="1" applyFont="1" applyFill="1" applyBorder="1" applyAlignment="1" applyProtection="1">
      <alignment horizontal="center" vertical="center" wrapText="1"/>
      <protection hidden="1"/>
    </xf>
    <xf numFmtId="8" fontId="105" fillId="4" borderId="174" xfId="0" applyNumberFormat="1" applyFont="1" applyFill="1" applyBorder="1" applyAlignment="1" applyProtection="1">
      <alignment horizontal="center" vertical="center" wrapText="1"/>
      <protection hidden="1"/>
    </xf>
    <xf numFmtId="0" fontId="62" fillId="9" borderId="185" xfId="2" applyNumberFormat="1" applyFill="1" applyBorder="1" applyAlignment="1" applyProtection="1">
      <alignment horizontal="center" vertical="top" wrapText="1"/>
    </xf>
    <xf numFmtId="0" fontId="62" fillId="9" borderId="0" xfId="2" applyNumberFormat="1" applyFill="1" applyBorder="1" applyAlignment="1" applyProtection="1">
      <alignment horizontal="center" vertical="top" wrapText="1"/>
    </xf>
    <xf numFmtId="0" fontId="62" fillId="9" borderId="153" xfId="2" applyNumberFormat="1" applyFill="1" applyBorder="1" applyAlignment="1" applyProtection="1">
      <alignment horizontal="center" vertical="top" wrapText="1"/>
    </xf>
    <xf numFmtId="0" fontId="62" fillId="9" borderId="212" xfId="2" applyNumberFormat="1" applyFill="1" applyBorder="1" applyAlignment="1" applyProtection="1">
      <alignment horizontal="center" vertical="top" wrapText="1"/>
    </xf>
    <xf numFmtId="0" fontId="62" fillId="9" borderId="184" xfId="2" applyNumberFormat="1" applyFill="1" applyBorder="1" applyAlignment="1" applyProtection="1">
      <alignment horizontal="center" vertical="top" wrapText="1"/>
    </xf>
    <xf numFmtId="0" fontId="62" fillId="9" borderId="221" xfId="2" applyNumberFormat="1" applyFill="1" applyBorder="1" applyAlignment="1" applyProtection="1">
      <alignment horizontal="center" vertical="top" wrapText="1"/>
    </xf>
    <xf numFmtId="0" fontId="109" fillId="9" borderId="295" xfId="0" applyFont="1" applyFill="1" applyBorder="1" applyAlignment="1" applyProtection="1">
      <alignment horizontal="left" vertical="center"/>
      <protection hidden="1"/>
    </xf>
    <xf numFmtId="0" fontId="109" fillId="9" borderId="81" xfId="0" applyFont="1" applyFill="1" applyBorder="1" applyAlignment="1" applyProtection="1">
      <alignment horizontal="left" vertical="center"/>
      <protection hidden="1"/>
    </xf>
    <xf numFmtId="0" fontId="109" fillId="9" borderId="82" xfId="0" applyFont="1" applyFill="1" applyBorder="1" applyAlignment="1" applyProtection="1">
      <alignment horizontal="left" vertical="center"/>
      <protection hidden="1"/>
    </xf>
    <xf numFmtId="197" fontId="88" fillId="9" borderId="2" xfId="0" applyNumberFormat="1" applyFont="1" applyFill="1" applyBorder="1" applyAlignment="1" applyProtection="1">
      <alignment horizontal="center" vertical="center"/>
      <protection hidden="1"/>
    </xf>
    <xf numFmtId="197" fontId="88"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57" fillId="9" borderId="289" xfId="0" applyFont="1" applyFill="1" applyBorder="1" applyAlignment="1">
      <alignment horizontal="center" vertical="center" wrapText="1"/>
    </xf>
    <xf numFmtId="0" fontId="57" fillId="9" borderId="290" xfId="0" applyFont="1" applyFill="1" applyBorder="1" applyAlignment="1">
      <alignment horizontal="center" vertical="center" wrapText="1"/>
    </xf>
    <xf numFmtId="0" fontId="57" fillId="9" borderId="291" xfId="0" applyFont="1" applyFill="1" applyBorder="1" applyAlignment="1">
      <alignment horizontal="center" vertical="center" wrapText="1"/>
    </xf>
    <xf numFmtId="0" fontId="20" fillId="9" borderId="164" xfId="0" applyFont="1" applyFill="1" applyBorder="1" applyAlignment="1" applyProtection="1">
      <alignment horizontal="right" vertical="center" wrapText="1"/>
      <protection hidden="1"/>
    </xf>
    <xf numFmtId="0" fontId="20"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21"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51"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9" fillId="9" borderId="255" xfId="0" applyFont="1" applyFill="1" applyBorder="1" applyAlignment="1" applyProtection="1">
      <alignment horizontal="right" vertical="center" wrapText="1"/>
      <protection hidden="1"/>
    </xf>
    <xf numFmtId="0" fontId="109" fillId="9" borderId="235" xfId="0" applyFont="1" applyFill="1" applyBorder="1" applyAlignment="1" applyProtection="1">
      <alignment horizontal="right" vertical="center" wrapText="1"/>
      <protection hidden="1"/>
    </xf>
    <xf numFmtId="10" fontId="250" fillId="6" borderId="236" xfId="3" applyNumberFormat="1" applyFont="1" applyFill="1" applyBorder="1" applyAlignment="1" applyProtection="1">
      <alignment horizontal="center" vertical="center" wrapText="1"/>
      <protection locked="0"/>
    </xf>
    <xf numFmtId="10" fontId="250" fillId="6" borderId="237" xfId="3" applyNumberFormat="1" applyFont="1" applyFill="1" applyBorder="1" applyAlignment="1" applyProtection="1">
      <alignment horizontal="center" vertical="center" wrapText="1"/>
      <protection locked="0"/>
    </xf>
    <xf numFmtId="10" fontId="250" fillId="6" borderId="256" xfId="3" applyNumberFormat="1" applyFont="1" applyFill="1" applyBorder="1" applyAlignment="1" applyProtection="1">
      <alignment horizontal="center" vertical="center" wrapText="1"/>
      <protection locked="0"/>
    </xf>
    <xf numFmtId="0" fontId="99" fillId="9" borderId="164"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2"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9" fillId="9" borderId="170" xfId="0" applyFont="1" applyFill="1" applyBorder="1" applyAlignment="1">
      <alignment horizontal="right" vertical="center"/>
    </xf>
    <xf numFmtId="0" fontId="109" fillId="9" borderId="2" xfId="0" applyFont="1" applyFill="1" applyBorder="1" applyAlignment="1">
      <alignment horizontal="right" vertical="center"/>
    </xf>
    <xf numFmtId="0" fontId="0" fillId="9" borderId="164"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26" fillId="9" borderId="0" xfId="0" applyFont="1" applyFill="1" applyAlignment="1" applyProtection="1">
      <alignment horizontal="center" vertical="center"/>
      <protection hidden="1"/>
    </xf>
    <xf numFmtId="178" fontId="252" fillId="9" borderId="249" xfId="0" applyNumberFormat="1" applyFont="1" applyFill="1" applyBorder="1" applyAlignment="1" applyProtection="1">
      <alignment horizontal="center" vertical="center"/>
      <protection hidden="1"/>
    </xf>
    <xf numFmtId="178" fontId="252" fillId="9" borderId="11" xfId="0" applyNumberFormat="1" applyFont="1" applyFill="1" applyBorder="1" applyAlignment="1" applyProtection="1">
      <alignment horizontal="center" vertical="center"/>
      <protection hidden="1"/>
    </xf>
    <xf numFmtId="0" fontId="161" fillId="9" borderId="234" xfId="0" applyFont="1" applyFill="1" applyBorder="1" applyAlignment="1" applyProtection="1">
      <alignment horizontal="right" vertical="center" wrapText="1"/>
      <protection hidden="1"/>
    </xf>
    <xf numFmtId="0" fontId="161" fillId="9" borderId="235" xfId="0" applyFont="1" applyFill="1" applyBorder="1" applyAlignment="1" applyProtection="1">
      <alignment horizontal="right" vertical="center" wrapText="1"/>
      <protection hidden="1"/>
    </xf>
    <xf numFmtId="6" fontId="121" fillId="9" borderId="235" xfId="0" applyNumberFormat="1" applyFont="1" applyFill="1" applyBorder="1" applyAlignment="1" applyProtection="1">
      <alignment horizontal="center" vertical="center"/>
      <protection hidden="1"/>
    </xf>
    <xf numFmtId="6" fontId="121" fillId="9" borderId="251" xfId="0" applyNumberFormat="1" applyFont="1" applyFill="1" applyBorder="1" applyAlignment="1" applyProtection="1">
      <alignment horizontal="center" vertical="center"/>
      <protection hidden="1"/>
    </xf>
    <xf numFmtId="6" fontId="121" fillId="9" borderId="237" xfId="3" applyNumberFormat="1" applyFont="1" applyFill="1" applyBorder="1" applyAlignment="1" applyProtection="1">
      <alignment horizontal="center" vertical="center"/>
      <protection hidden="1"/>
    </xf>
    <xf numFmtId="6" fontId="121" fillId="9" borderId="238" xfId="3" applyNumberFormat="1" applyFont="1" applyFill="1" applyBorder="1" applyAlignment="1" applyProtection="1">
      <alignment horizontal="center" vertical="center"/>
      <protection hidden="1"/>
    </xf>
    <xf numFmtId="178" fontId="88" fillId="0" borderId="2" xfId="0" applyNumberFormat="1" applyFont="1" applyBorder="1" applyAlignment="1" applyProtection="1">
      <alignment horizontal="center" vertical="center"/>
      <protection locked="0"/>
    </xf>
    <xf numFmtId="0" fontId="88" fillId="0" borderId="232"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99" fillId="9" borderId="13" xfId="0" applyFont="1" applyFill="1" applyBorder="1" applyAlignment="1" applyProtection="1">
      <alignment horizontal="right" vertical="center"/>
      <protection hidden="1"/>
    </xf>
    <xf numFmtId="0" fontId="99" fillId="9" borderId="12" xfId="0" applyFont="1" applyFill="1" applyBorder="1" applyAlignment="1" applyProtection="1">
      <alignment horizontal="right" vertical="center"/>
      <protection hidden="1"/>
    </xf>
    <xf numFmtId="178" fontId="99" fillId="9" borderId="12" xfId="0" applyNumberFormat="1" applyFont="1" applyFill="1" applyBorder="1" applyAlignment="1" applyProtection="1">
      <alignment horizontal="center" vertical="center"/>
      <protection hidden="1"/>
    </xf>
    <xf numFmtId="178" fontId="99" fillId="9" borderId="233" xfId="0" applyNumberFormat="1" applyFont="1" applyFill="1" applyBorder="1" applyAlignment="1" applyProtection="1">
      <alignment horizontal="center" vertical="center"/>
      <protection hidden="1"/>
    </xf>
    <xf numFmtId="6" fontId="101" fillId="9" borderId="263" xfId="0" applyNumberFormat="1" applyFont="1" applyFill="1" applyBorder="1" applyAlignment="1" applyProtection="1">
      <alignment horizontal="center" vertical="center"/>
      <protection hidden="1"/>
    </xf>
    <xf numFmtId="6" fontId="101" fillId="9" borderId="279" xfId="0" applyNumberFormat="1" applyFont="1" applyFill="1" applyBorder="1" applyAlignment="1" applyProtection="1">
      <alignment horizontal="center" vertical="center"/>
      <protection hidden="1"/>
    </xf>
    <xf numFmtId="6" fontId="101" fillId="9" borderId="280" xfId="0" applyNumberFormat="1" applyFont="1" applyFill="1" applyBorder="1" applyAlignment="1" applyProtection="1">
      <alignment horizontal="center" vertical="center"/>
      <protection hidden="1"/>
    </xf>
    <xf numFmtId="0" fontId="101" fillId="9" borderId="262" xfId="0" applyFont="1" applyFill="1" applyBorder="1" applyAlignment="1" applyProtection="1">
      <alignment horizontal="right" vertical="center" wrapText="1"/>
      <protection hidden="1"/>
    </xf>
    <xf numFmtId="0" fontId="101" fillId="9" borderId="263" xfId="0" applyFont="1" applyFill="1" applyBorder="1" applyAlignment="1" applyProtection="1">
      <alignment horizontal="right" vertical="center" wrapText="1"/>
      <protection hidden="1"/>
    </xf>
    <xf numFmtId="0" fontId="88" fillId="9" borderId="259" xfId="0" applyFont="1" applyFill="1" applyBorder="1" applyAlignment="1">
      <alignment horizontal="right" vertical="center"/>
    </xf>
    <xf numFmtId="0" fontId="88" fillId="9" borderId="260" xfId="0" applyFont="1" applyFill="1" applyBorder="1" applyAlignment="1">
      <alignment horizontal="right" vertical="center"/>
    </xf>
    <xf numFmtId="6" fontId="88" fillId="9" borderId="260" xfId="0" applyNumberFormat="1" applyFont="1" applyFill="1" applyBorder="1" applyAlignment="1">
      <alignment horizontal="center" vertical="center"/>
    </xf>
    <xf numFmtId="6" fontId="88" fillId="9" borderId="261" xfId="0" applyNumberFormat="1" applyFont="1" applyFill="1" applyBorder="1" applyAlignment="1">
      <alignment horizontal="center" vertical="center"/>
    </xf>
    <xf numFmtId="0" fontId="88" fillId="9" borderId="260" xfId="0" applyFont="1" applyFill="1" applyBorder="1" applyAlignment="1">
      <alignment horizontal="center" vertical="center"/>
    </xf>
    <xf numFmtId="0" fontId="57" fillId="9" borderId="264" xfId="0" applyFont="1" applyFill="1" applyBorder="1" applyAlignment="1" applyProtection="1">
      <alignment horizontal="right" vertical="center" wrapText="1"/>
      <protection hidden="1"/>
    </xf>
    <xf numFmtId="0" fontId="57" fillId="9" borderId="265" xfId="0" applyFont="1" applyFill="1" applyBorder="1" applyAlignment="1" applyProtection="1">
      <alignment horizontal="right" vertical="center" wrapText="1"/>
      <protection hidden="1"/>
    </xf>
    <xf numFmtId="6" fontId="57" fillId="9" borderId="265" xfId="0" applyNumberFormat="1" applyFont="1" applyFill="1" applyBorder="1" applyAlignment="1" applyProtection="1">
      <alignment horizontal="center" vertical="center"/>
      <protection hidden="1"/>
    </xf>
    <xf numFmtId="6" fontId="57" fillId="9" borderId="265" xfId="3" applyNumberFormat="1" applyFont="1" applyFill="1" applyBorder="1" applyAlignment="1" applyProtection="1">
      <alignment horizontal="center" vertical="center"/>
      <protection hidden="1"/>
    </xf>
    <xf numFmtId="6" fontId="57" fillId="9" borderId="266" xfId="3" applyNumberFormat="1" applyFont="1" applyFill="1" applyBorder="1" applyAlignment="1" applyProtection="1">
      <alignment horizontal="center" vertical="center"/>
      <protection hidden="1"/>
    </xf>
    <xf numFmtId="0" fontId="26" fillId="9" borderId="0" xfId="0" applyFont="1" applyFill="1" applyAlignment="1" applyProtection="1">
      <alignment horizontal="left" vertical="center"/>
      <protection hidden="1"/>
    </xf>
    <xf numFmtId="0" fontId="259" fillId="9" borderId="0" xfId="0" applyFont="1" applyFill="1" applyAlignment="1" applyProtection="1">
      <alignment horizontal="center" vertical="center" wrapText="1"/>
      <protection hidden="1"/>
    </xf>
    <xf numFmtId="0" fontId="202" fillId="9" borderId="214" xfId="0" applyFont="1" applyFill="1" applyBorder="1" applyAlignment="1" applyProtection="1">
      <alignment horizontal="right" vertical="center" wrapText="1"/>
      <protection hidden="1"/>
    </xf>
    <xf numFmtId="0" fontId="202" fillId="9" borderId="210" xfId="0" applyFont="1" applyFill="1" applyBorder="1" applyAlignment="1" applyProtection="1">
      <alignment horizontal="right" vertical="center" wrapText="1"/>
      <protection hidden="1"/>
    </xf>
    <xf numFmtId="0" fontId="121" fillId="4" borderId="179" xfId="0" applyFont="1" applyFill="1" applyBorder="1" applyAlignment="1" applyProtection="1">
      <alignment horizontal="center" vertical="center" wrapText="1"/>
      <protection hidden="1"/>
    </xf>
    <xf numFmtId="0" fontId="121" fillId="4" borderId="180" xfId="0" applyFont="1" applyFill="1" applyBorder="1" applyAlignment="1" applyProtection="1">
      <alignment horizontal="center" vertical="center" wrapText="1"/>
      <protection hidden="1"/>
    </xf>
    <xf numFmtId="0" fontId="121" fillId="4" borderId="181" xfId="0" applyFont="1" applyFill="1" applyBorder="1" applyAlignment="1" applyProtection="1">
      <alignment horizontal="center" vertical="center" wrapText="1"/>
      <protection hidden="1"/>
    </xf>
    <xf numFmtId="0" fontId="121" fillId="4" borderId="182" xfId="0" applyFont="1" applyFill="1" applyBorder="1" applyAlignment="1" applyProtection="1">
      <alignment horizontal="center" vertical="center" wrapText="1"/>
      <protection hidden="1"/>
    </xf>
    <xf numFmtId="0" fontId="121" fillId="4" borderId="28" xfId="0" applyFont="1" applyFill="1" applyBorder="1" applyAlignment="1" applyProtection="1">
      <alignment horizontal="center" vertical="center" wrapText="1"/>
      <protection hidden="1"/>
    </xf>
    <xf numFmtId="0" fontId="121" fillId="4" borderId="174" xfId="0" applyFont="1" applyFill="1" applyBorder="1" applyAlignment="1" applyProtection="1">
      <alignment horizontal="center" vertical="center" wrapText="1"/>
      <protection hidden="1"/>
    </xf>
    <xf numFmtId="0" fontId="101" fillId="9" borderId="164" xfId="0" applyFont="1" applyFill="1" applyBorder="1" applyAlignment="1">
      <alignment horizontal="right" vertical="center"/>
    </xf>
    <xf numFmtId="0" fontId="101" fillId="9" borderId="10" xfId="0" applyFont="1" applyFill="1" applyBorder="1" applyAlignment="1">
      <alignment horizontal="right" vertical="center"/>
    </xf>
    <xf numFmtId="14" fontId="95" fillId="0" borderId="236" xfId="0" applyNumberFormat="1" applyFont="1" applyBorder="1" applyAlignment="1" applyProtection="1">
      <alignment horizontal="center" vertical="center"/>
      <protection locked="0"/>
    </xf>
    <xf numFmtId="14" fontId="95" fillId="0" borderId="237" xfId="0" applyNumberFormat="1" applyFont="1" applyBorder="1" applyAlignment="1" applyProtection="1">
      <alignment horizontal="center" vertical="center"/>
      <protection locked="0"/>
    </xf>
    <xf numFmtId="14" fontId="95" fillId="0" borderId="238" xfId="0" applyNumberFormat="1" applyFont="1" applyBorder="1" applyAlignment="1" applyProtection="1">
      <alignment horizontal="center" vertical="center"/>
      <protection locked="0"/>
    </xf>
    <xf numFmtId="0" fontId="121" fillId="4" borderId="206" xfId="0" applyFont="1" applyFill="1" applyBorder="1" applyAlignment="1">
      <alignment horizontal="center" vertical="center" wrapText="1"/>
    </xf>
    <xf numFmtId="0" fontId="121" fillId="4" borderId="78" xfId="0" applyFont="1" applyFill="1" applyBorder="1" applyAlignment="1">
      <alignment horizontal="center" vertical="center" wrapText="1"/>
    </xf>
    <xf numFmtId="0" fontId="121" fillId="4" borderId="253" xfId="0" applyFont="1" applyFill="1" applyBorder="1" applyAlignment="1">
      <alignment horizontal="center" vertical="center" wrapText="1"/>
    </xf>
    <xf numFmtId="0" fontId="121" fillId="9" borderId="282" xfId="0" applyFont="1" applyFill="1" applyBorder="1" applyAlignment="1" applyProtection="1">
      <alignment horizontal="right" vertical="center"/>
      <protection hidden="1"/>
    </xf>
    <xf numFmtId="0" fontId="121" fillId="9" borderId="237" xfId="0" applyFont="1" applyFill="1" applyBorder="1" applyAlignment="1" applyProtection="1">
      <alignment horizontal="right" vertical="center"/>
      <protection hidden="1"/>
    </xf>
    <xf numFmtId="0" fontId="121"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9" fillId="0" borderId="80" xfId="0" applyNumberFormat="1" applyFont="1" applyBorder="1" applyAlignment="1" applyProtection="1">
      <alignment horizontal="center" vertical="center"/>
      <protection locked="0"/>
    </xf>
    <xf numFmtId="8" fontId="109" fillId="0" borderId="81" xfId="0" applyNumberFormat="1" applyFont="1" applyBorder="1" applyAlignment="1" applyProtection="1">
      <alignment horizontal="center" vertical="center"/>
      <protection locked="0"/>
    </xf>
    <xf numFmtId="8" fontId="109" fillId="0" borderId="252" xfId="0" applyNumberFormat="1" applyFont="1" applyBorder="1" applyAlignment="1" applyProtection="1">
      <alignment horizontal="center" vertical="center"/>
      <protection locked="0"/>
    </xf>
    <xf numFmtId="0" fontId="121" fillId="4" borderId="178" xfId="0" applyFont="1" applyFill="1" applyBorder="1" applyAlignment="1" applyProtection="1">
      <alignment horizontal="center" vertical="center" wrapText="1"/>
      <protection hidden="1"/>
    </xf>
    <xf numFmtId="0" fontId="121" fillId="4" borderId="171" xfId="0" applyFont="1" applyFill="1" applyBorder="1" applyAlignment="1" applyProtection="1">
      <alignment horizontal="center" vertical="center" wrapText="1"/>
      <protection hidden="1"/>
    </xf>
    <xf numFmtId="0" fontId="121" fillId="4" borderId="172" xfId="0" applyFont="1" applyFill="1" applyBorder="1" applyAlignment="1" applyProtection="1">
      <alignment horizontal="center" vertical="center" wrapText="1"/>
      <protection hidden="1"/>
    </xf>
    <xf numFmtId="0" fontId="0" fillId="9" borderId="170" xfId="0" applyFill="1" applyBorder="1" applyAlignment="1" applyProtection="1">
      <alignment horizontal="right" vertical="center"/>
      <protection hidden="1"/>
    </xf>
    <xf numFmtId="14" fontId="0" fillId="0" borderId="146" xfId="0" applyNumberFormat="1" applyBorder="1" applyAlignment="1" applyProtection="1">
      <alignment horizontal="center" vertical="center"/>
      <protection locked="0"/>
    </xf>
    <xf numFmtId="0" fontId="99" fillId="9" borderId="170" xfId="0" applyFont="1" applyFill="1" applyBorder="1" applyAlignment="1" applyProtection="1">
      <alignment horizontal="right" vertical="center" wrapText="1"/>
      <protection hidden="1"/>
    </xf>
    <xf numFmtId="0" fontId="99" fillId="9" borderId="2" xfId="0" applyFont="1" applyFill="1" applyBorder="1" applyAlignment="1" applyProtection="1">
      <alignment horizontal="right" vertical="center" wrapText="1"/>
      <protection hidden="1"/>
    </xf>
    <xf numFmtId="0" fontId="99" fillId="6" borderId="1" xfId="0" applyFont="1" applyFill="1" applyBorder="1" applyAlignment="1" applyProtection="1">
      <alignment horizontal="center" vertical="center"/>
      <protection locked="0"/>
    </xf>
    <xf numFmtId="0" fontId="99" fillId="6" borderId="9" xfId="0" applyFont="1" applyFill="1" applyBorder="1" applyAlignment="1" applyProtection="1">
      <alignment horizontal="center" vertical="center"/>
      <protection locked="0"/>
    </xf>
    <xf numFmtId="0" fontId="99" fillId="6" borderId="146" xfId="0" applyFont="1" applyFill="1" applyBorder="1" applyAlignment="1" applyProtection="1">
      <alignment horizontal="center" vertical="center"/>
      <protection locked="0"/>
    </xf>
    <xf numFmtId="0" fontId="106" fillId="4" borderId="179" xfId="0" applyFont="1" applyFill="1" applyBorder="1" applyAlignment="1" applyProtection="1">
      <alignment horizontal="center" vertical="center" wrapText="1"/>
      <protection hidden="1"/>
    </xf>
    <xf numFmtId="0" fontId="106" fillId="4" borderId="180" xfId="0" applyFont="1" applyFill="1" applyBorder="1" applyAlignment="1" applyProtection="1">
      <alignment horizontal="center" vertical="center" wrapText="1"/>
      <protection hidden="1"/>
    </xf>
    <xf numFmtId="0" fontId="106" fillId="4" borderId="211" xfId="0" applyFont="1" applyFill="1" applyBorder="1" applyAlignment="1" applyProtection="1">
      <alignment horizontal="center" vertical="center" wrapText="1"/>
      <protection hidden="1"/>
    </xf>
    <xf numFmtId="0" fontId="106" fillId="4" borderId="182" xfId="0" applyFont="1" applyFill="1" applyBorder="1" applyAlignment="1" applyProtection="1">
      <alignment horizontal="center" vertical="center" wrapText="1"/>
      <protection hidden="1"/>
    </xf>
    <xf numFmtId="0" fontId="106" fillId="4" borderId="28" xfId="0" applyFont="1" applyFill="1" applyBorder="1" applyAlignment="1" applyProtection="1">
      <alignment horizontal="center" vertical="center" wrapText="1"/>
      <protection hidden="1"/>
    </xf>
    <xf numFmtId="0" fontId="106"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279" fillId="4" borderId="179" xfId="0" applyFont="1" applyFill="1" applyBorder="1" applyAlignment="1" applyProtection="1">
      <alignment horizontal="center" vertical="center" wrapText="1"/>
      <protection hidden="1"/>
    </xf>
    <xf numFmtId="0" fontId="279" fillId="4" borderId="180" xfId="0" applyFont="1" applyFill="1" applyBorder="1" applyAlignment="1" applyProtection="1">
      <alignment horizontal="center" vertical="center" wrapText="1"/>
      <protection hidden="1"/>
    </xf>
    <xf numFmtId="0" fontId="279" fillId="4" borderId="181" xfId="0" applyFont="1" applyFill="1" applyBorder="1" applyAlignment="1" applyProtection="1">
      <alignment horizontal="center" vertical="center" wrapText="1"/>
      <protection hidden="1"/>
    </xf>
    <xf numFmtId="0" fontId="279" fillId="4" borderId="182" xfId="0" applyFont="1" applyFill="1" applyBorder="1" applyAlignment="1" applyProtection="1">
      <alignment horizontal="center" vertical="center" wrapText="1"/>
      <protection hidden="1"/>
    </xf>
    <xf numFmtId="0" fontId="279" fillId="4" borderId="28" xfId="0" applyFont="1" applyFill="1" applyBorder="1" applyAlignment="1" applyProtection="1">
      <alignment horizontal="center" vertical="center" wrapText="1"/>
      <protection hidden="1"/>
    </xf>
    <xf numFmtId="0" fontId="279" fillId="4" borderId="174" xfId="0" applyFont="1" applyFill="1" applyBorder="1" applyAlignment="1" applyProtection="1">
      <alignment horizontal="center" vertical="center" wrapText="1"/>
      <protection hidden="1"/>
    </xf>
    <xf numFmtId="8" fontId="99" fillId="9" borderId="10" xfId="0" applyNumberFormat="1" applyFont="1" applyFill="1" applyBorder="1" applyAlignment="1" applyProtection="1">
      <alignment horizontal="center" vertical="center"/>
      <protection hidden="1"/>
    </xf>
    <xf numFmtId="8" fontId="99" fillId="9" borderId="3" xfId="0" applyNumberFormat="1" applyFont="1" applyFill="1" applyBorder="1" applyAlignment="1" applyProtection="1">
      <alignment horizontal="center" vertical="center"/>
      <protection hidden="1"/>
    </xf>
    <xf numFmtId="0" fontId="104" fillId="9" borderId="113" xfId="0" applyFont="1" applyFill="1" applyBorder="1" applyAlignment="1" applyProtection="1">
      <alignment horizontal="center" vertical="center" wrapText="1"/>
      <protection hidden="1"/>
    </xf>
    <xf numFmtId="0" fontId="104" fillId="9" borderId="58" xfId="0" applyFont="1" applyFill="1" applyBorder="1" applyAlignment="1" applyProtection="1">
      <alignment horizontal="center" vertical="center" wrapText="1"/>
      <protection hidden="1"/>
    </xf>
    <xf numFmtId="0" fontId="104" fillId="9" borderId="0" xfId="0" applyFont="1" applyFill="1" applyAlignment="1" applyProtection="1">
      <alignment horizontal="center" vertical="center" wrapText="1"/>
      <protection hidden="1"/>
    </xf>
    <xf numFmtId="0" fontId="104" fillId="9" borderId="15" xfId="0" applyFont="1" applyFill="1" applyBorder="1" applyAlignment="1" applyProtection="1">
      <alignment horizontal="center" vertical="center" wrapText="1"/>
      <protection hidden="1"/>
    </xf>
    <xf numFmtId="0" fontId="104" fillId="9" borderId="28" xfId="0" applyFont="1" applyFill="1" applyBorder="1" applyAlignment="1" applyProtection="1">
      <alignment horizontal="center" vertical="center" wrapText="1"/>
      <protection hidden="1"/>
    </xf>
    <xf numFmtId="0" fontId="104"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53" fillId="9" borderId="2" xfId="0" applyNumberFormat="1" applyFont="1" applyFill="1" applyBorder="1" applyAlignment="1" applyProtection="1">
      <alignment horizontal="center" vertical="center"/>
      <protection hidden="1"/>
    </xf>
    <xf numFmtId="8" fontId="153" fillId="9" borderId="232" xfId="0" applyNumberFormat="1" applyFont="1" applyFill="1" applyBorder="1" applyAlignment="1" applyProtection="1">
      <alignment horizontal="center" vertical="center"/>
      <protection hidden="1"/>
    </xf>
    <xf numFmtId="0" fontId="99" fillId="9" borderId="68" xfId="0" applyFont="1" applyFill="1" applyBorder="1" applyAlignment="1" applyProtection="1">
      <alignment horizontal="right" vertical="center"/>
      <protection hidden="1"/>
    </xf>
    <xf numFmtId="0" fontId="99" fillId="9" borderId="9" xfId="0" applyFont="1" applyFill="1" applyBorder="1" applyAlignment="1" applyProtection="1">
      <alignment horizontal="right" vertical="center"/>
      <protection hidden="1"/>
    </xf>
    <xf numFmtId="0" fontId="99" fillId="9" borderId="10" xfId="0" applyFont="1" applyFill="1" applyBorder="1" applyAlignment="1" applyProtection="1">
      <alignment horizontal="right" vertical="center"/>
      <protection hidden="1"/>
    </xf>
    <xf numFmtId="0" fontId="114" fillId="9" borderId="164" xfId="0" applyFont="1" applyFill="1" applyBorder="1" applyAlignment="1" applyProtection="1">
      <alignment horizontal="right" vertical="center" wrapText="1"/>
      <protection hidden="1"/>
    </xf>
    <xf numFmtId="0" fontId="114" fillId="9" borderId="10" xfId="0" applyFont="1" applyFill="1" applyBorder="1" applyAlignment="1" applyProtection="1">
      <alignment horizontal="right" vertical="center" wrapText="1"/>
      <protection hidden="1"/>
    </xf>
    <xf numFmtId="0" fontId="210" fillId="9" borderId="292" xfId="0" applyFont="1" applyFill="1" applyBorder="1" applyAlignment="1" applyProtection="1">
      <alignment horizontal="right" vertical="center" wrapText="1"/>
      <protection hidden="1"/>
    </xf>
    <xf numFmtId="0" fontId="210" fillId="9" borderId="129" xfId="0" applyFont="1" applyFill="1" applyBorder="1" applyAlignment="1" applyProtection="1">
      <alignment horizontal="right" vertical="center" wrapText="1"/>
      <protection hidden="1"/>
    </xf>
    <xf numFmtId="2" fontId="88" fillId="9" borderId="2" xfId="0" applyNumberFormat="1" applyFont="1" applyFill="1" applyBorder="1" applyAlignment="1" applyProtection="1">
      <alignment horizontal="center" vertical="center"/>
      <protection hidden="1"/>
    </xf>
    <xf numFmtId="2" fontId="88" fillId="9" borderId="232" xfId="0" applyNumberFormat="1" applyFont="1" applyFill="1" applyBorder="1" applyAlignment="1" applyProtection="1">
      <alignment horizontal="center" vertical="center"/>
      <protection hidden="1"/>
    </xf>
    <xf numFmtId="0" fontId="202" fillId="9" borderId="293" xfId="0" applyFont="1" applyFill="1" applyBorder="1" applyAlignment="1" applyProtection="1">
      <alignment horizontal="right" vertical="center" wrapText="1"/>
      <protection hidden="1"/>
    </xf>
    <xf numFmtId="0" fontId="202" fillId="9" borderId="294" xfId="0" applyFont="1" applyFill="1" applyBorder="1" applyAlignment="1" applyProtection="1">
      <alignment horizontal="right" vertical="center" wrapText="1"/>
      <protection hidden="1"/>
    </xf>
    <xf numFmtId="178" fontId="153" fillId="0" borderId="12" xfId="0" applyNumberFormat="1" applyFont="1" applyBorder="1" applyAlignment="1" applyProtection="1">
      <alignment horizontal="center" vertical="center"/>
      <protection locked="0"/>
    </xf>
    <xf numFmtId="178" fontId="153" fillId="0" borderId="233" xfId="0" applyNumberFormat="1" applyFont="1" applyBorder="1" applyAlignment="1" applyProtection="1">
      <alignment horizontal="center" vertical="center"/>
      <protection locked="0"/>
    </xf>
    <xf numFmtId="0" fontId="121" fillId="4" borderId="16" xfId="0" applyFont="1" applyFill="1" applyBorder="1" applyAlignment="1">
      <alignment horizontal="left" vertical="center"/>
    </xf>
    <xf numFmtId="0" fontId="121"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8" fillId="9" borderId="0" xfId="0" applyFont="1" applyFill="1" applyAlignment="1">
      <alignment horizontal="left" vertical="top" wrapText="1"/>
    </xf>
    <xf numFmtId="0" fontId="258" fillId="9" borderId="0" xfId="0" applyFont="1" applyFill="1" applyAlignment="1" applyProtection="1">
      <alignment horizontal="left" vertical="center" wrapText="1"/>
      <protection hidden="1"/>
    </xf>
    <xf numFmtId="0" fontId="20" fillId="9" borderId="154" xfId="0" applyFont="1" applyFill="1" applyBorder="1" applyAlignment="1" applyProtection="1">
      <alignment horizontal="right" vertical="center" wrapText="1"/>
      <protection hidden="1"/>
    </xf>
    <xf numFmtId="0" fontId="20" fillId="9" borderId="155" xfId="0" applyFont="1" applyFill="1" applyBorder="1" applyAlignment="1" applyProtection="1">
      <alignment horizontal="right" vertical="center" wrapText="1"/>
      <protection hidden="1"/>
    </xf>
    <xf numFmtId="8" fontId="99" fillId="9" borderId="175" xfId="0" applyNumberFormat="1" applyFont="1" applyFill="1" applyBorder="1" applyAlignment="1" applyProtection="1">
      <alignment horizontal="center" vertical="center"/>
      <protection hidden="1"/>
    </xf>
    <xf numFmtId="8" fontId="99" fillId="9" borderId="176" xfId="0" applyNumberFormat="1" applyFont="1" applyFill="1" applyBorder="1" applyAlignment="1" applyProtection="1">
      <alignment horizontal="center" vertical="center"/>
      <protection hidden="1"/>
    </xf>
    <xf numFmtId="8" fontId="99"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95" fillId="9" borderId="235" xfId="0" applyNumberFormat="1" applyFont="1" applyFill="1" applyBorder="1" applyAlignment="1" applyProtection="1">
      <alignment horizontal="center" vertical="center"/>
      <protection hidden="1"/>
    </xf>
    <xf numFmtId="6" fontId="95"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21" fillId="9" borderId="283" xfId="0" applyNumberFormat="1" applyFont="1" applyFill="1" applyBorder="1" applyAlignment="1" applyProtection="1">
      <alignment horizontal="center" vertical="center"/>
      <protection hidden="1"/>
    </xf>
    <xf numFmtId="6" fontId="121" fillId="9" borderId="284" xfId="0" applyNumberFormat="1" applyFont="1" applyFill="1" applyBorder="1" applyAlignment="1" applyProtection="1">
      <alignment horizontal="center" vertical="center"/>
      <protection hidden="1"/>
    </xf>
    <xf numFmtId="6" fontId="263" fillId="9" borderId="281" xfId="0" applyNumberFormat="1" applyFont="1" applyFill="1" applyBorder="1" applyAlignment="1" applyProtection="1">
      <alignment horizontal="center" vertical="center"/>
      <protection hidden="1"/>
    </xf>
    <xf numFmtId="6" fontId="263" fillId="9" borderId="184" xfId="0" applyNumberFormat="1" applyFont="1" applyFill="1" applyBorder="1" applyAlignment="1" applyProtection="1">
      <alignment horizontal="center" vertical="center"/>
      <protection hidden="1"/>
    </xf>
    <xf numFmtId="6" fontId="121" fillId="0" borderId="250" xfId="0" applyNumberFormat="1" applyFont="1" applyBorder="1" applyAlignment="1" applyProtection="1">
      <alignment horizontal="center" vertical="center" wrapText="1"/>
      <protection locked="0" hidden="1"/>
    </xf>
    <xf numFmtId="6" fontId="121" fillId="0" borderId="257" xfId="0" applyNumberFormat="1" applyFont="1" applyBorder="1" applyAlignment="1" applyProtection="1">
      <alignment horizontal="center" vertical="center" wrapText="1"/>
      <protection locked="0" hidden="1"/>
    </xf>
    <xf numFmtId="6" fontId="121" fillId="0" borderId="258" xfId="0" applyNumberFormat="1" applyFont="1" applyBorder="1" applyAlignment="1" applyProtection="1">
      <alignment horizontal="center" vertical="center" wrapText="1"/>
      <protection locked="0" hidden="1"/>
    </xf>
    <xf numFmtId="0" fontId="109" fillId="9" borderId="164" xfId="0" applyFont="1" applyFill="1" applyBorder="1" applyAlignment="1" applyProtection="1">
      <alignment horizontal="right" vertical="center" wrapText="1"/>
      <protection hidden="1"/>
    </xf>
    <xf numFmtId="0" fontId="109" fillId="9" borderId="9" xfId="0" applyFont="1" applyFill="1" applyBorder="1" applyAlignment="1" applyProtection="1">
      <alignment horizontal="right" vertical="center" wrapText="1"/>
      <protection hidden="1"/>
    </xf>
    <xf numFmtId="0" fontId="109" fillId="9" borderId="10" xfId="0" applyFont="1" applyFill="1" applyBorder="1" applyAlignment="1" applyProtection="1">
      <alignment horizontal="right" vertical="center" wrapText="1"/>
      <protection hidden="1"/>
    </xf>
    <xf numFmtId="8" fontId="121" fillId="9" borderId="1" xfId="0" quotePrefix="1" applyNumberFormat="1" applyFont="1" applyFill="1" applyBorder="1" applyAlignment="1" applyProtection="1">
      <alignment horizontal="center" vertical="center"/>
      <protection hidden="1"/>
    </xf>
    <xf numFmtId="8" fontId="121" fillId="9" borderId="9" xfId="0" quotePrefix="1" applyNumberFormat="1" applyFont="1" applyFill="1" applyBorder="1" applyAlignment="1" applyProtection="1">
      <alignment horizontal="center" vertical="center"/>
      <protection hidden="1"/>
    </xf>
    <xf numFmtId="8" fontId="121"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9" fillId="9" borderId="4" xfId="0" applyFont="1" applyFill="1" applyBorder="1" applyAlignment="1" applyProtection="1">
      <alignment horizontal="right" vertical="center"/>
      <protection hidden="1"/>
    </xf>
    <xf numFmtId="0" fontId="99" fillId="9" borderId="2" xfId="0" applyFont="1" applyFill="1" applyBorder="1" applyAlignment="1" applyProtection="1">
      <alignment horizontal="right" vertical="center"/>
      <protection hidden="1"/>
    </xf>
    <xf numFmtId="0" fontId="99" fillId="9" borderId="21" xfId="0" applyFont="1" applyFill="1" applyBorder="1" applyAlignment="1">
      <alignment horizontal="right" vertical="center"/>
    </xf>
    <xf numFmtId="0" fontId="121" fillId="9" borderId="282" xfId="0" applyFont="1" applyFill="1" applyBorder="1" applyAlignment="1">
      <alignment horizontal="right" vertical="center" wrapText="1"/>
    </xf>
    <xf numFmtId="0" fontId="121" fillId="9" borderId="237" xfId="0" applyFont="1" applyFill="1" applyBorder="1" applyAlignment="1">
      <alignment horizontal="right" vertical="center" wrapText="1"/>
    </xf>
    <xf numFmtId="0" fontId="121" fillId="9" borderId="283" xfId="0" applyFont="1" applyFill="1" applyBorder="1" applyAlignment="1">
      <alignment horizontal="right" vertical="center" wrapText="1"/>
    </xf>
    <xf numFmtId="0" fontId="121" fillId="4" borderId="179" xfId="0" applyFont="1" applyFill="1" applyBorder="1" applyAlignment="1">
      <alignment horizontal="left" vertical="center"/>
    </xf>
    <xf numFmtId="0" fontId="121" fillId="4" borderId="180" xfId="0" applyFont="1" applyFill="1" applyBorder="1" applyAlignment="1">
      <alignment horizontal="left" vertical="center"/>
    </xf>
    <xf numFmtId="0" fontId="121" fillId="4" borderId="211" xfId="0" applyFont="1" applyFill="1" applyBorder="1" applyAlignment="1">
      <alignment horizontal="left" vertical="center"/>
    </xf>
    <xf numFmtId="0" fontId="121" fillId="4" borderId="182" xfId="0" applyFont="1" applyFill="1" applyBorder="1" applyAlignment="1">
      <alignment horizontal="left" vertical="center"/>
    </xf>
    <xf numFmtId="0" fontId="121" fillId="4" borderId="28" xfId="0" applyFont="1" applyFill="1" applyBorder="1" applyAlignment="1">
      <alignment horizontal="left" vertical="center"/>
    </xf>
    <xf numFmtId="0" fontId="121" fillId="4" borderId="56" xfId="0" applyFont="1" applyFill="1" applyBorder="1" applyAlignment="1">
      <alignment horizontal="left" vertical="center"/>
    </xf>
    <xf numFmtId="0" fontId="99" fillId="9" borderId="214" xfId="0" applyFont="1" applyFill="1" applyBorder="1" applyAlignment="1" applyProtection="1">
      <alignment horizontal="right" vertical="center"/>
      <protection hidden="1"/>
    </xf>
    <xf numFmtId="0" fontId="99" fillId="9" borderId="176" xfId="0" applyFont="1" applyFill="1" applyBorder="1" applyAlignment="1" applyProtection="1">
      <alignment horizontal="right" vertical="center"/>
      <protection hidden="1"/>
    </xf>
    <xf numFmtId="0" fontId="99" fillId="9" borderId="210" xfId="0" applyFont="1" applyFill="1" applyBorder="1" applyAlignment="1" applyProtection="1">
      <alignment horizontal="right" vertical="center"/>
      <protection hidden="1"/>
    </xf>
    <xf numFmtId="0" fontId="99" fillId="9" borderId="2" xfId="0" applyFont="1" applyFill="1" applyBorder="1" applyAlignment="1">
      <alignment horizontal="right" vertical="center"/>
    </xf>
    <xf numFmtId="188" fontId="88" fillId="9" borderId="2" xfId="0" applyNumberFormat="1" applyFont="1" applyFill="1" applyBorder="1" applyAlignment="1" applyProtection="1">
      <alignment horizontal="center" vertical="center"/>
      <protection hidden="1"/>
    </xf>
    <xf numFmtId="0" fontId="258" fillId="9" borderId="185" xfId="0" applyFont="1" applyFill="1" applyBorder="1" applyAlignment="1" applyProtection="1">
      <alignment horizontal="left" vertical="center" wrapText="1"/>
      <protection hidden="1"/>
    </xf>
    <xf numFmtId="0" fontId="258" fillId="9" borderId="153" xfId="0" applyFont="1" applyFill="1" applyBorder="1" applyAlignment="1" applyProtection="1">
      <alignment horizontal="left" vertical="center" wrapText="1"/>
      <protection hidden="1"/>
    </xf>
    <xf numFmtId="0" fontId="99" fillId="9" borderId="154" xfId="0" applyFont="1" applyFill="1" applyBorder="1" applyAlignment="1">
      <alignment horizontal="right" vertical="center"/>
    </xf>
    <xf numFmtId="0" fontId="99" fillId="9" borderId="12" xfId="0" applyFont="1" applyFill="1" applyBorder="1" applyAlignment="1">
      <alignment horizontal="right" vertical="center"/>
    </xf>
    <xf numFmtId="0" fontId="62" fillId="9" borderId="0" xfId="2" applyNumberFormat="1" applyFill="1" applyBorder="1" applyAlignment="1" applyProtection="1">
      <alignment horizontal="center" vertical="center"/>
    </xf>
    <xf numFmtId="0" fontId="108" fillId="9" borderId="68" xfId="0" applyFont="1" applyFill="1" applyBorder="1" applyAlignment="1" applyProtection="1">
      <alignment horizontal="right" vertical="center" wrapText="1"/>
      <protection hidden="1"/>
    </xf>
    <xf numFmtId="0" fontId="108" fillId="9" borderId="9" xfId="0" applyFont="1" applyFill="1" applyBorder="1" applyAlignment="1" applyProtection="1">
      <alignment horizontal="right" vertical="center" wrapText="1"/>
      <protection hidden="1"/>
    </xf>
    <xf numFmtId="0" fontId="108" fillId="9" borderId="10" xfId="0" applyFont="1" applyFill="1" applyBorder="1" applyAlignment="1" applyProtection="1">
      <alignment horizontal="right" vertical="center" wrapText="1"/>
      <protection hidden="1"/>
    </xf>
    <xf numFmtId="0" fontId="108" fillId="9" borderId="68" xfId="0" applyFont="1" applyFill="1" applyBorder="1" applyAlignment="1" applyProtection="1">
      <alignment horizontal="right" vertical="center"/>
      <protection hidden="1"/>
    </xf>
    <xf numFmtId="0" fontId="108" fillId="9" borderId="9" xfId="0" applyFont="1" applyFill="1" applyBorder="1" applyAlignment="1" applyProtection="1">
      <alignment horizontal="right" vertical="center"/>
      <protection hidden="1"/>
    </xf>
    <xf numFmtId="0" fontId="108"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21" fillId="9" borderId="85" xfId="0" applyFont="1" applyFill="1" applyBorder="1" applyAlignment="1" applyProtection="1">
      <alignment horizontal="right" vertical="center"/>
      <protection hidden="1"/>
    </xf>
    <xf numFmtId="0" fontId="121" fillId="9" borderId="81" xfId="0" applyFont="1" applyFill="1" applyBorder="1" applyAlignment="1" applyProtection="1">
      <alignment horizontal="right" vertical="center"/>
      <protection hidden="1"/>
    </xf>
    <xf numFmtId="0" fontId="121" fillId="9" borderId="82" xfId="0" applyFont="1" applyFill="1" applyBorder="1" applyAlignment="1" applyProtection="1">
      <alignment horizontal="right" vertical="center"/>
      <protection hidden="1"/>
    </xf>
    <xf numFmtId="0" fontId="121" fillId="9" borderId="43" xfId="0" applyFont="1" applyFill="1" applyBorder="1" applyAlignment="1">
      <alignment horizontal="center" vertical="center" wrapText="1"/>
    </xf>
    <xf numFmtId="0" fontId="121" fillId="9" borderId="23" xfId="0" applyFont="1" applyFill="1" applyBorder="1" applyAlignment="1">
      <alignment horizontal="center" vertical="center" wrapText="1"/>
    </xf>
    <xf numFmtId="0" fontId="121" fillId="9" borderId="44" xfId="0" applyFont="1" applyFill="1" applyBorder="1" applyAlignment="1">
      <alignment horizontal="center" vertical="center" wrapText="1"/>
    </xf>
    <xf numFmtId="0" fontId="121" fillId="9" borderId="16" xfId="0" applyFont="1" applyFill="1" applyBorder="1" applyAlignment="1">
      <alignment horizontal="center" vertical="center"/>
    </xf>
    <xf numFmtId="0" fontId="121" fillId="9" borderId="18" xfId="0" applyFont="1" applyFill="1" applyBorder="1" applyAlignment="1">
      <alignment horizontal="center" vertical="center"/>
    </xf>
    <xf numFmtId="0" fontId="121" fillId="9" borderId="39" xfId="0" applyFont="1" applyFill="1" applyBorder="1" applyAlignment="1">
      <alignment horizontal="center" vertical="center"/>
    </xf>
    <xf numFmtId="0" fontId="111" fillId="9" borderId="26" xfId="0" applyFont="1" applyFill="1" applyBorder="1" applyAlignment="1" applyProtection="1">
      <alignment horizontal="right" vertical="center" wrapText="1"/>
      <protection hidden="1"/>
    </xf>
    <xf numFmtId="0" fontId="111"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9" fillId="9" borderId="26" xfId="0" applyFont="1" applyFill="1" applyBorder="1" applyAlignment="1" applyProtection="1">
      <alignment horizontal="right" vertical="center"/>
      <protection hidden="1"/>
    </xf>
    <xf numFmtId="0" fontId="99" fillId="9" borderId="41" xfId="0" applyFont="1" applyFill="1" applyBorder="1" applyAlignment="1" applyProtection="1">
      <alignment horizontal="right" vertical="center"/>
      <protection hidden="1"/>
    </xf>
    <xf numFmtId="0" fontId="105" fillId="9" borderId="66" xfId="0" applyFont="1" applyFill="1" applyBorder="1" applyAlignment="1" applyProtection="1">
      <alignment horizontal="center" vertical="center" wrapText="1"/>
      <protection hidden="1"/>
    </xf>
    <xf numFmtId="0" fontId="105" fillId="9" borderId="29" xfId="0" applyFont="1" applyFill="1" applyBorder="1" applyAlignment="1" applyProtection="1">
      <alignment horizontal="center" vertical="center" wrapText="1"/>
      <protection hidden="1"/>
    </xf>
    <xf numFmtId="0" fontId="190" fillId="4" borderId="83" xfId="2" applyNumberFormat="1" applyFont="1" applyFill="1" applyBorder="1" applyAlignment="1" applyProtection="1">
      <alignment horizontal="center" vertical="center"/>
      <protection hidden="1"/>
    </xf>
    <xf numFmtId="0" fontId="190" fillId="4" borderId="78" xfId="2" applyNumberFormat="1" applyFont="1" applyFill="1" applyBorder="1" applyAlignment="1" applyProtection="1">
      <alignment horizontal="center" vertical="center"/>
      <protection hidden="1"/>
    </xf>
    <xf numFmtId="0" fontId="190" fillId="4" borderId="64" xfId="2" applyNumberFormat="1" applyFont="1" applyFill="1" applyBorder="1" applyAlignment="1" applyProtection="1">
      <alignment horizontal="center" vertical="center"/>
      <protection hidden="1"/>
    </xf>
    <xf numFmtId="0" fontId="103" fillId="4" borderId="4" xfId="0" applyFont="1" applyFill="1" applyBorder="1" applyAlignment="1" applyProtection="1">
      <alignment horizontal="right" vertical="center"/>
      <protection hidden="1"/>
    </xf>
    <xf numFmtId="0" fontId="103" fillId="4" borderId="2" xfId="0" applyFont="1" applyFill="1" applyBorder="1" applyAlignment="1" applyProtection="1">
      <alignment horizontal="right" vertical="center"/>
      <protection hidden="1"/>
    </xf>
    <xf numFmtId="0" fontId="103" fillId="4" borderId="5" xfId="0" applyFont="1" applyFill="1" applyBorder="1" applyAlignment="1" applyProtection="1">
      <alignment horizontal="right" vertical="center"/>
      <protection hidden="1"/>
    </xf>
    <xf numFmtId="0" fontId="103" fillId="4" borderId="6" xfId="0" applyFont="1" applyFill="1" applyBorder="1" applyAlignment="1" applyProtection="1">
      <alignment horizontal="right" vertical="center"/>
      <protection hidden="1"/>
    </xf>
    <xf numFmtId="0" fontId="62" fillId="4" borderId="0" xfId="2" applyNumberFormat="1" applyFill="1" applyAlignment="1" applyProtection="1">
      <alignment horizontal="center"/>
    </xf>
    <xf numFmtId="0" fontId="101" fillId="4" borderId="54" xfId="0" applyFont="1" applyFill="1" applyBorder="1" applyAlignment="1" applyProtection="1">
      <alignment horizontal="right" vertical="center" wrapText="1"/>
      <protection hidden="1"/>
    </xf>
    <xf numFmtId="0" fontId="105" fillId="4" borderId="55" xfId="0" applyFont="1" applyFill="1" applyBorder="1" applyAlignment="1" applyProtection="1">
      <alignment horizontal="right" vertical="center"/>
      <protection hidden="1"/>
    </xf>
    <xf numFmtId="0" fontId="105" fillId="4" borderId="19" xfId="0" applyFont="1" applyFill="1" applyBorder="1" applyAlignment="1" applyProtection="1">
      <alignment horizontal="right" vertical="center"/>
      <protection hidden="1"/>
    </xf>
    <xf numFmtId="0" fontId="105" fillId="4" borderId="99" xfId="0" applyFont="1" applyFill="1" applyBorder="1" applyAlignment="1" applyProtection="1">
      <alignment horizontal="right" vertical="center"/>
      <protection hidden="1"/>
    </xf>
    <xf numFmtId="0" fontId="105" fillId="4" borderId="30" xfId="0" applyFont="1" applyFill="1" applyBorder="1" applyAlignment="1" applyProtection="1">
      <alignment horizontal="right" vertical="center"/>
      <protection hidden="1"/>
    </xf>
    <xf numFmtId="0" fontId="105"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103" fillId="4" borderId="68" xfId="0" applyFont="1" applyFill="1" applyBorder="1" applyAlignment="1" applyProtection="1">
      <alignment horizontal="right" vertical="center"/>
      <protection hidden="1"/>
    </xf>
    <xf numFmtId="0" fontId="103" fillId="4" borderId="9" xfId="0" applyFont="1" applyFill="1" applyBorder="1" applyAlignment="1" applyProtection="1">
      <alignment horizontal="right" vertical="center"/>
      <protection hidden="1"/>
    </xf>
    <xf numFmtId="0" fontId="103" fillId="4" borderId="10" xfId="0" applyFont="1" applyFill="1" applyBorder="1" applyAlignment="1" applyProtection="1">
      <alignment horizontal="right" vertical="center"/>
      <protection hidden="1"/>
    </xf>
    <xf numFmtId="0" fontId="103" fillId="4" borderId="85" xfId="0" applyFont="1" applyFill="1" applyBorder="1" applyAlignment="1" applyProtection="1">
      <alignment horizontal="right" vertical="center"/>
      <protection hidden="1"/>
    </xf>
    <xf numFmtId="0" fontId="103" fillId="4" borderId="81" xfId="0" applyFont="1" applyFill="1" applyBorder="1" applyAlignment="1" applyProtection="1">
      <alignment horizontal="right" vertical="center"/>
      <protection hidden="1"/>
    </xf>
    <xf numFmtId="0" fontId="103" fillId="4" borderId="82" xfId="0" applyFont="1" applyFill="1" applyBorder="1" applyAlignment="1" applyProtection="1">
      <alignment horizontal="right" vertical="center"/>
      <protection hidden="1"/>
    </xf>
    <xf numFmtId="0" fontId="99" fillId="4" borderId="63" xfId="0" applyFont="1" applyFill="1" applyBorder="1" applyAlignment="1" applyProtection="1">
      <alignment horizontal="center" vertical="center" wrapText="1"/>
      <protection hidden="1"/>
    </xf>
    <xf numFmtId="0" fontId="99" fillId="4" borderId="78" xfId="0" applyFont="1" applyFill="1" applyBorder="1" applyAlignment="1" applyProtection="1">
      <alignment horizontal="center" vertical="center" wrapText="1"/>
      <protection hidden="1"/>
    </xf>
    <xf numFmtId="0" fontId="99" fillId="4" borderId="64" xfId="0" applyFont="1" applyFill="1" applyBorder="1" applyAlignment="1" applyProtection="1">
      <alignment horizontal="center" vertical="center" wrapText="1"/>
      <protection hidden="1"/>
    </xf>
    <xf numFmtId="0" fontId="109" fillId="4" borderId="43" xfId="0" applyFont="1" applyFill="1" applyBorder="1" applyAlignment="1" applyProtection="1">
      <alignment horizontal="center"/>
      <protection hidden="1"/>
    </xf>
    <xf numFmtId="0" fontId="109" fillId="4" borderId="23" xfId="0" applyFont="1" applyFill="1" applyBorder="1" applyAlignment="1" applyProtection="1">
      <alignment horizontal="center"/>
      <protection hidden="1"/>
    </xf>
    <xf numFmtId="0" fontId="109" fillId="4" borderId="44" xfId="0" applyFont="1" applyFill="1" applyBorder="1" applyAlignment="1" applyProtection="1">
      <alignment horizontal="center"/>
      <protection hidden="1"/>
    </xf>
    <xf numFmtId="0" fontId="109" fillId="4" borderId="30" xfId="0" applyFont="1" applyFill="1" applyBorder="1" applyAlignment="1" applyProtection="1">
      <alignment horizontal="center"/>
      <protection hidden="1"/>
    </xf>
    <xf numFmtId="0" fontId="109" fillId="4" borderId="28" xfId="0" applyFont="1" applyFill="1" applyBorder="1" applyAlignment="1" applyProtection="1">
      <alignment horizontal="center"/>
      <protection hidden="1"/>
    </xf>
    <xf numFmtId="0" fontId="109" fillId="4" borderId="57" xfId="0" applyFont="1" applyFill="1" applyBorder="1" applyAlignment="1" applyProtection="1">
      <alignment horizont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21" fillId="6" borderId="2" xfId="0" applyFont="1" applyFill="1" applyBorder="1" applyAlignment="1" applyProtection="1">
      <alignment horizontal="center" vertical="center"/>
      <protection locked="0"/>
    </xf>
    <xf numFmtId="0" fontId="121"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9" fillId="4" borderId="4" xfId="0" applyFont="1" applyFill="1" applyBorder="1" applyAlignment="1" applyProtection="1">
      <alignment horizontal="right" vertical="center"/>
      <protection hidden="1"/>
    </xf>
    <xf numFmtId="0" fontId="99" fillId="4" borderId="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99" fillId="4" borderId="4" xfId="0" applyFont="1" applyFill="1" applyBorder="1" applyAlignment="1" applyProtection="1">
      <alignment horizontal="center" vertical="center"/>
      <protection hidden="1"/>
    </xf>
    <xf numFmtId="0" fontId="99" fillId="4" borderId="2" xfId="0" applyFont="1" applyFill="1" applyBorder="1" applyAlignment="1" applyProtection="1">
      <alignment horizontal="center" vertical="center"/>
      <protection hidden="1"/>
    </xf>
    <xf numFmtId="0" fontId="99" fillId="4" borderId="3" xfId="0" applyFont="1" applyFill="1" applyBorder="1" applyAlignment="1" applyProtection="1">
      <alignment horizontal="center" vertical="center"/>
      <protection hidden="1"/>
    </xf>
    <xf numFmtId="169" fontId="57" fillId="0" borderId="1" xfId="0" applyNumberFormat="1" applyFont="1" applyBorder="1"/>
    <xf numFmtId="169" fontId="57" fillId="0" borderId="77" xfId="0" applyNumberFormat="1" applyFont="1" applyBorder="1"/>
    <xf numFmtId="169" fontId="71" fillId="0" borderId="24" xfId="0" applyNumberFormat="1" applyFont="1" applyBorder="1" applyAlignment="1">
      <alignment horizontal="center"/>
    </xf>
    <xf numFmtId="169" fontId="71" fillId="0" borderId="21" xfId="0" applyNumberFormat="1" applyFont="1" applyBorder="1" applyAlignment="1">
      <alignment horizontal="center"/>
    </xf>
    <xf numFmtId="169" fontId="71" fillId="0" borderId="22" xfId="0" applyNumberFormat="1" applyFont="1" applyBorder="1" applyAlignment="1">
      <alignment horizontal="center"/>
    </xf>
    <xf numFmtId="169" fontId="60" fillId="0" borderId="1" xfId="0" applyNumberFormat="1" applyFont="1" applyBorder="1" applyAlignment="1">
      <alignment vertical="center"/>
    </xf>
    <xf numFmtId="169" fontId="60" fillId="0" borderId="77" xfId="0" applyNumberFormat="1" applyFont="1" applyBorder="1" applyAlignment="1">
      <alignment vertical="center"/>
    </xf>
    <xf numFmtId="169" fontId="57" fillId="0" borderId="114" xfId="0" applyNumberFormat="1" applyFont="1" applyBorder="1"/>
    <xf numFmtId="169" fontId="57" fillId="0" borderId="39" xfId="0" applyNumberFormat="1" applyFont="1" applyBorder="1"/>
    <xf numFmtId="169" fontId="57" fillId="0" borderId="80" xfId="0" applyNumberFormat="1" applyFont="1" applyBorder="1"/>
    <xf numFmtId="169" fontId="57" fillId="0" borderId="86" xfId="0" applyNumberFormat="1" applyFont="1" applyBorder="1"/>
    <xf numFmtId="0" fontId="101" fillId="4" borderId="30" xfId="0" applyFont="1" applyFill="1" applyBorder="1" applyAlignment="1" applyProtection="1">
      <alignment horizontal="right" vertical="center" wrapText="1"/>
      <protection hidden="1"/>
    </xf>
    <xf numFmtId="0" fontId="101" fillId="4" borderId="57" xfId="0" applyFont="1" applyFill="1" applyBorder="1" applyAlignment="1" applyProtection="1">
      <alignment horizontal="right" vertical="center" wrapText="1"/>
      <protection hidden="1"/>
    </xf>
    <xf numFmtId="0" fontId="99" fillId="4" borderId="4" xfId="0" applyFont="1" applyFill="1" applyBorder="1" applyAlignment="1" applyProtection="1">
      <alignment horizontal="center" vertical="center" wrapText="1"/>
      <protection hidden="1"/>
    </xf>
    <xf numFmtId="0" fontId="99" fillId="4" borderId="3" xfId="0" applyFont="1" applyFill="1" applyBorder="1" applyAlignment="1" applyProtection="1">
      <alignment horizontal="center" vertical="center" wrapText="1"/>
      <protection hidden="1"/>
    </xf>
    <xf numFmtId="0" fontId="109" fillId="4" borderId="65" xfId="0" applyFont="1" applyFill="1" applyBorder="1" applyAlignment="1" applyProtection="1">
      <alignment horizontal="center" vertical="center" wrapText="1"/>
      <protection hidden="1"/>
    </xf>
    <xf numFmtId="0" fontId="109" fillId="4" borderId="20" xfId="0" applyFont="1" applyFill="1" applyBorder="1" applyAlignment="1" applyProtection="1">
      <alignment horizontal="center" vertical="center" wrapText="1"/>
      <protection hidden="1"/>
    </xf>
    <xf numFmtId="0" fontId="62"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106" fillId="4" borderId="79" xfId="0" applyFont="1" applyFill="1" applyBorder="1" applyAlignment="1" applyProtection="1">
      <alignment horizontal="center"/>
      <protection hidden="1"/>
    </xf>
    <xf numFmtId="0" fontId="104"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9" fillId="4" borderId="21" xfId="0" applyFont="1" applyFill="1" applyBorder="1" applyAlignment="1" applyProtection="1">
      <alignment horizontal="center"/>
      <protection hidden="1"/>
    </xf>
    <xf numFmtId="0" fontId="99" fillId="4" borderId="159" xfId="0" applyFont="1" applyFill="1" applyBorder="1" applyAlignment="1" applyProtection="1">
      <alignment horizontal="center"/>
      <protection hidden="1"/>
    </xf>
    <xf numFmtId="0" fontId="99" fillId="4" borderId="78" xfId="0" applyFont="1" applyFill="1" applyBorder="1" applyAlignment="1" applyProtection="1">
      <alignment horizontal="center"/>
      <protection hidden="1"/>
    </xf>
    <xf numFmtId="0" fontId="99" fillId="4" borderId="64" xfId="0" applyFont="1" applyFill="1" applyBorder="1" applyAlignment="1" applyProtection="1">
      <alignment horizontal="center"/>
      <protection hidden="1"/>
    </xf>
    <xf numFmtId="0" fontId="104" fillId="4" borderId="43" xfId="0" applyFont="1" applyFill="1" applyBorder="1" applyAlignment="1" applyProtection="1">
      <alignment horizontal="center" vertical="top" wrapText="1"/>
      <protection hidden="1"/>
    </xf>
    <xf numFmtId="0" fontId="104" fillId="4" borderId="23" xfId="0" applyFont="1" applyFill="1" applyBorder="1" applyAlignment="1" applyProtection="1">
      <alignment horizontal="center" vertical="top" wrapText="1"/>
      <protection hidden="1"/>
    </xf>
    <xf numFmtId="0" fontId="104" fillId="4" borderId="44" xfId="0" applyFont="1" applyFill="1" applyBorder="1" applyAlignment="1" applyProtection="1">
      <alignment horizontal="center" vertical="top" wrapText="1"/>
      <protection hidden="1"/>
    </xf>
    <xf numFmtId="0" fontId="104" fillId="4" borderId="19" xfId="0" applyFont="1" applyFill="1" applyBorder="1" applyAlignment="1" applyProtection="1">
      <alignment horizontal="center" vertical="top" wrapText="1"/>
      <protection hidden="1"/>
    </xf>
    <xf numFmtId="0" fontId="104" fillId="4" borderId="0" xfId="0" applyFont="1" applyFill="1" applyAlignment="1" applyProtection="1">
      <alignment horizontal="center" vertical="top" wrapText="1"/>
      <protection hidden="1"/>
    </xf>
    <xf numFmtId="0" fontId="104" fillId="4" borderId="15" xfId="0" applyFont="1" applyFill="1" applyBorder="1" applyAlignment="1" applyProtection="1">
      <alignment horizontal="center" vertical="top" wrapText="1"/>
      <protection hidden="1"/>
    </xf>
    <xf numFmtId="0" fontId="109" fillId="4" borderId="0" xfId="0" applyFont="1" applyFill="1" applyAlignment="1">
      <alignment horizontal="center" vertical="center"/>
    </xf>
    <xf numFmtId="0" fontId="109" fillId="4" borderId="99" xfId="0" applyFont="1" applyFill="1" applyBorder="1" applyAlignment="1">
      <alignment horizontal="center" vertical="center"/>
    </xf>
    <xf numFmtId="0" fontId="103" fillId="4" borderId="19" xfId="0" applyFont="1" applyFill="1" applyBorder="1" applyAlignment="1" applyProtection="1">
      <alignment horizontal="center" wrapText="1"/>
      <protection hidden="1"/>
    </xf>
    <xf numFmtId="0" fontId="103"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9" fillId="4" borderId="43" xfId="2" applyNumberFormat="1" applyFont="1" applyFill="1" applyBorder="1" applyAlignment="1" applyProtection="1">
      <alignment horizontal="center" vertical="center" wrapText="1"/>
    </xf>
    <xf numFmtId="0" fontId="169" fillId="4" borderId="16" xfId="2" applyNumberFormat="1" applyFont="1" applyFill="1" applyBorder="1" applyAlignment="1" applyProtection="1">
      <alignment horizontal="center" vertical="center" wrapText="1"/>
    </xf>
    <xf numFmtId="0" fontId="285" fillId="4" borderId="44" xfId="2" applyNumberFormat="1" applyFont="1" applyFill="1" applyBorder="1" applyAlignment="1" applyProtection="1">
      <alignment horizontal="center" vertical="center" wrapText="1"/>
    </xf>
    <xf numFmtId="0" fontId="285" fillId="4" borderId="39" xfId="2" applyNumberFormat="1" applyFont="1" applyFill="1" applyBorder="1" applyAlignment="1" applyProtection="1">
      <alignment horizontal="center" vertical="center" wrapText="1"/>
    </xf>
    <xf numFmtId="0" fontId="0" fillId="4" borderId="164"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61" fillId="4" borderId="30" xfId="0" applyFont="1" applyFill="1" applyBorder="1" applyAlignment="1">
      <alignment horizontal="center" vertical="center"/>
    </xf>
    <xf numFmtId="0" fontId="161" fillId="4" borderId="56" xfId="0" applyFont="1" applyFill="1" applyBorder="1" applyAlignment="1">
      <alignment horizontal="center" vertical="center"/>
    </xf>
    <xf numFmtId="10" fontId="104" fillId="0" borderId="2" xfId="3" applyNumberFormat="1" applyFont="1" applyFill="1" applyBorder="1" applyAlignment="1" applyProtection="1">
      <alignment horizontal="center" vertical="center"/>
      <protection locked="0"/>
    </xf>
    <xf numFmtId="0" fontId="104" fillId="4" borderId="183" xfId="0" applyFont="1" applyFill="1" applyBorder="1" applyAlignment="1" applyProtection="1">
      <alignment horizontal="center" vertical="center" wrapText="1"/>
      <protection hidden="1"/>
    </xf>
    <xf numFmtId="0" fontId="104" fillId="4" borderId="226" xfId="0" applyFont="1" applyFill="1" applyBorder="1" applyAlignment="1" applyProtection="1">
      <alignment horizontal="center" vertical="center" wrapText="1"/>
      <protection hidden="1"/>
    </xf>
    <xf numFmtId="0" fontId="161" fillId="4" borderId="227" xfId="0" applyFont="1" applyFill="1" applyBorder="1" applyAlignment="1">
      <alignment horizontal="center" vertical="center"/>
    </xf>
    <xf numFmtId="0" fontId="161" fillId="4" borderId="21" xfId="0" applyFont="1" applyFill="1" applyBorder="1" applyAlignment="1">
      <alignment horizontal="center" vertical="center"/>
    </xf>
    <xf numFmtId="0" fontId="161"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9" fillId="4" borderId="170" xfId="0" applyFont="1" applyFill="1" applyBorder="1" applyAlignment="1" applyProtection="1">
      <alignment horizontal="left" vertical="center"/>
      <protection hidden="1"/>
    </xf>
    <xf numFmtId="0" fontId="99" fillId="4" borderId="2" xfId="0" applyFont="1" applyFill="1" applyBorder="1" applyAlignment="1" applyProtection="1">
      <alignment horizontal="left" vertical="center"/>
      <protection hidden="1"/>
    </xf>
    <xf numFmtId="0" fontId="62" fillId="4" borderId="31" xfId="2" applyNumberFormat="1" applyFill="1" applyBorder="1" applyAlignment="1" applyProtection="1">
      <alignment horizontal="center" vertical="center"/>
    </xf>
    <xf numFmtId="0" fontId="62"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99" fillId="4" borderId="63" xfId="0" applyFont="1" applyFill="1" applyBorder="1" applyAlignment="1">
      <alignment horizontal="center" vertical="center"/>
    </xf>
    <xf numFmtId="0" fontId="99" fillId="4" borderId="78" xfId="0" applyFont="1" applyFill="1" applyBorder="1" applyAlignment="1">
      <alignment horizontal="center" vertical="center"/>
    </xf>
    <xf numFmtId="0" fontId="99" fillId="4" borderId="67" xfId="0" applyFont="1" applyFill="1" applyBorder="1" applyAlignment="1">
      <alignment horizontal="center" vertical="center"/>
    </xf>
    <xf numFmtId="0" fontId="104" fillId="4" borderId="8" xfId="0" applyFont="1" applyFill="1" applyBorder="1" applyAlignment="1">
      <alignment horizontal="center" vertical="center"/>
    </xf>
    <xf numFmtId="0" fontId="104" fillId="4" borderId="99" xfId="0" applyFont="1" applyFill="1" applyBorder="1" applyAlignment="1">
      <alignment horizontal="center" vertical="center"/>
    </xf>
    <xf numFmtId="0" fontId="106" fillId="4" borderId="179" xfId="0" applyFont="1" applyFill="1" applyBorder="1" applyAlignment="1">
      <alignment horizontal="center" vertical="center" wrapText="1"/>
    </xf>
    <xf numFmtId="0" fontId="106" fillId="4" borderId="211" xfId="0" applyFont="1" applyFill="1" applyBorder="1" applyAlignment="1">
      <alignment horizontal="center" vertical="center" wrapText="1"/>
    </xf>
    <xf numFmtId="0" fontId="106" fillId="4" borderId="185" xfId="0" applyFont="1" applyFill="1" applyBorder="1" applyAlignment="1">
      <alignment horizontal="center" vertical="center" wrapText="1"/>
    </xf>
    <xf numFmtId="0" fontId="106" fillId="4" borderId="99" xfId="0" applyFont="1" applyFill="1" applyBorder="1" applyAlignment="1">
      <alignment horizontal="center" vertical="center" wrapText="1"/>
    </xf>
    <xf numFmtId="0" fontId="106" fillId="4" borderId="182" xfId="0" applyFont="1" applyFill="1" applyBorder="1" applyAlignment="1">
      <alignment horizontal="center" vertical="center" wrapText="1"/>
    </xf>
    <xf numFmtId="0" fontId="106" fillId="4" borderId="56" xfId="0" applyFont="1" applyFill="1" applyBorder="1" applyAlignment="1">
      <alignment horizontal="center" vertical="center" wrapText="1"/>
    </xf>
    <xf numFmtId="0" fontId="106" fillId="4" borderId="63" xfId="0" applyFont="1" applyFill="1" applyBorder="1" applyAlignment="1">
      <alignment horizontal="center" vertical="center" textRotation="90"/>
    </xf>
    <xf numFmtId="0" fontId="106" fillId="4" borderId="30" xfId="0" applyFont="1" applyFill="1" applyBorder="1" applyAlignment="1">
      <alignment horizontal="center" vertical="center" textRotation="90"/>
    </xf>
    <xf numFmtId="0" fontId="106" fillId="4" borderId="68" xfId="0" applyFont="1" applyFill="1" applyBorder="1" applyAlignment="1">
      <alignment horizontal="center" vertical="center" textRotation="90"/>
    </xf>
    <xf numFmtId="0" fontId="106" fillId="4" borderId="85" xfId="0" applyFont="1" applyFill="1" applyBorder="1" applyAlignment="1">
      <alignment horizontal="center" vertical="center" textRotation="90"/>
    </xf>
    <xf numFmtId="0" fontId="99" fillId="4" borderId="59" xfId="0" applyFont="1" applyFill="1" applyBorder="1" applyAlignment="1">
      <alignment horizontal="center" vertical="center" wrapText="1"/>
    </xf>
    <xf numFmtId="0" fontId="99" fillId="4" borderId="144" xfId="0" applyFont="1" applyFill="1" applyBorder="1" applyAlignment="1">
      <alignment horizontal="center" vertical="center" wrapText="1"/>
    </xf>
    <xf numFmtId="0" fontId="99" fillId="4" borderId="117" xfId="0" applyFont="1" applyFill="1" applyBorder="1" applyAlignment="1">
      <alignment horizontal="center" vertical="center" wrapText="1"/>
    </xf>
    <xf numFmtId="0" fontId="99" fillId="4" borderId="108" xfId="0" applyFont="1" applyFill="1" applyBorder="1" applyAlignment="1">
      <alignment horizontal="center" vertical="center" wrapText="1"/>
    </xf>
    <xf numFmtId="0" fontId="99" fillId="4" borderId="61" xfId="0" applyFont="1" applyFill="1" applyBorder="1" applyAlignment="1">
      <alignment horizontal="center" vertical="center" wrapText="1"/>
    </xf>
    <xf numFmtId="0" fontId="99" fillId="4" borderId="87" xfId="0" applyFont="1" applyFill="1" applyBorder="1" applyAlignment="1">
      <alignment horizontal="center" vertical="center" wrapText="1"/>
    </xf>
    <xf numFmtId="0" fontId="104" fillId="4" borderId="144" xfId="0" applyFont="1" applyFill="1" applyBorder="1" applyAlignment="1">
      <alignment horizontal="right" vertical="center"/>
    </xf>
    <xf numFmtId="0" fontId="200" fillId="4" borderId="19" xfId="0" applyFont="1" applyFill="1" applyBorder="1" applyAlignment="1">
      <alignment horizontal="right" vertical="center" textRotation="90"/>
    </xf>
    <xf numFmtId="0" fontId="99" fillId="4" borderId="19" xfId="0" applyFont="1" applyFill="1" applyBorder="1" applyAlignment="1">
      <alignment horizontal="right" vertical="center" textRotation="90"/>
    </xf>
    <xf numFmtId="0" fontId="111" fillId="0" borderId="1" xfId="0" applyFont="1" applyBorder="1" applyAlignment="1" applyProtection="1">
      <alignment horizontal="center" vertical="center" wrapText="1"/>
      <protection locked="0"/>
    </xf>
    <xf numFmtId="0" fontId="111"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9" fillId="4" borderId="72" xfId="0" applyFont="1" applyFill="1" applyBorder="1" applyAlignment="1">
      <alignment horizontal="center" vertical="top" textRotation="90"/>
    </xf>
    <xf numFmtId="0" fontId="109" fillId="4" borderId="66" xfId="0" applyFont="1" applyFill="1" applyBorder="1" applyAlignment="1">
      <alignment horizontal="center" vertical="top" textRotation="90"/>
    </xf>
    <xf numFmtId="0" fontId="109" fillId="4" borderId="40" xfId="0" applyFont="1" applyFill="1" applyBorder="1" applyAlignment="1">
      <alignment horizontal="center" vertical="top" textRotation="90"/>
    </xf>
    <xf numFmtId="0" fontId="101" fillId="4" borderId="31" xfId="0" applyFont="1" applyFill="1" applyBorder="1" applyAlignment="1">
      <alignment horizontal="center" vertical="center"/>
    </xf>
    <xf numFmtId="0" fontId="101" fillId="4" borderId="28" xfId="0" applyFont="1" applyFill="1" applyBorder="1" applyAlignment="1">
      <alignment horizontal="center" vertical="center"/>
    </xf>
    <xf numFmtId="10" fontId="104" fillId="4" borderId="1" xfId="0" applyNumberFormat="1" applyFont="1" applyFill="1" applyBorder="1" applyAlignment="1">
      <alignment horizontal="center" vertical="center"/>
    </xf>
    <xf numFmtId="10" fontId="104" fillId="4" borderId="10" xfId="0" applyNumberFormat="1"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106" fillId="4" borderId="23" xfId="0" applyFont="1" applyFill="1" applyBorder="1" applyAlignment="1">
      <alignment horizontal="center" vertical="center" textRotation="90"/>
    </xf>
    <xf numFmtId="0" fontId="106" fillId="4" borderId="0" xfId="0" applyFont="1" applyFill="1" applyAlignment="1">
      <alignment horizontal="center" vertical="center" textRotation="90"/>
    </xf>
    <xf numFmtId="0" fontId="106"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88" fillId="4" borderId="2" xfId="0" applyFont="1" applyFill="1" applyBorder="1" applyAlignment="1">
      <alignment horizontal="right" vertical="center"/>
    </xf>
    <xf numFmtId="0" fontId="109" fillId="4" borderId="59" xfId="0" applyFont="1" applyFill="1" applyBorder="1" applyAlignment="1">
      <alignment horizontal="center" vertical="center" textRotation="90" wrapText="1"/>
    </xf>
    <xf numFmtId="0" fontId="109"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6" fontId="104" fillId="4" borderId="4" xfId="0" applyNumberFormat="1" applyFont="1" applyFill="1" applyBorder="1" applyAlignment="1" applyProtection="1">
      <alignment horizontal="center" vertical="center"/>
      <protection hidden="1"/>
    </xf>
    <xf numFmtId="6" fontId="104" fillId="4" borderId="3" xfId="0" applyNumberFormat="1" applyFont="1" applyFill="1" applyBorder="1" applyAlignment="1" applyProtection="1">
      <alignment horizontal="center" vertical="center"/>
      <protection hidden="1"/>
    </xf>
    <xf numFmtId="0" fontId="99" fillId="4" borderId="85" xfId="0" applyFont="1" applyFill="1" applyBorder="1" applyAlignment="1">
      <alignment horizontal="left" vertical="center"/>
    </xf>
    <xf numFmtId="0" fontId="99" fillId="4" borderId="81" xfId="0" applyFont="1" applyFill="1" applyBorder="1" applyAlignment="1">
      <alignment horizontal="left" vertical="center"/>
    </xf>
    <xf numFmtId="0" fontId="99"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8" fillId="4" borderId="2" xfId="3" applyNumberFormat="1" applyFont="1" applyFill="1" applyBorder="1" applyAlignment="1">
      <alignment horizontal="center" vertical="center"/>
    </xf>
    <xf numFmtId="10" fontId="88" fillId="4" borderId="3" xfId="3" applyNumberFormat="1" applyFont="1" applyFill="1" applyBorder="1" applyAlignment="1">
      <alignment horizontal="center" vertical="center"/>
    </xf>
    <xf numFmtId="0" fontId="0" fillId="0" borderId="113" xfId="0" applyBorder="1" applyAlignment="1">
      <alignment horizontal="center"/>
    </xf>
    <xf numFmtId="0" fontId="161" fillId="4" borderId="24" xfId="0" applyFont="1" applyFill="1" applyBorder="1" applyAlignment="1">
      <alignment horizontal="center" vertical="center"/>
    </xf>
    <xf numFmtId="0" fontId="161" fillId="4" borderId="67" xfId="0" applyFont="1" applyFill="1" applyBorder="1" applyAlignment="1">
      <alignment horizontal="center" vertical="center"/>
    </xf>
    <xf numFmtId="0" fontId="161" fillId="4" borderId="22" xfId="0" applyFont="1" applyFill="1" applyBorder="1" applyAlignment="1">
      <alignment horizontal="center" vertical="center"/>
    </xf>
    <xf numFmtId="0" fontId="164" fillId="4" borderId="4" xfId="2" applyNumberFormat="1" applyFont="1" applyFill="1" applyBorder="1" applyAlignment="1" applyProtection="1">
      <alignment horizontal="center" vertical="center"/>
      <protection hidden="1"/>
    </xf>
    <xf numFmtId="0" fontId="164" fillId="4" borderId="10" xfId="2" applyNumberFormat="1" applyFont="1" applyFill="1" applyBorder="1" applyAlignment="1" applyProtection="1">
      <alignment horizontal="center" vertical="center"/>
      <protection hidden="1"/>
    </xf>
    <xf numFmtId="0" fontId="164" fillId="4" borderId="2" xfId="2" applyNumberFormat="1" applyFont="1" applyFill="1" applyBorder="1" applyAlignment="1" applyProtection="1">
      <alignment horizontal="center" vertical="center"/>
      <protection hidden="1"/>
    </xf>
    <xf numFmtId="0" fontId="164"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9" fillId="4" borderId="164" xfId="0" applyFont="1" applyFill="1" applyBorder="1" applyAlignment="1" applyProtection="1">
      <alignment horizontal="center" vertical="center"/>
      <protection hidden="1"/>
    </xf>
    <xf numFmtId="0" fontId="99" fillId="4" borderId="10" xfId="0" applyFont="1" applyFill="1" applyBorder="1" applyAlignment="1" applyProtection="1">
      <alignment horizontal="center" vertical="center"/>
      <protection hidden="1"/>
    </xf>
    <xf numFmtId="0" fontId="190" fillId="4" borderId="23" xfId="2" applyNumberFormat="1" applyFont="1" applyFill="1" applyBorder="1" applyAlignment="1" applyProtection="1">
      <alignment horizontal="center" vertical="center"/>
    </xf>
    <xf numFmtId="0" fontId="99" fillId="4" borderId="85" xfId="0" applyFont="1" applyFill="1" applyBorder="1" applyAlignment="1" applyProtection="1">
      <alignment horizontal="right"/>
      <protection hidden="1"/>
    </xf>
    <xf numFmtId="0" fontId="99" fillId="4" borderId="82" xfId="0" applyFont="1" applyFill="1" applyBorder="1" applyAlignment="1" applyProtection="1">
      <alignment horizontal="right"/>
      <protection hidden="1"/>
    </xf>
    <xf numFmtId="0" fontId="153" fillId="4" borderId="68" xfId="0" applyFont="1" applyFill="1" applyBorder="1" applyAlignment="1" applyProtection="1">
      <alignment horizontal="left" vertical="center"/>
      <protection hidden="1"/>
    </xf>
    <xf numFmtId="0" fontId="153" fillId="4" borderId="10" xfId="0" applyFont="1" applyFill="1" applyBorder="1" applyAlignment="1" applyProtection="1">
      <alignment horizontal="left" vertical="center"/>
      <protection hidden="1"/>
    </xf>
    <xf numFmtId="6" fontId="88" fillId="4" borderId="21" xfId="0" applyNumberFormat="1" applyFont="1" applyFill="1" applyBorder="1" applyAlignment="1">
      <alignment horizontal="center" vertical="center"/>
    </xf>
    <xf numFmtId="0" fontId="88" fillId="4" borderId="22" xfId="0" applyFont="1" applyFill="1" applyBorder="1" applyAlignment="1">
      <alignment horizontal="center" vertical="center"/>
    </xf>
    <xf numFmtId="8" fontId="88" fillId="4" borderId="21" xfId="0" applyNumberFormat="1" applyFont="1" applyFill="1" applyBorder="1" applyAlignment="1">
      <alignment horizontal="center" vertical="center"/>
    </xf>
    <xf numFmtId="0" fontId="99" fillId="4" borderId="189" xfId="0" applyFont="1" applyFill="1" applyBorder="1" applyAlignment="1">
      <alignment horizontal="center" wrapText="1"/>
    </xf>
    <xf numFmtId="0" fontId="99" fillId="4" borderId="181" xfId="0" applyFont="1" applyFill="1" applyBorder="1" applyAlignment="1">
      <alignment horizontal="center" wrapText="1"/>
    </xf>
    <xf numFmtId="0" fontId="99" fillId="4" borderId="31" xfId="0" applyFont="1" applyFill="1" applyBorder="1" applyAlignment="1">
      <alignment horizontal="center" wrapText="1"/>
    </xf>
    <xf numFmtId="0" fontId="99" fillId="4" borderId="174" xfId="0" applyFont="1" applyFill="1" applyBorder="1" applyAlignment="1">
      <alignment horizontal="center" wrapText="1"/>
    </xf>
    <xf numFmtId="0" fontId="99" fillId="4" borderId="68" xfId="0" applyFont="1" applyFill="1" applyBorder="1" applyAlignment="1" applyProtection="1">
      <alignment horizontal="left"/>
      <protection hidden="1"/>
    </xf>
    <xf numFmtId="0" fontId="99" fillId="4" borderId="10" xfId="0" applyFont="1" applyFill="1" applyBorder="1" applyAlignment="1" applyProtection="1">
      <alignment horizontal="left"/>
      <protection hidden="1"/>
    </xf>
    <xf numFmtId="0" fontId="164" fillId="4" borderId="68" xfId="2" applyNumberFormat="1" applyFont="1" applyFill="1" applyBorder="1" applyAlignment="1" applyProtection="1">
      <alignment horizontal="left"/>
      <protection hidden="1"/>
    </xf>
    <xf numFmtId="0" fontId="164"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41" fillId="4" borderId="164" xfId="2" applyNumberFormat="1" applyFont="1" applyFill="1" applyBorder="1" applyAlignment="1" applyProtection="1">
      <alignment horizontal="left"/>
      <protection hidden="1"/>
    </xf>
    <xf numFmtId="0" fontId="241"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88" fillId="4" borderId="2" xfId="0" applyNumberFormat="1" applyFont="1" applyFill="1" applyBorder="1" applyAlignment="1">
      <alignment horizontal="center" vertical="center"/>
    </xf>
    <xf numFmtId="0" fontId="88" fillId="4" borderId="2" xfId="0" applyFont="1" applyFill="1" applyBorder="1" applyAlignment="1">
      <alignment horizontal="center" vertical="center"/>
    </xf>
    <xf numFmtId="8" fontId="88" fillId="4" borderId="3" xfId="0" applyNumberFormat="1" applyFont="1" applyFill="1" applyBorder="1" applyAlignment="1">
      <alignment horizontal="center" vertical="center"/>
    </xf>
    <xf numFmtId="0" fontId="88" fillId="4" borderId="6" xfId="0" applyFont="1" applyFill="1" applyBorder="1" applyAlignment="1">
      <alignment horizontal="right" vertical="center"/>
    </xf>
    <xf numFmtId="0" fontId="88" fillId="4" borderId="6" xfId="0" applyFont="1" applyFill="1" applyBorder="1" applyAlignment="1">
      <alignment horizontal="center" vertical="center"/>
    </xf>
    <xf numFmtId="0" fontId="88" fillId="4" borderId="7" xfId="0" applyFont="1" applyFill="1" applyBorder="1" applyAlignment="1">
      <alignment horizontal="center" vertical="center"/>
    </xf>
    <xf numFmtId="0" fontId="0" fillId="4" borderId="1" xfId="0" applyFill="1" applyBorder="1" applyAlignment="1" applyProtection="1">
      <alignment horizontal="center" vertical="center"/>
      <protection hidden="1"/>
    </xf>
    <xf numFmtId="0" fontId="104" fillId="4" borderId="67" xfId="0" applyFont="1" applyFill="1" applyBorder="1" applyAlignment="1">
      <alignment horizontal="center" vertical="center"/>
    </xf>
    <xf numFmtId="0" fontId="104" fillId="4" borderId="22" xfId="0" applyFont="1" applyFill="1" applyBorder="1" applyAlignment="1">
      <alignment horizontal="center" vertical="center"/>
    </xf>
    <xf numFmtId="0" fontId="60" fillId="4" borderId="24" xfId="0" applyFont="1" applyFill="1" applyBorder="1" applyAlignment="1">
      <alignment horizontal="center" vertical="center"/>
    </xf>
    <xf numFmtId="0" fontId="60" fillId="4" borderId="4" xfId="0" applyFont="1" applyFill="1" applyBorder="1" applyAlignment="1">
      <alignment horizontal="center" vertical="center"/>
    </xf>
    <xf numFmtId="0" fontId="60" fillId="4" borderId="5" xfId="0" applyFont="1" applyFill="1" applyBorder="1" applyAlignment="1">
      <alignment horizontal="center" vertical="center"/>
    </xf>
    <xf numFmtId="0" fontId="88" fillId="4" borderId="21" xfId="0" applyFont="1" applyFill="1" applyBorder="1" applyAlignment="1">
      <alignment horizontal="right" vertical="center"/>
    </xf>
    <xf numFmtId="10" fontId="104" fillId="0" borderId="1" xfId="3" applyNumberFormat="1" applyFont="1" applyFill="1" applyBorder="1" applyAlignment="1" applyProtection="1">
      <alignment horizontal="center" vertical="center"/>
      <protection locked="0"/>
    </xf>
    <xf numFmtId="10" fontId="104" fillId="0" borderId="10" xfId="3" applyNumberFormat="1" applyFont="1" applyFill="1" applyBorder="1" applyAlignment="1" applyProtection="1">
      <alignment horizontal="center" vertical="center"/>
      <protection locked="0"/>
    </xf>
    <xf numFmtId="0" fontId="139" fillId="4" borderId="65" xfId="0" applyFont="1" applyFill="1" applyBorder="1" applyAlignment="1">
      <alignment horizontal="center" vertical="center"/>
    </xf>
    <xf numFmtId="0" fontId="139" fillId="4" borderId="79" xfId="0" applyFont="1" applyFill="1" applyBorder="1" applyAlignment="1">
      <alignment horizontal="center" vertical="center"/>
    </xf>
    <xf numFmtId="0" fontId="139"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104" fillId="4" borderId="42" xfId="0" applyFont="1" applyFill="1" applyBorder="1" applyAlignment="1" applyProtection="1">
      <alignment horizontal="center" vertical="center" wrapText="1"/>
      <protection hidden="1"/>
    </xf>
    <xf numFmtId="0" fontId="104" fillId="4" borderId="58" xfId="0" applyFont="1" applyFill="1" applyBorder="1" applyAlignment="1" applyProtection="1">
      <alignment horizontal="center" vertical="center" wrapText="1"/>
      <protection hidden="1"/>
    </xf>
    <xf numFmtId="0" fontId="104" fillId="4" borderId="8" xfId="0" applyFont="1" applyFill="1" applyBorder="1" applyAlignment="1" applyProtection="1">
      <alignment horizontal="center" vertical="center" wrapText="1"/>
      <protection hidden="1"/>
    </xf>
    <xf numFmtId="0" fontId="104" fillId="4" borderId="15" xfId="0" applyFont="1" applyFill="1" applyBorder="1" applyAlignment="1" applyProtection="1">
      <alignment horizontal="center" vertical="center" wrapText="1"/>
      <protection hidden="1"/>
    </xf>
    <xf numFmtId="0" fontId="104" fillId="4" borderId="31" xfId="0" applyFont="1" applyFill="1" applyBorder="1" applyAlignment="1" applyProtection="1">
      <alignment horizontal="center" vertical="center" wrapText="1"/>
      <protection hidden="1"/>
    </xf>
    <xf numFmtId="0" fontId="104" fillId="4" borderId="57" xfId="0" applyFont="1" applyFill="1" applyBorder="1" applyAlignment="1" applyProtection="1">
      <alignment horizontal="center" vertical="center" wrapText="1"/>
      <protection hidden="1"/>
    </xf>
    <xf numFmtId="0" fontId="104" fillId="4" borderId="19" xfId="0" applyFont="1" applyFill="1" applyBorder="1" applyAlignment="1" applyProtection="1">
      <alignment horizontal="center" vertical="center" wrapText="1"/>
      <protection hidden="1"/>
    </xf>
    <xf numFmtId="0" fontId="104" fillId="4" borderId="0" xfId="0" applyFont="1" applyFill="1" applyAlignment="1" applyProtection="1">
      <alignment horizontal="center" vertical="center" wrapText="1"/>
      <protection hidden="1"/>
    </xf>
    <xf numFmtId="0" fontId="104" fillId="4" borderId="16" xfId="0" applyFont="1" applyFill="1" applyBorder="1" applyAlignment="1" applyProtection="1">
      <alignment horizontal="center" vertical="center" wrapText="1"/>
      <protection hidden="1"/>
    </xf>
    <xf numFmtId="0" fontId="104" fillId="4" borderId="18" xfId="0" applyFont="1" applyFill="1" applyBorder="1" applyAlignment="1" applyProtection="1">
      <alignment horizontal="center" vertical="center" wrapText="1"/>
      <protection hidden="1"/>
    </xf>
    <xf numFmtId="0" fontId="104" fillId="4" borderId="39" xfId="0" applyFont="1" applyFill="1" applyBorder="1" applyAlignment="1" applyProtection="1">
      <alignment horizontal="center" vertical="center" wrapText="1"/>
      <protection hidden="1"/>
    </xf>
    <xf numFmtId="0" fontId="168"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101" fillId="4" borderId="1" xfId="0" applyFont="1" applyFill="1" applyBorder="1" applyAlignment="1" applyProtection="1">
      <alignment horizontal="center" vertical="center"/>
      <protection hidden="1"/>
    </xf>
    <xf numFmtId="0" fontId="101" fillId="4" borderId="9" xfId="0" applyFont="1" applyFill="1" applyBorder="1" applyAlignment="1" applyProtection="1">
      <alignment horizontal="center" vertical="center"/>
      <protection hidden="1"/>
    </xf>
    <xf numFmtId="0" fontId="101"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104" fillId="4" borderId="68" xfId="0" applyFont="1" applyFill="1" applyBorder="1" applyAlignment="1" applyProtection="1">
      <alignment horizontal="left" vertical="center"/>
      <protection hidden="1"/>
    </xf>
    <xf numFmtId="0" fontId="104" fillId="4" borderId="10" xfId="0" applyFont="1" applyFill="1" applyBorder="1" applyAlignment="1" applyProtection="1">
      <alignment horizontal="left" vertical="center"/>
      <protection hidden="1"/>
    </xf>
    <xf numFmtId="0" fontId="62" fillId="4" borderId="18" xfId="2" applyNumberFormat="1" applyFill="1" applyBorder="1" applyAlignment="1" applyProtection="1">
      <alignment horizontal="center"/>
    </xf>
    <xf numFmtId="0" fontId="62" fillId="4" borderId="39" xfId="2" applyNumberFormat="1" applyFill="1" applyBorder="1" applyAlignment="1" applyProtection="1">
      <alignment horizontal="center"/>
    </xf>
    <xf numFmtId="0" fontId="99" fillId="4" borderId="43" xfId="0" applyFont="1" applyFill="1" applyBorder="1" applyAlignment="1" applyProtection="1">
      <alignment horizontal="center" vertical="center" wrapText="1"/>
      <protection hidden="1"/>
    </xf>
    <xf numFmtId="0" fontId="99" fillId="4" borderId="23" xfId="0" applyFont="1" applyFill="1" applyBorder="1" applyAlignment="1" applyProtection="1">
      <alignment horizontal="center" vertical="center" wrapText="1"/>
      <protection hidden="1"/>
    </xf>
    <xf numFmtId="0" fontId="99" fillId="4" borderId="0" xfId="0" applyFont="1" applyFill="1" applyAlignment="1" applyProtection="1">
      <alignment horizontal="center" vertical="center" wrapText="1"/>
      <protection hidden="1"/>
    </xf>
    <xf numFmtId="0" fontId="99" fillId="4" borderId="16" xfId="0" applyFont="1" applyFill="1" applyBorder="1" applyAlignment="1" applyProtection="1">
      <alignment horizontal="center" vertical="center" wrapText="1"/>
      <protection hidden="1"/>
    </xf>
    <xf numFmtId="0" fontId="99" fillId="4" borderId="18" xfId="0" applyFont="1" applyFill="1" applyBorder="1" applyAlignment="1" applyProtection="1">
      <alignment horizontal="center" vertical="center" wrapText="1"/>
      <protection hidden="1"/>
    </xf>
    <xf numFmtId="0" fontId="62" fillId="3" borderId="0" xfId="2" applyNumberFormat="1" applyFill="1" applyBorder="1" applyAlignment="1" applyProtection="1">
      <alignment horizontal="center"/>
    </xf>
    <xf numFmtId="0" fontId="62"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41" fillId="0" borderId="18" xfId="0" applyFont="1" applyBorder="1" applyAlignment="1">
      <alignment horizontal="center" vertical="center"/>
    </xf>
    <xf numFmtId="178" fontId="48" fillId="0" borderId="0" xfId="0" applyNumberFormat="1" applyFont="1" applyAlignment="1">
      <alignment horizontal="center"/>
    </xf>
    <xf numFmtId="0" fontId="114" fillId="0" borderId="43" xfId="0" applyFont="1" applyBorder="1" applyAlignment="1">
      <alignment horizontal="center" wrapText="1"/>
    </xf>
    <xf numFmtId="0" fontId="114" fillId="0" borderId="23" xfId="0" applyFont="1" applyBorder="1" applyAlignment="1">
      <alignment horizontal="center" wrapText="1"/>
    </xf>
    <xf numFmtId="0" fontId="114" fillId="0" borderId="44" xfId="0" applyFont="1" applyBorder="1" applyAlignment="1">
      <alignment horizontal="center" wrapText="1"/>
    </xf>
    <xf numFmtId="0" fontId="114" fillId="0" borderId="43" xfId="0" applyFont="1" applyBorder="1" applyAlignment="1">
      <alignment horizontal="center" vertical="center"/>
    </xf>
    <xf numFmtId="0" fontId="114" fillId="0" borderId="23" xfId="0" applyFont="1" applyBorder="1" applyAlignment="1">
      <alignment horizontal="center" vertical="center"/>
    </xf>
    <xf numFmtId="0" fontId="62" fillId="0" borderId="0" xfId="2" applyNumberFormat="1" applyFill="1" applyAlignment="1" applyProtection="1">
      <alignment horizontal="center" wrapText="1"/>
    </xf>
    <xf numFmtId="0" fontId="62"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14" fillId="0" borderId="24" xfId="0" applyFont="1" applyBorder="1" applyAlignment="1">
      <alignment horizontal="center" wrapText="1"/>
    </xf>
    <xf numFmtId="0" fontId="114" fillId="0" borderId="21" xfId="0" applyFont="1" applyBorder="1" applyAlignment="1">
      <alignment horizontal="center" wrapText="1"/>
    </xf>
    <xf numFmtId="175" fontId="114" fillId="0" borderId="21" xfId="0" applyNumberFormat="1" applyFont="1" applyBorder="1" applyAlignment="1">
      <alignment horizontal="center" vertical="center" wrapText="1"/>
    </xf>
    <xf numFmtId="175" fontId="114" fillId="0" borderId="22" xfId="0" applyNumberFormat="1" applyFont="1" applyBorder="1" applyAlignment="1">
      <alignment horizontal="center" vertical="center" wrapText="1"/>
    </xf>
    <xf numFmtId="175" fontId="114" fillId="0" borderId="24" xfId="0" applyNumberFormat="1" applyFont="1" applyBorder="1" applyAlignment="1">
      <alignment horizontal="center" vertical="center" wrapText="1"/>
    </xf>
    <xf numFmtId="200" fontId="99" fillId="4" borderId="2" xfId="3" applyNumberFormat="1" applyFont="1" applyFill="1" applyBorder="1" applyAlignment="1" applyProtection="1">
      <alignment horizontal="center" vertical="center"/>
      <protection hidden="1"/>
    </xf>
    <xf numFmtId="200" fontId="99" fillId="4" borderId="3" xfId="3" applyNumberFormat="1" applyFont="1" applyFill="1" applyBorder="1" applyAlignment="1" applyProtection="1">
      <alignment horizontal="center" vertical="center"/>
      <protection hidden="1"/>
    </xf>
    <xf numFmtId="0" fontId="106" fillId="16" borderId="24" xfId="0" applyFont="1" applyFill="1" applyBorder="1" applyAlignment="1" applyProtection="1">
      <alignment horizontal="center" vertical="center"/>
      <protection hidden="1"/>
    </xf>
    <xf numFmtId="0" fontId="106" fillId="16" borderId="21" xfId="0" applyFont="1" applyFill="1" applyBorder="1" applyAlignment="1" applyProtection="1">
      <alignment horizontal="center" vertical="center"/>
      <protection hidden="1"/>
    </xf>
    <xf numFmtId="0" fontId="106" fillId="16" borderId="22" xfId="0" applyFont="1" applyFill="1" applyBorder="1" applyAlignment="1" applyProtection="1">
      <alignment horizontal="center" vertical="center"/>
      <protection hidden="1"/>
    </xf>
    <xf numFmtId="0" fontId="106" fillId="16" borderId="4" xfId="0" applyFont="1" applyFill="1" applyBorder="1" applyAlignment="1" applyProtection="1">
      <alignment horizontal="center" vertical="center"/>
      <protection hidden="1"/>
    </xf>
    <xf numFmtId="0" fontId="106" fillId="16" borderId="2" xfId="0" applyFont="1" applyFill="1" applyBorder="1" applyAlignment="1" applyProtection="1">
      <alignment horizontal="center" vertical="center"/>
      <protection hidden="1"/>
    </xf>
    <xf numFmtId="0" fontId="106" fillId="16" borderId="3" xfId="0" applyFont="1" applyFill="1" applyBorder="1" applyAlignment="1" applyProtection="1">
      <alignment horizontal="center" vertical="center"/>
      <protection hidden="1"/>
    </xf>
    <xf numFmtId="0" fontId="79" fillId="4" borderId="4" xfId="0" applyFont="1" applyFill="1" applyBorder="1" applyAlignment="1" applyProtection="1">
      <alignment horizontal="left" vertical="center"/>
      <protection hidden="1"/>
    </xf>
    <xf numFmtId="0" fontId="79" fillId="4" borderId="2" xfId="0" applyFont="1" applyFill="1" applyBorder="1" applyAlignment="1" applyProtection="1">
      <alignment horizontal="left" vertical="center"/>
      <protection hidden="1"/>
    </xf>
    <xf numFmtId="0" fontId="82" fillId="16" borderId="24" xfId="0" applyFont="1" applyFill="1" applyBorder="1" applyAlignment="1">
      <alignment horizontal="center" vertical="center"/>
    </xf>
    <xf numFmtId="0" fontId="82" fillId="16" borderId="21" xfId="0" applyFont="1" applyFill="1" applyBorder="1" applyAlignment="1">
      <alignment horizontal="center" vertical="center"/>
    </xf>
    <xf numFmtId="0" fontId="82" fillId="16" borderId="22" xfId="0" applyFont="1" applyFill="1" applyBorder="1" applyAlignment="1">
      <alignment horizontal="center" vertical="center"/>
    </xf>
    <xf numFmtId="0" fontId="82" fillId="16" borderId="4" xfId="0" applyFont="1" applyFill="1" applyBorder="1" applyAlignment="1">
      <alignment horizontal="center" vertical="center"/>
    </xf>
    <xf numFmtId="0" fontId="82" fillId="16" borderId="2" xfId="0" applyFont="1" applyFill="1" applyBorder="1" applyAlignment="1">
      <alignment horizontal="center" vertical="center"/>
    </xf>
    <xf numFmtId="0" fontId="82"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101" fillId="4" borderId="26" xfId="0" applyFont="1" applyFill="1" applyBorder="1" applyAlignment="1">
      <alignment horizontal="left" vertical="center"/>
    </xf>
    <xf numFmtId="0" fontId="101" fillId="4" borderId="41" xfId="0" applyFont="1" applyFill="1" applyBorder="1" applyAlignment="1">
      <alignment horizontal="left" vertical="center"/>
    </xf>
    <xf numFmtId="0" fontId="103" fillId="4" borderId="85" xfId="0" applyFont="1" applyFill="1" applyBorder="1" applyAlignment="1">
      <alignment horizontal="center" vertical="center"/>
    </xf>
    <xf numFmtId="0" fontId="103" fillId="4" borderId="81" xfId="0" applyFont="1" applyFill="1" applyBorder="1" applyAlignment="1">
      <alignment horizontal="center" vertical="center"/>
    </xf>
    <xf numFmtId="0" fontId="103" fillId="4" borderId="86" xfId="0" applyFont="1" applyFill="1" applyBorder="1" applyAlignment="1">
      <alignment horizontal="center" vertical="center"/>
    </xf>
    <xf numFmtId="0" fontId="106" fillId="16" borderId="43" xfId="0" applyFont="1" applyFill="1" applyBorder="1" applyAlignment="1">
      <alignment horizontal="center" vertical="center"/>
    </xf>
    <xf numFmtId="0" fontId="106" fillId="16" borderId="23" xfId="0" applyFont="1" applyFill="1" applyBorder="1" applyAlignment="1">
      <alignment horizontal="center" vertical="center"/>
    </xf>
    <xf numFmtId="0" fontId="106" fillId="16" borderId="44" xfId="0" applyFont="1" applyFill="1" applyBorder="1" applyAlignment="1">
      <alignment horizontal="center" vertical="center"/>
    </xf>
    <xf numFmtId="0" fontId="106" fillId="16" borderId="16" xfId="0" applyFont="1" applyFill="1" applyBorder="1" applyAlignment="1">
      <alignment horizontal="center" vertical="center"/>
    </xf>
    <xf numFmtId="0" fontId="106" fillId="16" borderId="18" xfId="0" applyFont="1" applyFill="1" applyBorder="1" applyAlignment="1">
      <alignment horizontal="center" vertical="center"/>
    </xf>
    <xf numFmtId="0" fontId="106"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106" fillId="4" borderId="269" xfId="0" applyFont="1" applyFill="1" applyBorder="1" applyAlignment="1">
      <alignment horizontal="center" vertical="center" textRotation="90"/>
    </xf>
    <xf numFmtId="0" fontId="106" fillId="4" borderId="273" xfId="0" applyFont="1" applyFill="1" applyBorder="1" applyAlignment="1">
      <alignment horizontal="center" vertical="center" textRotation="90"/>
    </xf>
    <xf numFmtId="0" fontId="106" fillId="4" borderId="276" xfId="0" applyFont="1" applyFill="1" applyBorder="1" applyAlignment="1">
      <alignment horizontal="center" vertical="center" textRotation="90"/>
    </xf>
    <xf numFmtId="0" fontId="27" fillId="4" borderId="170" xfId="0" applyFont="1" applyFill="1" applyBorder="1" applyAlignment="1" applyProtection="1">
      <alignment horizontal="right" vertical="center"/>
      <protection hidden="1"/>
    </xf>
    <xf numFmtId="0" fontId="27" fillId="4" borderId="2" xfId="0" applyFont="1" applyFill="1" applyBorder="1" applyAlignment="1" applyProtection="1">
      <alignment horizontal="right" vertical="center"/>
      <protection hidden="1"/>
    </xf>
    <xf numFmtId="0" fontId="159" fillId="16" borderId="270" xfId="0" applyFont="1" applyFill="1" applyBorder="1" applyAlignment="1">
      <alignment horizontal="center" vertical="center" wrapText="1"/>
    </xf>
    <xf numFmtId="0" fontId="159" fillId="16" borderId="271" xfId="0" applyFont="1" applyFill="1" applyBorder="1" applyAlignment="1">
      <alignment horizontal="center" vertical="center" wrapText="1"/>
    </xf>
    <xf numFmtId="0" fontId="159" fillId="16" borderId="272" xfId="0" applyFont="1" applyFill="1" applyBorder="1" applyAlignment="1">
      <alignment horizontal="center" vertical="center" wrapText="1"/>
    </xf>
    <xf numFmtId="0" fontId="115" fillId="4" borderId="19" xfId="0" applyFont="1" applyFill="1" applyBorder="1" applyAlignment="1">
      <alignment horizontal="center" vertical="center" textRotation="90"/>
    </xf>
    <xf numFmtId="0" fontId="115" fillId="4" borderId="16" xfId="0" applyFont="1" applyFill="1" applyBorder="1" applyAlignment="1">
      <alignment horizontal="center" vertical="center" textRotation="90"/>
    </xf>
    <xf numFmtId="0" fontId="104" fillId="4" borderId="1" xfId="0" applyFont="1" applyFill="1" applyBorder="1" applyAlignment="1">
      <alignment horizontal="left" vertical="center"/>
    </xf>
    <xf numFmtId="0" fontId="104" fillId="4" borderId="10" xfId="0" applyFont="1" applyFill="1" applyBorder="1" applyAlignment="1">
      <alignment horizontal="left" vertical="center"/>
    </xf>
    <xf numFmtId="0" fontId="114" fillId="4" borderId="170" xfId="0" applyFont="1" applyFill="1" applyBorder="1" applyAlignment="1" applyProtection="1">
      <alignment horizontal="center" vertical="center"/>
      <protection hidden="1"/>
    </xf>
    <xf numFmtId="0" fontId="114" fillId="4" borderId="2" xfId="0" applyFont="1" applyFill="1" applyBorder="1" applyAlignment="1" applyProtection="1">
      <alignment horizontal="center" vertical="center"/>
      <protection hidden="1"/>
    </xf>
    <xf numFmtId="0" fontId="210" fillId="4" borderId="177" xfId="0" applyFont="1" applyFill="1" applyBorder="1" applyAlignment="1" applyProtection="1">
      <alignment horizontal="right" vertical="center"/>
      <protection hidden="1"/>
    </xf>
    <xf numFmtId="0" fontId="210" fillId="4" borderId="131" xfId="0" applyFont="1" applyFill="1" applyBorder="1" applyAlignment="1" applyProtection="1">
      <alignment horizontal="right" vertical="center"/>
      <protection hidden="1"/>
    </xf>
    <xf numFmtId="0" fontId="27" fillId="4" borderId="170" xfId="0"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48" fillId="4" borderId="170" xfId="0" applyFont="1" applyFill="1" applyBorder="1" applyAlignment="1">
      <alignment horizontal="center" vertical="center"/>
    </xf>
    <xf numFmtId="0" fontId="248" fillId="4" borderId="2" xfId="0" applyFont="1" applyFill="1" applyBorder="1" applyAlignment="1">
      <alignment horizontal="center" vertical="center"/>
    </xf>
    <xf numFmtId="0" fontId="248" fillId="4" borderId="130" xfId="0" applyFont="1" applyFill="1" applyBorder="1" applyAlignment="1">
      <alignment horizontal="center" vertical="center"/>
    </xf>
    <xf numFmtId="0" fontId="210" fillId="4" borderId="170" xfId="0" applyFont="1" applyFill="1" applyBorder="1" applyAlignment="1" applyProtection="1">
      <alignment horizontal="right" vertical="center"/>
      <protection hidden="1"/>
    </xf>
    <xf numFmtId="0" fontId="210" fillId="4" borderId="2" xfId="0" applyFont="1" applyFill="1" applyBorder="1" applyAlignment="1" applyProtection="1">
      <alignment horizontal="right" vertical="center"/>
      <protection hidden="1"/>
    </xf>
    <xf numFmtId="0" fontId="183" fillId="16" borderId="155" xfId="0" applyFont="1" applyFill="1" applyBorder="1" applyAlignment="1">
      <alignment horizontal="center" vertical="center"/>
    </xf>
    <xf numFmtId="0" fontId="183" fillId="16" borderId="41" xfId="0" applyFont="1" applyFill="1" applyBorder="1" applyAlignment="1">
      <alignment horizontal="center" vertical="center"/>
    </xf>
    <xf numFmtId="0" fontId="183" fillId="16" borderId="145" xfId="0" applyFont="1" applyFill="1" applyBorder="1" applyAlignment="1">
      <alignment horizontal="center" vertical="center"/>
    </xf>
    <xf numFmtId="0" fontId="183" fillId="16" borderId="170" xfId="0" applyFont="1" applyFill="1" applyBorder="1" applyAlignment="1">
      <alignment horizontal="center" vertical="center"/>
    </xf>
    <xf numFmtId="0" fontId="183" fillId="16" borderId="2" xfId="0" applyFont="1" applyFill="1" applyBorder="1" applyAlignment="1">
      <alignment horizontal="center" vertical="center"/>
    </xf>
    <xf numFmtId="0" fontId="183" fillId="16" borderId="130" xfId="0" applyFont="1" applyFill="1" applyBorder="1" applyAlignment="1">
      <alignment horizontal="center" vertical="center"/>
    </xf>
    <xf numFmtId="14" fontId="62" fillId="4" borderId="19" xfId="2" applyNumberFormat="1" applyFill="1" applyBorder="1" applyAlignment="1" applyProtection="1">
      <alignment horizontal="center" vertical="center"/>
    </xf>
    <xf numFmtId="14" fontId="62" fillId="4" borderId="0" xfId="2" applyNumberFormat="1" applyFill="1" applyAlignment="1" applyProtection="1">
      <alignment horizontal="center" vertical="center"/>
    </xf>
    <xf numFmtId="14" fontId="62" fillId="4" borderId="15" xfId="2" applyNumberFormat="1" applyFill="1" applyBorder="1" applyAlignment="1" applyProtection="1">
      <alignment horizontal="center" vertical="center"/>
    </xf>
    <xf numFmtId="14" fontId="164" fillId="4" borderId="19" xfId="2" applyNumberFormat="1" applyFont="1" applyFill="1" applyBorder="1" applyAlignment="1" applyProtection="1">
      <alignment horizontal="center" vertical="center"/>
    </xf>
    <xf numFmtId="14" fontId="164" fillId="4" borderId="0" xfId="2" applyNumberFormat="1" applyFont="1" applyFill="1" applyBorder="1" applyAlignment="1" applyProtection="1">
      <alignment horizontal="center" vertical="center"/>
    </xf>
    <xf numFmtId="14" fontId="164" fillId="4" borderId="15" xfId="2" applyNumberFormat="1" applyFont="1" applyFill="1" applyBorder="1" applyAlignment="1" applyProtection="1">
      <alignment horizontal="center" vertical="center"/>
    </xf>
    <xf numFmtId="14" fontId="165" fillId="4" borderId="19" xfId="2" applyNumberFormat="1" applyFont="1" applyFill="1" applyBorder="1" applyAlignment="1" applyProtection="1">
      <alignment horizontal="center" vertical="center"/>
    </xf>
    <xf numFmtId="14" fontId="165" fillId="4" borderId="0" xfId="2" applyNumberFormat="1" applyFont="1" applyFill="1" applyBorder="1" applyAlignment="1" applyProtection="1">
      <alignment horizontal="center" vertical="center"/>
    </xf>
    <xf numFmtId="14" fontId="165" fillId="4" borderId="15" xfId="2" applyNumberFormat="1" applyFont="1" applyFill="1" applyBorder="1" applyAlignment="1" applyProtection="1">
      <alignment horizontal="center" vertical="center"/>
    </xf>
    <xf numFmtId="0" fontId="106" fillId="16" borderId="24" xfId="0" applyFont="1" applyFill="1" applyBorder="1" applyAlignment="1">
      <alignment horizontal="center" vertical="center"/>
    </xf>
    <xf numFmtId="0" fontId="106" fillId="16" borderId="21" xfId="0" applyFont="1" applyFill="1" applyBorder="1" applyAlignment="1">
      <alignment horizontal="center" vertical="center"/>
    </xf>
    <xf numFmtId="0" fontId="106"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64" fillId="4" borderId="19" xfId="2" applyNumberFormat="1" applyFont="1" applyFill="1" applyBorder="1" applyAlignment="1" applyProtection="1">
      <alignment horizontal="center" vertical="center"/>
    </xf>
    <xf numFmtId="0" fontId="164" fillId="4" borderId="0" xfId="2" applyNumberFormat="1" applyFont="1" applyFill="1" applyBorder="1" applyAlignment="1" applyProtection="1">
      <alignment horizontal="center" vertical="center"/>
    </xf>
    <xf numFmtId="0" fontId="164" fillId="4" borderId="15" xfId="2" applyNumberFormat="1" applyFont="1" applyFill="1" applyBorder="1" applyAlignment="1" applyProtection="1">
      <alignment horizontal="center" vertical="center"/>
    </xf>
    <xf numFmtId="0" fontId="62" fillId="4" borderId="19" xfId="2" applyNumberFormat="1" applyFill="1" applyBorder="1" applyAlignment="1" applyProtection="1">
      <alignment horizontal="left" vertical="center" textRotation="180" wrapText="1"/>
    </xf>
    <xf numFmtId="0" fontId="128" fillId="4" borderId="19" xfId="0" applyFont="1" applyFill="1" applyBorder="1" applyAlignment="1">
      <alignment horizontal="left" vertical="center" textRotation="180" wrapText="1"/>
    </xf>
    <xf numFmtId="14" fontId="166" fillId="4" borderId="16" xfId="2" applyNumberFormat="1" applyFont="1" applyFill="1" applyBorder="1" applyAlignment="1" applyProtection="1">
      <alignment horizontal="center" vertical="center"/>
    </xf>
    <xf numFmtId="14" fontId="166" fillId="4" borderId="18" xfId="2" applyNumberFormat="1" applyFont="1" applyFill="1" applyBorder="1" applyAlignment="1" applyProtection="1">
      <alignment horizontal="center" vertical="center"/>
    </xf>
    <xf numFmtId="14" fontId="166"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83" fillId="16" borderId="43" xfId="0" applyFont="1" applyFill="1" applyBorder="1" applyAlignment="1">
      <alignment horizontal="center" vertical="center"/>
    </xf>
    <xf numFmtId="0" fontId="183" fillId="16" borderId="23" xfId="0" applyFont="1" applyFill="1" applyBorder="1" applyAlignment="1">
      <alignment horizontal="center" vertical="center"/>
    </xf>
    <xf numFmtId="0" fontId="183" fillId="16" borderId="44" xfId="0" applyFont="1" applyFill="1" applyBorder="1" applyAlignment="1">
      <alignment horizontal="center" vertical="center"/>
    </xf>
    <xf numFmtId="14" fontId="164" fillId="4" borderId="19" xfId="2" applyNumberFormat="1" applyFont="1" applyFill="1" applyBorder="1" applyAlignment="1" applyProtection="1">
      <alignment horizontal="right" vertical="center"/>
    </xf>
    <xf numFmtId="14" fontId="164" fillId="4" borderId="0" xfId="2" applyNumberFormat="1" applyFont="1" applyFill="1" applyBorder="1" applyAlignment="1" applyProtection="1">
      <alignment horizontal="right" vertical="center"/>
    </xf>
    <xf numFmtId="14" fontId="164" fillId="4" borderId="15" xfId="2" applyNumberFormat="1" applyFont="1" applyFill="1" applyBorder="1" applyAlignment="1" applyProtection="1">
      <alignment horizontal="right" vertical="center"/>
    </xf>
    <xf numFmtId="0" fontId="109" fillId="4" borderId="68" xfId="0" applyFont="1" applyFill="1" applyBorder="1" applyAlignment="1">
      <alignment horizontal="center" vertical="center"/>
    </xf>
    <xf numFmtId="0" fontId="109" fillId="4" borderId="9" xfId="0" applyFont="1" applyFill="1" applyBorder="1" applyAlignment="1">
      <alignment horizontal="center" vertical="center"/>
    </xf>
    <xf numFmtId="0" fontId="109" fillId="4" borderId="77" xfId="0" applyFont="1" applyFill="1" applyBorder="1" applyAlignment="1">
      <alignment horizontal="center" vertical="center"/>
    </xf>
    <xf numFmtId="0" fontId="166" fillId="16" borderId="63" xfId="2" applyNumberFormat="1" applyFont="1" applyFill="1" applyBorder="1" applyAlignment="1" applyProtection="1">
      <alignment horizontal="center" vertical="center" wrapText="1"/>
    </xf>
    <xf numFmtId="0" fontId="166" fillId="16" borderId="64" xfId="2" applyNumberFormat="1" applyFont="1" applyFill="1" applyBorder="1" applyAlignment="1" applyProtection="1">
      <alignment horizontal="center" vertical="center" wrapText="1"/>
    </xf>
    <xf numFmtId="0" fontId="98" fillId="4" borderId="19" xfId="0" applyFont="1" applyFill="1" applyBorder="1" applyAlignment="1">
      <alignment horizontal="left" vertical="center"/>
    </xf>
    <xf numFmtId="0" fontId="98"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105" fillId="4" borderId="85" xfId="0" applyFont="1" applyFill="1" applyBorder="1" applyAlignment="1" applyProtection="1">
      <alignment horizontal="center" vertical="center" wrapText="1"/>
      <protection hidden="1"/>
    </xf>
    <xf numFmtId="0" fontId="105" fillId="4" borderId="81" xfId="0" applyFont="1" applyFill="1" applyBorder="1" applyAlignment="1" applyProtection="1">
      <alignment horizontal="center" vertical="center" wrapText="1"/>
      <protection hidden="1"/>
    </xf>
    <xf numFmtId="0" fontId="105" fillId="4" borderId="86" xfId="0" applyFont="1" applyFill="1" applyBorder="1" applyAlignment="1" applyProtection="1">
      <alignment horizontal="center" vertical="center" wrapText="1"/>
      <protection hidden="1"/>
    </xf>
    <xf numFmtId="165" fontId="79" fillId="4" borderId="4" xfId="0" applyNumberFormat="1" applyFont="1" applyFill="1" applyBorder="1" applyAlignment="1" applyProtection="1">
      <alignment horizontal="left" vertical="center" wrapText="1"/>
      <protection hidden="1"/>
    </xf>
    <xf numFmtId="165" fontId="79" fillId="4" borderId="2" xfId="0" applyNumberFormat="1" applyFont="1" applyFill="1" applyBorder="1" applyAlignment="1" applyProtection="1">
      <alignment horizontal="left" vertical="center" wrapText="1"/>
      <protection hidden="1"/>
    </xf>
    <xf numFmtId="165" fontId="79" fillId="4" borderId="5" xfId="0" applyNumberFormat="1" applyFont="1" applyFill="1" applyBorder="1" applyAlignment="1" applyProtection="1">
      <alignment horizontal="left" vertical="center" wrapText="1"/>
      <protection hidden="1"/>
    </xf>
    <xf numFmtId="165" fontId="79" fillId="4" borderId="6" xfId="0" applyNumberFormat="1" applyFont="1" applyFill="1" applyBorder="1" applyAlignment="1" applyProtection="1">
      <alignment horizontal="left" vertical="center" wrapText="1"/>
      <protection hidden="1"/>
    </xf>
    <xf numFmtId="186" fontId="79" fillId="4" borderId="3" xfId="0" applyNumberFormat="1" applyFont="1" applyFill="1" applyBorder="1" applyAlignment="1" applyProtection="1">
      <alignment horizontal="center" vertical="center"/>
      <protection hidden="1"/>
    </xf>
    <xf numFmtId="186" fontId="79" fillId="4" borderId="7" xfId="0" applyNumberFormat="1" applyFont="1" applyFill="1" applyBorder="1" applyAlignment="1" applyProtection="1">
      <alignment horizontal="center" vertical="center"/>
      <protection hidden="1"/>
    </xf>
    <xf numFmtId="0" fontId="105" fillId="4" borderId="4" xfId="0" applyFont="1" applyFill="1" applyBorder="1" applyAlignment="1" applyProtection="1">
      <alignment horizontal="right" vertical="center" wrapText="1"/>
      <protection hidden="1"/>
    </xf>
    <xf numFmtId="0" fontId="105" fillId="4" borderId="2" xfId="0" applyFont="1" applyFill="1" applyBorder="1" applyAlignment="1" applyProtection="1">
      <alignment horizontal="right" vertical="center" wrapText="1"/>
      <protection hidden="1"/>
    </xf>
    <xf numFmtId="6" fontId="99"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0" fontId="110" fillId="3" borderId="19" xfId="0" applyFont="1" applyFill="1" applyBorder="1" applyAlignment="1">
      <alignment horizontal="center" vertical="center" wrapText="1"/>
    </xf>
    <xf numFmtId="0" fontId="110" fillId="3" borderId="0" xfId="0" applyFont="1" applyFill="1" applyAlignment="1">
      <alignment horizontal="center" vertical="center" wrapText="1"/>
    </xf>
    <xf numFmtId="0" fontId="99" fillId="4" borderId="170" xfId="0" applyFont="1" applyFill="1" applyBorder="1" applyAlignment="1" applyProtection="1">
      <alignment horizontal="left" vertical="center" wrapText="1"/>
      <protection hidden="1"/>
    </xf>
    <xf numFmtId="0" fontId="99"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204" fontId="0" fillId="4" borderId="183" xfId="0" applyNumberFormat="1" applyFill="1" applyBorder="1" applyAlignment="1" applyProtection="1">
      <alignment horizontal="center" vertical="center" wrapText="1"/>
      <protection hidden="1"/>
    </xf>
    <xf numFmtId="204" fontId="0" fillId="4" borderId="207" xfId="0" applyNumberFormat="1" applyFill="1" applyBorder="1" applyAlignment="1" applyProtection="1">
      <alignment horizontal="center" vertical="center" wrapText="1"/>
      <protection hidden="1"/>
    </xf>
    <xf numFmtId="0" fontId="141" fillId="16" borderId="285" xfId="0" applyFont="1" applyFill="1" applyBorder="1" applyAlignment="1">
      <alignment horizontal="center" vertical="center" wrapText="1"/>
    </xf>
    <xf numFmtId="0" fontId="141" fillId="16" borderId="286" xfId="0" applyFont="1" applyFill="1" applyBorder="1" applyAlignment="1">
      <alignment horizontal="center" vertical="center" wrapText="1"/>
    </xf>
    <xf numFmtId="0" fontId="141" fillId="16" borderId="287" xfId="0" applyFont="1" applyFill="1" applyBorder="1" applyAlignment="1">
      <alignment horizontal="center" vertical="center" wrapText="1"/>
    </xf>
    <xf numFmtId="0" fontId="109" fillId="4" borderId="63" xfId="0" applyFont="1" applyFill="1" applyBorder="1" applyAlignment="1">
      <alignment horizontal="center" vertical="center"/>
    </xf>
    <xf numFmtId="0" fontId="109" fillId="4" borderId="78" xfId="0" applyFont="1" applyFill="1" applyBorder="1" applyAlignment="1">
      <alignment horizontal="center" vertical="center"/>
    </xf>
    <xf numFmtId="0" fontId="109" fillId="4" borderId="64" xfId="0" applyFont="1" applyFill="1" applyBorder="1" applyAlignment="1">
      <alignment horizontal="center" vertical="center"/>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47" fillId="4" borderId="0" xfId="2" applyNumberFormat="1" applyFont="1" applyFill="1" applyAlignment="1" applyProtection="1">
      <alignment horizontal="center"/>
    </xf>
    <xf numFmtId="14" fontId="147" fillId="4" borderId="19" xfId="2" applyNumberFormat="1" applyFont="1" applyFill="1" applyBorder="1" applyAlignment="1" applyProtection="1">
      <alignment horizontal="center" vertical="center"/>
    </xf>
    <xf numFmtId="14" fontId="147" fillId="4" borderId="0" xfId="2" applyNumberFormat="1" applyFont="1" applyFill="1" applyBorder="1" applyAlignment="1" applyProtection="1">
      <alignment horizontal="center" vertical="center"/>
    </xf>
    <xf numFmtId="14" fontId="147" fillId="4" borderId="15" xfId="2" applyNumberFormat="1" applyFont="1" applyFill="1" applyBorder="1" applyAlignment="1" applyProtection="1">
      <alignment horizontal="center" vertical="center"/>
    </xf>
    <xf numFmtId="0" fontId="109" fillId="16" borderId="24" xfId="0" applyFont="1" applyFill="1" applyBorder="1" applyAlignment="1">
      <alignment horizontal="center" vertical="center" wrapText="1"/>
    </xf>
    <xf numFmtId="0" fontId="109" fillId="16" borderId="21" xfId="0" applyFont="1" applyFill="1" applyBorder="1" applyAlignment="1">
      <alignment horizontal="center" vertical="center" wrapText="1"/>
    </xf>
    <xf numFmtId="0" fontId="109" fillId="16" borderId="22" xfId="0" applyFont="1" applyFill="1" applyBorder="1" applyAlignment="1">
      <alignment horizontal="center" vertical="center" wrapText="1"/>
    </xf>
    <xf numFmtId="0" fontId="109" fillId="16" borderId="4" xfId="0" applyFont="1" applyFill="1" applyBorder="1" applyAlignment="1">
      <alignment horizontal="center" vertical="center" wrapText="1"/>
    </xf>
    <xf numFmtId="0" fontId="109" fillId="16" borderId="2" xfId="0" applyFont="1" applyFill="1" applyBorder="1" applyAlignment="1">
      <alignment horizontal="center" vertical="center" wrapText="1"/>
    </xf>
    <xf numFmtId="0" fontId="109" fillId="16" borderId="3" xfId="0" applyFont="1" applyFill="1" applyBorder="1" applyAlignment="1">
      <alignment horizontal="center" vertical="center" wrapText="1"/>
    </xf>
    <xf numFmtId="0" fontId="62" fillId="4" borderId="4" xfId="2" applyNumberFormat="1" applyFill="1" applyBorder="1" applyAlignment="1" applyProtection="1">
      <alignment horizontal="center" vertical="center"/>
    </xf>
    <xf numFmtId="0" fontId="62" fillId="4" borderId="2" xfId="2" applyNumberFormat="1" applyFill="1" applyBorder="1" applyAlignment="1" applyProtection="1">
      <alignment horizontal="center" vertical="center"/>
    </xf>
    <xf numFmtId="0" fontId="106" fillId="16" borderId="19" xfId="0" applyFont="1" applyFill="1" applyBorder="1" applyAlignment="1">
      <alignment horizontal="center" vertical="center" wrapText="1"/>
    </xf>
    <xf numFmtId="0" fontId="106" fillId="16" borderId="0" xfId="0" applyFont="1" applyFill="1" applyAlignment="1">
      <alignment horizontal="center" vertical="center" wrapText="1"/>
    </xf>
    <xf numFmtId="0" fontId="106"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106" fillId="16" borderId="4" xfId="0" applyFont="1" applyFill="1" applyBorder="1" applyAlignment="1">
      <alignment horizontal="center" vertical="center"/>
    </xf>
    <xf numFmtId="0" fontId="106" fillId="16" borderId="2" xfId="0" applyFont="1" applyFill="1" applyBorder="1" applyAlignment="1">
      <alignment horizontal="center" vertical="center"/>
    </xf>
    <xf numFmtId="0" fontId="106" fillId="16" borderId="3" xfId="0" applyFont="1" applyFill="1" applyBorder="1" applyAlignment="1">
      <alignment horizontal="center" vertical="center"/>
    </xf>
    <xf numFmtId="6" fontId="111"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289" fillId="30" borderId="9" xfId="0" applyFont="1" applyFill="1" applyBorder="1" applyAlignment="1">
      <alignment horizontal="center" vertical="center"/>
    </xf>
    <xf numFmtId="0" fontId="289" fillId="30"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21" fillId="9" borderId="10" xfId="0" applyFont="1" applyFill="1" applyBorder="1" applyAlignment="1" applyProtection="1">
      <alignment horizontal="center" vertical="center" wrapText="1"/>
      <protection hidden="1"/>
    </xf>
    <xf numFmtId="10" fontId="98" fillId="9" borderId="2" xfId="3" applyNumberFormat="1" applyFont="1" applyFill="1" applyBorder="1" applyAlignment="1">
      <alignment horizontal="center" vertical="center"/>
    </xf>
    <xf numFmtId="0" fontId="99" fillId="9" borderId="1" xfId="0" applyFont="1" applyFill="1" applyBorder="1" applyAlignment="1">
      <alignment horizontal="center" vertical="center"/>
    </xf>
    <xf numFmtId="10" fontId="98" fillId="9" borderId="1" xfId="3" applyNumberFormat="1" applyFont="1" applyFill="1" applyBorder="1" applyAlignment="1">
      <alignment horizontal="center" vertical="center"/>
    </xf>
    <xf numFmtId="0" fontId="99" fillId="9" borderId="164" xfId="0" applyFont="1" applyFill="1" applyBorder="1" applyAlignment="1" applyProtection="1">
      <alignment horizontal="right" vertical="center"/>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0" fontId="204" fillId="0" borderId="153" xfId="0" applyFont="1" applyBorder="1" applyAlignment="1">
      <alignment horizontal="center" vertical="center" textRotation="90"/>
    </xf>
    <xf numFmtId="0" fontId="111" fillId="9" borderId="164" xfId="0" applyFont="1" applyFill="1" applyBorder="1" applyAlignment="1" applyProtection="1">
      <alignment horizontal="right" vertical="center"/>
      <protection hidden="1"/>
    </xf>
    <xf numFmtId="0" fontId="111" fillId="9" borderId="9" xfId="0" applyFont="1" applyFill="1" applyBorder="1" applyAlignment="1" applyProtection="1">
      <alignment horizontal="right" vertical="center"/>
      <protection hidden="1"/>
    </xf>
    <xf numFmtId="0" fontId="111"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9" fillId="9" borderId="164" xfId="0" applyFont="1" applyFill="1" applyBorder="1" applyAlignment="1">
      <alignment horizontal="right" vertical="center"/>
    </xf>
    <xf numFmtId="0" fontId="109" fillId="9" borderId="9" xfId="0" applyFont="1" applyFill="1" applyBorder="1" applyAlignment="1">
      <alignment horizontal="right" vertical="center"/>
    </xf>
    <xf numFmtId="0" fontId="109" fillId="9" borderId="10" xfId="0" applyFont="1" applyFill="1" applyBorder="1" applyAlignment="1">
      <alignment horizontal="right" vertical="center"/>
    </xf>
    <xf numFmtId="0" fontId="99" fillId="9" borderId="9" xfId="0" applyFont="1" applyFill="1" applyBorder="1" applyAlignment="1" applyProtection="1">
      <alignment horizontal="right" vertical="center" wrapText="1"/>
      <protection hidden="1"/>
    </xf>
    <xf numFmtId="0" fontId="99" fillId="9" borderId="10" xfId="0" applyFont="1" applyFill="1" applyBorder="1" applyAlignment="1" applyProtection="1">
      <alignment horizontal="right" vertical="center" wrapText="1"/>
      <protection hidden="1"/>
    </xf>
    <xf numFmtId="0" fontId="287" fillId="9" borderId="164" xfId="0" applyFont="1" applyFill="1" applyBorder="1" applyAlignment="1" applyProtection="1">
      <alignment horizontal="right" vertical="center" wrapText="1"/>
      <protection hidden="1"/>
    </xf>
    <xf numFmtId="0" fontId="287" fillId="9" borderId="9" xfId="0" applyFont="1" applyFill="1" applyBorder="1" applyAlignment="1" applyProtection="1">
      <alignment horizontal="right" vertical="center" wrapText="1"/>
      <protection hidden="1"/>
    </xf>
    <xf numFmtId="0" fontId="287" fillId="9" borderId="10" xfId="0" applyFont="1" applyFill="1" applyBorder="1" applyAlignment="1" applyProtection="1">
      <alignment horizontal="right" vertical="center" wrapText="1"/>
      <protection hidden="1"/>
    </xf>
    <xf numFmtId="0" fontId="0" fillId="0" borderId="0" xfId="0" applyAlignment="1" applyProtection="1">
      <alignment horizontal="center" vertical="center"/>
      <protection locked="0"/>
    </xf>
    <xf numFmtId="0" fontId="99" fillId="0" borderId="0" xfId="3" applyNumberFormat="1" applyFont="1" applyAlignment="1" applyProtection="1">
      <alignment horizontal="center"/>
      <protection locked="0"/>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101" fillId="4" borderId="1" xfId="0" applyFont="1" applyFill="1" applyBorder="1" applyAlignment="1">
      <alignment horizontal="right"/>
    </xf>
    <xf numFmtId="0" fontId="101"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29" borderId="0" xfId="0" applyFill="1" applyAlignment="1">
      <alignment horizontal="center" vertical="center" wrapText="1"/>
    </xf>
    <xf numFmtId="0" fontId="78"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8" fillId="18" borderId="24" xfId="0" applyFont="1" applyFill="1" applyBorder="1" applyAlignment="1">
      <alignment horizontal="center"/>
    </xf>
    <xf numFmtId="0" fontId="78" fillId="18" borderId="4" xfId="0" applyFont="1" applyFill="1" applyBorder="1" applyAlignment="1">
      <alignment horizontal="center"/>
    </xf>
    <xf numFmtId="0" fontId="0" fillId="29" borderId="21" xfId="0" applyFill="1" applyBorder="1" applyAlignment="1">
      <alignment horizontal="center" vertical="center" wrapText="1"/>
    </xf>
    <xf numFmtId="0" fontId="0" fillId="29"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29" borderId="83" xfId="0" applyFill="1" applyBorder="1" applyAlignment="1">
      <alignment horizontal="center" vertical="center" wrapText="1"/>
    </xf>
    <xf numFmtId="0" fontId="0" fillId="29" borderId="78" xfId="0" applyFill="1" applyBorder="1" applyAlignment="1">
      <alignment horizontal="center" vertical="center" wrapText="1"/>
    </xf>
    <xf numFmtId="0" fontId="0" fillId="29" borderId="64" xfId="0" applyFill="1" applyBorder="1" applyAlignment="1">
      <alignment horizontal="center" vertical="center" wrapText="1"/>
    </xf>
  </cellXfs>
  <cellStyles count="37">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13" xfId="31" xr:uid="{0BFD99B7-751A-4343-9FF7-7351E8128EB8}"/>
    <cellStyle name="Standard 14" xfId="32" xr:uid="{20C458BB-4E89-4E82-971F-D1EADE0A0EF1}"/>
    <cellStyle name="Standard 15" xfId="33" xr:uid="{A70B3028-1D60-4735-A4AC-9B2DA8879A37}"/>
    <cellStyle name="Standard 16" xfId="34" xr:uid="{148988DF-9FE0-4F61-B602-E7262255E139}"/>
    <cellStyle name="Standard 17" xfId="35" xr:uid="{52AB04C3-E9AB-4BB7-8530-88BF2A171CD8}"/>
    <cellStyle name="Standard 18" xfId="36" xr:uid="{9C358166-6705-4790-9FEF-8C29221C3E88}"/>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4">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ont>
        <color theme="0"/>
      </font>
      <fill>
        <patternFill>
          <bgColor rgb="FFFF0000"/>
        </patternFill>
      </fill>
    </dxf>
    <dxf>
      <fill>
        <patternFill>
          <bgColor theme="0" tint="-0.14996795556505021"/>
        </patternFill>
      </fill>
    </dxf>
    <dxf>
      <fill>
        <patternFill>
          <bgColor rgb="FF92D050"/>
        </patternFill>
      </fill>
    </dxf>
    <dxf>
      <fill>
        <patternFill>
          <bgColor theme="0" tint="-0.14996795556505021"/>
        </patternFill>
      </fill>
    </dxf>
    <dxf>
      <fill>
        <patternFill>
          <bgColor rgb="FFFF0000"/>
        </patternFill>
      </fill>
    </dxf>
    <dxf>
      <fill>
        <patternFill>
          <bgColor theme="4" tint="0.59996337778862885"/>
        </patternFill>
      </fill>
    </dxf>
    <dxf>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font>
        <color theme="0" tint="-0.14996795556505021"/>
      </font>
    </dxf>
    <dxf>
      <border>
        <bottom style="thin">
          <color auto="1"/>
        </bottom>
        <vertical/>
        <horizontal/>
      </border>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b/>
        <i/>
        <color rgb="FFFF0000"/>
      </font>
    </dxf>
    <dxf>
      <fill>
        <patternFill>
          <bgColor rgb="FFFFC000"/>
        </patternFill>
      </fill>
    </dxf>
    <dxf>
      <font>
        <b val="0"/>
        <i/>
        <color theme="0"/>
      </font>
      <fill>
        <patternFill>
          <bgColor rgb="FFFF0000"/>
        </patternFill>
      </fill>
    </dxf>
    <dxf>
      <font>
        <b val="0"/>
        <i/>
      </font>
    </dxf>
    <dxf>
      <fill>
        <patternFill>
          <bgColor rgb="FFFF0000"/>
        </patternFill>
      </fill>
    </dxf>
    <dxf>
      <fill>
        <patternFill>
          <bgColor rgb="FFFFFF00"/>
        </patternFill>
      </fill>
    </dxf>
    <dxf>
      <fill>
        <patternFill>
          <bgColor rgb="FFFF0000"/>
        </patternFill>
      </fill>
    </dxf>
    <dxf>
      <font>
        <color theme="0" tint="-0.14996795556505021"/>
      </font>
      <fill>
        <patternFill>
          <bgColor theme="0" tint="-0.14996795556505021"/>
        </patternFill>
      </fill>
      <border>
        <left/>
        <right/>
        <top/>
        <bottom/>
      </border>
    </dxf>
    <dxf>
      <fill>
        <patternFill>
          <bgColor rgb="FFFFFF00"/>
        </patternFill>
      </fill>
    </dxf>
    <dxf>
      <font>
        <b/>
        <i/>
        <color rgb="FFFF0000"/>
      </font>
    </dxf>
    <dxf>
      <font>
        <b val="0"/>
        <i/>
        <color theme="0"/>
      </font>
      <fill>
        <patternFill>
          <bgColor rgb="FFFF0000"/>
        </patternFill>
      </fill>
    </dxf>
    <dxf>
      <font>
        <b val="0"/>
        <i/>
      </font>
    </dxf>
    <dxf>
      <fill>
        <patternFill>
          <bgColor rgb="FFFFC000"/>
        </patternFill>
      </fill>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ill>
        <patternFill>
          <bgColor theme="9" tint="0.59996337778862885"/>
        </patternFill>
      </fill>
    </dxf>
    <dxf>
      <fill>
        <patternFill>
          <bgColor theme="7"/>
        </patternFill>
      </fill>
    </dxf>
    <dxf>
      <fill>
        <patternFill>
          <bgColor theme="7" tint="0.59996337778862885"/>
        </patternFill>
      </fill>
    </dxf>
    <dxf>
      <fill>
        <patternFill>
          <bgColor theme="7" tint="0.59996337778862885"/>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EFEC6"/>
      <color rgb="FFEEFEDE"/>
      <color rgb="FF0066FF"/>
      <color rgb="FFFDDFE0"/>
      <color rgb="FFFF0000"/>
      <color rgb="FFFAB8BA"/>
      <color rgb="FFF9A5A7"/>
      <color rgb="FFF8CBAD"/>
      <color rgb="FFDD9575"/>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tyles" Target="styles.xml"/><Relationship Id="rId68" Type="http://schemas.microsoft.com/office/2017/06/relationships/rdRichValueStructure" Target="richData/rdrichvaluestructur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haredStrings" Target="sharedStrings.xml"/><Relationship Id="rId69"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theme" Target="theme/theme1.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Quell-Versorgung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ser>
          <c:idx val="2"/>
          <c:order val="2"/>
          <c:tx>
            <c:strRef>
              <c:f>'BVerfG 1 BvL 5-18'!$AG$10</c:f>
              <c:strCache>
                <c:ptCount val="1"/>
                <c:pt idx="0">
                  <c:v>VersAusglK </c:v>
                </c:pt>
              </c:strCache>
              <c:extLst xmlns:c15="http://schemas.microsoft.com/office/drawing/2012/chart"/>
            </c:strRef>
          </c:tx>
          <c:spPr>
            <a:ln w="38100" cap="rnd">
              <a:solidFill>
                <a:schemeClr val="bg1">
                  <a:lumMod val="50000"/>
                </a:schemeClr>
              </a:solidFill>
              <a:round/>
            </a:ln>
            <a:effectLst/>
          </c:spPr>
          <c:marker>
            <c:symbol val="none"/>
          </c:marker>
          <c:cat>
            <c:strRef>
              <c:f>'Berechnungen BVerfG'!$B$18:$B$68</c:f>
              <c:strCache>
                <c:ptCount val="1"/>
                <c:pt idx="0">
                  <c:v>0</c:v>
                </c:pt>
              </c:strCache>
            </c:strRef>
          </c:cat>
          <c:val>
            <c:numRef>
              <c:f>'Berechnungen BVerfG'!$E$18:$E$68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43CC-4CB2-A88D-F39EA4993B2A}"/>
            </c:ext>
          </c:extLst>
        </c:ser>
        <c:ser>
          <c:idx val="3"/>
          <c:order val="3"/>
          <c:tx>
            <c:strRef>
              <c:f>'BVerfG 1 BvL 5-18'!$AH$10</c:f>
              <c:strCache>
                <c:ptCount val="1"/>
                <c:pt idx="0">
                  <c:v>Sonstige </c:v>
                </c:pt>
              </c:strCache>
              <c:extLst xmlns:c15="http://schemas.microsoft.com/office/drawing/2012/chart"/>
            </c:strRef>
          </c:tx>
          <c:spPr>
            <a:ln w="38100" cap="rnd">
              <a:solidFill>
                <a:schemeClr val="accent4"/>
              </a:solidFill>
              <a:round/>
            </a:ln>
            <a:effectLst/>
          </c:spPr>
          <c:marker>
            <c:symbol val="none"/>
          </c:marker>
          <c:cat>
            <c:strRef>
              <c:f>'Berechnungen BVerfG'!$B$18:$B$68</c:f>
              <c:strCache>
                <c:ptCount val="1"/>
                <c:pt idx="0">
                  <c:v>0</c:v>
                </c:pt>
              </c:strCache>
            </c:strRef>
          </c:cat>
          <c:val>
            <c:numRef>
              <c:f>'Berechnungen BVerfG'!$F$18:$F$68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43CC-4CB2-A88D-F39EA4993B2A}"/>
            </c:ext>
          </c:extLst>
        </c:ser>
        <c:ser>
          <c:idx val="5"/>
          <c:order val="4"/>
          <c:tx>
            <c:strRef>
              <c:f>'BVerfG 1 BvL 5-18'!$AI$10</c:f>
              <c:strCache>
                <c:ptCount val="1"/>
                <c:pt idx="0">
                  <c:v>∑ Versorg. </c:v>
                </c:pt>
              </c:strCache>
              <c:extLst xmlns:c15="http://schemas.microsoft.com/office/drawing/2012/chart"/>
            </c:strRef>
          </c:tx>
          <c:spPr>
            <a:ln w="41275" cap="rnd">
              <a:solidFill>
                <a:schemeClr val="accent6"/>
              </a:solidFill>
              <a:prstDash val="sysDash"/>
              <a:round/>
            </a:ln>
            <a:effectLst/>
          </c:spPr>
          <c:marker>
            <c:symbol val="none"/>
          </c:marker>
          <c:val>
            <c:numRef>
              <c:f>#REF!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8A3A-44BF-9A69-BBC462BE28E4}"/>
            </c:ext>
          </c:extLst>
        </c:ser>
        <c:ser>
          <c:idx val="6"/>
          <c:order val="5"/>
          <c:tx>
            <c:strRef>
              <c:f>'BVerfG 1 BvL 5-18'!$AJ$10</c:f>
              <c:strCache>
                <c:ptCount val="1"/>
                <c:pt idx="0">
                  <c:v>DRV-Ber.</c:v>
                </c:pt>
              </c:strCache>
              <c:extLst xmlns:c15="http://schemas.microsoft.com/office/drawing/2012/chart"/>
            </c:strRef>
          </c:tx>
          <c:spPr>
            <a:ln w="44450" cap="rnd">
              <a:solidFill>
                <a:srgbClr val="C00000"/>
              </a:solidFill>
              <a:prstDash val="sysDash"/>
              <a:round/>
            </a:ln>
            <a:effectLst/>
          </c:spPr>
          <c:marker>
            <c:symbol val="none"/>
          </c:marker>
          <c:val>
            <c:numRef>
              <c:f>'Berechnungen BVerfG'!$N$18:$N$93</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6FD-405D-9A46-9584F1294251}"/>
            </c:ext>
          </c:extLst>
        </c:ser>
        <c:dLbls>
          <c:showLegendKey val="0"/>
          <c:showVal val="0"/>
          <c:showCatName val="0"/>
          <c:showSerName val="0"/>
          <c:showPercent val="0"/>
          <c:showBubbleSize val="0"/>
        </c:dLbls>
        <c:marker val="1"/>
        <c:smooth val="0"/>
        <c:axId val="642996520"/>
        <c:axId val="643002792"/>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59120456022802"/>
          <c:y val="0.223361064907139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ilanz_BilMoG10" lockText="1" noThreeD="1"/>
</file>

<file path=xl/ctrlProps/ctrlProp10.xml><?xml version="1.0" encoding="utf-8"?>
<formControlPr xmlns="http://schemas.microsoft.com/office/spreadsheetml/2009/9/main" objectType="CheckBox" checked="Checked" fmlaLink="Dat_DRV_ReSumme" lockText="1" noThreeD="1"/>
</file>

<file path=xl/ctrlProps/ctrlProp11.xml><?xml version="1.0" encoding="utf-8"?>
<formControlPr xmlns="http://schemas.microsoft.com/office/spreadsheetml/2009/9/main" objectType="CheckBox" checked="Checked" fmlaLink="E_Invalidität" lockText="1" noThreeD="1"/>
</file>

<file path=xl/ctrlProps/ctrlProp12.xml><?xml version="1.0" encoding="utf-8"?>
<formControlPr xmlns="http://schemas.microsoft.com/office/spreadsheetml/2009/9/main" objectType="CheckBox" checked="Checked" fmlaLink="E_Hinterbliebene" lockText="1" noThreeD="1"/>
</file>

<file path=xl/ctrlProps/ctrlProp13.xml><?xml version="1.0" encoding="utf-8"?>
<formControlPr xmlns="http://schemas.microsoft.com/office/spreadsheetml/2009/9/main" objectType="Radio" checked="Checked"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43" sel="169" val="167"/>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checked="Checked"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checked="Checked" fmlaLink="SonstPfl"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checked="Checked" fmlaLink="VersAusglKPfl" lockText="1" noThreeD="1"/>
</file>

<file path=xl/ctrlProps/ctrlProp52.xml><?xml version="1.0" encoding="utf-8"?>
<formControlPr xmlns="http://schemas.microsoft.com/office/spreadsheetml/2009/9/main" objectType="Drop" dropLines="25" dropStyle="combo" dx="22" fmlaLink="$K$2" fmlaRange="'TO Ziff.5'!$A$5:$A$364" sel="169"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checked="Checked"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checked="Checked"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checked="Checked"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checked="Checked"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6" Type="http://schemas.openxmlformats.org/officeDocument/2006/relationships/image" Target="../media/image6.png"/><Relationship Id="rId5" Type="http://schemas.openxmlformats.org/officeDocument/2006/relationships/image" Target="../media/image8.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7.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9.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21.svg"/><Relationship Id="rId5" Type="http://schemas.openxmlformats.org/officeDocument/2006/relationships/image" Target="../media/image20.png"/><Relationship Id="rId4" Type="http://schemas.openxmlformats.org/officeDocument/2006/relationships/image" Target="../media/image19.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7" Type="http://schemas.openxmlformats.org/officeDocument/2006/relationships/image" Target="../media/image6.png"/><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5.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www.anwaelte-du.de/media/files/einzel-bewertung-programmerlaeuterung.pdf" TargetMode="External"/><Relationship Id="rId3" Type="http://schemas.openxmlformats.org/officeDocument/2006/relationships/hyperlink" Target="https://www.gesetze-im-internet.de/sgb_6/__187.html" TargetMode="External"/><Relationship Id="rId7" Type="http://schemas.openxmlformats.org/officeDocument/2006/relationships/hyperlink" Target="http://versorgungsausgleich-karlsruhe.de/" TargetMode="External"/><Relationship Id="rId2" Type="http://schemas.openxmlformats.org/officeDocument/2006/relationships/hyperlink" Target="https://juris.bundesgerichtshof.de/cgi-bin/rechtsprechung/document.py?Gericht=bgh&amp;Art=en&amp;sid=f28bdc1b110fe1b388bfb41ec9f0ab37&amp;nr=117991&amp;pos=0&amp;anz=1" TargetMode="External"/><Relationship Id="rId1" Type="http://schemas.openxmlformats.org/officeDocument/2006/relationships/hyperlink" Target="https://www.kaffeerundeva.de/download-/#Download-Kapitalwertkontrolle-2025" TargetMode="External"/><Relationship Id="rId6" Type="http://schemas.openxmlformats.org/officeDocument/2006/relationships/hyperlink" Target="mailto:Hauss@anwaelte-DU.de?subject=Kapitalwertkontrolle%20-%20Rentenbewertung" TargetMode="External"/><Relationship Id="rId5" Type="http://schemas.openxmlformats.org/officeDocument/2006/relationships/hyperlink" Target="https://www.anwaelte-du.de/" TargetMode="External"/><Relationship Id="rId10" Type="http://schemas.openxmlformats.org/officeDocument/2006/relationships/image" Target="../media/image6.png"/><Relationship Id="rId4" Type="http://schemas.openxmlformats.org/officeDocument/2006/relationships/hyperlink" Target="https://alms.allianz.de/anonym/pages/start.xhtml?esales=VAUKAS" TargetMode="Externa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 Id="rId9"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twoCellAnchor editAs="oneCell">
    <xdr:from>
      <xdr:col>1</xdr:col>
      <xdr:colOff>6569</xdr:colOff>
      <xdr:row>1</xdr:row>
      <xdr:rowOff>1980</xdr:rowOff>
    </xdr:from>
    <xdr:to>
      <xdr:col>1</xdr:col>
      <xdr:colOff>428524</xdr:colOff>
      <xdr:row>2</xdr:row>
      <xdr:rowOff>1</xdr:rowOff>
    </xdr:to>
    <xdr:pic>
      <xdr:nvPicPr>
        <xdr:cNvPr id="5" name="Grafik 4">
          <a:extLst>
            <a:ext uri="{FF2B5EF4-FFF2-40B4-BE49-F238E27FC236}">
              <a16:creationId xmlns:a16="http://schemas.microsoft.com/office/drawing/2014/main" id="{EE646448-D1BA-4401-5175-BDC1EB0951B1}"/>
            </a:ext>
          </a:extLst>
        </xdr:cNvPr>
        <xdr:cNvPicPr>
          <a:picLocks noChangeAspect="1"/>
        </xdr:cNvPicPr>
      </xdr:nvPicPr>
      <xdr:blipFill>
        <a:blip xmlns:r="http://schemas.openxmlformats.org/officeDocument/2006/relationships" r:embed="rId6"/>
        <a:stretch>
          <a:fillRect/>
        </a:stretch>
      </xdr:blipFill>
      <xdr:spPr>
        <a:xfrm>
          <a:off x="282466" y="192480"/>
          <a:ext cx="421955" cy="372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C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C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C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C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E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E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E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E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4</xdr:row>
          <xdr:rowOff>180975</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1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1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13</xdr:row>
          <xdr:rowOff>180975</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1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2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2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2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2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2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2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twoCellAnchor editAs="oneCell">
    <xdr:from>
      <xdr:col>7</xdr:col>
      <xdr:colOff>1697182</xdr:colOff>
      <xdr:row>4</xdr:row>
      <xdr:rowOff>186330</xdr:rowOff>
    </xdr:from>
    <xdr:to>
      <xdr:col>9</xdr:col>
      <xdr:colOff>17318</xdr:colOff>
      <xdr:row>13</xdr:row>
      <xdr:rowOff>103910</xdr:rowOff>
    </xdr:to>
    <xdr:pic>
      <xdr:nvPicPr>
        <xdr:cNvPr id="6" name="Grafik 5">
          <a:extLst>
            <a:ext uri="{FF2B5EF4-FFF2-40B4-BE49-F238E27FC236}">
              <a16:creationId xmlns:a16="http://schemas.microsoft.com/office/drawing/2014/main" id="{8E06D516-9ADE-0F7A-6CBA-1D05B973E1CB}"/>
            </a:ext>
          </a:extLst>
        </xdr:cNvPr>
        <xdr:cNvPicPr>
          <a:picLocks noChangeAspect="1"/>
        </xdr:cNvPicPr>
      </xdr:nvPicPr>
      <xdr:blipFill>
        <a:blip xmlns:r="http://schemas.openxmlformats.org/officeDocument/2006/relationships" r:embed="rId3"/>
        <a:stretch>
          <a:fillRect/>
        </a:stretch>
      </xdr:blipFill>
      <xdr:spPr>
        <a:xfrm>
          <a:off x="10875818" y="376830"/>
          <a:ext cx="2164773" cy="1857216"/>
        </a:xfrm>
        <a:prstGeom prst="rect">
          <a:avLst/>
        </a:prstGeom>
        <a:ln>
          <a:solidFill>
            <a:schemeClr val="tx1"/>
          </a:solidFill>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25</xdr:row>
          <xdr:rowOff>219075</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13</xdr:col>
      <xdr:colOff>117232</xdr:colOff>
      <xdr:row>1</xdr:row>
      <xdr:rowOff>19024</xdr:rowOff>
    </xdr:from>
    <xdr:to>
      <xdr:col>14</xdr:col>
      <xdr:colOff>106647</xdr:colOff>
      <xdr:row>3</xdr:row>
      <xdr:rowOff>314</xdr:rowOff>
    </xdr:to>
    <xdr:pic>
      <xdr:nvPicPr>
        <xdr:cNvPr id="6" name="Grafik 5">
          <a:extLst>
            <a:ext uri="{FF2B5EF4-FFF2-40B4-BE49-F238E27FC236}">
              <a16:creationId xmlns:a16="http://schemas.microsoft.com/office/drawing/2014/main" id="{3D9F7AB1-F153-7207-8F18-E011BDE00BD7}"/>
            </a:ext>
          </a:extLst>
        </xdr:cNvPr>
        <xdr:cNvPicPr>
          <a:picLocks noChangeAspect="1"/>
        </xdr:cNvPicPr>
      </xdr:nvPicPr>
      <xdr:blipFill>
        <a:blip xmlns:r="http://schemas.openxmlformats.org/officeDocument/2006/relationships" r:embed="rId7"/>
        <a:stretch>
          <a:fillRect/>
        </a:stretch>
      </xdr:blipFill>
      <xdr:spPr>
        <a:xfrm>
          <a:off x="8367347" y="231505"/>
          <a:ext cx="458338" cy="403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295275</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8</xdr:row>
          <xdr:rowOff>0</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57150</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533400</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10</xdr:col>
          <xdr:colOff>0</xdr:colOff>
          <xdr:row>4</xdr:row>
          <xdr:rowOff>0</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85725</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05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5"/>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6"/>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7"/>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8"/>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9"/>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1171575</xdr:colOff>
          <xdr:row>13</xdr:row>
          <xdr:rowOff>66675</xdr:rowOff>
        </xdr:from>
        <xdr:to>
          <xdr:col>3</xdr:col>
          <xdr:colOff>752475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7</xdr:col>
      <xdr:colOff>637442</xdr:colOff>
      <xdr:row>1</xdr:row>
      <xdr:rowOff>7327</xdr:rowOff>
    </xdr:from>
    <xdr:to>
      <xdr:col>8</xdr:col>
      <xdr:colOff>6461</xdr:colOff>
      <xdr:row>3</xdr:row>
      <xdr:rowOff>0</xdr:rowOff>
    </xdr:to>
    <xdr:pic>
      <xdr:nvPicPr>
        <xdr:cNvPr id="11" name="Grafik 10">
          <a:extLst>
            <a:ext uri="{FF2B5EF4-FFF2-40B4-BE49-F238E27FC236}">
              <a16:creationId xmlns:a16="http://schemas.microsoft.com/office/drawing/2014/main" id="{C93F19CF-66CC-59DC-6A05-4F993724E779}"/>
            </a:ext>
          </a:extLst>
        </xdr:cNvPr>
        <xdr:cNvPicPr>
          <a:picLocks noChangeAspect="1"/>
        </xdr:cNvPicPr>
      </xdr:nvPicPr>
      <xdr:blipFill>
        <a:blip xmlns:r="http://schemas.openxmlformats.org/officeDocument/2006/relationships" r:embed="rId10"/>
        <a:stretch>
          <a:fillRect/>
        </a:stretch>
      </xdr:blipFill>
      <xdr:spPr>
        <a:xfrm>
          <a:off x="9993923" y="219808"/>
          <a:ext cx="849057" cy="749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4972049</xdr:colOff>
      <xdr:row>1</xdr:row>
      <xdr:rowOff>9526</xdr:rowOff>
    </xdr:from>
    <xdr:to>
      <xdr:col>1</xdr:col>
      <xdr:colOff>5494002</xdr:colOff>
      <xdr:row>1</xdr:row>
      <xdr:rowOff>470244</xdr:rowOff>
    </xdr:to>
    <xdr:pic>
      <xdr:nvPicPr>
        <xdr:cNvPr id="2" name="Grafik 1">
          <a:extLst>
            <a:ext uri="{FF2B5EF4-FFF2-40B4-BE49-F238E27FC236}">
              <a16:creationId xmlns:a16="http://schemas.microsoft.com/office/drawing/2014/main" id="{59A8C8A2-019E-5580-6439-1F17048F4BA0}"/>
            </a:ext>
          </a:extLst>
        </xdr:cNvPr>
        <xdr:cNvPicPr>
          <a:picLocks noChangeAspect="1"/>
        </xdr:cNvPicPr>
      </xdr:nvPicPr>
      <xdr:blipFill>
        <a:blip xmlns:r="http://schemas.openxmlformats.org/officeDocument/2006/relationships" r:embed="rId9"/>
        <a:stretch>
          <a:fillRect/>
        </a:stretch>
      </xdr:blipFill>
      <xdr:spPr>
        <a:xfrm>
          <a:off x="5133974" y="333376"/>
          <a:ext cx="521953" cy="460718"/>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Zu%20bearbeiten/Bomn&#252;ter,%20Anette,%203052-20.xlsm" TargetMode="External"/><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Joern/Downloads/Kapitalwertkontrolle-01%20(2).xls" TargetMode="External"/><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Seminare/2024/Siegen/Kapitalwertkontrolle%202024.xltx" TargetMode="External"/><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7</v>
  </rv>
  <rv s="1">
    <v>0</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3" dataDxfId="431" headerRowBorderDxfId="432" tableBorderDxfId="430" totalsRowBorderDxfId="429">
  <tableColumns count="5">
    <tableColumn id="1" xr3:uid="{00000000-0010-0000-0000-000001000000}" name="Alter" dataDxfId="428">
      <calculatedColumnFormula>IFERROR(IF(B17+1&lt;Endalter,B17+1,""),"")</calculatedColumnFormula>
    </tableColumn>
    <tableColumn id="2" xr3:uid="{00000000-0010-0000-0000-000002000000}" name="Spalte2" dataDxfId="427">
      <calculatedColumnFormula>IFERROR(IF(QuellVersrg,IF($B18&lt;INT(H$5),0,IF($B18=INT(H$2),H$12,IF($B18&gt;INT(H$2),H$12*(1+H$9)^(IF($B18-H$5&lt;=0,0,$B18-IF(H$5&lt;H$2,H$2,H$5))),0))),0),0)</calculatedColumnFormula>
    </tableColumn>
    <tableColumn id="4" xr3:uid="{00000000-0010-0000-0000-000004000000}" name="Spalte4" dataDxfId="426">
      <calculatedColumnFormula>IF($B18&lt;I$5,0,IF($B18=INT(I$5),I$12,IF($B18&gt;INT(I$5),I$12*(1+I$9)^(IF($B18-I$5&lt;=0,0,1)),0)))</calculatedColumnFormula>
    </tableColumn>
    <tableColumn id="6" xr3:uid="{00000000-0010-0000-0000-000006000000}" name="Spalte6" dataDxfId="425">
      <calculatedColumnFormula>IF(#REF!=0,0,IF(AND(#REF!&gt;0,$B18&gt;0),J$12*(1+J$9)^(#REF!-1),0))</calculatedColumnFormula>
    </tableColumn>
    <tableColumn id="8" xr3:uid="{00000000-0010-0000-0000-000008000000}" name="Spalte8" dataDxfId="424">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kaffeerundeva.de/" TargetMode="External"/><Relationship Id="rId3" Type="http://schemas.openxmlformats.org/officeDocument/2006/relationships/hyperlink" Target="mailto:Hauss@Anwaelte-DU.de" TargetMode="External"/><Relationship Id="rId7" Type="http://schemas.openxmlformats.org/officeDocument/2006/relationships/hyperlink" Target="https://joernhauss.my.webex.com/joernhauss.my/j.php?MTID=mdb0e75d1b7d7350618e67f60656df76b" TargetMode="External"/><Relationship Id="rId2" Type="http://schemas.openxmlformats.org/officeDocument/2006/relationships/hyperlink" Target="mailto:Hauss@Anwaelte-DU.de"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s://joernhauss.my.webex.com/joernhauss.my/j.php?MTID=mf3ff619ab1a88908c807c53ab1bf5c63" TargetMode="External"/><Relationship Id="rId11" Type="http://schemas.openxmlformats.org/officeDocument/2006/relationships/drawing" Target="../drawings/drawing2.xml"/><Relationship Id="rId5" Type="http://schemas.openxmlformats.org/officeDocument/2006/relationships/hyperlink" Target="mailto:Hauss@Anwaelte-DU.de?subject=Programm%20Kapitalwertkoltrolle%20Anregung,%20Verbesserungsvorschlag%20&amp;%20Fehlermeldung" TargetMode="External"/><Relationship Id="rId10" Type="http://schemas.openxmlformats.org/officeDocument/2006/relationships/printerSettings" Target="../printerSettings/printerSettings5.bin"/><Relationship Id="rId4" Type="http://schemas.openxmlformats.org/officeDocument/2006/relationships/hyperlink" Target="http://www.anwaelte-du.de/" TargetMode="External"/><Relationship Id="rId9" Type="http://schemas.openxmlformats.org/officeDocument/2006/relationships/hyperlink" Target="https://www.kaffeerundeva.de/download/"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11.xml"/><Relationship Id="rId13" Type="http://schemas.openxmlformats.org/officeDocument/2006/relationships/ctrlProp" Target="../ctrlProps/ctrlProp59.xml"/><Relationship Id="rId18" Type="http://schemas.openxmlformats.org/officeDocument/2006/relationships/ctrlProp" Target="../ctrlProps/ctrlProp64.xml"/><Relationship Id="rId3" Type="http://schemas.openxmlformats.org/officeDocument/2006/relationships/hyperlink" Target="https://www.gesetze-im-internet.de/sgb_5/__226.html" TargetMode="External"/><Relationship Id="rId21" Type="http://schemas.openxmlformats.org/officeDocument/2006/relationships/ctrlProp" Target="../ctrlProps/ctrlProp67.xml"/><Relationship Id="rId7" Type="http://schemas.openxmlformats.org/officeDocument/2006/relationships/printerSettings" Target="../printerSettings/printerSettings15.bin"/><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2.xml"/><Relationship Id="rId20" Type="http://schemas.openxmlformats.org/officeDocument/2006/relationships/ctrlProp" Target="../ctrlProps/ctrlProp66.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hyperlink" Target="https://www.aok.de/fk/tools/weitere-inhalte/beitraege-und-rechengroessen-der-sozialversicherung/alle-zahlen-zum-download/?utm_source=copilot.com" TargetMode="External"/><Relationship Id="rId11" Type="http://schemas.openxmlformats.org/officeDocument/2006/relationships/ctrlProp" Target="../ctrlProps/ctrlProp57.xml"/><Relationship Id="rId5" Type="http://schemas.openxmlformats.org/officeDocument/2006/relationships/hyperlink" Target="https://www.gkv-spitzenverband.de/service/krankenkassenliste/krankenkassen.jsp?pageNo=4" TargetMode="External"/><Relationship Id="rId15" Type="http://schemas.openxmlformats.org/officeDocument/2006/relationships/ctrlProp" Target="../ctrlProps/ctrlProp61.xml"/><Relationship Id="rId10" Type="http://schemas.openxmlformats.org/officeDocument/2006/relationships/ctrlProp" Target="../ctrlProps/ctrlProp56.xml"/><Relationship Id="rId19" Type="http://schemas.openxmlformats.org/officeDocument/2006/relationships/ctrlProp" Target="../ctrlProps/ctrlProp65.xml"/><Relationship Id="rId4" Type="http://schemas.openxmlformats.org/officeDocument/2006/relationships/hyperlink" Target="https://www.gesetze-im-internet.de/sgb_11/__55.html" TargetMode="External"/><Relationship Id="rId9" Type="http://schemas.openxmlformats.org/officeDocument/2006/relationships/vmlDrawing" Target="../drawings/vmlDrawing6.vml"/><Relationship Id="rId14" Type="http://schemas.openxmlformats.org/officeDocument/2006/relationships/ctrlProp" Target="../ctrlProps/ctrlProp60.xml"/><Relationship Id="rId22" Type="http://schemas.openxmlformats.org/officeDocument/2006/relationships/ctrlProp" Target="../ctrlProps/ctrlProp68.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9.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ctrlProp" Target="../ctrlProps/ctrlProp88.xml"/><Relationship Id="rId33" Type="http://schemas.openxmlformats.org/officeDocument/2006/relationships/ctrlProp" Target="../ctrlProps/ctrlProp96.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2.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vmlDrawing" Target="../drawings/vmlDrawing12.vml"/><Relationship Id="rId32" Type="http://schemas.openxmlformats.org/officeDocument/2006/relationships/ctrlProp" Target="../ctrlProps/ctrlProp95.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drawing" Target="../drawings/drawing19.xml"/><Relationship Id="rId28" Type="http://schemas.openxmlformats.org/officeDocument/2006/relationships/ctrlProp" Target="../ctrlProps/ctrlProp91.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4.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printerSettings" Target="../printerSettings/printerSettings22.bin"/><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75"/>
  <sheetViews>
    <sheetView topLeftCell="B135" zoomScale="145" zoomScaleNormal="145" workbookViewId="0">
      <selection activeCell="I142" sqref="I142"/>
    </sheetView>
  </sheetViews>
  <sheetFormatPr baseColWidth="10" defaultColWidth="17.125" defaultRowHeight="15"/>
  <cols>
    <col min="1" max="1" width="33.125" style="586" customWidth="1"/>
    <col min="2" max="2" width="5.125" style="586" customWidth="1"/>
    <col min="3" max="3" width="29.875" style="611" customWidth="1"/>
    <col min="4" max="4" width="10.125" style="1120" customWidth="1"/>
    <col min="5" max="5" width="13.625" style="612" customWidth="1"/>
    <col min="6" max="6" width="5.625" style="370" customWidth="1"/>
    <col min="7" max="7" width="34.5" style="610" customWidth="1"/>
    <col min="8" max="8" width="0" hidden="1" customWidth="1"/>
    <col min="9" max="9" width="21" style="610" customWidth="1"/>
    <col min="10" max="10" width="15.625" style="751" hidden="1" customWidth="1"/>
    <col min="11" max="13" width="13.125" style="1116" customWidth="1"/>
    <col min="14" max="14" width="10.625" style="1116" customWidth="1"/>
    <col min="15" max="15" width="64" style="752" customWidth="1"/>
    <col min="16" max="16" width="11.125" style="392" customWidth="1"/>
    <col min="17" max="16384" width="17.125" style="392"/>
  </cols>
  <sheetData>
    <row r="1" spans="1:16381" ht="37.5" customHeight="1">
      <c r="C1" s="2324" t="s">
        <v>1038</v>
      </c>
      <c r="D1" s="2324"/>
      <c r="E1" s="2324"/>
      <c r="F1" s="2324"/>
      <c r="G1" s="2324"/>
      <c r="I1" s="1143"/>
      <c r="J1" s="1143"/>
      <c r="K1" s="1143"/>
      <c r="L1" s="1143"/>
      <c r="M1" s="1143"/>
      <c r="N1" s="1143"/>
      <c r="O1" s="1143"/>
    </row>
    <row r="2" spans="1:16381" ht="66.75" customHeight="1">
      <c r="A2" s="988"/>
      <c r="B2" s="988">
        <f>COUNT(B6:B353)</f>
        <v>341</v>
      </c>
      <c r="C2" s="2322" t="s">
        <v>1538</v>
      </c>
      <c r="D2" s="2323"/>
      <c r="E2" s="2323"/>
      <c r="F2" s="2323"/>
      <c r="G2" s="2323"/>
      <c r="I2" s="1142"/>
      <c r="J2" s="1142"/>
      <c r="K2" s="1375">
        <f>+K5/$B$2</f>
        <v>0.34017595307917886</v>
      </c>
      <c r="L2" s="1375">
        <f>+L5/$B$2</f>
        <v>0.61290322580645162</v>
      </c>
      <c r="M2" s="1375">
        <f>+M5/$B$2</f>
        <v>0.24926686217008798</v>
      </c>
      <c r="N2" s="1375">
        <f>+N5/$B$2</f>
        <v>0.48973607038123168</v>
      </c>
      <c r="O2" s="392" t="s">
        <v>804</v>
      </c>
    </row>
    <row r="3" spans="1:16381" ht="27" hidden="1" customHeight="1">
      <c r="C3" s="611" t="e">
        <f>TEXT(#REF!+F3,0)</f>
        <v>#REF!</v>
      </c>
      <c r="D3" s="1120" t="s">
        <v>750</v>
      </c>
      <c r="E3" s="612" t="s">
        <v>749</v>
      </c>
      <c r="F3" s="370">
        <f>COUNTIF(F7:F346,"Ja")</f>
        <v>113</v>
      </c>
      <c r="J3" s="923"/>
      <c r="K3" s="1116">
        <f>SUM(K6:K446)</f>
        <v>116</v>
      </c>
      <c r="L3" s="1116">
        <f>SUM(L6:L446)/2</f>
        <v>209</v>
      </c>
      <c r="M3" s="1116">
        <f>SUM(M6:M446)/2</f>
        <v>127.5</v>
      </c>
      <c r="N3" s="1116">
        <f>SUM(N6:N446)/4</f>
        <v>167</v>
      </c>
    </row>
    <row r="4" spans="1:16381" s="140" customFormat="1" ht="25.5" customHeight="1">
      <c r="A4" s="851" t="s">
        <v>754</v>
      </c>
      <c r="B4" s="851"/>
      <c r="C4" s="628" t="s">
        <v>642</v>
      </c>
      <c r="D4" s="1939" t="s">
        <v>60</v>
      </c>
      <c r="E4" s="628" t="s">
        <v>643</v>
      </c>
      <c r="F4" s="2326" t="s">
        <v>1151</v>
      </c>
      <c r="G4" s="1140" t="s">
        <v>644</v>
      </c>
      <c r="I4" s="1140" t="s">
        <v>1175</v>
      </c>
      <c r="J4" s="753" t="s">
        <v>647</v>
      </c>
      <c r="K4" s="1117" t="s">
        <v>1044</v>
      </c>
      <c r="L4" s="1117" t="s">
        <v>1045</v>
      </c>
      <c r="M4" s="1117" t="s">
        <v>1046</v>
      </c>
      <c r="N4" s="1117" t="s">
        <v>1047</v>
      </c>
      <c r="O4" s="1141" t="s">
        <v>652</v>
      </c>
      <c r="P4" s="140" t="s">
        <v>1112</v>
      </c>
    </row>
    <row r="5" spans="1:16381" s="586" customFormat="1" ht="25.5">
      <c r="A5" s="851" t="str">
        <f>+C5</f>
        <v>Bitte suchen Sie aus der Liste die Versicherung aus</v>
      </c>
      <c r="B5" s="851"/>
      <c r="C5" s="627" t="s">
        <v>1163</v>
      </c>
      <c r="D5" s="1939"/>
      <c r="E5" s="628"/>
      <c r="F5" s="2327"/>
      <c r="G5" s="629"/>
      <c r="I5" s="629"/>
      <c r="J5" s="753"/>
      <c r="K5" s="1117">
        <f>SUM(K6:K353)</f>
        <v>116</v>
      </c>
      <c r="L5" s="1117">
        <f>SUM(L6:L353)/2</f>
        <v>209</v>
      </c>
      <c r="M5" s="1117">
        <f>SUM(M6:M353)/3</f>
        <v>85</v>
      </c>
      <c r="N5" s="1117">
        <f>SUM(N6:N353)/4</f>
        <v>167</v>
      </c>
      <c r="O5" s="754"/>
      <c r="S5" s="586">
        <f>SUM(S7:S20)</f>
        <v>12</v>
      </c>
    </row>
    <row r="6" spans="1:16381" s="140" customFormat="1" ht="14.1" customHeight="1">
      <c r="A6" s="586" t="str">
        <f t="shared" ref="A6:A79" si="0">C6&amp;IF(D6=0,""," v. "&amp;TEXT(D6,"TT.MM.JJJ"))</f>
        <v>Accenture v. 01.01.2015</v>
      </c>
      <c r="B6" s="586">
        <f>ROW()</f>
        <v>6</v>
      </c>
      <c r="C6" s="611" t="s">
        <v>1169</v>
      </c>
      <c r="D6" s="1120">
        <v>42005</v>
      </c>
      <c r="E6" s="612" t="s">
        <v>195</v>
      </c>
      <c r="F6" s="613" t="str">
        <f t="shared" ref="F6:F27" si="1">IF(K6=1,"Ja","")</f>
        <v/>
      </c>
      <c r="G6" s="610" t="str">
        <f t="shared" ref="G6:G69" si="2">IF(SUM(K6:N6)=0,"","TO ermöglicht: "&amp;IF(K6&gt;0,"Tarifwechel; ","")&amp;IF(L6&gt;0,"doppelten Kostenabzug; ","")&amp;IF(M6&gt;0," Abweichungen vom gerichtl. festgelegten Ausgleichswert; ","")&amp;IF(N6&gt;0," Wertteilhabe (z.B. Verzinsung) zwischen EzE und RK geltend machen",""))</f>
        <v>TO ermöglicht: doppelten Kostenabzug;  Abweichungen vom gerichtl. festgelegten Ausgleichswert;  Wertteilhabe (z.B. Verzinsung) zwischen EzE und RK geltend machen</v>
      </c>
      <c r="I6" s="610"/>
      <c r="J6" s="751"/>
      <c r="K6" s="1118"/>
      <c r="L6" s="1118">
        <v>2</v>
      </c>
      <c r="M6" s="1118">
        <v>3</v>
      </c>
      <c r="N6" s="1118">
        <v>4</v>
      </c>
      <c r="O6" s="752"/>
      <c r="P6" s="140">
        <f t="shared" ref="P6:P18" si="3">SUM(K6:N6)</f>
        <v>9</v>
      </c>
      <c r="S6" s="2325" t="str">
        <f>_xlfn.CONCAT(A6:A427)</f>
        <v>Accenture v. 01.01.2015ACE European Group Limiteted v. 01.09.2009Adler Modemaerkte Versorgungswerk e.V. v. 01.01.2019Airbus v. 02.01.2024allfrisch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2018Deka-BonusRenteDeka-Pensions-Plan v. 16.07.2021Deka-ZukunftsPlanDeka-Zukunftsplan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01.01.2010DKB Deutsche Kredit Bank AGDWS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09.02.2010E.ON AG  v. 20.08.2010Evonik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01.07.2020Generali Lebensversicherungen v. 01.12.2023Generali Unterstützungskasse e.V. v. 01.08.2021Geno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02.08.2012KfW Bankengruppe zu VO 2000KfW Bankengruppe betrieblichen Zusatzversorgung durch EntgeltumwandlungKKH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325"/>
      <c r="U6" s="2325"/>
      <c r="V6" s="2325"/>
      <c r="W6" s="2325"/>
      <c r="X6" s="2325"/>
      <c r="Y6" s="2325"/>
      <c r="Z6" s="2325"/>
      <c r="AA6" s="2325"/>
      <c r="AB6" s="2325"/>
      <c r="AC6" s="2325"/>
      <c r="AD6" s="2325"/>
      <c r="AE6" s="2325"/>
      <c r="AF6" s="2325"/>
      <c r="AG6" s="2325"/>
      <c r="AH6" s="2325"/>
      <c r="AI6" s="2325"/>
      <c r="AJ6" s="2325"/>
    </row>
    <row r="7" spans="1:16381" s="586" customFormat="1">
      <c r="A7" s="586" t="str">
        <f t="shared" si="0"/>
        <v>ACE European Group Limiteted v. 01.09.2009</v>
      </c>
      <c r="B7" s="586">
        <f>ROW()</f>
        <v>7</v>
      </c>
      <c r="C7" s="611" t="s">
        <v>1339</v>
      </c>
      <c r="D7" s="1120">
        <v>40057</v>
      </c>
      <c r="E7" s="612" t="s">
        <v>1198</v>
      </c>
      <c r="F7" s="613" t="str">
        <f t="shared" si="1"/>
        <v/>
      </c>
      <c r="G7" s="610" t="str">
        <f t="shared" si="2"/>
        <v/>
      </c>
      <c r="I7" s="610"/>
      <c r="J7" s="751"/>
      <c r="K7" s="1118"/>
      <c r="L7" s="1118"/>
      <c r="M7" s="1118"/>
      <c r="N7" s="1118"/>
      <c r="O7" s="752"/>
      <c r="P7" s="140">
        <f t="shared" si="3"/>
        <v>0</v>
      </c>
      <c r="Q7" s="392"/>
      <c r="R7" s="392"/>
      <c r="S7" s="586">
        <f>IFERROR(SEARCH(MID(+Fallerfassung!D27,1,5),S$6),1)</f>
        <v>1</v>
      </c>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c r="IR7" s="392"/>
      <c r="IS7" s="392"/>
      <c r="IT7" s="392"/>
      <c r="IU7" s="392"/>
      <c r="IV7" s="392"/>
      <c r="IW7" s="392"/>
      <c r="IX7" s="392"/>
      <c r="IY7" s="392"/>
      <c r="IZ7" s="392"/>
      <c r="JA7" s="392"/>
      <c r="JB7" s="392"/>
      <c r="JC7" s="392"/>
      <c r="JD7" s="392"/>
      <c r="JE7" s="392"/>
      <c r="JF7" s="392"/>
      <c r="JG7" s="392"/>
      <c r="JH7" s="392"/>
      <c r="JI7" s="392"/>
      <c r="JJ7" s="392"/>
      <c r="JK7" s="392"/>
      <c r="JL7" s="392"/>
      <c r="JM7" s="392"/>
      <c r="JN7" s="392"/>
      <c r="JO7" s="392"/>
      <c r="JP7" s="392"/>
      <c r="JQ7" s="392"/>
      <c r="JR7" s="392"/>
      <c r="JS7" s="392"/>
      <c r="JT7" s="392"/>
      <c r="JU7" s="392"/>
      <c r="JV7" s="392"/>
      <c r="JW7" s="392"/>
      <c r="JX7" s="392"/>
      <c r="JY7" s="392"/>
      <c r="JZ7" s="392"/>
      <c r="KA7" s="392"/>
      <c r="KB7" s="392"/>
      <c r="KC7" s="392"/>
      <c r="KD7" s="392"/>
      <c r="KE7" s="392"/>
      <c r="KF7" s="392"/>
      <c r="KG7" s="392"/>
      <c r="KH7" s="392"/>
      <c r="KI7" s="392"/>
      <c r="KJ7" s="392"/>
      <c r="KK7" s="392"/>
      <c r="KL7" s="392"/>
      <c r="KM7" s="392"/>
      <c r="KN7" s="392"/>
      <c r="KO7" s="392"/>
      <c r="KP7" s="392"/>
      <c r="KQ7" s="392"/>
      <c r="KR7" s="392"/>
      <c r="KS7" s="392"/>
      <c r="KT7" s="392"/>
      <c r="KU7" s="392"/>
      <c r="KV7" s="392"/>
      <c r="KW7" s="392"/>
      <c r="KX7" s="392"/>
      <c r="KY7" s="392"/>
      <c r="KZ7" s="392"/>
      <c r="LA7" s="392"/>
      <c r="LB7" s="392"/>
      <c r="LC7" s="392"/>
      <c r="LD7" s="392"/>
      <c r="LE7" s="392"/>
      <c r="LF7" s="392"/>
      <c r="LG7" s="392"/>
      <c r="LH7" s="392"/>
      <c r="LI7" s="392"/>
      <c r="LJ7" s="392"/>
      <c r="LK7" s="392"/>
      <c r="LL7" s="392"/>
      <c r="LM7" s="392"/>
      <c r="LN7" s="392"/>
      <c r="LO7" s="392"/>
      <c r="LP7" s="392"/>
      <c r="LQ7" s="392"/>
      <c r="LR7" s="392"/>
      <c r="LS7" s="392"/>
      <c r="LT7" s="392"/>
      <c r="LU7" s="392"/>
      <c r="LV7" s="392"/>
      <c r="LW7" s="392"/>
      <c r="LX7" s="392"/>
      <c r="LY7" s="392"/>
      <c r="LZ7" s="392"/>
      <c r="MA7" s="392"/>
      <c r="MB7" s="392"/>
      <c r="MC7" s="392"/>
      <c r="MD7" s="392"/>
      <c r="ME7" s="392"/>
      <c r="MF7" s="392"/>
      <c r="MG7" s="392"/>
      <c r="MH7" s="392"/>
      <c r="MI7" s="392"/>
      <c r="MJ7" s="392"/>
      <c r="MK7" s="392"/>
      <c r="ML7" s="392"/>
      <c r="MM7" s="392"/>
      <c r="MN7" s="392"/>
      <c r="MO7" s="392"/>
      <c r="MP7" s="392"/>
      <c r="MQ7" s="392"/>
      <c r="MR7" s="392"/>
      <c r="MS7" s="392"/>
      <c r="MT7" s="392"/>
      <c r="MU7" s="392"/>
      <c r="MV7" s="392"/>
      <c r="MW7" s="392"/>
      <c r="MX7" s="392"/>
      <c r="MY7" s="392"/>
      <c r="MZ7" s="392"/>
      <c r="NA7" s="392"/>
      <c r="NB7" s="392"/>
      <c r="NC7" s="392"/>
      <c r="ND7" s="392"/>
      <c r="NE7" s="392"/>
      <c r="NF7" s="392"/>
      <c r="NG7" s="392"/>
      <c r="NH7" s="392"/>
      <c r="NI7" s="392"/>
      <c r="NJ7" s="392"/>
      <c r="NK7" s="392"/>
      <c r="NL7" s="392"/>
      <c r="NM7" s="392"/>
      <c r="NN7" s="392"/>
      <c r="NO7" s="392"/>
      <c r="NP7" s="392"/>
      <c r="NQ7" s="392"/>
      <c r="NR7" s="392"/>
      <c r="NS7" s="392"/>
      <c r="NT7" s="392"/>
      <c r="NU7" s="392"/>
      <c r="NV7" s="392"/>
      <c r="NW7" s="392"/>
      <c r="NX7" s="392"/>
      <c r="NY7" s="392"/>
      <c r="NZ7" s="392"/>
      <c r="OA7" s="392"/>
      <c r="OB7" s="392"/>
      <c r="OC7" s="392"/>
      <c r="OD7" s="392"/>
      <c r="OE7" s="392"/>
      <c r="OF7" s="392"/>
      <c r="OG7" s="392"/>
      <c r="OH7" s="392"/>
      <c r="OI7" s="392"/>
      <c r="OJ7" s="392"/>
      <c r="OK7" s="392"/>
      <c r="OL7" s="392"/>
      <c r="OM7" s="392"/>
      <c r="ON7" s="392"/>
      <c r="OO7" s="392"/>
      <c r="OP7" s="392"/>
      <c r="OQ7" s="392"/>
      <c r="OR7" s="392"/>
      <c r="OS7" s="392"/>
      <c r="OT7" s="392"/>
      <c r="OU7" s="392"/>
      <c r="OV7" s="392"/>
      <c r="OW7" s="392"/>
      <c r="OX7" s="392"/>
      <c r="OY7" s="392"/>
      <c r="OZ7" s="392"/>
      <c r="PA7" s="392"/>
      <c r="PB7" s="392"/>
      <c r="PC7" s="392"/>
      <c r="PD7" s="392"/>
      <c r="PE7" s="392"/>
      <c r="PF7" s="392"/>
      <c r="PG7" s="392"/>
      <c r="PH7" s="392"/>
      <c r="PI7" s="392"/>
      <c r="PJ7" s="392"/>
      <c r="PK7" s="392"/>
      <c r="PL7" s="392"/>
      <c r="PM7" s="392"/>
      <c r="PN7" s="392"/>
      <c r="PO7" s="392"/>
      <c r="PP7" s="392"/>
      <c r="PQ7" s="392"/>
      <c r="PR7" s="392"/>
      <c r="PS7" s="392"/>
      <c r="PT7" s="392"/>
      <c r="PU7" s="392"/>
      <c r="PV7" s="392"/>
      <c r="PW7" s="392"/>
      <c r="PX7" s="392"/>
      <c r="PY7" s="392"/>
      <c r="PZ7" s="392"/>
      <c r="QA7" s="392"/>
      <c r="QB7" s="392"/>
      <c r="QC7" s="392"/>
      <c r="QD7" s="392"/>
      <c r="QE7" s="392"/>
      <c r="QF7" s="392"/>
      <c r="QG7" s="392"/>
      <c r="QH7" s="392"/>
      <c r="QI7" s="392"/>
      <c r="QJ7" s="392"/>
      <c r="QK7" s="392"/>
      <c r="QL7" s="392"/>
      <c r="QM7" s="392"/>
      <c r="QN7" s="392"/>
      <c r="QO7" s="392"/>
      <c r="QP7" s="392"/>
      <c r="QQ7" s="392"/>
      <c r="QR7" s="392"/>
      <c r="QS7" s="392"/>
      <c r="QT7" s="392"/>
      <c r="QU7" s="392"/>
      <c r="QV7" s="392"/>
      <c r="QW7" s="392"/>
      <c r="QX7" s="392"/>
      <c r="QY7" s="392"/>
      <c r="QZ7" s="392"/>
      <c r="RA7" s="392"/>
      <c r="RB7" s="392"/>
      <c r="RC7" s="392"/>
      <c r="RD7" s="392"/>
      <c r="RE7" s="392"/>
      <c r="RF7" s="392"/>
      <c r="RG7" s="392"/>
      <c r="RH7" s="392"/>
      <c r="RI7" s="392"/>
      <c r="RJ7" s="392"/>
      <c r="RK7" s="392"/>
      <c r="RL7" s="392"/>
      <c r="RM7" s="392"/>
      <c r="RN7" s="392"/>
      <c r="RO7" s="392"/>
      <c r="RP7" s="392"/>
      <c r="RQ7" s="392"/>
      <c r="RR7" s="392"/>
      <c r="RS7" s="392"/>
      <c r="RT7" s="392"/>
      <c r="RU7" s="392"/>
      <c r="RV7" s="392"/>
      <c r="RW7" s="392"/>
      <c r="RX7" s="392"/>
      <c r="RY7" s="392"/>
      <c r="RZ7" s="392"/>
      <c r="SA7" s="392"/>
      <c r="SB7" s="392"/>
      <c r="SC7" s="392"/>
      <c r="SD7" s="392"/>
      <c r="SE7" s="392"/>
      <c r="SF7" s="392"/>
      <c r="SG7" s="392"/>
      <c r="SH7" s="392"/>
      <c r="SI7" s="392"/>
      <c r="SJ7" s="392"/>
      <c r="SK7" s="392"/>
      <c r="SL7" s="392"/>
      <c r="SM7" s="392"/>
      <c r="SN7" s="392"/>
      <c r="SO7" s="392"/>
      <c r="SP7" s="392"/>
      <c r="SQ7" s="392"/>
      <c r="SR7" s="392"/>
      <c r="SS7" s="392"/>
      <c r="ST7" s="392"/>
      <c r="SU7" s="392"/>
      <c r="SV7" s="392"/>
      <c r="SW7" s="392"/>
      <c r="SX7" s="392"/>
      <c r="SY7" s="392"/>
      <c r="SZ7" s="392"/>
      <c r="TA7" s="392"/>
      <c r="TB7" s="392"/>
      <c r="TC7" s="392"/>
      <c r="TD7" s="392"/>
      <c r="TE7" s="392"/>
      <c r="TF7" s="392"/>
      <c r="TG7" s="392"/>
      <c r="TH7" s="392"/>
      <c r="TI7" s="392"/>
      <c r="TJ7" s="392"/>
      <c r="TK7" s="392"/>
      <c r="TL7" s="392"/>
      <c r="TM7" s="392"/>
      <c r="TN7" s="392"/>
      <c r="TO7" s="392"/>
      <c r="TP7" s="392"/>
      <c r="TQ7" s="392"/>
      <c r="TR7" s="392"/>
      <c r="TS7" s="392"/>
      <c r="TT7" s="392"/>
      <c r="TU7" s="392"/>
      <c r="TV7" s="392"/>
      <c r="TW7" s="392"/>
      <c r="TX7" s="392"/>
      <c r="TY7" s="392"/>
      <c r="TZ7" s="392"/>
      <c r="UA7" s="392"/>
      <c r="UB7" s="392"/>
      <c r="UC7" s="392"/>
      <c r="UD7" s="392"/>
      <c r="UE7" s="392"/>
      <c r="UF7" s="392"/>
      <c r="UG7" s="392"/>
      <c r="UH7" s="392"/>
      <c r="UI7" s="392"/>
      <c r="UJ7" s="392"/>
      <c r="UK7" s="392"/>
      <c r="UL7" s="392"/>
      <c r="UM7" s="392"/>
      <c r="UN7" s="392"/>
      <c r="UO7" s="392"/>
      <c r="UP7" s="392"/>
      <c r="UQ7" s="392"/>
      <c r="UR7" s="392"/>
      <c r="US7" s="392"/>
      <c r="UT7" s="392"/>
      <c r="UU7" s="392"/>
      <c r="UV7" s="392"/>
      <c r="UW7" s="392"/>
      <c r="UX7" s="392"/>
      <c r="UY7" s="392"/>
      <c r="UZ7" s="392"/>
      <c r="VA7" s="392"/>
      <c r="VB7" s="392"/>
      <c r="VC7" s="392"/>
      <c r="VD7" s="392"/>
      <c r="VE7" s="392"/>
      <c r="VF7" s="392"/>
      <c r="VG7" s="392"/>
      <c r="VH7" s="392"/>
      <c r="VI7" s="392"/>
      <c r="VJ7" s="392"/>
      <c r="VK7" s="392"/>
      <c r="VL7" s="392"/>
      <c r="VM7" s="392"/>
      <c r="VN7" s="392"/>
      <c r="VO7" s="392"/>
      <c r="VP7" s="392"/>
      <c r="VQ7" s="392"/>
      <c r="VR7" s="392"/>
      <c r="VS7" s="392"/>
      <c r="VT7" s="392"/>
      <c r="VU7" s="392"/>
      <c r="VV7" s="392"/>
      <c r="VW7" s="392"/>
      <c r="VX7" s="392"/>
      <c r="VY7" s="392"/>
      <c r="VZ7" s="392"/>
      <c r="WA7" s="392"/>
      <c r="WB7" s="392"/>
      <c r="WC7" s="392"/>
      <c r="WD7" s="392"/>
      <c r="WE7" s="392"/>
      <c r="WF7" s="392"/>
      <c r="WG7" s="392"/>
      <c r="WH7" s="392"/>
      <c r="WI7" s="392"/>
      <c r="WJ7" s="392"/>
      <c r="WK7" s="392"/>
      <c r="WL7" s="392"/>
      <c r="WM7" s="392"/>
      <c r="WN7" s="392"/>
      <c r="WO7" s="392"/>
      <c r="WP7" s="392"/>
      <c r="WQ7" s="392"/>
      <c r="WR7" s="392"/>
      <c r="WS7" s="392"/>
      <c r="WT7" s="392"/>
      <c r="WU7" s="392"/>
      <c r="WV7" s="392"/>
      <c r="WW7" s="392"/>
      <c r="WX7" s="392"/>
      <c r="WY7" s="392"/>
      <c r="WZ7" s="392"/>
      <c r="XA7" s="392"/>
      <c r="XB7" s="392"/>
      <c r="XC7" s="392"/>
      <c r="XD7" s="392"/>
      <c r="XE7" s="392"/>
      <c r="XF7" s="392"/>
      <c r="XG7" s="392"/>
      <c r="XH7" s="392"/>
      <c r="XI7" s="392"/>
      <c r="XJ7" s="392"/>
      <c r="XK7" s="392"/>
      <c r="XL7" s="392"/>
      <c r="XM7" s="392"/>
      <c r="XN7" s="392"/>
      <c r="XO7" s="392"/>
      <c r="XP7" s="392"/>
      <c r="XQ7" s="392"/>
      <c r="XR7" s="392"/>
      <c r="XS7" s="392"/>
      <c r="XT7" s="392"/>
      <c r="XU7" s="392"/>
      <c r="XV7" s="392"/>
      <c r="XW7" s="392"/>
      <c r="XX7" s="392"/>
      <c r="XY7" s="392"/>
      <c r="XZ7" s="392"/>
      <c r="YA7" s="392"/>
      <c r="YB7" s="392"/>
      <c r="YC7" s="392"/>
      <c r="YD7" s="392"/>
      <c r="YE7" s="392"/>
      <c r="YF7" s="392"/>
      <c r="YG7" s="392"/>
      <c r="YH7" s="392"/>
      <c r="YI7" s="392"/>
      <c r="YJ7" s="392"/>
      <c r="YK7" s="392"/>
      <c r="YL7" s="392"/>
      <c r="YM7" s="392"/>
      <c r="YN7" s="392"/>
      <c r="YO7" s="392"/>
      <c r="YP7" s="392"/>
      <c r="YQ7" s="392"/>
      <c r="YR7" s="392"/>
      <c r="YS7" s="392"/>
      <c r="YT7" s="392"/>
      <c r="YU7" s="392"/>
      <c r="YV7" s="392"/>
      <c r="YW7" s="392"/>
      <c r="YX7" s="392"/>
      <c r="YY7" s="392"/>
      <c r="YZ7" s="392"/>
      <c r="ZA7" s="392"/>
      <c r="ZB7" s="392"/>
      <c r="ZC7" s="392"/>
      <c r="ZD7" s="392"/>
      <c r="ZE7" s="392"/>
      <c r="ZF7" s="392"/>
      <c r="ZG7" s="392"/>
      <c r="ZH7" s="392"/>
      <c r="ZI7" s="392"/>
      <c r="ZJ7" s="392"/>
      <c r="ZK7" s="392"/>
      <c r="ZL7" s="392"/>
      <c r="ZM7" s="392"/>
      <c r="ZN7" s="392"/>
      <c r="ZO7" s="392"/>
      <c r="ZP7" s="392"/>
      <c r="ZQ7" s="392"/>
      <c r="ZR7" s="392"/>
      <c r="ZS7" s="392"/>
      <c r="ZT7" s="392"/>
      <c r="ZU7" s="392"/>
      <c r="ZV7" s="392"/>
      <c r="ZW7" s="392"/>
      <c r="ZX7" s="392"/>
      <c r="ZY7" s="392"/>
      <c r="ZZ7" s="392"/>
      <c r="AAA7" s="392"/>
      <c r="AAB7" s="392"/>
      <c r="AAC7" s="392"/>
      <c r="AAD7" s="392"/>
      <c r="AAE7" s="392"/>
      <c r="AAF7" s="392"/>
      <c r="AAG7" s="392"/>
      <c r="AAH7" s="392"/>
      <c r="AAI7" s="392"/>
      <c r="AAJ7" s="392"/>
      <c r="AAK7" s="392"/>
      <c r="AAL7" s="392"/>
      <c r="AAM7" s="392"/>
      <c r="AAN7" s="392"/>
      <c r="AAO7" s="392"/>
      <c r="AAP7" s="392"/>
      <c r="AAQ7" s="392"/>
      <c r="AAR7" s="392"/>
      <c r="AAS7" s="392"/>
      <c r="AAT7" s="392"/>
      <c r="AAU7" s="392"/>
      <c r="AAV7" s="392"/>
      <c r="AAW7" s="392"/>
      <c r="AAX7" s="392"/>
      <c r="AAY7" s="392"/>
      <c r="AAZ7" s="392"/>
      <c r="ABA7" s="392"/>
      <c r="ABB7" s="392"/>
      <c r="ABC7" s="392"/>
      <c r="ABD7" s="392"/>
      <c r="ABE7" s="392"/>
      <c r="ABF7" s="392"/>
      <c r="ABG7" s="392"/>
      <c r="ABH7" s="392"/>
      <c r="ABI7" s="392"/>
      <c r="ABJ7" s="392"/>
      <c r="ABK7" s="392"/>
      <c r="ABL7" s="392"/>
      <c r="ABM7" s="392"/>
      <c r="ABN7" s="392"/>
      <c r="ABO7" s="392"/>
      <c r="ABP7" s="392"/>
      <c r="ABQ7" s="392"/>
      <c r="ABR7" s="392"/>
      <c r="ABS7" s="392"/>
      <c r="ABT7" s="392"/>
      <c r="ABU7" s="392"/>
      <c r="ABV7" s="392"/>
      <c r="ABW7" s="392"/>
      <c r="ABX7" s="392"/>
      <c r="ABY7" s="392"/>
      <c r="ABZ7" s="392"/>
      <c r="ACA7" s="392"/>
      <c r="ACB7" s="392"/>
      <c r="ACC7" s="392"/>
      <c r="ACD7" s="392"/>
      <c r="ACE7" s="392"/>
      <c r="ACF7" s="392"/>
      <c r="ACG7" s="392"/>
      <c r="ACH7" s="392"/>
      <c r="ACI7" s="392"/>
      <c r="ACJ7" s="392"/>
      <c r="ACK7" s="392"/>
      <c r="ACL7" s="392"/>
      <c r="ACM7" s="392"/>
      <c r="ACN7" s="392"/>
      <c r="ACO7" s="392"/>
      <c r="ACP7" s="392"/>
      <c r="ACQ7" s="392"/>
      <c r="ACR7" s="392"/>
      <c r="ACS7" s="392"/>
      <c r="ACT7" s="392"/>
      <c r="ACU7" s="392"/>
      <c r="ACV7" s="392"/>
      <c r="ACW7" s="392"/>
      <c r="ACX7" s="392"/>
      <c r="ACY7" s="392"/>
      <c r="ACZ7" s="392"/>
      <c r="ADA7" s="392"/>
      <c r="ADB7" s="392"/>
      <c r="ADC7" s="392"/>
      <c r="ADD7" s="392"/>
      <c r="ADE7" s="392"/>
      <c r="ADF7" s="392"/>
      <c r="ADG7" s="392"/>
      <c r="ADH7" s="392"/>
      <c r="ADI7" s="392"/>
      <c r="ADJ7" s="392"/>
      <c r="ADK7" s="392"/>
      <c r="ADL7" s="392"/>
      <c r="ADM7" s="392"/>
      <c r="ADN7" s="392"/>
      <c r="ADO7" s="392"/>
      <c r="ADP7" s="392"/>
      <c r="ADQ7" s="392"/>
      <c r="ADR7" s="392"/>
      <c r="ADS7" s="392"/>
      <c r="ADT7" s="392"/>
      <c r="ADU7" s="392"/>
      <c r="ADV7" s="392"/>
      <c r="ADW7" s="392"/>
      <c r="ADX7" s="392"/>
      <c r="ADY7" s="392"/>
      <c r="ADZ7" s="392"/>
      <c r="AEA7" s="392"/>
      <c r="AEB7" s="392"/>
      <c r="AEC7" s="392"/>
      <c r="AED7" s="392"/>
      <c r="AEE7" s="392"/>
      <c r="AEF7" s="392"/>
      <c r="AEG7" s="392"/>
      <c r="AEH7" s="392"/>
      <c r="AEI7" s="392"/>
      <c r="AEJ7" s="392"/>
      <c r="AEK7" s="392"/>
      <c r="AEL7" s="392"/>
      <c r="AEM7" s="392"/>
      <c r="AEN7" s="392"/>
      <c r="AEO7" s="392"/>
      <c r="AEP7" s="392"/>
      <c r="AEQ7" s="392"/>
      <c r="AER7" s="392"/>
      <c r="AES7" s="392"/>
      <c r="AET7" s="392"/>
      <c r="AEU7" s="392"/>
      <c r="AEV7" s="392"/>
      <c r="AEW7" s="392"/>
      <c r="AEX7" s="392"/>
      <c r="AEY7" s="392"/>
      <c r="AEZ7" s="392"/>
      <c r="AFA7" s="392"/>
      <c r="AFB7" s="392"/>
      <c r="AFC7" s="392"/>
      <c r="AFD7" s="392"/>
      <c r="AFE7" s="392"/>
      <c r="AFF7" s="392"/>
      <c r="AFG7" s="392"/>
      <c r="AFH7" s="392"/>
      <c r="AFI7" s="392"/>
      <c r="AFJ7" s="392"/>
      <c r="AFK7" s="392"/>
      <c r="AFL7" s="392"/>
      <c r="AFM7" s="392"/>
      <c r="AFN7" s="392"/>
      <c r="AFO7" s="392"/>
      <c r="AFP7" s="392"/>
      <c r="AFQ7" s="392"/>
      <c r="AFR7" s="392"/>
      <c r="AFS7" s="392"/>
      <c r="AFT7" s="392"/>
      <c r="AFU7" s="392"/>
      <c r="AFV7" s="392"/>
      <c r="AFW7" s="392"/>
      <c r="AFX7" s="392"/>
      <c r="AFY7" s="392"/>
      <c r="AFZ7" s="392"/>
      <c r="AGA7" s="392"/>
      <c r="AGB7" s="392"/>
      <c r="AGC7" s="392"/>
      <c r="AGD7" s="392"/>
      <c r="AGE7" s="392"/>
      <c r="AGF7" s="392"/>
      <c r="AGG7" s="392"/>
      <c r="AGH7" s="392"/>
      <c r="AGI7" s="392"/>
      <c r="AGJ7" s="392"/>
      <c r="AGK7" s="392"/>
      <c r="AGL7" s="392"/>
      <c r="AGM7" s="392"/>
      <c r="AGN7" s="392"/>
      <c r="AGO7" s="392"/>
      <c r="AGP7" s="392"/>
      <c r="AGQ7" s="392"/>
      <c r="AGR7" s="392"/>
      <c r="AGS7" s="392"/>
      <c r="AGT7" s="392"/>
      <c r="AGU7" s="392"/>
      <c r="AGV7" s="392"/>
      <c r="AGW7" s="392"/>
      <c r="AGX7" s="392"/>
      <c r="AGY7" s="392"/>
      <c r="AGZ7" s="392"/>
      <c r="AHA7" s="392"/>
      <c r="AHB7" s="392"/>
      <c r="AHC7" s="392"/>
      <c r="AHD7" s="392"/>
      <c r="AHE7" s="392"/>
      <c r="AHF7" s="392"/>
      <c r="AHG7" s="392"/>
      <c r="AHH7" s="392"/>
      <c r="AHI7" s="392"/>
      <c r="AHJ7" s="392"/>
      <c r="AHK7" s="392"/>
      <c r="AHL7" s="392"/>
      <c r="AHM7" s="392"/>
      <c r="AHN7" s="392"/>
      <c r="AHO7" s="392"/>
      <c r="AHP7" s="392"/>
      <c r="AHQ7" s="392"/>
      <c r="AHR7" s="392"/>
      <c r="AHS7" s="392"/>
      <c r="AHT7" s="392"/>
      <c r="AHU7" s="392"/>
      <c r="AHV7" s="392"/>
      <c r="AHW7" s="392"/>
      <c r="AHX7" s="392"/>
      <c r="AHY7" s="392"/>
      <c r="AHZ7" s="392"/>
      <c r="AIA7" s="392"/>
      <c r="AIB7" s="392"/>
      <c r="AIC7" s="392"/>
      <c r="AID7" s="392"/>
      <c r="AIE7" s="392"/>
      <c r="AIF7" s="392"/>
      <c r="AIG7" s="392"/>
      <c r="AIH7" s="392"/>
      <c r="AII7" s="392"/>
      <c r="AIJ7" s="392"/>
      <c r="AIK7" s="392"/>
      <c r="AIL7" s="392"/>
      <c r="AIM7" s="392"/>
      <c r="AIN7" s="392"/>
      <c r="AIO7" s="392"/>
      <c r="AIP7" s="392"/>
      <c r="AIQ7" s="392"/>
      <c r="AIR7" s="392"/>
      <c r="AIS7" s="392"/>
      <c r="AIT7" s="392"/>
      <c r="AIU7" s="392"/>
      <c r="AIV7" s="392"/>
      <c r="AIW7" s="392"/>
      <c r="AIX7" s="392"/>
      <c r="AIY7" s="392"/>
      <c r="AIZ7" s="392"/>
      <c r="AJA7" s="392"/>
      <c r="AJB7" s="392"/>
      <c r="AJC7" s="392"/>
      <c r="AJD7" s="392"/>
      <c r="AJE7" s="392"/>
      <c r="AJF7" s="392"/>
      <c r="AJG7" s="392"/>
      <c r="AJH7" s="392"/>
      <c r="AJI7" s="392"/>
      <c r="AJJ7" s="392"/>
      <c r="AJK7" s="392"/>
      <c r="AJL7" s="392"/>
      <c r="AJM7" s="392"/>
      <c r="AJN7" s="392"/>
      <c r="AJO7" s="392"/>
      <c r="AJP7" s="392"/>
      <c r="AJQ7" s="392"/>
      <c r="AJR7" s="392"/>
      <c r="AJS7" s="392"/>
      <c r="AJT7" s="392"/>
      <c r="AJU7" s="392"/>
      <c r="AJV7" s="392"/>
      <c r="AJW7" s="392"/>
      <c r="AJX7" s="392"/>
      <c r="AJY7" s="392"/>
      <c r="AJZ7" s="392"/>
      <c r="AKA7" s="392"/>
      <c r="AKB7" s="392"/>
      <c r="AKC7" s="392"/>
      <c r="AKD7" s="392"/>
      <c r="AKE7" s="392"/>
      <c r="AKF7" s="392"/>
      <c r="AKG7" s="392"/>
      <c r="AKH7" s="392"/>
      <c r="AKI7" s="392"/>
      <c r="AKJ7" s="392"/>
      <c r="AKK7" s="392"/>
      <c r="AKL7" s="392"/>
      <c r="AKM7" s="392"/>
      <c r="AKN7" s="392"/>
      <c r="AKO7" s="392"/>
      <c r="AKP7" s="392"/>
      <c r="AKQ7" s="392"/>
      <c r="AKR7" s="392"/>
      <c r="AKS7" s="392"/>
      <c r="AKT7" s="392"/>
      <c r="AKU7" s="392"/>
      <c r="AKV7" s="392"/>
      <c r="AKW7" s="392"/>
      <c r="AKX7" s="392"/>
      <c r="AKY7" s="392"/>
      <c r="AKZ7" s="392"/>
      <c r="ALA7" s="392"/>
      <c r="ALB7" s="392"/>
      <c r="ALC7" s="392"/>
      <c r="ALD7" s="392"/>
      <c r="ALE7" s="392"/>
      <c r="ALF7" s="392"/>
      <c r="ALG7" s="392"/>
      <c r="ALH7" s="392"/>
      <c r="ALI7" s="392"/>
      <c r="ALJ7" s="392"/>
      <c r="ALK7" s="392"/>
      <c r="ALL7" s="392"/>
      <c r="ALM7" s="392"/>
      <c r="ALN7" s="392"/>
      <c r="ALO7" s="392"/>
      <c r="ALP7" s="392"/>
      <c r="ALQ7" s="392"/>
      <c r="ALR7" s="392"/>
      <c r="ALS7" s="392"/>
      <c r="ALT7" s="392"/>
      <c r="ALU7" s="392"/>
      <c r="ALV7" s="392"/>
      <c r="ALW7" s="392"/>
      <c r="ALX7" s="392"/>
      <c r="ALY7" s="392"/>
      <c r="ALZ7" s="392"/>
      <c r="AMA7" s="392"/>
      <c r="AMB7" s="392"/>
      <c r="AMC7" s="392"/>
      <c r="AMD7" s="392"/>
      <c r="AME7" s="392"/>
      <c r="AMF7" s="392"/>
      <c r="AMG7" s="392"/>
      <c r="AMH7" s="392"/>
      <c r="AMI7" s="392"/>
      <c r="AMJ7" s="392"/>
      <c r="AMK7" s="392"/>
      <c r="AML7" s="392"/>
      <c r="AMM7" s="392"/>
      <c r="AMN7" s="392"/>
      <c r="AMO7" s="392"/>
      <c r="AMP7" s="392"/>
      <c r="AMQ7" s="392"/>
      <c r="AMR7" s="392"/>
      <c r="AMS7" s="392"/>
      <c r="AMT7" s="392"/>
      <c r="AMU7" s="392"/>
      <c r="AMV7" s="392"/>
      <c r="AMW7" s="392"/>
      <c r="AMX7" s="392"/>
      <c r="AMY7" s="392"/>
      <c r="AMZ7" s="392"/>
      <c r="ANA7" s="392"/>
      <c r="ANB7" s="392"/>
      <c r="ANC7" s="392"/>
      <c r="AND7" s="392"/>
      <c r="ANE7" s="392"/>
      <c r="ANF7" s="392"/>
      <c r="ANG7" s="392"/>
      <c r="ANH7" s="392"/>
      <c r="ANI7" s="392"/>
      <c r="ANJ7" s="392"/>
      <c r="ANK7" s="392"/>
      <c r="ANL7" s="392"/>
      <c r="ANM7" s="392"/>
      <c r="ANN7" s="392"/>
      <c r="ANO7" s="392"/>
      <c r="ANP7" s="392"/>
      <c r="ANQ7" s="392"/>
      <c r="ANR7" s="392"/>
      <c r="ANS7" s="392"/>
      <c r="ANT7" s="392"/>
      <c r="ANU7" s="392"/>
      <c r="ANV7" s="392"/>
      <c r="ANW7" s="392"/>
      <c r="ANX7" s="392"/>
      <c r="ANY7" s="392"/>
      <c r="ANZ7" s="392"/>
      <c r="AOA7" s="392"/>
      <c r="AOB7" s="392"/>
      <c r="AOC7" s="392"/>
      <c r="AOD7" s="392"/>
      <c r="AOE7" s="392"/>
      <c r="AOF7" s="392"/>
      <c r="AOG7" s="392"/>
      <c r="AOH7" s="392"/>
      <c r="AOI7" s="392"/>
      <c r="AOJ7" s="392"/>
      <c r="AOK7" s="392"/>
      <c r="AOL7" s="392"/>
      <c r="AOM7" s="392"/>
      <c r="AON7" s="392"/>
      <c r="AOO7" s="392"/>
      <c r="AOP7" s="392"/>
      <c r="AOQ7" s="392"/>
      <c r="AOR7" s="392"/>
      <c r="AOS7" s="392"/>
      <c r="AOT7" s="392"/>
      <c r="AOU7" s="392"/>
      <c r="AOV7" s="392"/>
      <c r="AOW7" s="392"/>
      <c r="AOX7" s="392"/>
      <c r="AOY7" s="392"/>
      <c r="AOZ7" s="392"/>
      <c r="APA7" s="392"/>
      <c r="APB7" s="392"/>
      <c r="APC7" s="392"/>
      <c r="APD7" s="392"/>
      <c r="APE7" s="392"/>
      <c r="APF7" s="392"/>
      <c r="APG7" s="392"/>
      <c r="APH7" s="392"/>
      <c r="API7" s="392"/>
      <c r="APJ7" s="392"/>
      <c r="APK7" s="392"/>
      <c r="APL7" s="392"/>
      <c r="APM7" s="392"/>
      <c r="APN7" s="392"/>
      <c r="APO7" s="392"/>
      <c r="APP7" s="392"/>
      <c r="APQ7" s="392"/>
      <c r="APR7" s="392"/>
      <c r="APS7" s="392"/>
      <c r="APT7" s="392"/>
      <c r="APU7" s="392"/>
      <c r="APV7" s="392"/>
      <c r="APW7" s="392"/>
      <c r="APX7" s="392"/>
      <c r="APY7" s="392"/>
      <c r="APZ7" s="392"/>
      <c r="AQA7" s="392"/>
      <c r="AQB7" s="392"/>
      <c r="AQC7" s="392"/>
      <c r="AQD7" s="392"/>
      <c r="AQE7" s="392"/>
      <c r="AQF7" s="392"/>
      <c r="AQG7" s="392"/>
      <c r="AQH7" s="392"/>
      <c r="AQI7" s="392"/>
      <c r="AQJ7" s="392"/>
      <c r="AQK7" s="392"/>
      <c r="AQL7" s="392"/>
      <c r="AQM7" s="392"/>
      <c r="AQN7" s="392"/>
      <c r="AQO7" s="392"/>
      <c r="AQP7" s="392"/>
      <c r="AQQ7" s="392"/>
      <c r="AQR7" s="392"/>
      <c r="AQS7" s="392"/>
      <c r="AQT7" s="392"/>
      <c r="AQU7" s="392"/>
      <c r="AQV7" s="392"/>
      <c r="AQW7" s="392"/>
      <c r="AQX7" s="392"/>
      <c r="AQY7" s="392"/>
      <c r="AQZ7" s="392"/>
      <c r="ARA7" s="392"/>
      <c r="ARB7" s="392"/>
      <c r="ARC7" s="392"/>
      <c r="ARD7" s="392"/>
      <c r="ARE7" s="392"/>
      <c r="ARF7" s="392"/>
      <c r="ARG7" s="392"/>
      <c r="ARH7" s="392"/>
      <c r="ARI7" s="392"/>
      <c r="ARJ7" s="392"/>
      <c r="ARK7" s="392"/>
      <c r="ARL7" s="392"/>
      <c r="ARM7" s="392"/>
      <c r="ARN7" s="392"/>
      <c r="ARO7" s="392"/>
      <c r="ARP7" s="392"/>
      <c r="ARQ7" s="392"/>
      <c r="ARR7" s="392"/>
      <c r="ARS7" s="392"/>
      <c r="ART7" s="392"/>
      <c r="ARU7" s="392"/>
      <c r="ARV7" s="392"/>
      <c r="ARW7" s="392"/>
      <c r="ARX7" s="392"/>
      <c r="ARY7" s="392"/>
      <c r="ARZ7" s="392"/>
      <c r="ASA7" s="392"/>
      <c r="ASB7" s="392"/>
      <c r="ASC7" s="392"/>
      <c r="ASD7" s="392"/>
      <c r="ASE7" s="392"/>
      <c r="ASF7" s="392"/>
      <c r="ASG7" s="392"/>
      <c r="ASH7" s="392"/>
      <c r="ASI7" s="392"/>
      <c r="ASJ7" s="392"/>
      <c r="ASK7" s="392"/>
      <c r="ASL7" s="392"/>
      <c r="ASM7" s="392"/>
      <c r="ASN7" s="392"/>
      <c r="ASO7" s="392"/>
      <c r="ASP7" s="392"/>
      <c r="ASQ7" s="392"/>
      <c r="ASR7" s="392"/>
      <c r="ASS7" s="392"/>
      <c r="AST7" s="392"/>
      <c r="ASU7" s="392"/>
      <c r="ASV7" s="392"/>
      <c r="ASW7" s="392"/>
      <c r="ASX7" s="392"/>
      <c r="ASY7" s="392"/>
      <c r="ASZ7" s="392"/>
      <c r="ATA7" s="392"/>
      <c r="ATB7" s="392"/>
      <c r="ATC7" s="392"/>
      <c r="ATD7" s="392"/>
      <c r="ATE7" s="392"/>
      <c r="ATF7" s="392"/>
      <c r="ATG7" s="392"/>
      <c r="ATH7" s="392"/>
      <c r="ATI7" s="392"/>
      <c r="ATJ7" s="392"/>
      <c r="ATK7" s="392"/>
      <c r="ATL7" s="392"/>
      <c r="ATM7" s="392"/>
      <c r="ATN7" s="392"/>
      <c r="ATO7" s="392"/>
      <c r="ATP7" s="392"/>
      <c r="ATQ7" s="392"/>
      <c r="ATR7" s="392"/>
      <c r="ATS7" s="392"/>
      <c r="ATT7" s="392"/>
      <c r="ATU7" s="392"/>
      <c r="ATV7" s="392"/>
      <c r="ATW7" s="392"/>
      <c r="ATX7" s="392"/>
      <c r="ATY7" s="392"/>
      <c r="ATZ7" s="392"/>
      <c r="AUA7" s="392"/>
      <c r="AUB7" s="392"/>
      <c r="AUC7" s="392"/>
      <c r="AUD7" s="392"/>
      <c r="AUE7" s="392"/>
      <c r="AUF7" s="392"/>
      <c r="AUG7" s="392"/>
      <c r="AUH7" s="392"/>
      <c r="AUI7" s="392"/>
      <c r="AUJ7" s="392"/>
      <c r="AUK7" s="392"/>
      <c r="AUL7" s="392"/>
      <c r="AUM7" s="392"/>
      <c r="AUN7" s="392"/>
      <c r="AUO7" s="392"/>
      <c r="AUP7" s="392"/>
      <c r="AUQ7" s="392"/>
      <c r="AUR7" s="392"/>
      <c r="AUS7" s="392"/>
      <c r="AUT7" s="392"/>
      <c r="AUU7" s="392"/>
      <c r="AUV7" s="392"/>
      <c r="AUW7" s="392"/>
      <c r="AUX7" s="392"/>
      <c r="AUY7" s="392"/>
      <c r="AUZ7" s="392"/>
      <c r="AVA7" s="392"/>
      <c r="AVB7" s="392"/>
      <c r="AVC7" s="392"/>
      <c r="AVD7" s="392"/>
      <c r="AVE7" s="392"/>
      <c r="AVF7" s="392"/>
      <c r="AVG7" s="392"/>
      <c r="AVH7" s="392"/>
      <c r="AVI7" s="392"/>
      <c r="AVJ7" s="392"/>
      <c r="AVK7" s="392"/>
      <c r="AVL7" s="392"/>
      <c r="AVM7" s="392"/>
      <c r="AVN7" s="392"/>
      <c r="AVO7" s="392"/>
      <c r="AVP7" s="392"/>
      <c r="AVQ7" s="392"/>
      <c r="AVR7" s="392"/>
      <c r="AVS7" s="392"/>
      <c r="AVT7" s="392"/>
      <c r="AVU7" s="392"/>
      <c r="AVV7" s="392"/>
      <c r="AVW7" s="392"/>
      <c r="AVX7" s="392"/>
      <c r="AVY7" s="392"/>
      <c r="AVZ7" s="392"/>
      <c r="AWA7" s="392"/>
      <c r="AWB7" s="392"/>
      <c r="AWC7" s="392"/>
      <c r="AWD7" s="392"/>
      <c r="AWE7" s="392"/>
      <c r="AWF7" s="392"/>
      <c r="AWG7" s="392"/>
      <c r="AWH7" s="392"/>
      <c r="AWI7" s="392"/>
      <c r="AWJ7" s="392"/>
      <c r="AWK7" s="392"/>
      <c r="AWL7" s="392"/>
      <c r="AWM7" s="392"/>
      <c r="AWN7" s="392"/>
      <c r="AWO7" s="392"/>
      <c r="AWP7" s="392"/>
      <c r="AWQ7" s="392"/>
      <c r="AWR7" s="392"/>
      <c r="AWS7" s="392"/>
      <c r="AWT7" s="392"/>
      <c r="AWU7" s="392"/>
      <c r="AWV7" s="392"/>
      <c r="AWW7" s="392"/>
      <c r="AWX7" s="392"/>
      <c r="AWY7" s="392"/>
      <c r="AWZ7" s="392"/>
      <c r="AXA7" s="392"/>
      <c r="AXB7" s="392"/>
      <c r="AXC7" s="392"/>
      <c r="AXD7" s="392"/>
      <c r="AXE7" s="392"/>
      <c r="AXF7" s="392"/>
      <c r="AXG7" s="392"/>
      <c r="AXH7" s="392"/>
      <c r="AXI7" s="392"/>
      <c r="AXJ7" s="392"/>
      <c r="AXK7" s="392"/>
      <c r="AXL7" s="392"/>
      <c r="AXM7" s="392"/>
      <c r="AXN7" s="392"/>
      <c r="AXO7" s="392"/>
      <c r="AXP7" s="392"/>
      <c r="AXQ7" s="392"/>
      <c r="AXR7" s="392"/>
      <c r="AXS7" s="392"/>
      <c r="AXT7" s="392"/>
      <c r="AXU7" s="392"/>
      <c r="AXV7" s="392"/>
      <c r="AXW7" s="392"/>
      <c r="AXX7" s="392"/>
      <c r="AXY7" s="392"/>
      <c r="AXZ7" s="392"/>
      <c r="AYA7" s="392"/>
      <c r="AYB7" s="392"/>
      <c r="AYC7" s="392"/>
      <c r="AYD7" s="392"/>
      <c r="AYE7" s="392"/>
      <c r="AYF7" s="392"/>
      <c r="AYG7" s="392"/>
      <c r="AYH7" s="392"/>
      <c r="AYI7" s="392"/>
      <c r="AYJ7" s="392"/>
      <c r="AYK7" s="392"/>
      <c r="AYL7" s="392"/>
      <c r="AYM7" s="392"/>
      <c r="AYN7" s="392"/>
      <c r="AYO7" s="392"/>
      <c r="AYP7" s="392"/>
      <c r="AYQ7" s="392"/>
      <c r="AYR7" s="392"/>
      <c r="AYS7" s="392"/>
      <c r="AYT7" s="392"/>
      <c r="AYU7" s="392"/>
      <c r="AYV7" s="392"/>
      <c r="AYW7" s="392"/>
      <c r="AYX7" s="392"/>
      <c r="AYY7" s="392"/>
      <c r="AYZ7" s="392"/>
      <c r="AZA7" s="392"/>
      <c r="AZB7" s="392"/>
      <c r="AZC7" s="392"/>
      <c r="AZD7" s="392"/>
      <c r="AZE7" s="392"/>
      <c r="AZF7" s="392"/>
      <c r="AZG7" s="392"/>
      <c r="AZH7" s="392"/>
      <c r="AZI7" s="392"/>
      <c r="AZJ7" s="392"/>
      <c r="AZK7" s="392"/>
      <c r="AZL7" s="392"/>
      <c r="AZM7" s="392"/>
      <c r="AZN7" s="392"/>
      <c r="AZO7" s="392"/>
      <c r="AZP7" s="392"/>
      <c r="AZQ7" s="392"/>
      <c r="AZR7" s="392"/>
      <c r="AZS7" s="392"/>
      <c r="AZT7" s="392"/>
      <c r="AZU7" s="392"/>
      <c r="AZV7" s="392"/>
      <c r="AZW7" s="392"/>
      <c r="AZX7" s="392"/>
      <c r="AZY7" s="392"/>
      <c r="AZZ7" s="392"/>
      <c r="BAA7" s="392"/>
      <c r="BAB7" s="392"/>
      <c r="BAC7" s="392"/>
      <c r="BAD7" s="392"/>
      <c r="BAE7" s="392"/>
      <c r="BAF7" s="392"/>
      <c r="BAG7" s="392"/>
      <c r="BAH7" s="392"/>
      <c r="BAI7" s="392"/>
      <c r="BAJ7" s="392"/>
      <c r="BAK7" s="392"/>
      <c r="BAL7" s="392"/>
      <c r="BAM7" s="392"/>
      <c r="BAN7" s="392"/>
      <c r="BAO7" s="392"/>
      <c r="BAP7" s="392"/>
      <c r="BAQ7" s="392"/>
      <c r="BAR7" s="392"/>
      <c r="BAS7" s="392"/>
      <c r="BAT7" s="392"/>
      <c r="BAU7" s="392"/>
      <c r="BAV7" s="392"/>
      <c r="BAW7" s="392"/>
      <c r="BAX7" s="392"/>
      <c r="BAY7" s="392"/>
      <c r="BAZ7" s="392"/>
      <c r="BBA7" s="392"/>
      <c r="BBB7" s="392"/>
      <c r="BBC7" s="392"/>
      <c r="BBD7" s="392"/>
      <c r="BBE7" s="392"/>
      <c r="BBF7" s="392"/>
      <c r="BBG7" s="392"/>
      <c r="BBH7" s="392"/>
      <c r="BBI7" s="392"/>
      <c r="BBJ7" s="392"/>
      <c r="BBK7" s="392"/>
      <c r="BBL7" s="392"/>
      <c r="BBM7" s="392"/>
      <c r="BBN7" s="392"/>
      <c r="BBO7" s="392"/>
      <c r="BBP7" s="392"/>
      <c r="BBQ7" s="392"/>
      <c r="BBR7" s="392"/>
      <c r="BBS7" s="392"/>
      <c r="BBT7" s="392"/>
      <c r="BBU7" s="392"/>
      <c r="BBV7" s="392"/>
      <c r="BBW7" s="392"/>
      <c r="BBX7" s="392"/>
      <c r="BBY7" s="392"/>
      <c r="BBZ7" s="392"/>
      <c r="BCA7" s="392"/>
      <c r="BCB7" s="392"/>
      <c r="BCC7" s="392"/>
      <c r="BCD7" s="392"/>
      <c r="BCE7" s="392"/>
      <c r="BCF7" s="392"/>
      <c r="BCG7" s="392"/>
      <c r="BCH7" s="392"/>
      <c r="BCI7" s="392"/>
      <c r="BCJ7" s="392"/>
      <c r="BCK7" s="392"/>
      <c r="BCL7" s="392"/>
      <c r="BCM7" s="392"/>
      <c r="BCN7" s="392"/>
      <c r="BCO7" s="392"/>
      <c r="BCP7" s="392"/>
      <c r="BCQ7" s="392"/>
      <c r="BCR7" s="392"/>
      <c r="BCS7" s="392"/>
      <c r="BCT7" s="392"/>
      <c r="BCU7" s="392"/>
      <c r="BCV7" s="392"/>
      <c r="BCW7" s="392"/>
      <c r="BCX7" s="392"/>
      <c r="BCY7" s="392"/>
      <c r="BCZ7" s="392"/>
      <c r="BDA7" s="392"/>
      <c r="BDB7" s="392"/>
      <c r="BDC7" s="392"/>
      <c r="BDD7" s="392"/>
      <c r="BDE7" s="392"/>
      <c r="BDF7" s="392"/>
      <c r="BDG7" s="392"/>
      <c r="BDH7" s="392"/>
      <c r="BDI7" s="392"/>
      <c r="BDJ7" s="392"/>
      <c r="BDK7" s="392"/>
      <c r="BDL7" s="392"/>
      <c r="BDM7" s="392"/>
      <c r="BDN7" s="392"/>
      <c r="BDO7" s="392"/>
      <c r="BDP7" s="392"/>
      <c r="BDQ7" s="392"/>
      <c r="BDR7" s="392"/>
      <c r="BDS7" s="392"/>
      <c r="BDT7" s="392"/>
      <c r="BDU7" s="392"/>
      <c r="BDV7" s="392"/>
      <c r="BDW7" s="392"/>
      <c r="BDX7" s="392"/>
      <c r="BDY7" s="392"/>
      <c r="BDZ7" s="392"/>
      <c r="BEA7" s="392"/>
      <c r="BEB7" s="392"/>
      <c r="BEC7" s="392"/>
      <c r="BED7" s="392"/>
      <c r="BEE7" s="392"/>
      <c r="BEF7" s="392"/>
      <c r="BEG7" s="392"/>
      <c r="BEH7" s="392"/>
      <c r="BEI7" s="392"/>
      <c r="BEJ7" s="392"/>
      <c r="BEK7" s="392"/>
      <c r="BEL7" s="392"/>
      <c r="BEM7" s="392"/>
      <c r="BEN7" s="392"/>
      <c r="BEO7" s="392"/>
      <c r="BEP7" s="392"/>
      <c r="BEQ7" s="392"/>
      <c r="BER7" s="392"/>
      <c r="BES7" s="392"/>
      <c r="BET7" s="392"/>
      <c r="BEU7" s="392"/>
      <c r="BEV7" s="392"/>
      <c r="BEW7" s="392"/>
      <c r="BEX7" s="392"/>
      <c r="BEY7" s="392"/>
      <c r="BEZ7" s="392"/>
      <c r="BFA7" s="392"/>
      <c r="BFB7" s="392"/>
      <c r="BFC7" s="392"/>
      <c r="BFD7" s="392"/>
      <c r="BFE7" s="392"/>
      <c r="BFF7" s="392"/>
      <c r="BFG7" s="392"/>
      <c r="BFH7" s="392"/>
      <c r="BFI7" s="392"/>
      <c r="BFJ7" s="392"/>
      <c r="BFK7" s="392"/>
      <c r="BFL7" s="392"/>
      <c r="BFM7" s="392"/>
      <c r="BFN7" s="392"/>
      <c r="BFO7" s="392"/>
      <c r="BFP7" s="392"/>
      <c r="BFQ7" s="392"/>
      <c r="BFR7" s="392"/>
      <c r="BFS7" s="392"/>
      <c r="BFT7" s="392"/>
      <c r="BFU7" s="392"/>
      <c r="BFV7" s="392"/>
      <c r="BFW7" s="392"/>
      <c r="BFX7" s="392"/>
      <c r="BFY7" s="392"/>
      <c r="BFZ7" s="392"/>
      <c r="BGA7" s="392"/>
      <c r="BGB7" s="392"/>
      <c r="BGC7" s="392"/>
      <c r="BGD7" s="392"/>
      <c r="BGE7" s="392"/>
      <c r="BGF7" s="392"/>
      <c r="BGG7" s="392"/>
      <c r="BGH7" s="392"/>
      <c r="BGI7" s="392"/>
      <c r="BGJ7" s="392"/>
      <c r="BGK7" s="392"/>
      <c r="BGL7" s="392"/>
      <c r="BGM7" s="392"/>
      <c r="BGN7" s="392"/>
      <c r="BGO7" s="392"/>
      <c r="BGP7" s="392"/>
      <c r="BGQ7" s="392"/>
      <c r="BGR7" s="392"/>
      <c r="BGS7" s="392"/>
      <c r="BGT7" s="392"/>
      <c r="BGU7" s="392"/>
      <c r="BGV7" s="392"/>
      <c r="BGW7" s="392"/>
      <c r="BGX7" s="392"/>
      <c r="BGY7" s="392"/>
      <c r="BGZ7" s="392"/>
      <c r="BHA7" s="392"/>
      <c r="BHB7" s="392"/>
      <c r="BHC7" s="392"/>
      <c r="BHD7" s="392"/>
      <c r="BHE7" s="392"/>
      <c r="BHF7" s="392"/>
      <c r="BHG7" s="392"/>
      <c r="BHH7" s="392"/>
      <c r="BHI7" s="392"/>
      <c r="BHJ7" s="392"/>
      <c r="BHK7" s="392"/>
      <c r="BHL7" s="392"/>
      <c r="BHM7" s="392"/>
      <c r="BHN7" s="392"/>
      <c r="BHO7" s="392"/>
      <c r="BHP7" s="392"/>
      <c r="BHQ7" s="392"/>
      <c r="BHR7" s="392"/>
      <c r="BHS7" s="392"/>
      <c r="BHT7" s="392"/>
      <c r="BHU7" s="392"/>
      <c r="BHV7" s="392"/>
      <c r="BHW7" s="392"/>
      <c r="BHX7" s="392"/>
      <c r="BHY7" s="392"/>
      <c r="BHZ7" s="392"/>
      <c r="BIA7" s="392"/>
      <c r="BIB7" s="392"/>
      <c r="BIC7" s="392"/>
      <c r="BID7" s="392"/>
      <c r="BIE7" s="392"/>
      <c r="BIF7" s="392"/>
      <c r="BIG7" s="392"/>
      <c r="BIH7" s="392"/>
      <c r="BII7" s="392"/>
      <c r="BIJ7" s="392"/>
      <c r="BIK7" s="392"/>
      <c r="BIL7" s="392"/>
      <c r="BIM7" s="392"/>
      <c r="BIN7" s="392"/>
      <c r="BIO7" s="392"/>
      <c r="BIP7" s="392"/>
      <c r="BIQ7" s="392"/>
      <c r="BIR7" s="392"/>
      <c r="BIS7" s="392"/>
      <c r="BIT7" s="392"/>
      <c r="BIU7" s="392"/>
      <c r="BIV7" s="392"/>
      <c r="BIW7" s="392"/>
      <c r="BIX7" s="392"/>
      <c r="BIY7" s="392"/>
      <c r="BIZ7" s="392"/>
      <c r="BJA7" s="392"/>
      <c r="BJB7" s="392"/>
      <c r="BJC7" s="392"/>
      <c r="BJD7" s="392"/>
      <c r="BJE7" s="392"/>
      <c r="BJF7" s="392"/>
      <c r="BJG7" s="392"/>
      <c r="BJH7" s="392"/>
      <c r="BJI7" s="392"/>
      <c r="BJJ7" s="392"/>
      <c r="BJK7" s="392"/>
      <c r="BJL7" s="392"/>
      <c r="BJM7" s="392"/>
      <c r="BJN7" s="392"/>
      <c r="BJO7" s="392"/>
      <c r="BJP7" s="392"/>
      <c r="BJQ7" s="392"/>
      <c r="BJR7" s="392"/>
      <c r="BJS7" s="392"/>
      <c r="BJT7" s="392"/>
      <c r="BJU7" s="392"/>
      <c r="BJV7" s="392"/>
      <c r="BJW7" s="392"/>
      <c r="BJX7" s="392"/>
      <c r="BJY7" s="392"/>
      <c r="BJZ7" s="392"/>
      <c r="BKA7" s="392"/>
      <c r="BKB7" s="392"/>
      <c r="BKC7" s="392"/>
      <c r="BKD7" s="392"/>
      <c r="BKE7" s="392"/>
      <c r="BKF7" s="392"/>
      <c r="BKG7" s="392"/>
      <c r="BKH7" s="392"/>
      <c r="BKI7" s="392"/>
      <c r="BKJ7" s="392"/>
      <c r="BKK7" s="392"/>
      <c r="BKL7" s="392"/>
      <c r="BKM7" s="392"/>
      <c r="BKN7" s="392"/>
      <c r="BKO7" s="392"/>
      <c r="BKP7" s="392"/>
      <c r="BKQ7" s="392"/>
      <c r="BKR7" s="392"/>
      <c r="BKS7" s="392"/>
      <c r="BKT7" s="392"/>
      <c r="BKU7" s="392"/>
      <c r="BKV7" s="392"/>
      <c r="BKW7" s="392"/>
      <c r="BKX7" s="392"/>
      <c r="BKY7" s="392"/>
      <c r="BKZ7" s="392"/>
      <c r="BLA7" s="392"/>
      <c r="BLB7" s="392"/>
      <c r="BLC7" s="392"/>
      <c r="BLD7" s="392"/>
      <c r="BLE7" s="392"/>
      <c r="BLF7" s="392"/>
      <c r="BLG7" s="392"/>
      <c r="BLH7" s="392"/>
      <c r="BLI7" s="392"/>
      <c r="BLJ7" s="392"/>
      <c r="BLK7" s="392"/>
      <c r="BLL7" s="392"/>
      <c r="BLM7" s="392"/>
      <c r="BLN7" s="392"/>
      <c r="BLO7" s="392"/>
      <c r="BLP7" s="392"/>
      <c r="BLQ7" s="392"/>
      <c r="BLR7" s="392"/>
      <c r="BLS7" s="392"/>
      <c r="BLT7" s="392"/>
      <c r="BLU7" s="392"/>
      <c r="BLV7" s="392"/>
      <c r="BLW7" s="392"/>
      <c r="BLX7" s="392"/>
      <c r="BLY7" s="392"/>
      <c r="BLZ7" s="392"/>
      <c r="BMA7" s="392"/>
      <c r="BMB7" s="392"/>
      <c r="BMC7" s="392"/>
      <c r="BMD7" s="392"/>
      <c r="BME7" s="392"/>
      <c r="BMF7" s="392"/>
      <c r="BMG7" s="392"/>
      <c r="BMH7" s="392"/>
      <c r="BMI7" s="392"/>
      <c r="BMJ7" s="392"/>
      <c r="BMK7" s="392"/>
      <c r="BML7" s="392"/>
      <c r="BMM7" s="392"/>
      <c r="BMN7" s="392"/>
      <c r="BMO7" s="392"/>
      <c r="BMP7" s="392"/>
      <c r="BMQ7" s="392"/>
      <c r="BMR7" s="392"/>
      <c r="BMS7" s="392"/>
      <c r="BMT7" s="392"/>
      <c r="BMU7" s="392"/>
      <c r="BMV7" s="392"/>
      <c r="BMW7" s="392"/>
      <c r="BMX7" s="392"/>
      <c r="BMY7" s="392"/>
      <c r="BMZ7" s="392"/>
      <c r="BNA7" s="392"/>
      <c r="BNB7" s="392"/>
      <c r="BNC7" s="392"/>
      <c r="BND7" s="392"/>
      <c r="BNE7" s="392"/>
      <c r="BNF7" s="392"/>
      <c r="BNG7" s="392"/>
      <c r="BNH7" s="392"/>
      <c r="BNI7" s="392"/>
      <c r="BNJ7" s="392"/>
      <c r="BNK7" s="392"/>
      <c r="BNL7" s="392"/>
      <c r="BNM7" s="392"/>
      <c r="BNN7" s="392"/>
      <c r="BNO7" s="392"/>
      <c r="BNP7" s="392"/>
      <c r="BNQ7" s="392"/>
      <c r="BNR7" s="392"/>
      <c r="BNS7" s="392"/>
      <c r="BNT7" s="392"/>
      <c r="BNU7" s="392"/>
      <c r="BNV7" s="392"/>
      <c r="BNW7" s="392"/>
      <c r="BNX7" s="392"/>
      <c r="BNY7" s="392"/>
      <c r="BNZ7" s="392"/>
      <c r="BOA7" s="392"/>
      <c r="BOB7" s="392"/>
      <c r="BOC7" s="392"/>
      <c r="BOD7" s="392"/>
      <c r="BOE7" s="392"/>
      <c r="BOF7" s="392"/>
      <c r="BOG7" s="392"/>
      <c r="BOH7" s="392"/>
      <c r="BOI7" s="392"/>
      <c r="BOJ7" s="392"/>
      <c r="BOK7" s="392"/>
      <c r="BOL7" s="392"/>
      <c r="BOM7" s="392"/>
      <c r="BON7" s="392"/>
      <c r="BOO7" s="392"/>
      <c r="BOP7" s="392"/>
      <c r="BOQ7" s="392"/>
      <c r="BOR7" s="392"/>
      <c r="BOS7" s="392"/>
      <c r="BOT7" s="392"/>
      <c r="BOU7" s="392"/>
      <c r="BOV7" s="392"/>
      <c r="BOW7" s="392"/>
      <c r="BOX7" s="392"/>
      <c r="BOY7" s="392"/>
      <c r="BOZ7" s="392"/>
      <c r="BPA7" s="392"/>
      <c r="BPB7" s="392"/>
      <c r="BPC7" s="392"/>
      <c r="BPD7" s="392"/>
      <c r="BPE7" s="392"/>
      <c r="BPF7" s="392"/>
      <c r="BPG7" s="392"/>
      <c r="BPH7" s="392"/>
      <c r="BPI7" s="392"/>
      <c r="BPJ7" s="392"/>
      <c r="BPK7" s="392"/>
      <c r="BPL7" s="392"/>
      <c r="BPM7" s="392"/>
      <c r="BPN7" s="392"/>
      <c r="BPO7" s="392"/>
      <c r="BPP7" s="392"/>
      <c r="BPQ7" s="392"/>
      <c r="BPR7" s="392"/>
      <c r="BPS7" s="392"/>
      <c r="BPT7" s="392"/>
      <c r="BPU7" s="392"/>
      <c r="BPV7" s="392"/>
      <c r="BPW7" s="392"/>
      <c r="BPX7" s="392"/>
      <c r="BPY7" s="392"/>
      <c r="BPZ7" s="392"/>
      <c r="BQA7" s="392"/>
      <c r="BQB7" s="392"/>
      <c r="BQC7" s="392"/>
      <c r="BQD7" s="392"/>
      <c r="BQE7" s="392"/>
      <c r="BQF7" s="392"/>
      <c r="BQG7" s="392"/>
      <c r="BQH7" s="392"/>
      <c r="BQI7" s="392"/>
      <c r="BQJ7" s="392"/>
      <c r="BQK7" s="392"/>
      <c r="BQL7" s="392"/>
      <c r="BQM7" s="392"/>
      <c r="BQN7" s="392"/>
      <c r="BQO7" s="392"/>
      <c r="BQP7" s="392"/>
      <c r="BQQ7" s="392"/>
      <c r="BQR7" s="392"/>
      <c r="BQS7" s="392"/>
      <c r="BQT7" s="392"/>
      <c r="BQU7" s="392"/>
      <c r="BQV7" s="392"/>
      <c r="BQW7" s="392"/>
      <c r="BQX7" s="392"/>
      <c r="BQY7" s="392"/>
      <c r="BQZ7" s="392"/>
      <c r="BRA7" s="392"/>
      <c r="BRB7" s="392"/>
      <c r="BRC7" s="392"/>
      <c r="BRD7" s="392"/>
      <c r="BRE7" s="392"/>
      <c r="BRF7" s="392"/>
      <c r="BRG7" s="392"/>
      <c r="BRH7" s="392"/>
      <c r="BRI7" s="392"/>
      <c r="BRJ7" s="392"/>
      <c r="BRK7" s="392"/>
      <c r="BRL7" s="392"/>
      <c r="BRM7" s="392"/>
      <c r="BRN7" s="392"/>
      <c r="BRO7" s="392"/>
      <c r="BRP7" s="392"/>
      <c r="BRQ7" s="392"/>
      <c r="BRR7" s="392"/>
      <c r="BRS7" s="392"/>
      <c r="BRT7" s="392"/>
      <c r="BRU7" s="392"/>
      <c r="BRV7" s="392"/>
      <c r="BRW7" s="392"/>
      <c r="BRX7" s="392"/>
      <c r="BRY7" s="392"/>
      <c r="BRZ7" s="392"/>
      <c r="BSA7" s="392"/>
      <c r="BSB7" s="392"/>
      <c r="BSC7" s="392"/>
      <c r="BSD7" s="392"/>
      <c r="BSE7" s="392"/>
      <c r="BSF7" s="392"/>
      <c r="BSG7" s="392"/>
      <c r="BSH7" s="392"/>
      <c r="BSI7" s="392"/>
      <c r="BSJ7" s="392"/>
      <c r="BSK7" s="392"/>
      <c r="BSL7" s="392"/>
      <c r="BSM7" s="392"/>
      <c r="BSN7" s="392"/>
      <c r="BSO7" s="392"/>
      <c r="BSP7" s="392"/>
      <c r="BSQ7" s="392"/>
      <c r="BSR7" s="392"/>
      <c r="BSS7" s="392"/>
      <c r="BST7" s="392"/>
      <c r="BSU7" s="392"/>
      <c r="BSV7" s="392"/>
      <c r="BSW7" s="392"/>
      <c r="BSX7" s="392"/>
      <c r="BSY7" s="392"/>
      <c r="BSZ7" s="392"/>
      <c r="BTA7" s="392"/>
      <c r="BTB7" s="392"/>
      <c r="BTC7" s="392"/>
      <c r="BTD7" s="392"/>
      <c r="BTE7" s="392"/>
      <c r="BTF7" s="392"/>
      <c r="BTG7" s="392"/>
      <c r="BTH7" s="392"/>
      <c r="BTI7" s="392"/>
      <c r="BTJ7" s="392"/>
      <c r="BTK7" s="392"/>
      <c r="BTL7" s="392"/>
      <c r="BTM7" s="392"/>
      <c r="BTN7" s="392"/>
      <c r="BTO7" s="392"/>
      <c r="BTP7" s="392"/>
      <c r="BTQ7" s="392"/>
      <c r="BTR7" s="392"/>
      <c r="BTS7" s="392"/>
      <c r="BTT7" s="392"/>
      <c r="BTU7" s="392"/>
      <c r="BTV7" s="392"/>
      <c r="BTW7" s="392"/>
      <c r="BTX7" s="392"/>
      <c r="BTY7" s="392"/>
      <c r="BTZ7" s="392"/>
      <c r="BUA7" s="392"/>
      <c r="BUB7" s="392"/>
      <c r="BUC7" s="392"/>
      <c r="BUD7" s="392"/>
      <c r="BUE7" s="392"/>
      <c r="BUF7" s="392"/>
      <c r="BUG7" s="392"/>
      <c r="BUH7" s="392"/>
      <c r="BUI7" s="392"/>
      <c r="BUJ7" s="392"/>
      <c r="BUK7" s="392"/>
      <c r="BUL7" s="392"/>
      <c r="BUM7" s="392"/>
      <c r="BUN7" s="392"/>
      <c r="BUO7" s="392"/>
      <c r="BUP7" s="392"/>
      <c r="BUQ7" s="392"/>
      <c r="BUR7" s="392"/>
      <c r="BUS7" s="392"/>
      <c r="BUT7" s="392"/>
      <c r="BUU7" s="392"/>
      <c r="BUV7" s="392"/>
      <c r="BUW7" s="392"/>
      <c r="BUX7" s="392"/>
      <c r="BUY7" s="392"/>
      <c r="BUZ7" s="392"/>
      <c r="BVA7" s="392"/>
      <c r="BVB7" s="392"/>
      <c r="BVC7" s="392"/>
      <c r="BVD7" s="392"/>
      <c r="BVE7" s="392"/>
      <c r="BVF7" s="392"/>
      <c r="BVG7" s="392"/>
      <c r="BVH7" s="392"/>
      <c r="BVI7" s="392"/>
      <c r="BVJ7" s="392"/>
      <c r="BVK7" s="392"/>
      <c r="BVL7" s="392"/>
      <c r="BVM7" s="392"/>
      <c r="BVN7" s="392"/>
      <c r="BVO7" s="392"/>
      <c r="BVP7" s="392"/>
      <c r="BVQ7" s="392"/>
      <c r="BVR7" s="392"/>
      <c r="BVS7" s="392"/>
      <c r="BVT7" s="392"/>
      <c r="BVU7" s="392"/>
      <c r="BVV7" s="392"/>
      <c r="BVW7" s="392"/>
      <c r="BVX7" s="392"/>
      <c r="BVY7" s="392"/>
      <c r="BVZ7" s="392"/>
      <c r="BWA7" s="392"/>
      <c r="BWB7" s="392"/>
      <c r="BWC7" s="392"/>
      <c r="BWD7" s="392"/>
      <c r="BWE7" s="392"/>
      <c r="BWF7" s="392"/>
      <c r="BWG7" s="392"/>
      <c r="BWH7" s="392"/>
      <c r="BWI7" s="392"/>
      <c r="BWJ7" s="392"/>
      <c r="BWK7" s="392"/>
      <c r="BWL7" s="392"/>
      <c r="BWM7" s="392"/>
      <c r="BWN7" s="392"/>
      <c r="BWO7" s="392"/>
      <c r="BWP7" s="392"/>
      <c r="BWQ7" s="392"/>
      <c r="BWR7" s="392"/>
      <c r="BWS7" s="392"/>
      <c r="BWT7" s="392"/>
      <c r="BWU7" s="392"/>
      <c r="BWV7" s="392"/>
      <c r="BWW7" s="392"/>
      <c r="BWX7" s="392"/>
      <c r="BWY7" s="392"/>
      <c r="BWZ7" s="392"/>
      <c r="BXA7" s="392"/>
      <c r="BXB7" s="392"/>
      <c r="BXC7" s="392"/>
      <c r="BXD7" s="392"/>
      <c r="BXE7" s="392"/>
      <c r="BXF7" s="392"/>
      <c r="BXG7" s="392"/>
      <c r="BXH7" s="392"/>
      <c r="BXI7" s="392"/>
      <c r="BXJ7" s="392"/>
      <c r="BXK7" s="392"/>
      <c r="BXL7" s="392"/>
      <c r="BXM7" s="392"/>
      <c r="BXN7" s="392"/>
      <c r="BXO7" s="392"/>
      <c r="BXP7" s="392"/>
      <c r="BXQ7" s="392"/>
      <c r="BXR7" s="392"/>
      <c r="BXS7" s="392"/>
      <c r="BXT7" s="392"/>
      <c r="BXU7" s="392"/>
      <c r="BXV7" s="392"/>
      <c r="BXW7" s="392"/>
      <c r="BXX7" s="392"/>
      <c r="BXY7" s="392"/>
      <c r="BXZ7" s="392"/>
      <c r="BYA7" s="392"/>
      <c r="BYB7" s="392"/>
      <c r="BYC7" s="392"/>
      <c r="BYD7" s="392"/>
      <c r="BYE7" s="392"/>
      <c r="BYF7" s="392"/>
      <c r="BYG7" s="392"/>
      <c r="BYH7" s="392"/>
      <c r="BYI7" s="392"/>
      <c r="BYJ7" s="392"/>
      <c r="BYK7" s="392"/>
      <c r="BYL7" s="392"/>
      <c r="BYM7" s="392"/>
      <c r="BYN7" s="392"/>
      <c r="BYO7" s="392"/>
      <c r="BYP7" s="392"/>
      <c r="BYQ7" s="392"/>
      <c r="BYR7" s="392"/>
      <c r="BYS7" s="392"/>
      <c r="BYT7" s="392"/>
      <c r="BYU7" s="392"/>
      <c r="BYV7" s="392"/>
      <c r="BYW7" s="392"/>
      <c r="BYX7" s="392"/>
      <c r="BYY7" s="392"/>
      <c r="BYZ7" s="392"/>
      <c r="BZA7" s="392"/>
      <c r="BZB7" s="392"/>
      <c r="BZC7" s="392"/>
      <c r="BZD7" s="392"/>
      <c r="BZE7" s="392"/>
      <c r="BZF7" s="392"/>
      <c r="BZG7" s="392"/>
      <c r="BZH7" s="392"/>
      <c r="BZI7" s="392"/>
      <c r="BZJ7" s="392"/>
      <c r="BZK7" s="392"/>
      <c r="BZL7" s="392"/>
      <c r="BZM7" s="392"/>
      <c r="BZN7" s="392"/>
      <c r="BZO7" s="392"/>
      <c r="BZP7" s="392"/>
      <c r="BZQ7" s="392"/>
      <c r="BZR7" s="392"/>
      <c r="BZS7" s="392"/>
      <c r="BZT7" s="392"/>
      <c r="BZU7" s="392"/>
      <c r="BZV7" s="392"/>
      <c r="BZW7" s="392"/>
      <c r="BZX7" s="392"/>
      <c r="BZY7" s="392"/>
      <c r="BZZ7" s="392"/>
      <c r="CAA7" s="392"/>
      <c r="CAB7" s="392"/>
      <c r="CAC7" s="392"/>
      <c r="CAD7" s="392"/>
      <c r="CAE7" s="392"/>
      <c r="CAF7" s="392"/>
      <c r="CAG7" s="392"/>
      <c r="CAH7" s="392"/>
      <c r="CAI7" s="392"/>
      <c r="CAJ7" s="392"/>
      <c r="CAK7" s="392"/>
      <c r="CAL7" s="392"/>
      <c r="CAM7" s="392"/>
      <c r="CAN7" s="392"/>
      <c r="CAO7" s="392"/>
      <c r="CAP7" s="392"/>
      <c r="CAQ7" s="392"/>
      <c r="CAR7" s="392"/>
      <c r="CAS7" s="392"/>
      <c r="CAT7" s="392"/>
      <c r="CAU7" s="392"/>
      <c r="CAV7" s="392"/>
      <c r="CAW7" s="392"/>
      <c r="CAX7" s="392"/>
      <c r="CAY7" s="392"/>
      <c r="CAZ7" s="392"/>
      <c r="CBA7" s="392"/>
      <c r="CBB7" s="392"/>
      <c r="CBC7" s="392"/>
      <c r="CBD7" s="392"/>
      <c r="CBE7" s="392"/>
      <c r="CBF7" s="392"/>
      <c r="CBG7" s="392"/>
      <c r="CBH7" s="392"/>
      <c r="CBI7" s="392"/>
      <c r="CBJ7" s="392"/>
      <c r="CBK7" s="392"/>
      <c r="CBL7" s="392"/>
      <c r="CBM7" s="392"/>
      <c r="CBN7" s="392"/>
      <c r="CBO7" s="392"/>
      <c r="CBP7" s="392"/>
      <c r="CBQ7" s="392"/>
      <c r="CBR7" s="392"/>
      <c r="CBS7" s="392"/>
      <c r="CBT7" s="392"/>
      <c r="CBU7" s="392"/>
      <c r="CBV7" s="392"/>
      <c r="CBW7" s="392"/>
      <c r="CBX7" s="392"/>
      <c r="CBY7" s="392"/>
      <c r="CBZ7" s="392"/>
      <c r="CCA7" s="392"/>
      <c r="CCB7" s="392"/>
      <c r="CCC7" s="392"/>
      <c r="CCD7" s="392"/>
      <c r="CCE7" s="392"/>
      <c r="CCF7" s="392"/>
      <c r="CCG7" s="392"/>
      <c r="CCH7" s="392"/>
      <c r="CCI7" s="392"/>
      <c r="CCJ7" s="392"/>
      <c r="CCK7" s="392"/>
      <c r="CCL7" s="392"/>
      <c r="CCM7" s="392"/>
      <c r="CCN7" s="392"/>
      <c r="CCO7" s="392"/>
      <c r="CCP7" s="392"/>
      <c r="CCQ7" s="392"/>
      <c r="CCR7" s="392"/>
      <c r="CCS7" s="392"/>
      <c r="CCT7" s="392"/>
      <c r="CCU7" s="392"/>
      <c r="CCV7" s="392"/>
      <c r="CCW7" s="392"/>
      <c r="CCX7" s="392"/>
      <c r="CCY7" s="392"/>
      <c r="CCZ7" s="392"/>
      <c r="CDA7" s="392"/>
      <c r="CDB7" s="392"/>
      <c r="CDC7" s="392"/>
      <c r="CDD7" s="392"/>
      <c r="CDE7" s="392"/>
      <c r="CDF7" s="392"/>
      <c r="CDG7" s="392"/>
      <c r="CDH7" s="392"/>
      <c r="CDI7" s="392"/>
      <c r="CDJ7" s="392"/>
      <c r="CDK7" s="392"/>
      <c r="CDL7" s="392"/>
      <c r="CDM7" s="392"/>
      <c r="CDN7" s="392"/>
      <c r="CDO7" s="392"/>
      <c r="CDP7" s="392"/>
      <c r="CDQ7" s="392"/>
      <c r="CDR7" s="392"/>
      <c r="CDS7" s="392"/>
      <c r="CDT7" s="392"/>
      <c r="CDU7" s="392"/>
      <c r="CDV7" s="392"/>
      <c r="CDW7" s="392"/>
      <c r="CDX7" s="392"/>
      <c r="CDY7" s="392"/>
      <c r="CDZ7" s="392"/>
      <c r="CEA7" s="392"/>
      <c r="CEB7" s="392"/>
      <c r="CEC7" s="392"/>
      <c r="CED7" s="392"/>
      <c r="CEE7" s="392"/>
      <c r="CEF7" s="392"/>
      <c r="CEG7" s="392"/>
      <c r="CEH7" s="392"/>
      <c r="CEI7" s="392"/>
      <c r="CEJ7" s="392"/>
      <c r="CEK7" s="392"/>
      <c r="CEL7" s="392"/>
      <c r="CEM7" s="392"/>
      <c r="CEN7" s="392"/>
      <c r="CEO7" s="392"/>
      <c r="CEP7" s="392"/>
      <c r="CEQ7" s="392"/>
      <c r="CER7" s="392"/>
      <c r="CES7" s="392"/>
      <c r="CET7" s="392"/>
      <c r="CEU7" s="392"/>
      <c r="CEV7" s="392"/>
      <c r="CEW7" s="392"/>
      <c r="CEX7" s="392"/>
      <c r="CEY7" s="392"/>
      <c r="CEZ7" s="392"/>
      <c r="CFA7" s="392"/>
      <c r="CFB7" s="392"/>
      <c r="CFC7" s="392"/>
      <c r="CFD7" s="392"/>
      <c r="CFE7" s="392"/>
      <c r="CFF7" s="392"/>
      <c r="CFG7" s="392"/>
      <c r="CFH7" s="392"/>
      <c r="CFI7" s="392"/>
      <c r="CFJ7" s="392"/>
      <c r="CFK7" s="392"/>
      <c r="CFL7" s="392"/>
      <c r="CFM7" s="392"/>
      <c r="CFN7" s="392"/>
      <c r="CFO7" s="392"/>
      <c r="CFP7" s="392"/>
      <c r="CFQ7" s="392"/>
      <c r="CFR7" s="392"/>
      <c r="CFS7" s="392"/>
      <c r="CFT7" s="392"/>
      <c r="CFU7" s="392"/>
      <c r="CFV7" s="392"/>
      <c r="CFW7" s="392"/>
      <c r="CFX7" s="392"/>
      <c r="CFY7" s="392"/>
      <c r="CFZ7" s="392"/>
      <c r="CGA7" s="392"/>
      <c r="CGB7" s="392"/>
      <c r="CGC7" s="392"/>
      <c r="CGD7" s="392"/>
      <c r="CGE7" s="392"/>
      <c r="CGF7" s="392"/>
      <c r="CGG7" s="392"/>
      <c r="CGH7" s="392"/>
      <c r="CGI7" s="392"/>
      <c r="CGJ7" s="392"/>
      <c r="CGK7" s="392"/>
      <c r="CGL7" s="392"/>
      <c r="CGM7" s="392"/>
      <c r="CGN7" s="392"/>
      <c r="CGO7" s="392"/>
      <c r="CGP7" s="392"/>
      <c r="CGQ7" s="392"/>
      <c r="CGR7" s="392"/>
      <c r="CGS7" s="392"/>
      <c r="CGT7" s="392"/>
      <c r="CGU7" s="392"/>
      <c r="CGV7" s="392"/>
      <c r="CGW7" s="392"/>
      <c r="CGX7" s="392"/>
      <c r="CGY7" s="392"/>
      <c r="CGZ7" s="392"/>
      <c r="CHA7" s="392"/>
      <c r="CHB7" s="392"/>
      <c r="CHC7" s="392"/>
      <c r="CHD7" s="392"/>
      <c r="CHE7" s="392"/>
      <c r="CHF7" s="392"/>
      <c r="CHG7" s="392"/>
      <c r="CHH7" s="392"/>
      <c r="CHI7" s="392"/>
      <c r="CHJ7" s="392"/>
      <c r="CHK7" s="392"/>
      <c r="CHL7" s="392"/>
      <c r="CHM7" s="392"/>
      <c r="CHN7" s="392"/>
      <c r="CHO7" s="392"/>
      <c r="CHP7" s="392"/>
      <c r="CHQ7" s="392"/>
      <c r="CHR7" s="392"/>
      <c r="CHS7" s="392"/>
      <c r="CHT7" s="392"/>
      <c r="CHU7" s="392"/>
      <c r="CHV7" s="392"/>
      <c r="CHW7" s="392"/>
      <c r="CHX7" s="392"/>
      <c r="CHY7" s="392"/>
      <c r="CHZ7" s="392"/>
      <c r="CIA7" s="392"/>
      <c r="CIB7" s="392"/>
      <c r="CIC7" s="392"/>
      <c r="CID7" s="392"/>
      <c r="CIE7" s="392"/>
      <c r="CIF7" s="392"/>
      <c r="CIG7" s="392"/>
      <c r="CIH7" s="392"/>
      <c r="CII7" s="392"/>
      <c r="CIJ7" s="392"/>
      <c r="CIK7" s="392"/>
      <c r="CIL7" s="392"/>
      <c r="CIM7" s="392"/>
      <c r="CIN7" s="392"/>
      <c r="CIO7" s="392"/>
      <c r="CIP7" s="392"/>
      <c r="CIQ7" s="392"/>
      <c r="CIR7" s="392"/>
      <c r="CIS7" s="392"/>
      <c r="CIT7" s="392"/>
      <c r="CIU7" s="392"/>
      <c r="CIV7" s="392"/>
      <c r="CIW7" s="392"/>
      <c r="CIX7" s="392"/>
      <c r="CIY7" s="392"/>
      <c r="CIZ7" s="392"/>
      <c r="CJA7" s="392"/>
      <c r="CJB7" s="392"/>
      <c r="CJC7" s="392"/>
      <c r="CJD7" s="392"/>
      <c r="CJE7" s="392"/>
      <c r="CJF7" s="392"/>
      <c r="CJG7" s="392"/>
      <c r="CJH7" s="392"/>
      <c r="CJI7" s="392"/>
      <c r="CJJ7" s="392"/>
      <c r="CJK7" s="392"/>
      <c r="CJL7" s="392"/>
      <c r="CJM7" s="392"/>
      <c r="CJN7" s="392"/>
      <c r="CJO7" s="392"/>
      <c r="CJP7" s="392"/>
      <c r="CJQ7" s="392"/>
      <c r="CJR7" s="392"/>
      <c r="CJS7" s="392"/>
      <c r="CJT7" s="392"/>
      <c r="CJU7" s="392"/>
      <c r="CJV7" s="392"/>
      <c r="CJW7" s="392"/>
      <c r="CJX7" s="392"/>
      <c r="CJY7" s="392"/>
      <c r="CJZ7" s="392"/>
      <c r="CKA7" s="392"/>
      <c r="CKB7" s="392"/>
      <c r="CKC7" s="392"/>
      <c r="CKD7" s="392"/>
      <c r="CKE7" s="392"/>
      <c r="CKF7" s="392"/>
      <c r="CKG7" s="392"/>
      <c r="CKH7" s="392"/>
      <c r="CKI7" s="392"/>
      <c r="CKJ7" s="392"/>
      <c r="CKK7" s="392"/>
      <c r="CKL7" s="392"/>
      <c r="CKM7" s="392"/>
      <c r="CKN7" s="392"/>
      <c r="CKO7" s="392"/>
      <c r="CKP7" s="392"/>
      <c r="CKQ7" s="392"/>
      <c r="CKR7" s="392"/>
      <c r="CKS7" s="392"/>
      <c r="CKT7" s="392"/>
      <c r="CKU7" s="392"/>
      <c r="CKV7" s="392"/>
      <c r="CKW7" s="392"/>
      <c r="CKX7" s="392"/>
      <c r="CKY7" s="392"/>
      <c r="CKZ7" s="392"/>
      <c r="CLA7" s="392"/>
      <c r="CLB7" s="392"/>
      <c r="CLC7" s="392"/>
      <c r="CLD7" s="392"/>
      <c r="CLE7" s="392"/>
      <c r="CLF7" s="392"/>
      <c r="CLG7" s="392"/>
      <c r="CLH7" s="392"/>
      <c r="CLI7" s="392"/>
      <c r="CLJ7" s="392"/>
      <c r="CLK7" s="392"/>
      <c r="CLL7" s="392"/>
      <c r="CLM7" s="392"/>
      <c r="CLN7" s="392"/>
      <c r="CLO7" s="392"/>
      <c r="CLP7" s="392"/>
      <c r="CLQ7" s="392"/>
      <c r="CLR7" s="392"/>
      <c r="CLS7" s="392"/>
      <c r="CLT7" s="392"/>
      <c r="CLU7" s="392"/>
      <c r="CLV7" s="392"/>
      <c r="CLW7" s="392"/>
      <c r="CLX7" s="392"/>
      <c r="CLY7" s="392"/>
      <c r="CLZ7" s="392"/>
      <c r="CMA7" s="392"/>
      <c r="CMB7" s="392"/>
      <c r="CMC7" s="392"/>
      <c r="CMD7" s="392"/>
      <c r="CME7" s="392"/>
      <c r="CMF7" s="392"/>
      <c r="CMG7" s="392"/>
      <c r="CMH7" s="392"/>
      <c r="CMI7" s="392"/>
      <c r="CMJ7" s="392"/>
      <c r="CMK7" s="392"/>
      <c r="CML7" s="392"/>
      <c r="CMM7" s="392"/>
      <c r="CMN7" s="392"/>
      <c r="CMO7" s="392"/>
      <c r="CMP7" s="392"/>
      <c r="CMQ7" s="392"/>
      <c r="CMR7" s="392"/>
      <c r="CMS7" s="392"/>
      <c r="CMT7" s="392"/>
      <c r="CMU7" s="392"/>
      <c r="CMV7" s="392"/>
      <c r="CMW7" s="392"/>
      <c r="CMX7" s="392"/>
      <c r="CMY7" s="392"/>
      <c r="CMZ7" s="392"/>
      <c r="CNA7" s="392"/>
      <c r="CNB7" s="392"/>
      <c r="CNC7" s="392"/>
      <c r="CND7" s="392"/>
      <c r="CNE7" s="392"/>
      <c r="CNF7" s="392"/>
      <c r="CNG7" s="392"/>
      <c r="CNH7" s="392"/>
      <c r="CNI7" s="392"/>
      <c r="CNJ7" s="392"/>
      <c r="CNK7" s="392"/>
      <c r="CNL7" s="392"/>
      <c r="CNM7" s="392"/>
      <c r="CNN7" s="392"/>
      <c r="CNO7" s="392"/>
      <c r="CNP7" s="392"/>
      <c r="CNQ7" s="392"/>
      <c r="CNR7" s="392"/>
      <c r="CNS7" s="392"/>
      <c r="CNT7" s="392"/>
      <c r="CNU7" s="392"/>
      <c r="CNV7" s="392"/>
      <c r="CNW7" s="392"/>
      <c r="CNX7" s="392"/>
      <c r="CNY7" s="392"/>
      <c r="CNZ7" s="392"/>
      <c r="COA7" s="392"/>
      <c r="COB7" s="392"/>
      <c r="COC7" s="392"/>
      <c r="COD7" s="392"/>
      <c r="COE7" s="392"/>
      <c r="COF7" s="392"/>
      <c r="COG7" s="392"/>
      <c r="COH7" s="392"/>
      <c r="COI7" s="392"/>
      <c r="COJ7" s="392"/>
      <c r="COK7" s="392"/>
      <c r="COL7" s="392"/>
      <c r="COM7" s="392"/>
      <c r="CON7" s="392"/>
      <c r="COO7" s="392"/>
      <c r="COP7" s="392"/>
      <c r="COQ7" s="392"/>
      <c r="COR7" s="392"/>
      <c r="COS7" s="392"/>
      <c r="COT7" s="392"/>
      <c r="COU7" s="392"/>
      <c r="COV7" s="392"/>
      <c r="COW7" s="392"/>
      <c r="COX7" s="392"/>
      <c r="COY7" s="392"/>
      <c r="COZ7" s="392"/>
      <c r="CPA7" s="392"/>
      <c r="CPB7" s="392"/>
      <c r="CPC7" s="392"/>
      <c r="CPD7" s="392"/>
      <c r="CPE7" s="392"/>
      <c r="CPF7" s="392"/>
      <c r="CPG7" s="392"/>
      <c r="CPH7" s="392"/>
      <c r="CPI7" s="392"/>
      <c r="CPJ7" s="392"/>
      <c r="CPK7" s="392"/>
      <c r="CPL7" s="392"/>
      <c r="CPM7" s="392"/>
      <c r="CPN7" s="392"/>
      <c r="CPO7" s="392"/>
      <c r="CPP7" s="392"/>
      <c r="CPQ7" s="392"/>
      <c r="CPR7" s="392"/>
      <c r="CPS7" s="392"/>
      <c r="CPT7" s="392"/>
      <c r="CPU7" s="392"/>
      <c r="CPV7" s="392"/>
      <c r="CPW7" s="392"/>
      <c r="CPX7" s="392"/>
      <c r="CPY7" s="392"/>
      <c r="CPZ7" s="392"/>
      <c r="CQA7" s="392"/>
      <c r="CQB7" s="392"/>
      <c r="CQC7" s="392"/>
      <c r="CQD7" s="392"/>
      <c r="CQE7" s="392"/>
      <c r="CQF7" s="392"/>
      <c r="CQG7" s="392"/>
      <c r="CQH7" s="392"/>
      <c r="CQI7" s="392"/>
      <c r="CQJ7" s="392"/>
      <c r="CQK7" s="392"/>
      <c r="CQL7" s="392"/>
      <c r="CQM7" s="392"/>
      <c r="CQN7" s="392"/>
      <c r="CQO7" s="392"/>
      <c r="CQP7" s="392"/>
      <c r="CQQ7" s="392"/>
      <c r="CQR7" s="392"/>
      <c r="CQS7" s="392"/>
      <c r="CQT7" s="392"/>
      <c r="CQU7" s="392"/>
      <c r="CQV7" s="392"/>
      <c r="CQW7" s="392"/>
      <c r="CQX7" s="392"/>
      <c r="CQY7" s="392"/>
      <c r="CQZ7" s="392"/>
      <c r="CRA7" s="392"/>
      <c r="CRB7" s="392"/>
      <c r="CRC7" s="392"/>
      <c r="CRD7" s="392"/>
      <c r="CRE7" s="392"/>
      <c r="CRF7" s="392"/>
      <c r="CRG7" s="392"/>
      <c r="CRH7" s="392"/>
      <c r="CRI7" s="392"/>
      <c r="CRJ7" s="392"/>
      <c r="CRK7" s="392"/>
      <c r="CRL7" s="392"/>
      <c r="CRM7" s="392"/>
      <c r="CRN7" s="392"/>
      <c r="CRO7" s="392"/>
      <c r="CRP7" s="392"/>
      <c r="CRQ7" s="392"/>
      <c r="CRR7" s="392"/>
      <c r="CRS7" s="392"/>
      <c r="CRT7" s="392"/>
      <c r="CRU7" s="392"/>
      <c r="CRV7" s="392"/>
      <c r="CRW7" s="392"/>
      <c r="CRX7" s="392"/>
      <c r="CRY7" s="392"/>
      <c r="CRZ7" s="392"/>
      <c r="CSA7" s="392"/>
      <c r="CSB7" s="392"/>
      <c r="CSC7" s="392"/>
      <c r="CSD7" s="392"/>
      <c r="CSE7" s="392"/>
      <c r="CSF7" s="392"/>
      <c r="CSG7" s="392"/>
      <c r="CSH7" s="392"/>
      <c r="CSI7" s="392"/>
      <c r="CSJ7" s="392"/>
      <c r="CSK7" s="392"/>
      <c r="CSL7" s="392"/>
      <c r="CSM7" s="392"/>
      <c r="CSN7" s="392"/>
      <c r="CSO7" s="392"/>
      <c r="CSP7" s="392"/>
      <c r="CSQ7" s="392"/>
      <c r="CSR7" s="392"/>
      <c r="CSS7" s="392"/>
      <c r="CST7" s="392"/>
      <c r="CSU7" s="392"/>
      <c r="CSV7" s="392"/>
      <c r="CSW7" s="392"/>
      <c r="CSX7" s="392"/>
      <c r="CSY7" s="392"/>
      <c r="CSZ7" s="392"/>
      <c r="CTA7" s="392"/>
      <c r="CTB7" s="392"/>
      <c r="CTC7" s="392"/>
      <c r="CTD7" s="392"/>
      <c r="CTE7" s="392"/>
      <c r="CTF7" s="392"/>
      <c r="CTG7" s="392"/>
      <c r="CTH7" s="392"/>
      <c r="CTI7" s="392"/>
      <c r="CTJ7" s="392"/>
      <c r="CTK7" s="392"/>
      <c r="CTL7" s="392"/>
      <c r="CTM7" s="392"/>
      <c r="CTN7" s="392"/>
      <c r="CTO7" s="392"/>
      <c r="CTP7" s="392"/>
      <c r="CTQ7" s="392"/>
      <c r="CTR7" s="392"/>
      <c r="CTS7" s="392"/>
      <c r="CTT7" s="392"/>
      <c r="CTU7" s="392"/>
      <c r="CTV7" s="392"/>
      <c r="CTW7" s="392"/>
      <c r="CTX7" s="392"/>
      <c r="CTY7" s="392"/>
      <c r="CTZ7" s="392"/>
      <c r="CUA7" s="392"/>
      <c r="CUB7" s="392"/>
      <c r="CUC7" s="392"/>
      <c r="CUD7" s="392"/>
      <c r="CUE7" s="392"/>
      <c r="CUF7" s="392"/>
      <c r="CUG7" s="392"/>
      <c r="CUH7" s="392"/>
      <c r="CUI7" s="392"/>
      <c r="CUJ7" s="392"/>
      <c r="CUK7" s="392"/>
      <c r="CUL7" s="392"/>
      <c r="CUM7" s="392"/>
      <c r="CUN7" s="392"/>
      <c r="CUO7" s="392"/>
      <c r="CUP7" s="392"/>
      <c r="CUQ7" s="392"/>
      <c r="CUR7" s="392"/>
      <c r="CUS7" s="392"/>
      <c r="CUT7" s="392"/>
      <c r="CUU7" s="392"/>
      <c r="CUV7" s="392"/>
      <c r="CUW7" s="392"/>
      <c r="CUX7" s="392"/>
      <c r="CUY7" s="392"/>
      <c r="CUZ7" s="392"/>
      <c r="CVA7" s="392"/>
      <c r="CVB7" s="392"/>
      <c r="CVC7" s="392"/>
      <c r="CVD7" s="392"/>
      <c r="CVE7" s="392"/>
      <c r="CVF7" s="392"/>
      <c r="CVG7" s="392"/>
      <c r="CVH7" s="392"/>
      <c r="CVI7" s="392"/>
      <c r="CVJ7" s="392"/>
      <c r="CVK7" s="392"/>
      <c r="CVL7" s="392"/>
      <c r="CVM7" s="392"/>
      <c r="CVN7" s="392"/>
      <c r="CVO7" s="392"/>
      <c r="CVP7" s="392"/>
      <c r="CVQ7" s="392"/>
      <c r="CVR7" s="392"/>
      <c r="CVS7" s="392"/>
      <c r="CVT7" s="392"/>
      <c r="CVU7" s="392"/>
      <c r="CVV7" s="392"/>
      <c r="CVW7" s="392"/>
      <c r="CVX7" s="392"/>
      <c r="CVY7" s="392"/>
      <c r="CVZ7" s="392"/>
      <c r="CWA7" s="392"/>
      <c r="CWB7" s="392"/>
      <c r="CWC7" s="392"/>
      <c r="CWD7" s="392"/>
      <c r="CWE7" s="392"/>
      <c r="CWF7" s="392"/>
      <c r="CWG7" s="392"/>
      <c r="CWH7" s="392"/>
      <c r="CWI7" s="392"/>
      <c r="CWJ7" s="392"/>
      <c r="CWK7" s="392"/>
      <c r="CWL7" s="392"/>
      <c r="CWM7" s="392"/>
      <c r="CWN7" s="392"/>
      <c r="CWO7" s="392"/>
      <c r="CWP7" s="392"/>
      <c r="CWQ7" s="392"/>
      <c r="CWR7" s="392"/>
      <c r="CWS7" s="392"/>
      <c r="CWT7" s="392"/>
      <c r="CWU7" s="392"/>
      <c r="CWV7" s="392"/>
      <c r="CWW7" s="392"/>
      <c r="CWX7" s="392"/>
      <c r="CWY7" s="392"/>
      <c r="CWZ7" s="392"/>
      <c r="CXA7" s="392"/>
      <c r="CXB7" s="392"/>
      <c r="CXC7" s="392"/>
      <c r="CXD7" s="392"/>
      <c r="CXE7" s="392"/>
      <c r="CXF7" s="392"/>
      <c r="CXG7" s="392"/>
      <c r="CXH7" s="392"/>
      <c r="CXI7" s="392"/>
      <c r="CXJ7" s="392"/>
      <c r="CXK7" s="392"/>
      <c r="CXL7" s="392"/>
      <c r="CXM7" s="392"/>
      <c r="CXN7" s="392"/>
      <c r="CXO7" s="392"/>
      <c r="CXP7" s="392"/>
      <c r="CXQ7" s="392"/>
      <c r="CXR7" s="392"/>
      <c r="CXS7" s="392"/>
      <c r="CXT7" s="392"/>
      <c r="CXU7" s="392"/>
      <c r="CXV7" s="392"/>
      <c r="CXW7" s="392"/>
      <c r="CXX7" s="392"/>
      <c r="CXY7" s="392"/>
      <c r="CXZ7" s="392"/>
      <c r="CYA7" s="392"/>
      <c r="CYB7" s="392"/>
      <c r="CYC7" s="392"/>
      <c r="CYD7" s="392"/>
      <c r="CYE7" s="392"/>
      <c r="CYF7" s="392"/>
      <c r="CYG7" s="392"/>
      <c r="CYH7" s="392"/>
      <c r="CYI7" s="392"/>
      <c r="CYJ7" s="392"/>
      <c r="CYK7" s="392"/>
      <c r="CYL7" s="392"/>
      <c r="CYM7" s="392"/>
      <c r="CYN7" s="392"/>
      <c r="CYO7" s="392"/>
      <c r="CYP7" s="392"/>
      <c r="CYQ7" s="392"/>
      <c r="CYR7" s="392"/>
      <c r="CYS7" s="392"/>
      <c r="CYT7" s="392"/>
      <c r="CYU7" s="392"/>
      <c r="CYV7" s="392"/>
      <c r="CYW7" s="392"/>
      <c r="CYX7" s="392"/>
      <c r="CYY7" s="392"/>
      <c r="CYZ7" s="392"/>
      <c r="CZA7" s="392"/>
      <c r="CZB7" s="392"/>
      <c r="CZC7" s="392"/>
      <c r="CZD7" s="392"/>
      <c r="CZE7" s="392"/>
      <c r="CZF7" s="392"/>
      <c r="CZG7" s="392"/>
      <c r="CZH7" s="392"/>
      <c r="CZI7" s="392"/>
      <c r="CZJ7" s="392"/>
      <c r="CZK7" s="392"/>
      <c r="CZL7" s="392"/>
      <c r="CZM7" s="392"/>
      <c r="CZN7" s="392"/>
      <c r="CZO7" s="392"/>
      <c r="CZP7" s="392"/>
      <c r="CZQ7" s="392"/>
      <c r="CZR7" s="392"/>
      <c r="CZS7" s="392"/>
      <c r="CZT7" s="392"/>
      <c r="CZU7" s="392"/>
      <c r="CZV7" s="392"/>
      <c r="CZW7" s="392"/>
      <c r="CZX7" s="392"/>
      <c r="CZY7" s="392"/>
      <c r="CZZ7" s="392"/>
      <c r="DAA7" s="392"/>
      <c r="DAB7" s="392"/>
      <c r="DAC7" s="392"/>
      <c r="DAD7" s="392"/>
      <c r="DAE7" s="392"/>
      <c r="DAF7" s="392"/>
      <c r="DAG7" s="392"/>
      <c r="DAH7" s="392"/>
      <c r="DAI7" s="392"/>
      <c r="DAJ7" s="392"/>
      <c r="DAK7" s="392"/>
      <c r="DAL7" s="392"/>
      <c r="DAM7" s="392"/>
      <c r="DAN7" s="392"/>
      <c r="DAO7" s="392"/>
      <c r="DAP7" s="392"/>
      <c r="DAQ7" s="392"/>
      <c r="DAR7" s="392"/>
      <c r="DAS7" s="392"/>
      <c r="DAT7" s="392"/>
      <c r="DAU7" s="392"/>
      <c r="DAV7" s="392"/>
      <c r="DAW7" s="392"/>
      <c r="DAX7" s="392"/>
      <c r="DAY7" s="392"/>
      <c r="DAZ7" s="392"/>
      <c r="DBA7" s="392"/>
      <c r="DBB7" s="392"/>
      <c r="DBC7" s="392"/>
      <c r="DBD7" s="392"/>
      <c r="DBE7" s="392"/>
      <c r="DBF7" s="392"/>
      <c r="DBG7" s="392"/>
      <c r="DBH7" s="392"/>
      <c r="DBI7" s="392"/>
      <c r="DBJ7" s="392"/>
      <c r="DBK7" s="392"/>
      <c r="DBL7" s="392"/>
      <c r="DBM7" s="392"/>
      <c r="DBN7" s="392"/>
      <c r="DBO7" s="392"/>
      <c r="DBP7" s="392"/>
      <c r="DBQ7" s="392"/>
      <c r="DBR7" s="392"/>
      <c r="DBS7" s="392"/>
      <c r="DBT7" s="392"/>
      <c r="DBU7" s="392"/>
      <c r="DBV7" s="392"/>
      <c r="DBW7" s="392"/>
      <c r="DBX7" s="392"/>
      <c r="DBY7" s="392"/>
      <c r="DBZ7" s="392"/>
      <c r="DCA7" s="392"/>
      <c r="DCB7" s="392"/>
      <c r="DCC7" s="392"/>
      <c r="DCD7" s="392"/>
      <c r="DCE7" s="392"/>
      <c r="DCF7" s="392"/>
      <c r="DCG7" s="392"/>
      <c r="DCH7" s="392"/>
      <c r="DCI7" s="392"/>
      <c r="DCJ7" s="392"/>
      <c r="DCK7" s="392"/>
      <c r="DCL7" s="392"/>
      <c r="DCM7" s="392"/>
      <c r="DCN7" s="392"/>
      <c r="DCO7" s="392"/>
      <c r="DCP7" s="392"/>
      <c r="DCQ7" s="392"/>
      <c r="DCR7" s="392"/>
      <c r="DCS7" s="392"/>
      <c r="DCT7" s="392"/>
      <c r="DCU7" s="392"/>
      <c r="DCV7" s="392"/>
      <c r="DCW7" s="392"/>
      <c r="DCX7" s="392"/>
      <c r="DCY7" s="392"/>
      <c r="DCZ7" s="392"/>
      <c r="DDA7" s="392"/>
      <c r="DDB7" s="392"/>
      <c r="DDC7" s="392"/>
      <c r="DDD7" s="392"/>
      <c r="DDE7" s="392"/>
      <c r="DDF7" s="392"/>
      <c r="DDG7" s="392"/>
      <c r="DDH7" s="392"/>
      <c r="DDI7" s="392"/>
      <c r="DDJ7" s="392"/>
      <c r="DDK7" s="392"/>
      <c r="DDL7" s="392"/>
      <c r="DDM7" s="392"/>
      <c r="DDN7" s="392"/>
      <c r="DDO7" s="392"/>
      <c r="DDP7" s="392"/>
      <c r="DDQ7" s="392"/>
      <c r="DDR7" s="392"/>
      <c r="DDS7" s="392"/>
      <c r="DDT7" s="392"/>
      <c r="DDU7" s="392"/>
      <c r="DDV7" s="392"/>
      <c r="DDW7" s="392"/>
      <c r="DDX7" s="392"/>
      <c r="DDY7" s="392"/>
      <c r="DDZ7" s="392"/>
      <c r="DEA7" s="392"/>
      <c r="DEB7" s="392"/>
      <c r="DEC7" s="392"/>
      <c r="DED7" s="392"/>
      <c r="DEE7" s="392"/>
      <c r="DEF7" s="392"/>
      <c r="DEG7" s="392"/>
      <c r="DEH7" s="392"/>
      <c r="DEI7" s="392"/>
      <c r="DEJ7" s="392"/>
      <c r="DEK7" s="392"/>
      <c r="DEL7" s="392"/>
      <c r="DEM7" s="392"/>
      <c r="DEN7" s="392"/>
      <c r="DEO7" s="392"/>
      <c r="DEP7" s="392"/>
      <c r="DEQ7" s="392"/>
      <c r="DER7" s="392"/>
      <c r="DES7" s="392"/>
      <c r="DET7" s="392"/>
      <c r="DEU7" s="392"/>
      <c r="DEV7" s="392"/>
      <c r="DEW7" s="392"/>
      <c r="DEX7" s="392"/>
      <c r="DEY7" s="392"/>
      <c r="DEZ7" s="392"/>
      <c r="DFA7" s="392"/>
      <c r="DFB7" s="392"/>
      <c r="DFC7" s="392"/>
      <c r="DFD7" s="392"/>
      <c r="DFE7" s="392"/>
      <c r="DFF7" s="392"/>
      <c r="DFG7" s="392"/>
      <c r="DFH7" s="392"/>
      <c r="DFI7" s="392"/>
      <c r="DFJ7" s="392"/>
      <c r="DFK7" s="392"/>
      <c r="DFL7" s="392"/>
      <c r="DFM7" s="392"/>
      <c r="DFN7" s="392"/>
      <c r="DFO7" s="392"/>
      <c r="DFP7" s="392"/>
      <c r="DFQ7" s="392"/>
      <c r="DFR7" s="392"/>
      <c r="DFS7" s="392"/>
      <c r="DFT7" s="392"/>
      <c r="DFU7" s="392"/>
      <c r="DFV7" s="392"/>
      <c r="DFW7" s="392"/>
      <c r="DFX7" s="392"/>
      <c r="DFY7" s="392"/>
      <c r="DFZ7" s="392"/>
      <c r="DGA7" s="392"/>
      <c r="DGB7" s="392"/>
      <c r="DGC7" s="392"/>
      <c r="DGD7" s="392"/>
      <c r="DGE7" s="392"/>
      <c r="DGF7" s="392"/>
      <c r="DGG7" s="392"/>
      <c r="DGH7" s="392"/>
      <c r="DGI7" s="392"/>
      <c r="DGJ7" s="392"/>
      <c r="DGK7" s="392"/>
      <c r="DGL7" s="392"/>
      <c r="DGM7" s="392"/>
      <c r="DGN7" s="392"/>
      <c r="DGO7" s="392"/>
      <c r="DGP7" s="392"/>
      <c r="DGQ7" s="392"/>
      <c r="DGR7" s="392"/>
      <c r="DGS7" s="392"/>
      <c r="DGT7" s="392"/>
      <c r="DGU7" s="392"/>
      <c r="DGV7" s="392"/>
      <c r="DGW7" s="392"/>
      <c r="DGX7" s="392"/>
      <c r="DGY7" s="392"/>
      <c r="DGZ7" s="392"/>
      <c r="DHA7" s="392"/>
      <c r="DHB7" s="392"/>
      <c r="DHC7" s="392"/>
      <c r="DHD7" s="392"/>
      <c r="DHE7" s="392"/>
      <c r="DHF7" s="392"/>
      <c r="DHG7" s="392"/>
      <c r="DHH7" s="392"/>
      <c r="DHI7" s="392"/>
      <c r="DHJ7" s="392"/>
      <c r="DHK7" s="392"/>
      <c r="DHL7" s="392"/>
      <c r="DHM7" s="392"/>
      <c r="DHN7" s="392"/>
      <c r="DHO7" s="392"/>
      <c r="DHP7" s="392"/>
      <c r="DHQ7" s="392"/>
      <c r="DHR7" s="392"/>
      <c r="DHS7" s="392"/>
      <c r="DHT7" s="392"/>
      <c r="DHU7" s="392"/>
      <c r="DHV7" s="392"/>
      <c r="DHW7" s="392"/>
      <c r="DHX7" s="392"/>
      <c r="DHY7" s="392"/>
      <c r="DHZ7" s="392"/>
      <c r="DIA7" s="392"/>
      <c r="DIB7" s="392"/>
      <c r="DIC7" s="392"/>
      <c r="DID7" s="392"/>
      <c r="DIE7" s="392"/>
      <c r="DIF7" s="392"/>
      <c r="DIG7" s="392"/>
      <c r="DIH7" s="392"/>
      <c r="DII7" s="392"/>
      <c r="DIJ7" s="392"/>
      <c r="DIK7" s="392"/>
      <c r="DIL7" s="392"/>
      <c r="DIM7" s="392"/>
      <c r="DIN7" s="392"/>
      <c r="DIO7" s="392"/>
      <c r="DIP7" s="392"/>
      <c r="DIQ7" s="392"/>
      <c r="DIR7" s="392"/>
      <c r="DIS7" s="392"/>
      <c r="DIT7" s="392"/>
      <c r="DIU7" s="392"/>
      <c r="DIV7" s="392"/>
      <c r="DIW7" s="392"/>
      <c r="DIX7" s="392"/>
      <c r="DIY7" s="392"/>
      <c r="DIZ7" s="392"/>
      <c r="DJA7" s="392"/>
      <c r="DJB7" s="392"/>
      <c r="DJC7" s="392"/>
      <c r="DJD7" s="392"/>
      <c r="DJE7" s="392"/>
      <c r="DJF7" s="392"/>
      <c r="DJG7" s="392"/>
      <c r="DJH7" s="392"/>
      <c r="DJI7" s="392"/>
      <c r="DJJ7" s="392"/>
      <c r="DJK7" s="392"/>
      <c r="DJL7" s="392"/>
      <c r="DJM7" s="392"/>
      <c r="DJN7" s="392"/>
      <c r="DJO7" s="392"/>
      <c r="DJP7" s="392"/>
      <c r="DJQ7" s="392"/>
      <c r="DJR7" s="392"/>
      <c r="DJS7" s="392"/>
      <c r="DJT7" s="392"/>
      <c r="DJU7" s="392"/>
      <c r="DJV7" s="392"/>
      <c r="DJW7" s="392"/>
      <c r="DJX7" s="392"/>
      <c r="DJY7" s="392"/>
      <c r="DJZ7" s="392"/>
      <c r="DKA7" s="392"/>
      <c r="DKB7" s="392"/>
      <c r="DKC7" s="392"/>
      <c r="DKD7" s="392"/>
      <c r="DKE7" s="392"/>
      <c r="DKF7" s="392"/>
      <c r="DKG7" s="392"/>
      <c r="DKH7" s="392"/>
      <c r="DKI7" s="392"/>
      <c r="DKJ7" s="392"/>
      <c r="DKK7" s="392"/>
      <c r="DKL7" s="392"/>
      <c r="DKM7" s="392"/>
      <c r="DKN7" s="392"/>
      <c r="DKO7" s="392"/>
      <c r="DKP7" s="392"/>
      <c r="DKQ7" s="392"/>
      <c r="DKR7" s="392"/>
      <c r="DKS7" s="392"/>
      <c r="DKT7" s="392"/>
      <c r="DKU7" s="392"/>
      <c r="DKV7" s="392"/>
      <c r="DKW7" s="392"/>
      <c r="DKX7" s="392"/>
      <c r="DKY7" s="392"/>
      <c r="DKZ7" s="392"/>
      <c r="DLA7" s="392"/>
      <c r="DLB7" s="392"/>
      <c r="DLC7" s="392"/>
      <c r="DLD7" s="392"/>
      <c r="DLE7" s="392"/>
      <c r="DLF7" s="392"/>
      <c r="DLG7" s="392"/>
      <c r="DLH7" s="392"/>
      <c r="DLI7" s="392"/>
      <c r="DLJ7" s="392"/>
      <c r="DLK7" s="392"/>
      <c r="DLL7" s="392"/>
      <c r="DLM7" s="392"/>
      <c r="DLN7" s="392"/>
      <c r="DLO7" s="392"/>
      <c r="DLP7" s="392"/>
      <c r="DLQ7" s="392"/>
      <c r="DLR7" s="392"/>
      <c r="DLS7" s="392"/>
      <c r="DLT7" s="392"/>
      <c r="DLU7" s="392"/>
      <c r="DLV7" s="392"/>
      <c r="DLW7" s="392"/>
      <c r="DLX7" s="392"/>
      <c r="DLY7" s="392"/>
      <c r="DLZ7" s="392"/>
      <c r="DMA7" s="392"/>
      <c r="DMB7" s="392"/>
      <c r="DMC7" s="392"/>
      <c r="DMD7" s="392"/>
      <c r="DME7" s="392"/>
      <c r="DMF7" s="392"/>
      <c r="DMG7" s="392"/>
      <c r="DMH7" s="392"/>
      <c r="DMI7" s="392"/>
      <c r="DMJ7" s="392"/>
      <c r="DMK7" s="392"/>
      <c r="DML7" s="392"/>
      <c r="DMM7" s="392"/>
      <c r="DMN7" s="392"/>
      <c r="DMO7" s="392"/>
      <c r="DMP7" s="392"/>
      <c r="DMQ7" s="392"/>
      <c r="DMR7" s="392"/>
      <c r="DMS7" s="392"/>
      <c r="DMT7" s="392"/>
      <c r="DMU7" s="392"/>
      <c r="DMV7" s="392"/>
      <c r="DMW7" s="392"/>
      <c r="DMX7" s="392"/>
      <c r="DMY7" s="392"/>
      <c r="DMZ7" s="392"/>
      <c r="DNA7" s="392"/>
      <c r="DNB7" s="392"/>
      <c r="DNC7" s="392"/>
      <c r="DND7" s="392"/>
      <c r="DNE7" s="392"/>
      <c r="DNF7" s="392"/>
      <c r="DNG7" s="392"/>
      <c r="DNH7" s="392"/>
      <c r="DNI7" s="392"/>
      <c r="DNJ7" s="392"/>
      <c r="DNK7" s="392"/>
      <c r="DNL7" s="392"/>
      <c r="DNM7" s="392"/>
      <c r="DNN7" s="392"/>
      <c r="DNO7" s="392"/>
      <c r="DNP7" s="392"/>
      <c r="DNQ7" s="392"/>
      <c r="DNR7" s="392"/>
      <c r="DNS7" s="392"/>
      <c r="DNT7" s="392"/>
      <c r="DNU7" s="392"/>
      <c r="DNV7" s="392"/>
      <c r="DNW7" s="392"/>
      <c r="DNX7" s="392"/>
      <c r="DNY7" s="392"/>
      <c r="DNZ7" s="392"/>
      <c r="DOA7" s="392"/>
      <c r="DOB7" s="392"/>
      <c r="DOC7" s="392"/>
      <c r="DOD7" s="392"/>
      <c r="DOE7" s="392"/>
      <c r="DOF7" s="392"/>
      <c r="DOG7" s="392"/>
      <c r="DOH7" s="392"/>
      <c r="DOI7" s="392"/>
      <c r="DOJ7" s="392"/>
      <c r="DOK7" s="392"/>
      <c r="DOL7" s="392"/>
      <c r="DOM7" s="392"/>
      <c r="DON7" s="392"/>
      <c r="DOO7" s="392"/>
      <c r="DOP7" s="392"/>
      <c r="DOQ7" s="392"/>
      <c r="DOR7" s="392"/>
      <c r="DOS7" s="392"/>
      <c r="DOT7" s="392"/>
      <c r="DOU7" s="392"/>
      <c r="DOV7" s="392"/>
      <c r="DOW7" s="392"/>
      <c r="DOX7" s="392"/>
      <c r="DOY7" s="392"/>
      <c r="DOZ7" s="392"/>
      <c r="DPA7" s="392"/>
      <c r="DPB7" s="392"/>
      <c r="DPC7" s="392"/>
      <c r="DPD7" s="392"/>
      <c r="DPE7" s="392"/>
      <c r="DPF7" s="392"/>
      <c r="DPG7" s="392"/>
      <c r="DPH7" s="392"/>
      <c r="DPI7" s="392"/>
      <c r="DPJ7" s="392"/>
      <c r="DPK7" s="392"/>
      <c r="DPL7" s="392"/>
      <c r="DPM7" s="392"/>
      <c r="DPN7" s="392"/>
      <c r="DPO7" s="392"/>
      <c r="DPP7" s="392"/>
      <c r="DPQ7" s="392"/>
      <c r="DPR7" s="392"/>
      <c r="DPS7" s="392"/>
      <c r="DPT7" s="392"/>
      <c r="DPU7" s="392"/>
      <c r="DPV7" s="392"/>
      <c r="DPW7" s="392"/>
      <c r="DPX7" s="392"/>
      <c r="DPY7" s="392"/>
      <c r="DPZ7" s="392"/>
      <c r="DQA7" s="392"/>
      <c r="DQB7" s="392"/>
      <c r="DQC7" s="392"/>
      <c r="DQD7" s="392"/>
      <c r="DQE7" s="392"/>
      <c r="DQF7" s="392"/>
      <c r="DQG7" s="392"/>
      <c r="DQH7" s="392"/>
      <c r="DQI7" s="392"/>
      <c r="DQJ7" s="392"/>
      <c r="DQK7" s="392"/>
      <c r="DQL7" s="392"/>
      <c r="DQM7" s="392"/>
      <c r="DQN7" s="392"/>
      <c r="DQO7" s="392"/>
      <c r="DQP7" s="392"/>
      <c r="DQQ7" s="392"/>
      <c r="DQR7" s="392"/>
      <c r="DQS7" s="392"/>
      <c r="DQT7" s="392"/>
      <c r="DQU7" s="392"/>
      <c r="DQV7" s="392"/>
      <c r="DQW7" s="392"/>
      <c r="DQX7" s="392"/>
      <c r="DQY7" s="392"/>
      <c r="DQZ7" s="392"/>
      <c r="DRA7" s="392"/>
      <c r="DRB7" s="392"/>
      <c r="DRC7" s="392"/>
      <c r="DRD7" s="392"/>
      <c r="DRE7" s="392"/>
      <c r="DRF7" s="392"/>
      <c r="DRG7" s="392"/>
      <c r="DRH7" s="392"/>
      <c r="DRI7" s="392"/>
      <c r="DRJ7" s="392"/>
      <c r="DRK7" s="392"/>
      <c r="DRL7" s="392"/>
      <c r="DRM7" s="392"/>
      <c r="DRN7" s="392"/>
      <c r="DRO7" s="392"/>
      <c r="DRP7" s="392"/>
      <c r="DRQ7" s="392"/>
      <c r="DRR7" s="392"/>
      <c r="DRS7" s="392"/>
      <c r="DRT7" s="392"/>
      <c r="DRU7" s="392"/>
      <c r="DRV7" s="392"/>
      <c r="DRW7" s="392"/>
      <c r="DRX7" s="392"/>
      <c r="DRY7" s="392"/>
      <c r="DRZ7" s="392"/>
      <c r="DSA7" s="392"/>
      <c r="DSB7" s="392"/>
      <c r="DSC7" s="392"/>
      <c r="DSD7" s="392"/>
      <c r="DSE7" s="392"/>
      <c r="DSF7" s="392"/>
      <c r="DSG7" s="392"/>
      <c r="DSH7" s="392"/>
      <c r="DSI7" s="392"/>
      <c r="DSJ7" s="392"/>
      <c r="DSK7" s="392"/>
      <c r="DSL7" s="392"/>
      <c r="DSM7" s="392"/>
      <c r="DSN7" s="392"/>
      <c r="DSO7" s="392"/>
      <c r="DSP7" s="392"/>
      <c r="DSQ7" s="392"/>
      <c r="DSR7" s="392"/>
      <c r="DSS7" s="392"/>
      <c r="DST7" s="392"/>
      <c r="DSU7" s="392"/>
      <c r="DSV7" s="392"/>
      <c r="DSW7" s="392"/>
      <c r="DSX7" s="392"/>
      <c r="DSY7" s="392"/>
      <c r="DSZ7" s="392"/>
      <c r="DTA7" s="392"/>
      <c r="DTB7" s="392"/>
      <c r="DTC7" s="392"/>
      <c r="DTD7" s="392"/>
      <c r="DTE7" s="392"/>
      <c r="DTF7" s="392"/>
      <c r="DTG7" s="392"/>
      <c r="DTH7" s="392"/>
      <c r="DTI7" s="392"/>
      <c r="DTJ7" s="392"/>
      <c r="DTK7" s="392"/>
      <c r="DTL7" s="392"/>
      <c r="DTM7" s="392"/>
      <c r="DTN7" s="392"/>
      <c r="DTO7" s="392"/>
      <c r="DTP7" s="392"/>
      <c r="DTQ7" s="392"/>
      <c r="DTR7" s="392"/>
      <c r="DTS7" s="392"/>
      <c r="DTT7" s="392"/>
      <c r="DTU7" s="392"/>
      <c r="DTV7" s="392"/>
      <c r="DTW7" s="392"/>
      <c r="DTX7" s="392"/>
      <c r="DTY7" s="392"/>
      <c r="DTZ7" s="392"/>
      <c r="DUA7" s="392"/>
      <c r="DUB7" s="392"/>
      <c r="DUC7" s="392"/>
      <c r="DUD7" s="392"/>
      <c r="DUE7" s="392"/>
      <c r="DUF7" s="392"/>
      <c r="DUG7" s="392"/>
      <c r="DUH7" s="392"/>
      <c r="DUI7" s="392"/>
      <c r="DUJ7" s="392"/>
      <c r="DUK7" s="392"/>
      <c r="DUL7" s="392"/>
      <c r="DUM7" s="392"/>
      <c r="DUN7" s="392"/>
      <c r="DUO7" s="392"/>
      <c r="DUP7" s="392"/>
      <c r="DUQ7" s="392"/>
      <c r="DUR7" s="392"/>
      <c r="DUS7" s="392"/>
      <c r="DUT7" s="392"/>
      <c r="DUU7" s="392"/>
      <c r="DUV7" s="392"/>
      <c r="DUW7" s="392"/>
      <c r="DUX7" s="392"/>
      <c r="DUY7" s="392"/>
      <c r="DUZ7" s="392"/>
      <c r="DVA7" s="392"/>
      <c r="DVB7" s="392"/>
      <c r="DVC7" s="392"/>
      <c r="DVD7" s="392"/>
      <c r="DVE7" s="392"/>
      <c r="DVF7" s="392"/>
      <c r="DVG7" s="392"/>
      <c r="DVH7" s="392"/>
      <c r="DVI7" s="392"/>
      <c r="DVJ7" s="392"/>
      <c r="DVK7" s="392"/>
      <c r="DVL7" s="392"/>
      <c r="DVM7" s="392"/>
      <c r="DVN7" s="392"/>
      <c r="DVO7" s="392"/>
      <c r="DVP7" s="392"/>
      <c r="DVQ7" s="392"/>
      <c r="DVR7" s="392"/>
      <c r="DVS7" s="392"/>
      <c r="DVT7" s="392"/>
      <c r="DVU7" s="392"/>
      <c r="DVV7" s="392"/>
      <c r="DVW7" s="392"/>
      <c r="DVX7" s="392"/>
      <c r="DVY7" s="392"/>
      <c r="DVZ7" s="392"/>
      <c r="DWA7" s="392"/>
      <c r="DWB7" s="392"/>
      <c r="DWC7" s="392"/>
      <c r="DWD7" s="392"/>
      <c r="DWE7" s="392"/>
      <c r="DWF7" s="392"/>
      <c r="DWG7" s="392"/>
      <c r="DWH7" s="392"/>
      <c r="DWI7" s="392"/>
      <c r="DWJ7" s="392"/>
      <c r="DWK7" s="392"/>
      <c r="DWL7" s="392"/>
      <c r="DWM7" s="392"/>
      <c r="DWN7" s="392"/>
      <c r="DWO7" s="392"/>
      <c r="DWP7" s="392"/>
      <c r="DWQ7" s="392"/>
      <c r="DWR7" s="392"/>
      <c r="DWS7" s="392"/>
      <c r="DWT7" s="392"/>
      <c r="DWU7" s="392"/>
      <c r="DWV7" s="392"/>
      <c r="DWW7" s="392"/>
      <c r="DWX7" s="392"/>
      <c r="DWY7" s="392"/>
      <c r="DWZ7" s="392"/>
      <c r="DXA7" s="392"/>
      <c r="DXB7" s="392"/>
      <c r="DXC7" s="392"/>
      <c r="DXD7" s="392"/>
      <c r="DXE7" s="392"/>
      <c r="DXF7" s="392"/>
      <c r="DXG7" s="392"/>
      <c r="DXH7" s="392"/>
      <c r="DXI7" s="392"/>
      <c r="DXJ7" s="392"/>
      <c r="DXK7" s="392"/>
      <c r="DXL7" s="392"/>
      <c r="DXM7" s="392"/>
      <c r="DXN7" s="392"/>
      <c r="DXO7" s="392"/>
      <c r="DXP7" s="392"/>
      <c r="DXQ7" s="392"/>
      <c r="DXR7" s="392"/>
      <c r="DXS7" s="392"/>
      <c r="DXT7" s="392"/>
      <c r="DXU7" s="392"/>
      <c r="DXV7" s="392"/>
      <c r="DXW7" s="392"/>
      <c r="DXX7" s="392"/>
      <c r="DXY7" s="392"/>
      <c r="DXZ7" s="392"/>
      <c r="DYA7" s="392"/>
      <c r="DYB7" s="392"/>
      <c r="DYC7" s="392"/>
      <c r="DYD7" s="392"/>
      <c r="DYE7" s="392"/>
      <c r="DYF7" s="392"/>
      <c r="DYG7" s="392"/>
      <c r="DYH7" s="392"/>
      <c r="DYI7" s="392"/>
      <c r="DYJ7" s="392"/>
      <c r="DYK7" s="392"/>
      <c r="DYL7" s="392"/>
      <c r="DYM7" s="392"/>
      <c r="DYN7" s="392"/>
      <c r="DYO7" s="392"/>
      <c r="DYP7" s="392"/>
      <c r="DYQ7" s="392"/>
      <c r="DYR7" s="392"/>
      <c r="DYS7" s="392"/>
      <c r="DYT7" s="392"/>
      <c r="DYU7" s="392"/>
      <c r="DYV7" s="392"/>
      <c r="DYW7" s="392"/>
      <c r="DYX7" s="392"/>
      <c r="DYY7" s="392"/>
      <c r="DYZ7" s="392"/>
      <c r="DZA7" s="392"/>
      <c r="DZB7" s="392"/>
      <c r="DZC7" s="392"/>
      <c r="DZD7" s="392"/>
      <c r="DZE7" s="392"/>
      <c r="DZF7" s="392"/>
      <c r="DZG7" s="392"/>
      <c r="DZH7" s="392"/>
      <c r="DZI7" s="392"/>
      <c r="DZJ7" s="392"/>
      <c r="DZK7" s="392"/>
      <c r="DZL7" s="392"/>
      <c r="DZM7" s="392"/>
      <c r="DZN7" s="392"/>
      <c r="DZO7" s="392"/>
      <c r="DZP7" s="392"/>
      <c r="DZQ7" s="392"/>
      <c r="DZR7" s="392"/>
      <c r="DZS7" s="392"/>
      <c r="DZT7" s="392"/>
      <c r="DZU7" s="392"/>
      <c r="DZV7" s="392"/>
      <c r="DZW7" s="392"/>
      <c r="DZX7" s="392"/>
      <c r="DZY7" s="392"/>
      <c r="DZZ7" s="392"/>
      <c r="EAA7" s="392"/>
      <c r="EAB7" s="392"/>
      <c r="EAC7" s="392"/>
      <c r="EAD7" s="392"/>
      <c r="EAE7" s="392"/>
      <c r="EAF7" s="392"/>
      <c r="EAG7" s="392"/>
      <c r="EAH7" s="392"/>
      <c r="EAI7" s="392"/>
      <c r="EAJ7" s="392"/>
      <c r="EAK7" s="392"/>
      <c r="EAL7" s="392"/>
      <c r="EAM7" s="392"/>
      <c r="EAN7" s="392"/>
      <c r="EAO7" s="392"/>
      <c r="EAP7" s="392"/>
      <c r="EAQ7" s="392"/>
      <c r="EAR7" s="392"/>
      <c r="EAS7" s="392"/>
      <c r="EAT7" s="392"/>
      <c r="EAU7" s="392"/>
      <c r="EAV7" s="392"/>
      <c r="EAW7" s="392"/>
      <c r="EAX7" s="392"/>
      <c r="EAY7" s="392"/>
      <c r="EAZ7" s="392"/>
      <c r="EBA7" s="392"/>
      <c r="EBB7" s="392"/>
      <c r="EBC7" s="392"/>
      <c r="EBD7" s="392"/>
      <c r="EBE7" s="392"/>
      <c r="EBF7" s="392"/>
      <c r="EBG7" s="392"/>
      <c r="EBH7" s="392"/>
      <c r="EBI7" s="392"/>
      <c r="EBJ7" s="392"/>
      <c r="EBK7" s="392"/>
      <c r="EBL7" s="392"/>
      <c r="EBM7" s="392"/>
      <c r="EBN7" s="392"/>
      <c r="EBO7" s="392"/>
      <c r="EBP7" s="392"/>
      <c r="EBQ7" s="392"/>
      <c r="EBR7" s="392"/>
      <c r="EBS7" s="392"/>
      <c r="EBT7" s="392"/>
      <c r="EBU7" s="392"/>
      <c r="EBV7" s="392"/>
      <c r="EBW7" s="392"/>
      <c r="EBX7" s="392"/>
      <c r="EBY7" s="392"/>
      <c r="EBZ7" s="392"/>
      <c r="ECA7" s="392"/>
      <c r="ECB7" s="392"/>
      <c r="ECC7" s="392"/>
      <c r="ECD7" s="392"/>
      <c r="ECE7" s="392"/>
      <c r="ECF7" s="392"/>
      <c r="ECG7" s="392"/>
      <c r="ECH7" s="392"/>
      <c r="ECI7" s="392"/>
      <c r="ECJ7" s="392"/>
      <c r="ECK7" s="392"/>
      <c r="ECL7" s="392"/>
      <c r="ECM7" s="392"/>
      <c r="ECN7" s="392"/>
      <c r="ECO7" s="392"/>
      <c r="ECP7" s="392"/>
      <c r="ECQ7" s="392"/>
      <c r="ECR7" s="392"/>
      <c r="ECS7" s="392"/>
      <c r="ECT7" s="392"/>
      <c r="ECU7" s="392"/>
      <c r="ECV7" s="392"/>
      <c r="ECW7" s="392"/>
      <c r="ECX7" s="392"/>
      <c r="ECY7" s="392"/>
      <c r="ECZ7" s="392"/>
      <c r="EDA7" s="392"/>
      <c r="EDB7" s="392"/>
      <c r="EDC7" s="392"/>
      <c r="EDD7" s="392"/>
      <c r="EDE7" s="392"/>
      <c r="EDF7" s="392"/>
      <c r="EDG7" s="392"/>
      <c r="EDH7" s="392"/>
      <c r="EDI7" s="392"/>
      <c r="EDJ7" s="392"/>
      <c r="EDK7" s="392"/>
      <c r="EDL7" s="392"/>
      <c r="EDM7" s="392"/>
      <c r="EDN7" s="392"/>
      <c r="EDO7" s="392"/>
      <c r="EDP7" s="392"/>
      <c r="EDQ7" s="392"/>
      <c r="EDR7" s="392"/>
      <c r="EDS7" s="392"/>
      <c r="EDT7" s="392"/>
      <c r="EDU7" s="392"/>
      <c r="EDV7" s="392"/>
      <c r="EDW7" s="392"/>
      <c r="EDX7" s="392"/>
      <c r="EDY7" s="392"/>
      <c r="EDZ7" s="392"/>
      <c r="EEA7" s="392"/>
      <c r="EEB7" s="392"/>
      <c r="EEC7" s="392"/>
      <c r="EED7" s="392"/>
      <c r="EEE7" s="392"/>
      <c r="EEF7" s="392"/>
      <c r="EEG7" s="392"/>
      <c r="EEH7" s="392"/>
      <c r="EEI7" s="392"/>
      <c r="EEJ7" s="392"/>
      <c r="EEK7" s="392"/>
      <c r="EEL7" s="392"/>
      <c r="EEM7" s="392"/>
      <c r="EEN7" s="392"/>
      <c r="EEO7" s="392"/>
      <c r="EEP7" s="392"/>
      <c r="EEQ7" s="392"/>
      <c r="EER7" s="392"/>
      <c r="EES7" s="392"/>
      <c r="EET7" s="392"/>
      <c r="EEU7" s="392"/>
      <c r="EEV7" s="392"/>
      <c r="EEW7" s="392"/>
      <c r="EEX7" s="392"/>
      <c r="EEY7" s="392"/>
      <c r="EEZ7" s="392"/>
      <c r="EFA7" s="392"/>
      <c r="EFB7" s="392"/>
      <c r="EFC7" s="392"/>
      <c r="EFD7" s="392"/>
      <c r="EFE7" s="392"/>
      <c r="EFF7" s="392"/>
      <c r="EFG7" s="392"/>
      <c r="EFH7" s="392"/>
      <c r="EFI7" s="392"/>
      <c r="EFJ7" s="392"/>
      <c r="EFK7" s="392"/>
      <c r="EFL7" s="392"/>
      <c r="EFM7" s="392"/>
      <c r="EFN7" s="392"/>
      <c r="EFO7" s="392"/>
      <c r="EFP7" s="392"/>
      <c r="EFQ7" s="392"/>
      <c r="EFR7" s="392"/>
      <c r="EFS7" s="392"/>
      <c r="EFT7" s="392"/>
      <c r="EFU7" s="392"/>
      <c r="EFV7" s="392"/>
      <c r="EFW7" s="392"/>
      <c r="EFX7" s="392"/>
      <c r="EFY7" s="392"/>
      <c r="EFZ7" s="392"/>
      <c r="EGA7" s="392"/>
      <c r="EGB7" s="392"/>
      <c r="EGC7" s="392"/>
      <c r="EGD7" s="392"/>
      <c r="EGE7" s="392"/>
      <c r="EGF7" s="392"/>
      <c r="EGG7" s="392"/>
      <c r="EGH7" s="392"/>
      <c r="EGI7" s="392"/>
      <c r="EGJ7" s="392"/>
      <c r="EGK7" s="392"/>
      <c r="EGL7" s="392"/>
      <c r="EGM7" s="392"/>
      <c r="EGN7" s="392"/>
      <c r="EGO7" s="392"/>
      <c r="EGP7" s="392"/>
      <c r="EGQ7" s="392"/>
      <c r="EGR7" s="392"/>
      <c r="EGS7" s="392"/>
      <c r="EGT7" s="392"/>
      <c r="EGU7" s="392"/>
      <c r="EGV7" s="392"/>
      <c r="EGW7" s="392"/>
      <c r="EGX7" s="392"/>
      <c r="EGY7" s="392"/>
      <c r="EGZ7" s="392"/>
      <c r="EHA7" s="392"/>
      <c r="EHB7" s="392"/>
      <c r="EHC7" s="392"/>
      <c r="EHD7" s="392"/>
      <c r="EHE7" s="392"/>
      <c r="EHF7" s="392"/>
      <c r="EHG7" s="392"/>
      <c r="EHH7" s="392"/>
      <c r="EHI7" s="392"/>
      <c r="EHJ7" s="392"/>
      <c r="EHK7" s="392"/>
      <c r="EHL7" s="392"/>
      <c r="EHM7" s="392"/>
      <c r="EHN7" s="392"/>
      <c r="EHO7" s="392"/>
      <c r="EHP7" s="392"/>
      <c r="EHQ7" s="392"/>
      <c r="EHR7" s="392"/>
      <c r="EHS7" s="392"/>
      <c r="EHT7" s="392"/>
      <c r="EHU7" s="392"/>
      <c r="EHV7" s="392"/>
      <c r="EHW7" s="392"/>
      <c r="EHX7" s="392"/>
      <c r="EHY7" s="392"/>
      <c r="EHZ7" s="392"/>
      <c r="EIA7" s="392"/>
      <c r="EIB7" s="392"/>
      <c r="EIC7" s="392"/>
      <c r="EID7" s="392"/>
      <c r="EIE7" s="392"/>
      <c r="EIF7" s="392"/>
      <c r="EIG7" s="392"/>
      <c r="EIH7" s="392"/>
      <c r="EII7" s="392"/>
      <c r="EIJ7" s="392"/>
      <c r="EIK7" s="392"/>
      <c r="EIL7" s="392"/>
      <c r="EIM7" s="392"/>
      <c r="EIN7" s="392"/>
      <c r="EIO7" s="392"/>
      <c r="EIP7" s="392"/>
      <c r="EIQ7" s="392"/>
      <c r="EIR7" s="392"/>
      <c r="EIS7" s="392"/>
      <c r="EIT7" s="392"/>
      <c r="EIU7" s="392"/>
      <c r="EIV7" s="392"/>
      <c r="EIW7" s="392"/>
      <c r="EIX7" s="392"/>
      <c r="EIY7" s="392"/>
      <c r="EIZ7" s="392"/>
      <c r="EJA7" s="392"/>
      <c r="EJB7" s="392"/>
      <c r="EJC7" s="392"/>
      <c r="EJD7" s="392"/>
      <c r="EJE7" s="392"/>
      <c r="EJF7" s="392"/>
      <c r="EJG7" s="392"/>
      <c r="EJH7" s="392"/>
      <c r="EJI7" s="392"/>
      <c r="EJJ7" s="392"/>
      <c r="EJK7" s="392"/>
      <c r="EJL7" s="392"/>
      <c r="EJM7" s="392"/>
      <c r="EJN7" s="392"/>
      <c r="EJO7" s="392"/>
      <c r="EJP7" s="392"/>
      <c r="EJQ7" s="392"/>
      <c r="EJR7" s="392"/>
      <c r="EJS7" s="392"/>
      <c r="EJT7" s="392"/>
      <c r="EJU7" s="392"/>
      <c r="EJV7" s="392"/>
      <c r="EJW7" s="392"/>
      <c r="EJX7" s="392"/>
      <c r="EJY7" s="392"/>
      <c r="EJZ7" s="392"/>
      <c r="EKA7" s="392"/>
      <c r="EKB7" s="392"/>
      <c r="EKC7" s="392"/>
      <c r="EKD7" s="392"/>
      <c r="EKE7" s="392"/>
      <c r="EKF7" s="392"/>
      <c r="EKG7" s="392"/>
      <c r="EKH7" s="392"/>
      <c r="EKI7" s="392"/>
      <c r="EKJ7" s="392"/>
      <c r="EKK7" s="392"/>
      <c r="EKL7" s="392"/>
      <c r="EKM7" s="392"/>
      <c r="EKN7" s="392"/>
      <c r="EKO7" s="392"/>
      <c r="EKP7" s="392"/>
      <c r="EKQ7" s="392"/>
      <c r="EKR7" s="392"/>
      <c r="EKS7" s="392"/>
      <c r="EKT7" s="392"/>
      <c r="EKU7" s="392"/>
      <c r="EKV7" s="392"/>
      <c r="EKW7" s="392"/>
      <c r="EKX7" s="392"/>
      <c r="EKY7" s="392"/>
      <c r="EKZ7" s="392"/>
      <c r="ELA7" s="392"/>
      <c r="ELB7" s="392"/>
      <c r="ELC7" s="392"/>
      <c r="ELD7" s="392"/>
      <c r="ELE7" s="392"/>
      <c r="ELF7" s="392"/>
      <c r="ELG7" s="392"/>
      <c r="ELH7" s="392"/>
      <c r="ELI7" s="392"/>
      <c r="ELJ7" s="392"/>
      <c r="ELK7" s="392"/>
      <c r="ELL7" s="392"/>
      <c r="ELM7" s="392"/>
      <c r="ELN7" s="392"/>
      <c r="ELO7" s="392"/>
      <c r="ELP7" s="392"/>
      <c r="ELQ7" s="392"/>
      <c r="ELR7" s="392"/>
      <c r="ELS7" s="392"/>
      <c r="ELT7" s="392"/>
      <c r="ELU7" s="392"/>
      <c r="ELV7" s="392"/>
      <c r="ELW7" s="392"/>
      <c r="ELX7" s="392"/>
      <c r="ELY7" s="392"/>
      <c r="ELZ7" s="392"/>
      <c r="EMA7" s="392"/>
      <c r="EMB7" s="392"/>
      <c r="EMC7" s="392"/>
      <c r="EMD7" s="392"/>
      <c r="EME7" s="392"/>
      <c r="EMF7" s="392"/>
      <c r="EMG7" s="392"/>
      <c r="EMH7" s="392"/>
      <c r="EMI7" s="392"/>
      <c r="EMJ7" s="392"/>
      <c r="EMK7" s="392"/>
      <c r="EML7" s="392"/>
      <c r="EMM7" s="392"/>
      <c r="EMN7" s="392"/>
      <c r="EMO7" s="392"/>
      <c r="EMP7" s="392"/>
      <c r="EMQ7" s="392"/>
      <c r="EMR7" s="392"/>
      <c r="EMS7" s="392"/>
      <c r="EMT7" s="392"/>
      <c r="EMU7" s="392"/>
      <c r="EMV7" s="392"/>
      <c r="EMW7" s="392"/>
      <c r="EMX7" s="392"/>
      <c r="EMY7" s="392"/>
      <c r="EMZ7" s="392"/>
      <c r="ENA7" s="392"/>
      <c r="ENB7" s="392"/>
      <c r="ENC7" s="392"/>
      <c r="END7" s="392"/>
      <c r="ENE7" s="392"/>
      <c r="ENF7" s="392"/>
      <c r="ENG7" s="392"/>
      <c r="ENH7" s="392"/>
      <c r="ENI7" s="392"/>
      <c r="ENJ7" s="392"/>
      <c r="ENK7" s="392"/>
      <c r="ENL7" s="392"/>
      <c r="ENM7" s="392"/>
      <c r="ENN7" s="392"/>
      <c r="ENO7" s="392"/>
      <c r="ENP7" s="392"/>
      <c r="ENQ7" s="392"/>
      <c r="ENR7" s="392"/>
      <c r="ENS7" s="392"/>
      <c r="ENT7" s="392"/>
      <c r="ENU7" s="392"/>
      <c r="ENV7" s="392"/>
      <c r="ENW7" s="392"/>
      <c r="ENX7" s="392"/>
      <c r="ENY7" s="392"/>
      <c r="ENZ7" s="392"/>
      <c r="EOA7" s="392"/>
      <c r="EOB7" s="392"/>
      <c r="EOC7" s="392"/>
      <c r="EOD7" s="392"/>
      <c r="EOE7" s="392"/>
      <c r="EOF7" s="392"/>
      <c r="EOG7" s="392"/>
      <c r="EOH7" s="392"/>
      <c r="EOI7" s="392"/>
      <c r="EOJ7" s="392"/>
      <c r="EOK7" s="392"/>
      <c r="EOL7" s="392"/>
      <c r="EOM7" s="392"/>
      <c r="EON7" s="392"/>
      <c r="EOO7" s="392"/>
      <c r="EOP7" s="392"/>
      <c r="EOQ7" s="392"/>
      <c r="EOR7" s="392"/>
      <c r="EOS7" s="392"/>
      <c r="EOT7" s="392"/>
      <c r="EOU7" s="392"/>
      <c r="EOV7" s="392"/>
      <c r="EOW7" s="392"/>
      <c r="EOX7" s="392"/>
      <c r="EOY7" s="392"/>
      <c r="EOZ7" s="392"/>
      <c r="EPA7" s="392"/>
      <c r="EPB7" s="392"/>
      <c r="EPC7" s="392"/>
      <c r="EPD7" s="392"/>
      <c r="EPE7" s="392"/>
      <c r="EPF7" s="392"/>
      <c r="EPG7" s="392"/>
      <c r="EPH7" s="392"/>
      <c r="EPI7" s="392"/>
      <c r="EPJ7" s="392"/>
      <c r="EPK7" s="392"/>
      <c r="EPL7" s="392"/>
      <c r="EPM7" s="392"/>
      <c r="EPN7" s="392"/>
      <c r="EPO7" s="392"/>
      <c r="EPP7" s="392"/>
      <c r="EPQ7" s="392"/>
      <c r="EPR7" s="392"/>
      <c r="EPS7" s="392"/>
      <c r="EPT7" s="392"/>
      <c r="EPU7" s="392"/>
      <c r="EPV7" s="392"/>
      <c r="EPW7" s="392"/>
      <c r="EPX7" s="392"/>
      <c r="EPY7" s="392"/>
      <c r="EPZ7" s="392"/>
      <c r="EQA7" s="392"/>
      <c r="EQB7" s="392"/>
      <c r="EQC7" s="392"/>
      <c r="EQD7" s="392"/>
      <c r="EQE7" s="392"/>
      <c r="EQF7" s="392"/>
      <c r="EQG7" s="392"/>
      <c r="EQH7" s="392"/>
      <c r="EQI7" s="392"/>
      <c r="EQJ7" s="392"/>
      <c r="EQK7" s="392"/>
      <c r="EQL7" s="392"/>
      <c r="EQM7" s="392"/>
      <c r="EQN7" s="392"/>
      <c r="EQO7" s="392"/>
      <c r="EQP7" s="392"/>
      <c r="EQQ7" s="392"/>
      <c r="EQR7" s="392"/>
      <c r="EQS7" s="392"/>
      <c r="EQT7" s="392"/>
      <c r="EQU7" s="392"/>
      <c r="EQV7" s="392"/>
      <c r="EQW7" s="392"/>
      <c r="EQX7" s="392"/>
      <c r="EQY7" s="392"/>
      <c r="EQZ7" s="392"/>
      <c r="ERA7" s="392"/>
      <c r="ERB7" s="392"/>
      <c r="ERC7" s="392"/>
      <c r="ERD7" s="392"/>
      <c r="ERE7" s="392"/>
      <c r="ERF7" s="392"/>
      <c r="ERG7" s="392"/>
      <c r="ERH7" s="392"/>
      <c r="ERI7" s="392"/>
      <c r="ERJ7" s="392"/>
      <c r="ERK7" s="392"/>
      <c r="ERL7" s="392"/>
      <c r="ERM7" s="392"/>
      <c r="ERN7" s="392"/>
      <c r="ERO7" s="392"/>
      <c r="ERP7" s="392"/>
      <c r="ERQ7" s="392"/>
      <c r="ERR7" s="392"/>
      <c r="ERS7" s="392"/>
      <c r="ERT7" s="392"/>
      <c r="ERU7" s="392"/>
      <c r="ERV7" s="392"/>
      <c r="ERW7" s="392"/>
      <c r="ERX7" s="392"/>
      <c r="ERY7" s="392"/>
      <c r="ERZ7" s="392"/>
      <c r="ESA7" s="392"/>
      <c r="ESB7" s="392"/>
      <c r="ESC7" s="392"/>
      <c r="ESD7" s="392"/>
      <c r="ESE7" s="392"/>
      <c r="ESF7" s="392"/>
      <c r="ESG7" s="392"/>
      <c r="ESH7" s="392"/>
      <c r="ESI7" s="392"/>
      <c r="ESJ7" s="392"/>
      <c r="ESK7" s="392"/>
      <c r="ESL7" s="392"/>
      <c r="ESM7" s="392"/>
      <c r="ESN7" s="392"/>
      <c r="ESO7" s="392"/>
      <c r="ESP7" s="392"/>
      <c r="ESQ7" s="392"/>
      <c r="ESR7" s="392"/>
      <c r="ESS7" s="392"/>
      <c r="EST7" s="392"/>
      <c r="ESU7" s="392"/>
      <c r="ESV7" s="392"/>
      <c r="ESW7" s="392"/>
      <c r="ESX7" s="392"/>
      <c r="ESY7" s="392"/>
      <c r="ESZ7" s="392"/>
      <c r="ETA7" s="392"/>
      <c r="ETB7" s="392"/>
      <c r="ETC7" s="392"/>
      <c r="ETD7" s="392"/>
      <c r="ETE7" s="392"/>
      <c r="ETF7" s="392"/>
      <c r="ETG7" s="392"/>
      <c r="ETH7" s="392"/>
      <c r="ETI7" s="392"/>
      <c r="ETJ7" s="392"/>
      <c r="ETK7" s="392"/>
      <c r="ETL7" s="392"/>
      <c r="ETM7" s="392"/>
      <c r="ETN7" s="392"/>
      <c r="ETO7" s="392"/>
      <c r="ETP7" s="392"/>
      <c r="ETQ7" s="392"/>
      <c r="ETR7" s="392"/>
      <c r="ETS7" s="392"/>
      <c r="ETT7" s="392"/>
      <c r="ETU7" s="392"/>
      <c r="ETV7" s="392"/>
      <c r="ETW7" s="392"/>
      <c r="ETX7" s="392"/>
      <c r="ETY7" s="392"/>
      <c r="ETZ7" s="392"/>
      <c r="EUA7" s="392"/>
      <c r="EUB7" s="392"/>
      <c r="EUC7" s="392"/>
      <c r="EUD7" s="392"/>
      <c r="EUE7" s="392"/>
      <c r="EUF7" s="392"/>
      <c r="EUG7" s="392"/>
      <c r="EUH7" s="392"/>
      <c r="EUI7" s="392"/>
      <c r="EUJ7" s="392"/>
      <c r="EUK7" s="392"/>
      <c r="EUL7" s="392"/>
      <c r="EUM7" s="392"/>
      <c r="EUN7" s="392"/>
      <c r="EUO7" s="392"/>
      <c r="EUP7" s="392"/>
      <c r="EUQ7" s="392"/>
      <c r="EUR7" s="392"/>
      <c r="EUS7" s="392"/>
      <c r="EUT7" s="392"/>
      <c r="EUU7" s="392"/>
      <c r="EUV7" s="392"/>
      <c r="EUW7" s="392"/>
      <c r="EUX7" s="392"/>
      <c r="EUY7" s="392"/>
      <c r="EUZ7" s="392"/>
      <c r="EVA7" s="392"/>
      <c r="EVB7" s="392"/>
      <c r="EVC7" s="392"/>
      <c r="EVD7" s="392"/>
      <c r="EVE7" s="392"/>
      <c r="EVF7" s="392"/>
      <c r="EVG7" s="392"/>
      <c r="EVH7" s="392"/>
      <c r="EVI7" s="392"/>
      <c r="EVJ7" s="392"/>
      <c r="EVK7" s="392"/>
      <c r="EVL7" s="392"/>
      <c r="EVM7" s="392"/>
      <c r="EVN7" s="392"/>
      <c r="EVO7" s="392"/>
      <c r="EVP7" s="392"/>
      <c r="EVQ7" s="392"/>
      <c r="EVR7" s="392"/>
      <c r="EVS7" s="392"/>
      <c r="EVT7" s="392"/>
      <c r="EVU7" s="392"/>
      <c r="EVV7" s="392"/>
      <c r="EVW7" s="392"/>
      <c r="EVX7" s="392"/>
      <c r="EVY7" s="392"/>
      <c r="EVZ7" s="392"/>
      <c r="EWA7" s="392"/>
      <c r="EWB7" s="392"/>
      <c r="EWC7" s="392"/>
      <c r="EWD7" s="392"/>
      <c r="EWE7" s="392"/>
      <c r="EWF7" s="392"/>
      <c r="EWG7" s="392"/>
      <c r="EWH7" s="392"/>
      <c r="EWI7" s="392"/>
      <c r="EWJ7" s="392"/>
      <c r="EWK7" s="392"/>
      <c r="EWL7" s="392"/>
      <c r="EWM7" s="392"/>
      <c r="EWN7" s="392"/>
      <c r="EWO7" s="392"/>
      <c r="EWP7" s="392"/>
      <c r="EWQ7" s="392"/>
      <c r="EWR7" s="392"/>
      <c r="EWS7" s="392"/>
      <c r="EWT7" s="392"/>
      <c r="EWU7" s="392"/>
      <c r="EWV7" s="392"/>
      <c r="EWW7" s="392"/>
      <c r="EWX7" s="392"/>
      <c r="EWY7" s="392"/>
      <c r="EWZ7" s="392"/>
      <c r="EXA7" s="392"/>
      <c r="EXB7" s="392"/>
      <c r="EXC7" s="392"/>
      <c r="EXD7" s="392"/>
      <c r="EXE7" s="392"/>
      <c r="EXF7" s="392"/>
      <c r="EXG7" s="392"/>
      <c r="EXH7" s="392"/>
      <c r="EXI7" s="392"/>
      <c r="EXJ7" s="392"/>
      <c r="EXK7" s="392"/>
      <c r="EXL7" s="392"/>
      <c r="EXM7" s="392"/>
      <c r="EXN7" s="392"/>
      <c r="EXO7" s="392"/>
      <c r="EXP7" s="392"/>
      <c r="EXQ7" s="392"/>
      <c r="EXR7" s="392"/>
      <c r="EXS7" s="392"/>
      <c r="EXT7" s="392"/>
      <c r="EXU7" s="392"/>
      <c r="EXV7" s="392"/>
      <c r="EXW7" s="392"/>
      <c r="EXX7" s="392"/>
      <c r="EXY7" s="392"/>
      <c r="EXZ7" s="392"/>
      <c r="EYA7" s="392"/>
      <c r="EYB7" s="392"/>
      <c r="EYC7" s="392"/>
      <c r="EYD7" s="392"/>
      <c r="EYE7" s="392"/>
      <c r="EYF7" s="392"/>
      <c r="EYG7" s="392"/>
      <c r="EYH7" s="392"/>
      <c r="EYI7" s="392"/>
      <c r="EYJ7" s="392"/>
      <c r="EYK7" s="392"/>
      <c r="EYL7" s="392"/>
      <c r="EYM7" s="392"/>
      <c r="EYN7" s="392"/>
      <c r="EYO7" s="392"/>
      <c r="EYP7" s="392"/>
      <c r="EYQ7" s="392"/>
      <c r="EYR7" s="392"/>
      <c r="EYS7" s="392"/>
      <c r="EYT7" s="392"/>
      <c r="EYU7" s="392"/>
      <c r="EYV7" s="392"/>
      <c r="EYW7" s="392"/>
      <c r="EYX7" s="392"/>
      <c r="EYY7" s="392"/>
      <c r="EYZ7" s="392"/>
      <c r="EZA7" s="392"/>
      <c r="EZB7" s="392"/>
      <c r="EZC7" s="392"/>
      <c r="EZD7" s="392"/>
      <c r="EZE7" s="392"/>
      <c r="EZF7" s="392"/>
      <c r="EZG7" s="392"/>
      <c r="EZH7" s="392"/>
      <c r="EZI7" s="392"/>
      <c r="EZJ7" s="392"/>
      <c r="EZK7" s="392"/>
      <c r="EZL7" s="392"/>
      <c r="EZM7" s="392"/>
      <c r="EZN7" s="392"/>
      <c r="EZO7" s="392"/>
      <c r="EZP7" s="392"/>
      <c r="EZQ7" s="392"/>
      <c r="EZR7" s="392"/>
      <c r="EZS7" s="392"/>
      <c r="EZT7" s="392"/>
      <c r="EZU7" s="392"/>
      <c r="EZV7" s="392"/>
      <c r="EZW7" s="392"/>
      <c r="EZX7" s="392"/>
      <c r="EZY7" s="392"/>
      <c r="EZZ7" s="392"/>
      <c r="FAA7" s="392"/>
      <c r="FAB7" s="392"/>
      <c r="FAC7" s="392"/>
      <c r="FAD7" s="392"/>
      <c r="FAE7" s="392"/>
      <c r="FAF7" s="392"/>
      <c r="FAG7" s="392"/>
      <c r="FAH7" s="392"/>
      <c r="FAI7" s="392"/>
      <c r="FAJ7" s="392"/>
      <c r="FAK7" s="392"/>
      <c r="FAL7" s="392"/>
      <c r="FAM7" s="392"/>
      <c r="FAN7" s="392"/>
      <c r="FAO7" s="392"/>
      <c r="FAP7" s="392"/>
      <c r="FAQ7" s="392"/>
      <c r="FAR7" s="392"/>
      <c r="FAS7" s="392"/>
      <c r="FAT7" s="392"/>
      <c r="FAU7" s="392"/>
      <c r="FAV7" s="392"/>
      <c r="FAW7" s="392"/>
      <c r="FAX7" s="392"/>
      <c r="FAY7" s="392"/>
      <c r="FAZ7" s="392"/>
      <c r="FBA7" s="392"/>
      <c r="FBB7" s="392"/>
      <c r="FBC7" s="392"/>
      <c r="FBD7" s="392"/>
      <c r="FBE7" s="392"/>
      <c r="FBF7" s="392"/>
      <c r="FBG7" s="392"/>
      <c r="FBH7" s="392"/>
      <c r="FBI7" s="392"/>
      <c r="FBJ7" s="392"/>
      <c r="FBK7" s="392"/>
      <c r="FBL7" s="392"/>
      <c r="FBM7" s="392"/>
      <c r="FBN7" s="392"/>
      <c r="FBO7" s="392"/>
      <c r="FBP7" s="392"/>
      <c r="FBQ7" s="392"/>
      <c r="FBR7" s="392"/>
      <c r="FBS7" s="392"/>
      <c r="FBT7" s="392"/>
      <c r="FBU7" s="392"/>
      <c r="FBV7" s="392"/>
      <c r="FBW7" s="392"/>
      <c r="FBX7" s="392"/>
      <c r="FBY7" s="392"/>
      <c r="FBZ7" s="392"/>
      <c r="FCA7" s="392"/>
      <c r="FCB7" s="392"/>
      <c r="FCC7" s="392"/>
      <c r="FCD7" s="392"/>
      <c r="FCE7" s="392"/>
      <c r="FCF7" s="392"/>
      <c r="FCG7" s="392"/>
      <c r="FCH7" s="392"/>
      <c r="FCI7" s="392"/>
      <c r="FCJ7" s="392"/>
      <c r="FCK7" s="392"/>
      <c r="FCL7" s="392"/>
      <c r="FCM7" s="392"/>
      <c r="FCN7" s="392"/>
      <c r="FCO7" s="392"/>
      <c r="FCP7" s="392"/>
      <c r="FCQ7" s="392"/>
      <c r="FCR7" s="392"/>
      <c r="FCS7" s="392"/>
      <c r="FCT7" s="392"/>
      <c r="FCU7" s="392"/>
      <c r="FCV7" s="392"/>
      <c r="FCW7" s="392"/>
      <c r="FCX7" s="392"/>
      <c r="FCY7" s="392"/>
      <c r="FCZ7" s="392"/>
      <c r="FDA7" s="392"/>
      <c r="FDB7" s="392"/>
      <c r="FDC7" s="392"/>
      <c r="FDD7" s="392"/>
      <c r="FDE7" s="392"/>
      <c r="FDF7" s="392"/>
      <c r="FDG7" s="392"/>
      <c r="FDH7" s="392"/>
      <c r="FDI7" s="392"/>
      <c r="FDJ7" s="392"/>
      <c r="FDK7" s="392"/>
      <c r="FDL7" s="392"/>
      <c r="FDM7" s="392"/>
      <c r="FDN7" s="392"/>
      <c r="FDO7" s="392"/>
      <c r="FDP7" s="392"/>
      <c r="FDQ7" s="392"/>
      <c r="FDR7" s="392"/>
      <c r="FDS7" s="392"/>
      <c r="FDT7" s="392"/>
      <c r="FDU7" s="392"/>
      <c r="FDV7" s="392"/>
      <c r="FDW7" s="392"/>
      <c r="FDX7" s="392"/>
      <c r="FDY7" s="392"/>
      <c r="FDZ7" s="392"/>
      <c r="FEA7" s="392"/>
      <c r="FEB7" s="392"/>
      <c r="FEC7" s="392"/>
      <c r="FED7" s="392"/>
      <c r="FEE7" s="392"/>
      <c r="FEF7" s="392"/>
      <c r="FEG7" s="392"/>
      <c r="FEH7" s="392"/>
      <c r="FEI7" s="392"/>
      <c r="FEJ7" s="392"/>
      <c r="FEK7" s="392"/>
      <c r="FEL7" s="392"/>
      <c r="FEM7" s="392"/>
      <c r="FEN7" s="392"/>
      <c r="FEO7" s="392"/>
      <c r="FEP7" s="392"/>
      <c r="FEQ7" s="392"/>
      <c r="FER7" s="392"/>
      <c r="FES7" s="392"/>
      <c r="FET7" s="392"/>
      <c r="FEU7" s="392"/>
      <c r="FEV7" s="392"/>
      <c r="FEW7" s="392"/>
      <c r="FEX7" s="392"/>
      <c r="FEY7" s="392"/>
      <c r="FEZ7" s="392"/>
      <c r="FFA7" s="392"/>
      <c r="FFB7" s="392"/>
      <c r="FFC7" s="392"/>
      <c r="FFD7" s="392"/>
      <c r="FFE7" s="392"/>
      <c r="FFF7" s="392"/>
      <c r="FFG7" s="392"/>
      <c r="FFH7" s="392"/>
      <c r="FFI7" s="392"/>
      <c r="FFJ7" s="392"/>
      <c r="FFK7" s="392"/>
      <c r="FFL7" s="392"/>
      <c r="FFM7" s="392"/>
      <c r="FFN7" s="392"/>
      <c r="FFO7" s="392"/>
      <c r="FFP7" s="392"/>
      <c r="FFQ7" s="392"/>
      <c r="FFR7" s="392"/>
      <c r="FFS7" s="392"/>
      <c r="FFT7" s="392"/>
      <c r="FFU7" s="392"/>
      <c r="FFV7" s="392"/>
      <c r="FFW7" s="392"/>
      <c r="FFX7" s="392"/>
      <c r="FFY7" s="392"/>
      <c r="FFZ7" s="392"/>
      <c r="FGA7" s="392"/>
      <c r="FGB7" s="392"/>
      <c r="FGC7" s="392"/>
      <c r="FGD7" s="392"/>
      <c r="FGE7" s="392"/>
      <c r="FGF7" s="392"/>
      <c r="FGG7" s="392"/>
      <c r="FGH7" s="392"/>
      <c r="FGI7" s="392"/>
      <c r="FGJ7" s="392"/>
      <c r="FGK7" s="392"/>
      <c r="FGL7" s="392"/>
      <c r="FGM7" s="392"/>
      <c r="FGN7" s="392"/>
      <c r="FGO7" s="392"/>
      <c r="FGP7" s="392"/>
      <c r="FGQ7" s="392"/>
      <c r="FGR7" s="392"/>
      <c r="FGS7" s="392"/>
      <c r="FGT7" s="392"/>
      <c r="FGU7" s="392"/>
      <c r="FGV7" s="392"/>
      <c r="FGW7" s="392"/>
      <c r="FGX7" s="392"/>
      <c r="FGY7" s="392"/>
      <c r="FGZ7" s="392"/>
      <c r="FHA7" s="392"/>
      <c r="FHB7" s="392"/>
      <c r="FHC7" s="392"/>
      <c r="FHD7" s="392"/>
      <c r="FHE7" s="392"/>
      <c r="FHF7" s="392"/>
      <c r="FHG7" s="392"/>
      <c r="FHH7" s="392"/>
      <c r="FHI7" s="392"/>
      <c r="FHJ7" s="392"/>
      <c r="FHK7" s="392"/>
      <c r="FHL7" s="392"/>
      <c r="FHM7" s="392"/>
      <c r="FHN7" s="392"/>
      <c r="FHO7" s="392"/>
      <c r="FHP7" s="392"/>
      <c r="FHQ7" s="392"/>
      <c r="FHR7" s="392"/>
      <c r="FHS7" s="392"/>
      <c r="FHT7" s="392"/>
      <c r="FHU7" s="392"/>
      <c r="FHV7" s="392"/>
      <c r="FHW7" s="392"/>
      <c r="FHX7" s="392"/>
      <c r="FHY7" s="392"/>
      <c r="FHZ7" s="392"/>
      <c r="FIA7" s="392"/>
      <c r="FIB7" s="392"/>
      <c r="FIC7" s="392"/>
      <c r="FID7" s="392"/>
      <c r="FIE7" s="392"/>
      <c r="FIF7" s="392"/>
      <c r="FIG7" s="392"/>
      <c r="FIH7" s="392"/>
      <c r="FII7" s="392"/>
      <c r="FIJ7" s="392"/>
      <c r="FIK7" s="392"/>
      <c r="FIL7" s="392"/>
      <c r="FIM7" s="392"/>
      <c r="FIN7" s="392"/>
      <c r="FIO7" s="392"/>
      <c r="FIP7" s="392"/>
      <c r="FIQ7" s="392"/>
      <c r="FIR7" s="392"/>
      <c r="FIS7" s="392"/>
      <c r="FIT7" s="392"/>
      <c r="FIU7" s="392"/>
      <c r="FIV7" s="392"/>
      <c r="FIW7" s="392"/>
      <c r="FIX7" s="392"/>
      <c r="FIY7" s="392"/>
      <c r="FIZ7" s="392"/>
      <c r="FJA7" s="392"/>
      <c r="FJB7" s="392"/>
      <c r="FJC7" s="392"/>
      <c r="FJD7" s="392"/>
      <c r="FJE7" s="392"/>
      <c r="FJF7" s="392"/>
      <c r="FJG7" s="392"/>
      <c r="FJH7" s="392"/>
      <c r="FJI7" s="392"/>
      <c r="FJJ7" s="392"/>
      <c r="FJK7" s="392"/>
      <c r="FJL7" s="392"/>
      <c r="FJM7" s="392"/>
      <c r="FJN7" s="392"/>
      <c r="FJO7" s="392"/>
      <c r="FJP7" s="392"/>
      <c r="FJQ7" s="392"/>
      <c r="FJR7" s="392"/>
      <c r="FJS7" s="392"/>
      <c r="FJT7" s="392"/>
      <c r="FJU7" s="392"/>
      <c r="FJV7" s="392"/>
      <c r="FJW7" s="392"/>
      <c r="FJX7" s="392"/>
      <c r="FJY7" s="392"/>
      <c r="FJZ7" s="392"/>
      <c r="FKA7" s="392"/>
      <c r="FKB7" s="392"/>
      <c r="FKC7" s="392"/>
      <c r="FKD7" s="392"/>
      <c r="FKE7" s="392"/>
      <c r="FKF7" s="392"/>
      <c r="FKG7" s="392"/>
      <c r="FKH7" s="392"/>
      <c r="FKI7" s="392"/>
      <c r="FKJ7" s="392"/>
      <c r="FKK7" s="392"/>
      <c r="FKL7" s="392"/>
      <c r="FKM7" s="392"/>
      <c r="FKN7" s="392"/>
      <c r="FKO7" s="392"/>
      <c r="FKP7" s="392"/>
      <c r="FKQ7" s="392"/>
      <c r="FKR7" s="392"/>
      <c r="FKS7" s="392"/>
      <c r="FKT7" s="392"/>
      <c r="FKU7" s="392"/>
      <c r="FKV7" s="392"/>
      <c r="FKW7" s="392"/>
      <c r="FKX7" s="392"/>
      <c r="FKY7" s="392"/>
      <c r="FKZ7" s="392"/>
      <c r="FLA7" s="392"/>
      <c r="FLB7" s="392"/>
      <c r="FLC7" s="392"/>
      <c r="FLD7" s="392"/>
      <c r="FLE7" s="392"/>
      <c r="FLF7" s="392"/>
      <c r="FLG7" s="392"/>
      <c r="FLH7" s="392"/>
      <c r="FLI7" s="392"/>
      <c r="FLJ7" s="392"/>
      <c r="FLK7" s="392"/>
      <c r="FLL7" s="392"/>
      <c r="FLM7" s="392"/>
      <c r="FLN7" s="392"/>
      <c r="FLO7" s="392"/>
      <c r="FLP7" s="392"/>
      <c r="FLQ7" s="392"/>
      <c r="FLR7" s="392"/>
      <c r="FLS7" s="392"/>
      <c r="FLT7" s="392"/>
      <c r="FLU7" s="392"/>
      <c r="FLV7" s="392"/>
      <c r="FLW7" s="392"/>
      <c r="FLX7" s="392"/>
      <c r="FLY7" s="392"/>
      <c r="FLZ7" s="392"/>
      <c r="FMA7" s="392"/>
      <c r="FMB7" s="392"/>
      <c r="FMC7" s="392"/>
      <c r="FMD7" s="392"/>
      <c r="FME7" s="392"/>
      <c r="FMF7" s="392"/>
      <c r="FMG7" s="392"/>
      <c r="FMH7" s="392"/>
      <c r="FMI7" s="392"/>
      <c r="FMJ7" s="392"/>
      <c r="FMK7" s="392"/>
      <c r="FML7" s="392"/>
      <c r="FMM7" s="392"/>
      <c r="FMN7" s="392"/>
      <c r="FMO7" s="392"/>
      <c r="FMP7" s="392"/>
      <c r="FMQ7" s="392"/>
      <c r="FMR7" s="392"/>
      <c r="FMS7" s="392"/>
      <c r="FMT7" s="392"/>
      <c r="FMU7" s="392"/>
      <c r="FMV7" s="392"/>
      <c r="FMW7" s="392"/>
      <c r="FMX7" s="392"/>
      <c r="FMY7" s="392"/>
      <c r="FMZ7" s="392"/>
      <c r="FNA7" s="392"/>
      <c r="FNB7" s="392"/>
      <c r="FNC7" s="392"/>
      <c r="FND7" s="392"/>
      <c r="FNE7" s="392"/>
      <c r="FNF7" s="392"/>
      <c r="FNG7" s="392"/>
      <c r="FNH7" s="392"/>
      <c r="FNI7" s="392"/>
      <c r="FNJ7" s="392"/>
      <c r="FNK7" s="392"/>
      <c r="FNL7" s="392"/>
      <c r="FNM7" s="392"/>
      <c r="FNN7" s="392"/>
      <c r="FNO7" s="392"/>
      <c r="FNP7" s="392"/>
      <c r="FNQ7" s="392"/>
      <c r="FNR7" s="392"/>
      <c r="FNS7" s="392"/>
      <c r="FNT7" s="392"/>
      <c r="FNU7" s="392"/>
      <c r="FNV7" s="392"/>
      <c r="FNW7" s="392"/>
      <c r="FNX7" s="392"/>
      <c r="FNY7" s="392"/>
      <c r="FNZ7" s="392"/>
      <c r="FOA7" s="392"/>
      <c r="FOB7" s="392"/>
      <c r="FOC7" s="392"/>
      <c r="FOD7" s="392"/>
      <c r="FOE7" s="392"/>
      <c r="FOF7" s="392"/>
      <c r="FOG7" s="392"/>
      <c r="FOH7" s="392"/>
      <c r="FOI7" s="392"/>
      <c r="FOJ7" s="392"/>
      <c r="FOK7" s="392"/>
      <c r="FOL7" s="392"/>
      <c r="FOM7" s="392"/>
      <c r="FON7" s="392"/>
      <c r="FOO7" s="392"/>
      <c r="FOP7" s="392"/>
      <c r="FOQ7" s="392"/>
      <c r="FOR7" s="392"/>
      <c r="FOS7" s="392"/>
      <c r="FOT7" s="392"/>
      <c r="FOU7" s="392"/>
      <c r="FOV7" s="392"/>
      <c r="FOW7" s="392"/>
      <c r="FOX7" s="392"/>
      <c r="FOY7" s="392"/>
      <c r="FOZ7" s="392"/>
      <c r="FPA7" s="392"/>
      <c r="FPB7" s="392"/>
      <c r="FPC7" s="392"/>
      <c r="FPD7" s="392"/>
      <c r="FPE7" s="392"/>
      <c r="FPF7" s="392"/>
      <c r="FPG7" s="392"/>
      <c r="FPH7" s="392"/>
      <c r="FPI7" s="392"/>
      <c r="FPJ7" s="392"/>
      <c r="FPK7" s="392"/>
      <c r="FPL7" s="392"/>
      <c r="FPM7" s="392"/>
      <c r="FPN7" s="392"/>
      <c r="FPO7" s="392"/>
      <c r="FPP7" s="392"/>
      <c r="FPQ7" s="392"/>
      <c r="FPR7" s="392"/>
      <c r="FPS7" s="392"/>
      <c r="FPT7" s="392"/>
      <c r="FPU7" s="392"/>
      <c r="FPV7" s="392"/>
      <c r="FPW7" s="392"/>
      <c r="FPX7" s="392"/>
      <c r="FPY7" s="392"/>
      <c r="FPZ7" s="392"/>
      <c r="FQA7" s="392"/>
      <c r="FQB7" s="392"/>
      <c r="FQC7" s="392"/>
      <c r="FQD7" s="392"/>
      <c r="FQE7" s="392"/>
      <c r="FQF7" s="392"/>
      <c r="FQG7" s="392"/>
      <c r="FQH7" s="392"/>
      <c r="FQI7" s="392"/>
      <c r="FQJ7" s="392"/>
      <c r="FQK7" s="392"/>
      <c r="FQL7" s="392"/>
      <c r="FQM7" s="392"/>
      <c r="FQN7" s="392"/>
      <c r="FQO7" s="392"/>
      <c r="FQP7" s="392"/>
      <c r="FQQ7" s="392"/>
      <c r="FQR7" s="392"/>
      <c r="FQS7" s="392"/>
      <c r="FQT7" s="392"/>
      <c r="FQU7" s="392"/>
      <c r="FQV7" s="392"/>
      <c r="FQW7" s="392"/>
      <c r="FQX7" s="392"/>
      <c r="FQY7" s="392"/>
      <c r="FQZ7" s="392"/>
      <c r="FRA7" s="392"/>
      <c r="FRB7" s="392"/>
      <c r="FRC7" s="392"/>
      <c r="FRD7" s="392"/>
      <c r="FRE7" s="392"/>
      <c r="FRF7" s="392"/>
      <c r="FRG7" s="392"/>
      <c r="FRH7" s="392"/>
      <c r="FRI7" s="392"/>
      <c r="FRJ7" s="392"/>
      <c r="FRK7" s="392"/>
      <c r="FRL7" s="392"/>
      <c r="FRM7" s="392"/>
      <c r="FRN7" s="392"/>
      <c r="FRO7" s="392"/>
      <c r="FRP7" s="392"/>
      <c r="FRQ7" s="392"/>
      <c r="FRR7" s="392"/>
      <c r="FRS7" s="392"/>
      <c r="FRT7" s="392"/>
      <c r="FRU7" s="392"/>
      <c r="FRV7" s="392"/>
      <c r="FRW7" s="392"/>
      <c r="FRX7" s="392"/>
      <c r="FRY7" s="392"/>
      <c r="FRZ7" s="392"/>
      <c r="FSA7" s="392"/>
      <c r="FSB7" s="392"/>
      <c r="FSC7" s="392"/>
      <c r="FSD7" s="392"/>
      <c r="FSE7" s="392"/>
      <c r="FSF7" s="392"/>
      <c r="FSG7" s="392"/>
      <c r="FSH7" s="392"/>
      <c r="FSI7" s="392"/>
      <c r="FSJ7" s="392"/>
      <c r="FSK7" s="392"/>
      <c r="FSL7" s="392"/>
      <c r="FSM7" s="392"/>
      <c r="FSN7" s="392"/>
      <c r="FSO7" s="392"/>
      <c r="FSP7" s="392"/>
      <c r="FSQ7" s="392"/>
      <c r="FSR7" s="392"/>
      <c r="FSS7" s="392"/>
      <c r="FST7" s="392"/>
      <c r="FSU7" s="392"/>
      <c r="FSV7" s="392"/>
      <c r="FSW7" s="392"/>
      <c r="FSX7" s="392"/>
      <c r="FSY7" s="392"/>
      <c r="FSZ7" s="392"/>
      <c r="FTA7" s="392"/>
      <c r="FTB7" s="392"/>
      <c r="FTC7" s="392"/>
      <c r="FTD7" s="392"/>
      <c r="FTE7" s="392"/>
      <c r="FTF7" s="392"/>
      <c r="FTG7" s="392"/>
      <c r="FTH7" s="392"/>
      <c r="FTI7" s="392"/>
      <c r="FTJ7" s="392"/>
      <c r="FTK7" s="392"/>
      <c r="FTL7" s="392"/>
      <c r="FTM7" s="392"/>
      <c r="FTN7" s="392"/>
      <c r="FTO7" s="392"/>
      <c r="FTP7" s="392"/>
      <c r="FTQ7" s="392"/>
      <c r="FTR7" s="392"/>
      <c r="FTS7" s="392"/>
      <c r="FTT7" s="392"/>
      <c r="FTU7" s="392"/>
      <c r="FTV7" s="392"/>
      <c r="FTW7" s="392"/>
      <c r="FTX7" s="392"/>
      <c r="FTY7" s="392"/>
      <c r="FTZ7" s="392"/>
      <c r="FUA7" s="392"/>
      <c r="FUB7" s="392"/>
      <c r="FUC7" s="392"/>
      <c r="FUD7" s="392"/>
      <c r="FUE7" s="392"/>
      <c r="FUF7" s="392"/>
      <c r="FUG7" s="392"/>
      <c r="FUH7" s="392"/>
      <c r="FUI7" s="392"/>
      <c r="FUJ7" s="392"/>
      <c r="FUK7" s="392"/>
      <c r="FUL7" s="392"/>
      <c r="FUM7" s="392"/>
      <c r="FUN7" s="392"/>
      <c r="FUO7" s="392"/>
      <c r="FUP7" s="392"/>
      <c r="FUQ7" s="392"/>
      <c r="FUR7" s="392"/>
      <c r="FUS7" s="392"/>
      <c r="FUT7" s="392"/>
      <c r="FUU7" s="392"/>
      <c r="FUV7" s="392"/>
      <c r="FUW7" s="392"/>
      <c r="FUX7" s="392"/>
      <c r="FUY7" s="392"/>
      <c r="FUZ7" s="392"/>
      <c r="FVA7" s="392"/>
      <c r="FVB7" s="392"/>
      <c r="FVC7" s="392"/>
      <c r="FVD7" s="392"/>
      <c r="FVE7" s="392"/>
      <c r="FVF7" s="392"/>
      <c r="FVG7" s="392"/>
      <c r="FVH7" s="392"/>
      <c r="FVI7" s="392"/>
      <c r="FVJ7" s="392"/>
      <c r="FVK7" s="392"/>
      <c r="FVL7" s="392"/>
      <c r="FVM7" s="392"/>
      <c r="FVN7" s="392"/>
      <c r="FVO7" s="392"/>
      <c r="FVP7" s="392"/>
      <c r="FVQ7" s="392"/>
      <c r="FVR7" s="392"/>
      <c r="FVS7" s="392"/>
      <c r="FVT7" s="392"/>
      <c r="FVU7" s="392"/>
      <c r="FVV7" s="392"/>
      <c r="FVW7" s="392"/>
      <c r="FVX7" s="392"/>
      <c r="FVY7" s="392"/>
      <c r="FVZ7" s="392"/>
      <c r="FWA7" s="392"/>
      <c r="FWB7" s="392"/>
      <c r="FWC7" s="392"/>
      <c r="FWD7" s="392"/>
      <c r="FWE7" s="392"/>
      <c r="FWF7" s="392"/>
      <c r="FWG7" s="392"/>
      <c r="FWH7" s="392"/>
      <c r="FWI7" s="392"/>
      <c r="FWJ7" s="392"/>
      <c r="FWK7" s="392"/>
      <c r="FWL7" s="392"/>
      <c r="FWM7" s="392"/>
      <c r="FWN7" s="392"/>
      <c r="FWO7" s="392"/>
      <c r="FWP7" s="392"/>
      <c r="FWQ7" s="392"/>
      <c r="FWR7" s="392"/>
      <c r="FWS7" s="392"/>
      <c r="FWT7" s="392"/>
      <c r="FWU7" s="392"/>
      <c r="FWV7" s="392"/>
      <c r="FWW7" s="392"/>
      <c r="FWX7" s="392"/>
      <c r="FWY7" s="392"/>
      <c r="FWZ7" s="392"/>
      <c r="FXA7" s="392"/>
      <c r="FXB7" s="392"/>
      <c r="FXC7" s="392"/>
      <c r="FXD7" s="392"/>
      <c r="FXE7" s="392"/>
      <c r="FXF7" s="392"/>
      <c r="FXG7" s="392"/>
      <c r="FXH7" s="392"/>
      <c r="FXI7" s="392"/>
      <c r="FXJ7" s="392"/>
      <c r="FXK7" s="392"/>
      <c r="FXL7" s="392"/>
      <c r="FXM7" s="392"/>
      <c r="FXN7" s="392"/>
      <c r="FXO7" s="392"/>
      <c r="FXP7" s="392"/>
      <c r="FXQ7" s="392"/>
      <c r="FXR7" s="392"/>
      <c r="FXS7" s="392"/>
      <c r="FXT7" s="392"/>
      <c r="FXU7" s="392"/>
      <c r="FXV7" s="392"/>
      <c r="FXW7" s="392"/>
      <c r="FXX7" s="392"/>
      <c r="FXY7" s="392"/>
      <c r="FXZ7" s="392"/>
      <c r="FYA7" s="392"/>
      <c r="FYB7" s="392"/>
      <c r="FYC7" s="392"/>
      <c r="FYD7" s="392"/>
      <c r="FYE7" s="392"/>
      <c r="FYF7" s="392"/>
      <c r="FYG7" s="392"/>
      <c r="FYH7" s="392"/>
      <c r="FYI7" s="392"/>
      <c r="FYJ7" s="392"/>
      <c r="FYK7" s="392"/>
      <c r="FYL7" s="392"/>
      <c r="FYM7" s="392"/>
      <c r="FYN7" s="392"/>
      <c r="FYO7" s="392"/>
      <c r="FYP7" s="392"/>
      <c r="FYQ7" s="392"/>
      <c r="FYR7" s="392"/>
      <c r="FYS7" s="392"/>
      <c r="FYT7" s="392"/>
      <c r="FYU7" s="392"/>
      <c r="FYV7" s="392"/>
      <c r="FYW7" s="392"/>
      <c r="FYX7" s="392"/>
      <c r="FYY7" s="392"/>
      <c r="FYZ7" s="392"/>
      <c r="FZA7" s="392"/>
      <c r="FZB7" s="392"/>
      <c r="FZC7" s="392"/>
      <c r="FZD7" s="392"/>
      <c r="FZE7" s="392"/>
      <c r="FZF7" s="392"/>
      <c r="FZG7" s="392"/>
      <c r="FZH7" s="392"/>
      <c r="FZI7" s="392"/>
      <c r="FZJ7" s="392"/>
      <c r="FZK7" s="392"/>
      <c r="FZL7" s="392"/>
      <c r="FZM7" s="392"/>
      <c r="FZN7" s="392"/>
      <c r="FZO7" s="392"/>
      <c r="FZP7" s="392"/>
      <c r="FZQ7" s="392"/>
      <c r="FZR7" s="392"/>
      <c r="FZS7" s="392"/>
      <c r="FZT7" s="392"/>
      <c r="FZU7" s="392"/>
      <c r="FZV7" s="392"/>
      <c r="FZW7" s="392"/>
      <c r="FZX7" s="392"/>
      <c r="FZY7" s="392"/>
      <c r="FZZ7" s="392"/>
      <c r="GAA7" s="392"/>
      <c r="GAB7" s="392"/>
      <c r="GAC7" s="392"/>
      <c r="GAD7" s="392"/>
      <c r="GAE7" s="392"/>
      <c r="GAF7" s="392"/>
      <c r="GAG7" s="392"/>
      <c r="GAH7" s="392"/>
      <c r="GAI7" s="392"/>
      <c r="GAJ7" s="392"/>
      <c r="GAK7" s="392"/>
      <c r="GAL7" s="392"/>
      <c r="GAM7" s="392"/>
      <c r="GAN7" s="392"/>
      <c r="GAO7" s="392"/>
      <c r="GAP7" s="392"/>
      <c r="GAQ7" s="392"/>
      <c r="GAR7" s="392"/>
      <c r="GAS7" s="392"/>
      <c r="GAT7" s="392"/>
      <c r="GAU7" s="392"/>
      <c r="GAV7" s="392"/>
      <c r="GAW7" s="392"/>
      <c r="GAX7" s="392"/>
      <c r="GAY7" s="392"/>
      <c r="GAZ7" s="392"/>
      <c r="GBA7" s="392"/>
      <c r="GBB7" s="392"/>
      <c r="GBC7" s="392"/>
      <c r="GBD7" s="392"/>
      <c r="GBE7" s="392"/>
      <c r="GBF7" s="392"/>
      <c r="GBG7" s="392"/>
      <c r="GBH7" s="392"/>
      <c r="GBI7" s="392"/>
      <c r="GBJ7" s="392"/>
      <c r="GBK7" s="392"/>
      <c r="GBL7" s="392"/>
      <c r="GBM7" s="392"/>
      <c r="GBN7" s="392"/>
      <c r="GBO7" s="392"/>
      <c r="GBP7" s="392"/>
      <c r="GBQ7" s="392"/>
      <c r="GBR7" s="392"/>
      <c r="GBS7" s="392"/>
      <c r="GBT7" s="392"/>
      <c r="GBU7" s="392"/>
      <c r="GBV7" s="392"/>
      <c r="GBW7" s="392"/>
      <c r="GBX7" s="392"/>
      <c r="GBY7" s="392"/>
      <c r="GBZ7" s="392"/>
      <c r="GCA7" s="392"/>
      <c r="GCB7" s="392"/>
      <c r="GCC7" s="392"/>
      <c r="GCD7" s="392"/>
      <c r="GCE7" s="392"/>
      <c r="GCF7" s="392"/>
      <c r="GCG7" s="392"/>
      <c r="GCH7" s="392"/>
      <c r="GCI7" s="392"/>
      <c r="GCJ7" s="392"/>
      <c r="GCK7" s="392"/>
      <c r="GCL7" s="392"/>
      <c r="GCM7" s="392"/>
      <c r="GCN7" s="392"/>
      <c r="GCO7" s="392"/>
      <c r="GCP7" s="392"/>
      <c r="GCQ7" s="392"/>
      <c r="GCR7" s="392"/>
      <c r="GCS7" s="392"/>
      <c r="GCT7" s="392"/>
      <c r="GCU7" s="392"/>
      <c r="GCV7" s="392"/>
      <c r="GCW7" s="392"/>
      <c r="GCX7" s="392"/>
      <c r="GCY7" s="392"/>
      <c r="GCZ7" s="392"/>
      <c r="GDA7" s="392"/>
      <c r="GDB7" s="392"/>
      <c r="GDC7" s="392"/>
      <c r="GDD7" s="392"/>
      <c r="GDE7" s="392"/>
      <c r="GDF7" s="392"/>
      <c r="GDG7" s="392"/>
      <c r="GDH7" s="392"/>
      <c r="GDI7" s="392"/>
      <c r="GDJ7" s="392"/>
      <c r="GDK7" s="392"/>
      <c r="GDL7" s="392"/>
      <c r="GDM7" s="392"/>
      <c r="GDN7" s="392"/>
      <c r="GDO7" s="392"/>
      <c r="GDP7" s="392"/>
      <c r="GDQ7" s="392"/>
      <c r="GDR7" s="392"/>
      <c r="GDS7" s="392"/>
      <c r="GDT7" s="392"/>
      <c r="GDU7" s="392"/>
      <c r="GDV7" s="392"/>
      <c r="GDW7" s="392"/>
      <c r="GDX7" s="392"/>
      <c r="GDY7" s="392"/>
      <c r="GDZ7" s="392"/>
      <c r="GEA7" s="392"/>
      <c r="GEB7" s="392"/>
      <c r="GEC7" s="392"/>
      <c r="GED7" s="392"/>
      <c r="GEE7" s="392"/>
      <c r="GEF7" s="392"/>
      <c r="GEG7" s="392"/>
      <c r="GEH7" s="392"/>
      <c r="GEI7" s="392"/>
      <c r="GEJ7" s="392"/>
      <c r="GEK7" s="392"/>
      <c r="GEL7" s="392"/>
      <c r="GEM7" s="392"/>
      <c r="GEN7" s="392"/>
      <c r="GEO7" s="392"/>
      <c r="GEP7" s="392"/>
      <c r="GEQ7" s="392"/>
      <c r="GER7" s="392"/>
      <c r="GES7" s="392"/>
      <c r="GET7" s="392"/>
      <c r="GEU7" s="392"/>
      <c r="GEV7" s="392"/>
      <c r="GEW7" s="392"/>
      <c r="GEX7" s="392"/>
      <c r="GEY7" s="392"/>
      <c r="GEZ7" s="392"/>
      <c r="GFA7" s="392"/>
      <c r="GFB7" s="392"/>
      <c r="GFC7" s="392"/>
      <c r="GFD7" s="392"/>
      <c r="GFE7" s="392"/>
      <c r="GFF7" s="392"/>
      <c r="GFG7" s="392"/>
      <c r="GFH7" s="392"/>
      <c r="GFI7" s="392"/>
      <c r="GFJ7" s="392"/>
      <c r="GFK7" s="392"/>
      <c r="GFL7" s="392"/>
      <c r="GFM7" s="392"/>
      <c r="GFN7" s="392"/>
      <c r="GFO7" s="392"/>
      <c r="GFP7" s="392"/>
      <c r="GFQ7" s="392"/>
      <c r="GFR7" s="392"/>
      <c r="GFS7" s="392"/>
      <c r="GFT7" s="392"/>
      <c r="GFU7" s="392"/>
      <c r="GFV7" s="392"/>
      <c r="GFW7" s="392"/>
      <c r="GFX7" s="392"/>
      <c r="GFY7" s="392"/>
      <c r="GFZ7" s="392"/>
      <c r="GGA7" s="392"/>
      <c r="GGB7" s="392"/>
      <c r="GGC7" s="392"/>
      <c r="GGD7" s="392"/>
      <c r="GGE7" s="392"/>
      <c r="GGF7" s="392"/>
      <c r="GGG7" s="392"/>
      <c r="GGH7" s="392"/>
      <c r="GGI7" s="392"/>
      <c r="GGJ7" s="392"/>
      <c r="GGK7" s="392"/>
      <c r="GGL7" s="392"/>
      <c r="GGM7" s="392"/>
      <c r="GGN7" s="392"/>
      <c r="GGO7" s="392"/>
      <c r="GGP7" s="392"/>
      <c r="GGQ7" s="392"/>
      <c r="GGR7" s="392"/>
      <c r="GGS7" s="392"/>
      <c r="GGT7" s="392"/>
      <c r="GGU7" s="392"/>
      <c r="GGV7" s="392"/>
      <c r="GGW7" s="392"/>
      <c r="GGX7" s="392"/>
      <c r="GGY7" s="392"/>
      <c r="GGZ7" s="392"/>
      <c r="GHA7" s="392"/>
      <c r="GHB7" s="392"/>
      <c r="GHC7" s="392"/>
      <c r="GHD7" s="392"/>
      <c r="GHE7" s="392"/>
      <c r="GHF7" s="392"/>
      <c r="GHG7" s="392"/>
      <c r="GHH7" s="392"/>
      <c r="GHI7" s="392"/>
      <c r="GHJ7" s="392"/>
      <c r="GHK7" s="392"/>
      <c r="GHL7" s="392"/>
      <c r="GHM7" s="392"/>
      <c r="GHN7" s="392"/>
      <c r="GHO7" s="392"/>
      <c r="GHP7" s="392"/>
      <c r="GHQ7" s="392"/>
      <c r="GHR7" s="392"/>
      <c r="GHS7" s="392"/>
      <c r="GHT7" s="392"/>
      <c r="GHU7" s="392"/>
      <c r="GHV7" s="392"/>
      <c r="GHW7" s="392"/>
      <c r="GHX7" s="392"/>
      <c r="GHY7" s="392"/>
      <c r="GHZ7" s="392"/>
      <c r="GIA7" s="392"/>
      <c r="GIB7" s="392"/>
      <c r="GIC7" s="392"/>
      <c r="GID7" s="392"/>
      <c r="GIE7" s="392"/>
      <c r="GIF7" s="392"/>
      <c r="GIG7" s="392"/>
      <c r="GIH7" s="392"/>
      <c r="GII7" s="392"/>
      <c r="GIJ7" s="392"/>
      <c r="GIK7" s="392"/>
      <c r="GIL7" s="392"/>
      <c r="GIM7" s="392"/>
      <c r="GIN7" s="392"/>
      <c r="GIO7" s="392"/>
      <c r="GIP7" s="392"/>
      <c r="GIQ7" s="392"/>
      <c r="GIR7" s="392"/>
      <c r="GIS7" s="392"/>
      <c r="GIT7" s="392"/>
      <c r="GIU7" s="392"/>
      <c r="GIV7" s="392"/>
      <c r="GIW7" s="392"/>
      <c r="GIX7" s="392"/>
      <c r="GIY7" s="392"/>
      <c r="GIZ7" s="392"/>
      <c r="GJA7" s="392"/>
      <c r="GJB7" s="392"/>
      <c r="GJC7" s="392"/>
      <c r="GJD7" s="392"/>
      <c r="GJE7" s="392"/>
      <c r="GJF7" s="392"/>
      <c r="GJG7" s="392"/>
      <c r="GJH7" s="392"/>
      <c r="GJI7" s="392"/>
      <c r="GJJ7" s="392"/>
      <c r="GJK7" s="392"/>
      <c r="GJL7" s="392"/>
      <c r="GJM7" s="392"/>
      <c r="GJN7" s="392"/>
      <c r="GJO7" s="392"/>
      <c r="GJP7" s="392"/>
      <c r="GJQ7" s="392"/>
      <c r="GJR7" s="392"/>
      <c r="GJS7" s="392"/>
      <c r="GJT7" s="392"/>
      <c r="GJU7" s="392"/>
      <c r="GJV7" s="392"/>
      <c r="GJW7" s="392"/>
      <c r="GJX7" s="392"/>
      <c r="GJY7" s="392"/>
      <c r="GJZ7" s="392"/>
      <c r="GKA7" s="392"/>
      <c r="GKB7" s="392"/>
      <c r="GKC7" s="392"/>
      <c r="GKD7" s="392"/>
      <c r="GKE7" s="392"/>
      <c r="GKF7" s="392"/>
      <c r="GKG7" s="392"/>
      <c r="GKH7" s="392"/>
      <c r="GKI7" s="392"/>
      <c r="GKJ7" s="392"/>
      <c r="GKK7" s="392"/>
      <c r="GKL7" s="392"/>
      <c r="GKM7" s="392"/>
      <c r="GKN7" s="392"/>
      <c r="GKO7" s="392"/>
      <c r="GKP7" s="392"/>
      <c r="GKQ7" s="392"/>
      <c r="GKR7" s="392"/>
      <c r="GKS7" s="392"/>
      <c r="GKT7" s="392"/>
      <c r="GKU7" s="392"/>
      <c r="GKV7" s="392"/>
      <c r="GKW7" s="392"/>
      <c r="GKX7" s="392"/>
      <c r="GKY7" s="392"/>
      <c r="GKZ7" s="392"/>
      <c r="GLA7" s="392"/>
      <c r="GLB7" s="392"/>
      <c r="GLC7" s="392"/>
      <c r="GLD7" s="392"/>
      <c r="GLE7" s="392"/>
      <c r="GLF7" s="392"/>
      <c r="GLG7" s="392"/>
      <c r="GLH7" s="392"/>
      <c r="GLI7" s="392"/>
      <c r="GLJ7" s="392"/>
      <c r="GLK7" s="392"/>
      <c r="GLL7" s="392"/>
      <c r="GLM7" s="392"/>
      <c r="GLN7" s="392"/>
      <c r="GLO7" s="392"/>
      <c r="GLP7" s="392"/>
      <c r="GLQ7" s="392"/>
      <c r="GLR7" s="392"/>
      <c r="GLS7" s="392"/>
      <c r="GLT7" s="392"/>
      <c r="GLU7" s="392"/>
      <c r="GLV7" s="392"/>
      <c r="GLW7" s="392"/>
      <c r="GLX7" s="392"/>
      <c r="GLY7" s="392"/>
      <c r="GLZ7" s="392"/>
      <c r="GMA7" s="392"/>
      <c r="GMB7" s="392"/>
      <c r="GMC7" s="392"/>
      <c r="GMD7" s="392"/>
      <c r="GME7" s="392"/>
      <c r="GMF7" s="392"/>
      <c r="GMG7" s="392"/>
      <c r="GMH7" s="392"/>
      <c r="GMI7" s="392"/>
      <c r="GMJ7" s="392"/>
      <c r="GMK7" s="392"/>
      <c r="GML7" s="392"/>
      <c r="GMM7" s="392"/>
      <c r="GMN7" s="392"/>
      <c r="GMO7" s="392"/>
      <c r="GMP7" s="392"/>
      <c r="GMQ7" s="392"/>
      <c r="GMR7" s="392"/>
      <c r="GMS7" s="392"/>
      <c r="GMT7" s="392"/>
      <c r="GMU7" s="392"/>
      <c r="GMV7" s="392"/>
      <c r="GMW7" s="392"/>
      <c r="GMX7" s="392"/>
      <c r="GMY7" s="392"/>
      <c r="GMZ7" s="392"/>
      <c r="GNA7" s="392"/>
      <c r="GNB7" s="392"/>
      <c r="GNC7" s="392"/>
      <c r="GND7" s="392"/>
      <c r="GNE7" s="392"/>
      <c r="GNF7" s="392"/>
      <c r="GNG7" s="392"/>
      <c r="GNH7" s="392"/>
      <c r="GNI7" s="392"/>
      <c r="GNJ7" s="392"/>
      <c r="GNK7" s="392"/>
      <c r="GNL7" s="392"/>
      <c r="GNM7" s="392"/>
      <c r="GNN7" s="392"/>
      <c r="GNO7" s="392"/>
      <c r="GNP7" s="392"/>
      <c r="GNQ7" s="392"/>
      <c r="GNR7" s="392"/>
      <c r="GNS7" s="392"/>
      <c r="GNT7" s="392"/>
      <c r="GNU7" s="392"/>
      <c r="GNV7" s="392"/>
      <c r="GNW7" s="392"/>
      <c r="GNX7" s="392"/>
      <c r="GNY7" s="392"/>
      <c r="GNZ7" s="392"/>
      <c r="GOA7" s="392"/>
      <c r="GOB7" s="392"/>
      <c r="GOC7" s="392"/>
      <c r="GOD7" s="392"/>
      <c r="GOE7" s="392"/>
      <c r="GOF7" s="392"/>
      <c r="GOG7" s="392"/>
      <c r="GOH7" s="392"/>
      <c r="GOI7" s="392"/>
      <c r="GOJ7" s="392"/>
      <c r="GOK7" s="392"/>
      <c r="GOL7" s="392"/>
      <c r="GOM7" s="392"/>
      <c r="GON7" s="392"/>
      <c r="GOO7" s="392"/>
      <c r="GOP7" s="392"/>
      <c r="GOQ7" s="392"/>
      <c r="GOR7" s="392"/>
      <c r="GOS7" s="392"/>
      <c r="GOT7" s="392"/>
      <c r="GOU7" s="392"/>
      <c r="GOV7" s="392"/>
      <c r="GOW7" s="392"/>
      <c r="GOX7" s="392"/>
      <c r="GOY7" s="392"/>
      <c r="GOZ7" s="392"/>
      <c r="GPA7" s="392"/>
      <c r="GPB7" s="392"/>
      <c r="GPC7" s="392"/>
      <c r="GPD7" s="392"/>
      <c r="GPE7" s="392"/>
      <c r="GPF7" s="392"/>
      <c r="GPG7" s="392"/>
      <c r="GPH7" s="392"/>
      <c r="GPI7" s="392"/>
      <c r="GPJ7" s="392"/>
      <c r="GPK7" s="392"/>
      <c r="GPL7" s="392"/>
      <c r="GPM7" s="392"/>
      <c r="GPN7" s="392"/>
      <c r="GPO7" s="392"/>
      <c r="GPP7" s="392"/>
      <c r="GPQ7" s="392"/>
      <c r="GPR7" s="392"/>
      <c r="GPS7" s="392"/>
      <c r="GPT7" s="392"/>
      <c r="GPU7" s="392"/>
      <c r="GPV7" s="392"/>
      <c r="GPW7" s="392"/>
      <c r="GPX7" s="392"/>
      <c r="GPY7" s="392"/>
      <c r="GPZ7" s="392"/>
      <c r="GQA7" s="392"/>
      <c r="GQB7" s="392"/>
      <c r="GQC7" s="392"/>
      <c r="GQD7" s="392"/>
      <c r="GQE7" s="392"/>
      <c r="GQF7" s="392"/>
      <c r="GQG7" s="392"/>
      <c r="GQH7" s="392"/>
      <c r="GQI7" s="392"/>
      <c r="GQJ7" s="392"/>
      <c r="GQK7" s="392"/>
      <c r="GQL7" s="392"/>
      <c r="GQM7" s="392"/>
      <c r="GQN7" s="392"/>
      <c r="GQO7" s="392"/>
      <c r="GQP7" s="392"/>
      <c r="GQQ7" s="392"/>
      <c r="GQR7" s="392"/>
      <c r="GQS7" s="392"/>
      <c r="GQT7" s="392"/>
      <c r="GQU7" s="392"/>
      <c r="GQV7" s="392"/>
      <c r="GQW7" s="392"/>
      <c r="GQX7" s="392"/>
      <c r="GQY7" s="392"/>
      <c r="GQZ7" s="392"/>
      <c r="GRA7" s="392"/>
      <c r="GRB7" s="392"/>
      <c r="GRC7" s="392"/>
      <c r="GRD7" s="392"/>
      <c r="GRE7" s="392"/>
      <c r="GRF7" s="392"/>
      <c r="GRG7" s="392"/>
      <c r="GRH7" s="392"/>
      <c r="GRI7" s="392"/>
      <c r="GRJ7" s="392"/>
      <c r="GRK7" s="392"/>
      <c r="GRL7" s="392"/>
      <c r="GRM7" s="392"/>
      <c r="GRN7" s="392"/>
      <c r="GRO7" s="392"/>
      <c r="GRP7" s="392"/>
      <c r="GRQ7" s="392"/>
      <c r="GRR7" s="392"/>
      <c r="GRS7" s="392"/>
      <c r="GRT7" s="392"/>
      <c r="GRU7" s="392"/>
      <c r="GRV7" s="392"/>
      <c r="GRW7" s="392"/>
      <c r="GRX7" s="392"/>
      <c r="GRY7" s="392"/>
      <c r="GRZ7" s="392"/>
      <c r="GSA7" s="392"/>
      <c r="GSB7" s="392"/>
      <c r="GSC7" s="392"/>
      <c r="GSD7" s="392"/>
      <c r="GSE7" s="392"/>
      <c r="GSF7" s="392"/>
      <c r="GSG7" s="392"/>
      <c r="GSH7" s="392"/>
      <c r="GSI7" s="392"/>
      <c r="GSJ7" s="392"/>
      <c r="GSK7" s="392"/>
      <c r="GSL7" s="392"/>
      <c r="GSM7" s="392"/>
      <c r="GSN7" s="392"/>
      <c r="GSO7" s="392"/>
      <c r="GSP7" s="392"/>
      <c r="GSQ7" s="392"/>
      <c r="GSR7" s="392"/>
      <c r="GSS7" s="392"/>
      <c r="GST7" s="392"/>
      <c r="GSU7" s="392"/>
      <c r="GSV7" s="392"/>
      <c r="GSW7" s="392"/>
      <c r="GSX7" s="392"/>
      <c r="GSY7" s="392"/>
      <c r="GSZ7" s="392"/>
      <c r="GTA7" s="392"/>
      <c r="GTB7" s="392"/>
      <c r="GTC7" s="392"/>
      <c r="GTD7" s="392"/>
      <c r="GTE7" s="392"/>
      <c r="GTF7" s="392"/>
      <c r="GTG7" s="392"/>
      <c r="GTH7" s="392"/>
      <c r="GTI7" s="392"/>
      <c r="GTJ7" s="392"/>
      <c r="GTK7" s="392"/>
      <c r="GTL7" s="392"/>
      <c r="GTM7" s="392"/>
      <c r="GTN7" s="392"/>
      <c r="GTO7" s="392"/>
      <c r="GTP7" s="392"/>
      <c r="GTQ7" s="392"/>
      <c r="GTR7" s="392"/>
      <c r="GTS7" s="392"/>
      <c r="GTT7" s="392"/>
      <c r="GTU7" s="392"/>
      <c r="GTV7" s="392"/>
      <c r="GTW7" s="392"/>
      <c r="GTX7" s="392"/>
      <c r="GTY7" s="392"/>
      <c r="GTZ7" s="392"/>
      <c r="GUA7" s="392"/>
      <c r="GUB7" s="392"/>
      <c r="GUC7" s="392"/>
      <c r="GUD7" s="392"/>
      <c r="GUE7" s="392"/>
      <c r="GUF7" s="392"/>
      <c r="GUG7" s="392"/>
      <c r="GUH7" s="392"/>
      <c r="GUI7" s="392"/>
      <c r="GUJ7" s="392"/>
      <c r="GUK7" s="392"/>
      <c r="GUL7" s="392"/>
      <c r="GUM7" s="392"/>
      <c r="GUN7" s="392"/>
      <c r="GUO7" s="392"/>
      <c r="GUP7" s="392"/>
      <c r="GUQ7" s="392"/>
      <c r="GUR7" s="392"/>
      <c r="GUS7" s="392"/>
      <c r="GUT7" s="392"/>
      <c r="GUU7" s="392"/>
      <c r="GUV7" s="392"/>
      <c r="GUW7" s="392"/>
      <c r="GUX7" s="392"/>
      <c r="GUY7" s="392"/>
      <c r="GUZ7" s="392"/>
      <c r="GVA7" s="392"/>
      <c r="GVB7" s="392"/>
      <c r="GVC7" s="392"/>
      <c r="GVD7" s="392"/>
      <c r="GVE7" s="392"/>
      <c r="GVF7" s="392"/>
      <c r="GVG7" s="392"/>
      <c r="GVH7" s="392"/>
      <c r="GVI7" s="392"/>
      <c r="GVJ7" s="392"/>
      <c r="GVK7" s="392"/>
      <c r="GVL7" s="392"/>
      <c r="GVM7" s="392"/>
      <c r="GVN7" s="392"/>
      <c r="GVO7" s="392"/>
      <c r="GVP7" s="392"/>
      <c r="GVQ7" s="392"/>
      <c r="GVR7" s="392"/>
      <c r="GVS7" s="392"/>
      <c r="GVT7" s="392"/>
      <c r="GVU7" s="392"/>
      <c r="GVV7" s="392"/>
      <c r="GVW7" s="392"/>
      <c r="GVX7" s="392"/>
      <c r="GVY7" s="392"/>
      <c r="GVZ7" s="392"/>
      <c r="GWA7" s="392"/>
      <c r="GWB7" s="392"/>
      <c r="GWC7" s="392"/>
      <c r="GWD7" s="392"/>
      <c r="GWE7" s="392"/>
      <c r="GWF7" s="392"/>
      <c r="GWG7" s="392"/>
      <c r="GWH7" s="392"/>
      <c r="GWI7" s="392"/>
      <c r="GWJ7" s="392"/>
      <c r="GWK7" s="392"/>
      <c r="GWL7" s="392"/>
      <c r="GWM7" s="392"/>
      <c r="GWN7" s="392"/>
      <c r="GWO7" s="392"/>
      <c r="GWP7" s="392"/>
      <c r="GWQ7" s="392"/>
      <c r="GWR7" s="392"/>
      <c r="GWS7" s="392"/>
      <c r="GWT7" s="392"/>
      <c r="GWU7" s="392"/>
      <c r="GWV7" s="392"/>
      <c r="GWW7" s="392"/>
      <c r="GWX7" s="392"/>
      <c r="GWY7" s="392"/>
      <c r="GWZ7" s="392"/>
      <c r="GXA7" s="392"/>
      <c r="GXB7" s="392"/>
      <c r="GXC7" s="392"/>
      <c r="GXD7" s="392"/>
      <c r="GXE7" s="392"/>
      <c r="GXF7" s="392"/>
      <c r="GXG7" s="392"/>
      <c r="GXH7" s="392"/>
      <c r="GXI7" s="392"/>
      <c r="GXJ7" s="392"/>
      <c r="GXK7" s="392"/>
      <c r="GXL7" s="392"/>
      <c r="GXM7" s="392"/>
      <c r="GXN7" s="392"/>
      <c r="GXO7" s="392"/>
      <c r="GXP7" s="392"/>
      <c r="GXQ7" s="392"/>
      <c r="GXR7" s="392"/>
      <c r="GXS7" s="392"/>
      <c r="GXT7" s="392"/>
      <c r="GXU7" s="392"/>
      <c r="GXV7" s="392"/>
      <c r="GXW7" s="392"/>
      <c r="GXX7" s="392"/>
      <c r="GXY7" s="392"/>
      <c r="GXZ7" s="392"/>
      <c r="GYA7" s="392"/>
      <c r="GYB7" s="392"/>
      <c r="GYC7" s="392"/>
      <c r="GYD7" s="392"/>
      <c r="GYE7" s="392"/>
      <c r="GYF7" s="392"/>
      <c r="GYG7" s="392"/>
      <c r="GYH7" s="392"/>
      <c r="GYI7" s="392"/>
      <c r="GYJ7" s="392"/>
      <c r="GYK7" s="392"/>
      <c r="GYL7" s="392"/>
      <c r="GYM7" s="392"/>
      <c r="GYN7" s="392"/>
      <c r="GYO7" s="392"/>
      <c r="GYP7" s="392"/>
      <c r="GYQ7" s="392"/>
      <c r="GYR7" s="392"/>
      <c r="GYS7" s="392"/>
      <c r="GYT7" s="392"/>
      <c r="GYU7" s="392"/>
      <c r="GYV7" s="392"/>
      <c r="GYW7" s="392"/>
      <c r="GYX7" s="392"/>
      <c r="GYY7" s="392"/>
      <c r="GYZ7" s="392"/>
      <c r="GZA7" s="392"/>
      <c r="GZB7" s="392"/>
      <c r="GZC7" s="392"/>
      <c r="GZD7" s="392"/>
      <c r="GZE7" s="392"/>
      <c r="GZF7" s="392"/>
      <c r="GZG7" s="392"/>
      <c r="GZH7" s="392"/>
      <c r="GZI7" s="392"/>
      <c r="GZJ7" s="392"/>
      <c r="GZK7" s="392"/>
      <c r="GZL7" s="392"/>
      <c r="GZM7" s="392"/>
      <c r="GZN7" s="392"/>
      <c r="GZO7" s="392"/>
      <c r="GZP7" s="392"/>
      <c r="GZQ7" s="392"/>
      <c r="GZR7" s="392"/>
      <c r="GZS7" s="392"/>
      <c r="GZT7" s="392"/>
      <c r="GZU7" s="392"/>
      <c r="GZV7" s="392"/>
      <c r="GZW7" s="392"/>
      <c r="GZX7" s="392"/>
      <c r="GZY7" s="392"/>
      <c r="GZZ7" s="392"/>
      <c r="HAA7" s="392"/>
      <c r="HAB7" s="392"/>
      <c r="HAC7" s="392"/>
      <c r="HAD7" s="392"/>
      <c r="HAE7" s="392"/>
      <c r="HAF7" s="392"/>
      <c r="HAG7" s="392"/>
      <c r="HAH7" s="392"/>
      <c r="HAI7" s="392"/>
      <c r="HAJ7" s="392"/>
      <c r="HAK7" s="392"/>
      <c r="HAL7" s="392"/>
      <c r="HAM7" s="392"/>
      <c r="HAN7" s="392"/>
      <c r="HAO7" s="392"/>
      <c r="HAP7" s="392"/>
      <c r="HAQ7" s="392"/>
      <c r="HAR7" s="392"/>
      <c r="HAS7" s="392"/>
      <c r="HAT7" s="392"/>
      <c r="HAU7" s="392"/>
      <c r="HAV7" s="392"/>
      <c r="HAW7" s="392"/>
      <c r="HAX7" s="392"/>
      <c r="HAY7" s="392"/>
      <c r="HAZ7" s="392"/>
      <c r="HBA7" s="392"/>
      <c r="HBB7" s="392"/>
      <c r="HBC7" s="392"/>
      <c r="HBD7" s="392"/>
      <c r="HBE7" s="392"/>
      <c r="HBF7" s="392"/>
      <c r="HBG7" s="392"/>
      <c r="HBH7" s="392"/>
      <c r="HBI7" s="392"/>
      <c r="HBJ7" s="392"/>
      <c r="HBK7" s="392"/>
      <c r="HBL7" s="392"/>
      <c r="HBM7" s="392"/>
      <c r="HBN7" s="392"/>
      <c r="HBO7" s="392"/>
      <c r="HBP7" s="392"/>
      <c r="HBQ7" s="392"/>
      <c r="HBR7" s="392"/>
      <c r="HBS7" s="392"/>
      <c r="HBT7" s="392"/>
      <c r="HBU7" s="392"/>
      <c r="HBV7" s="392"/>
      <c r="HBW7" s="392"/>
      <c r="HBX7" s="392"/>
      <c r="HBY7" s="392"/>
      <c r="HBZ7" s="392"/>
      <c r="HCA7" s="392"/>
      <c r="HCB7" s="392"/>
      <c r="HCC7" s="392"/>
      <c r="HCD7" s="392"/>
      <c r="HCE7" s="392"/>
      <c r="HCF7" s="392"/>
      <c r="HCG7" s="392"/>
      <c r="HCH7" s="392"/>
      <c r="HCI7" s="392"/>
      <c r="HCJ7" s="392"/>
      <c r="HCK7" s="392"/>
      <c r="HCL7" s="392"/>
      <c r="HCM7" s="392"/>
      <c r="HCN7" s="392"/>
      <c r="HCO7" s="392"/>
      <c r="HCP7" s="392"/>
      <c r="HCQ7" s="392"/>
      <c r="HCR7" s="392"/>
      <c r="HCS7" s="392"/>
      <c r="HCT7" s="392"/>
      <c r="HCU7" s="392"/>
      <c r="HCV7" s="392"/>
      <c r="HCW7" s="392"/>
      <c r="HCX7" s="392"/>
      <c r="HCY7" s="392"/>
      <c r="HCZ7" s="392"/>
      <c r="HDA7" s="392"/>
      <c r="HDB7" s="392"/>
      <c r="HDC7" s="392"/>
      <c r="HDD7" s="392"/>
      <c r="HDE7" s="392"/>
      <c r="HDF7" s="392"/>
      <c r="HDG7" s="392"/>
      <c r="HDH7" s="392"/>
      <c r="HDI7" s="392"/>
      <c r="HDJ7" s="392"/>
      <c r="HDK7" s="392"/>
      <c r="HDL7" s="392"/>
      <c r="HDM7" s="392"/>
      <c r="HDN7" s="392"/>
      <c r="HDO7" s="392"/>
      <c r="HDP7" s="392"/>
      <c r="HDQ7" s="392"/>
      <c r="HDR7" s="392"/>
      <c r="HDS7" s="392"/>
      <c r="HDT7" s="392"/>
      <c r="HDU7" s="392"/>
      <c r="HDV7" s="392"/>
      <c r="HDW7" s="392"/>
      <c r="HDX7" s="392"/>
      <c r="HDY7" s="392"/>
      <c r="HDZ7" s="392"/>
      <c r="HEA7" s="392"/>
      <c r="HEB7" s="392"/>
      <c r="HEC7" s="392"/>
      <c r="HED7" s="392"/>
      <c r="HEE7" s="392"/>
      <c r="HEF7" s="392"/>
      <c r="HEG7" s="392"/>
      <c r="HEH7" s="392"/>
      <c r="HEI7" s="392"/>
      <c r="HEJ7" s="392"/>
      <c r="HEK7" s="392"/>
      <c r="HEL7" s="392"/>
      <c r="HEM7" s="392"/>
      <c r="HEN7" s="392"/>
      <c r="HEO7" s="392"/>
      <c r="HEP7" s="392"/>
      <c r="HEQ7" s="392"/>
      <c r="HER7" s="392"/>
      <c r="HES7" s="392"/>
      <c r="HET7" s="392"/>
      <c r="HEU7" s="392"/>
      <c r="HEV7" s="392"/>
      <c r="HEW7" s="392"/>
      <c r="HEX7" s="392"/>
      <c r="HEY7" s="392"/>
      <c r="HEZ7" s="392"/>
      <c r="HFA7" s="392"/>
      <c r="HFB7" s="392"/>
      <c r="HFC7" s="392"/>
      <c r="HFD7" s="392"/>
      <c r="HFE7" s="392"/>
      <c r="HFF7" s="392"/>
      <c r="HFG7" s="392"/>
      <c r="HFH7" s="392"/>
      <c r="HFI7" s="392"/>
      <c r="HFJ7" s="392"/>
      <c r="HFK7" s="392"/>
      <c r="HFL7" s="392"/>
      <c r="HFM7" s="392"/>
      <c r="HFN7" s="392"/>
      <c r="HFO7" s="392"/>
      <c r="HFP7" s="392"/>
      <c r="HFQ7" s="392"/>
      <c r="HFR7" s="392"/>
      <c r="HFS7" s="392"/>
      <c r="HFT7" s="392"/>
      <c r="HFU7" s="392"/>
      <c r="HFV7" s="392"/>
      <c r="HFW7" s="392"/>
      <c r="HFX7" s="392"/>
      <c r="HFY7" s="392"/>
      <c r="HFZ7" s="392"/>
      <c r="HGA7" s="392"/>
      <c r="HGB7" s="392"/>
      <c r="HGC7" s="392"/>
      <c r="HGD7" s="392"/>
      <c r="HGE7" s="392"/>
      <c r="HGF7" s="392"/>
      <c r="HGG7" s="392"/>
      <c r="HGH7" s="392"/>
      <c r="HGI7" s="392"/>
      <c r="HGJ7" s="392"/>
      <c r="HGK7" s="392"/>
      <c r="HGL7" s="392"/>
      <c r="HGM7" s="392"/>
      <c r="HGN7" s="392"/>
      <c r="HGO7" s="392"/>
      <c r="HGP7" s="392"/>
      <c r="HGQ7" s="392"/>
      <c r="HGR7" s="392"/>
      <c r="HGS7" s="392"/>
      <c r="HGT7" s="392"/>
      <c r="HGU7" s="392"/>
      <c r="HGV7" s="392"/>
      <c r="HGW7" s="392"/>
      <c r="HGX7" s="392"/>
      <c r="HGY7" s="392"/>
      <c r="HGZ7" s="392"/>
      <c r="HHA7" s="392"/>
      <c r="HHB7" s="392"/>
      <c r="HHC7" s="392"/>
      <c r="HHD7" s="392"/>
      <c r="HHE7" s="392"/>
      <c r="HHF7" s="392"/>
      <c r="HHG7" s="392"/>
      <c r="HHH7" s="392"/>
      <c r="HHI7" s="392"/>
      <c r="HHJ7" s="392"/>
      <c r="HHK7" s="392"/>
      <c r="HHL7" s="392"/>
      <c r="HHM7" s="392"/>
      <c r="HHN7" s="392"/>
      <c r="HHO7" s="392"/>
      <c r="HHP7" s="392"/>
      <c r="HHQ7" s="392"/>
      <c r="HHR7" s="392"/>
      <c r="HHS7" s="392"/>
      <c r="HHT7" s="392"/>
      <c r="HHU7" s="392"/>
      <c r="HHV7" s="392"/>
      <c r="HHW7" s="392"/>
      <c r="HHX7" s="392"/>
      <c r="HHY7" s="392"/>
      <c r="HHZ7" s="392"/>
      <c r="HIA7" s="392"/>
      <c r="HIB7" s="392"/>
      <c r="HIC7" s="392"/>
      <c r="HID7" s="392"/>
      <c r="HIE7" s="392"/>
      <c r="HIF7" s="392"/>
      <c r="HIG7" s="392"/>
      <c r="HIH7" s="392"/>
      <c r="HII7" s="392"/>
      <c r="HIJ7" s="392"/>
      <c r="HIK7" s="392"/>
      <c r="HIL7" s="392"/>
      <c r="HIM7" s="392"/>
      <c r="HIN7" s="392"/>
      <c r="HIO7" s="392"/>
      <c r="HIP7" s="392"/>
      <c r="HIQ7" s="392"/>
      <c r="HIR7" s="392"/>
      <c r="HIS7" s="392"/>
      <c r="HIT7" s="392"/>
      <c r="HIU7" s="392"/>
      <c r="HIV7" s="392"/>
      <c r="HIW7" s="392"/>
      <c r="HIX7" s="392"/>
      <c r="HIY7" s="392"/>
      <c r="HIZ7" s="392"/>
      <c r="HJA7" s="392"/>
      <c r="HJB7" s="392"/>
      <c r="HJC7" s="392"/>
      <c r="HJD7" s="392"/>
      <c r="HJE7" s="392"/>
      <c r="HJF7" s="392"/>
      <c r="HJG7" s="392"/>
      <c r="HJH7" s="392"/>
      <c r="HJI7" s="392"/>
      <c r="HJJ7" s="392"/>
      <c r="HJK7" s="392"/>
      <c r="HJL7" s="392"/>
      <c r="HJM7" s="392"/>
      <c r="HJN7" s="392"/>
      <c r="HJO7" s="392"/>
      <c r="HJP7" s="392"/>
      <c r="HJQ7" s="392"/>
      <c r="HJR7" s="392"/>
      <c r="HJS7" s="392"/>
      <c r="HJT7" s="392"/>
      <c r="HJU7" s="392"/>
      <c r="HJV7" s="392"/>
      <c r="HJW7" s="392"/>
      <c r="HJX7" s="392"/>
      <c r="HJY7" s="392"/>
      <c r="HJZ7" s="392"/>
      <c r="HKA7" s="392"/>
      <c r="HKB7" s="392"/>
      <c r="HKC7" s="392"/>
      <c r="HKD7" s="392"/>
      <c r="HKE7" s="392"/>
      <c r="HKF7" s="392"/>
      <c r="HKG7" s="392"/>
      <c r="HKH7" s="392"/>
      <c r="HKI7" s="392"/>
      <c r="HKJ7" s="392"/>
      <c r="HKK7" s="392"/>
      <c r="HKL7" s="392"/>
      <c r="HKM7" s="392"/>
      <c r="HKN7" s="392"/>
      <c r="HKO7" s="392"/>
      <c r="HKP7" s="392"/>
      <c r="HKQ7" s="392"/>
      <c r="HKR7" s="392"/>
      <c r="HKS7" s="392"/>
      <c r="HKT7" s="392"/>
      <c r="HKU7" s="392"/>
      <c r="HKV7" s="392"/>
      <c r="HKW7" s="392"/>
      <c r="HKX7" s="392"/>
      <c r="HKY7" s="392"/>
      <c r="HKZ7" s="392"/>
      <c r="HLA7" s="392"/>
      <c r="HLB7" s="392"/>
      <c r="HLC7" s="392"/>
      <c r="HLD7" s="392"/>
      <c r="HLE7" s="392"/>
      <c r="HLF7" s="392"/>
      <c r="HLG7" s="392"/>
      <c r="HLH7" s="392"/>
      <c r="HLI7" s="392"/>
      <c r="HLJ7" s="392"/>
      <c r="HLK7" s="392"/>
      <c r="HLL7" s="392"/>
      <c r="HLM7" s="392"/>
      <c r="HLN7" s="392"/>
      <c r="HLO7" s="392"/>
      <c r="HLP7" s="392"/>
      <c r="HLQ7" s="392"/>
      <c r="HLR7" s="392"/>
      <c r="HLS7" s="392"/>
      <c r="HLT7" s="392"/>
      <c r="HLU7" s="392"/>
      <c r="HLV7" s="392"/>
      <c r="HLW7" s="392"/>
      <c r="HLX7" s="392"/>
      <c r="HLY7" s="392"/>
      <c r="HLZ7" s="392"/>
      <c r="HMA7" s="392"/>
      <c r="HMB7" s="392"/>
      <c r="HMC7" s="392"/>
      <c r="HMD7" s="392"/>
      <c r="HME7" s="392"/>
      <c r="HMF7" s="392"/>
      <c r="HMG7" s="392"/>
      <c r="HMH7" s="392"/>
      <c r="HMI7" s="392"/>
      <c r="HMJ7" s="392"/>
      <c r="HMK7" s="392"/>
      <c r="HML7" s="392"/>
      <c r="HMM7" s="392"/>
      <c r="HMN7" s="392"/>
      <c r="HMO7" s="392"/>
      <c r="HMP7" s="392"/>
      <c r="HMQ7" s="392"/>
      <c r="HMR7" s="392"/>
      <c r="HMS7" s="392"/>
      <c r="HMT7" s="392"/>
      <c r="HMU7" s="392"/>
      <c r="HMV7" s="392"/>
      <c r="HMW7" s="392"/>
      <c r="HMX7" s="392"/>
      <c r="HMY7" s="392"/>
      <c r="HMZ7" s="392"/>
      <c r="HNA7" s="392"/>
      <c r="HNB7" s="392"/>
      <c r="HNC7" s="392"/>
      <c r="HND7" s="392"/>
      <c r="HNE7" s="392"/>
      <c r="HNF7" s="392"/>
      <c r="HNG7" s="392"/>
      <c r="HNH7" s="392"/>
      <c r="HNI7" s="392"/>
      <c r="HNJ7" s="392"/>
      <c r="HNK7" s="392"/>
      <c r="HNL7" s="392"/>
      <c r="HNM7" s="392"/>
      <c r="HNN7" s="392"/>
      <c r="HNO7" s="392"/>
      <c r="HNP7" s="392"/>
      <c r="HNQ7" s="392"/>
      <c r="HNR7" s="392"/>
      <c r="HNS7" s="392"/>
      <c r="HNT7" s="392"/>
      <c r="HNU7" s="392"/>
      <c r="HNV7" s="392"/>
      <c r="HNW7" s="392"/>
      <c r="HNX7" s="392"/>
      <c r="HNY7" s="392"/>
      <c r="HNZ7" s="392"/>
      <c r="HOA7" s="392"/>
      <c r="HOB7" s="392"/>
      <c r="HOC7" s="392"/>
      <c r="HOD7" s="392"/>
      <c r="HOE7" s="392"/>
      <c r="HOF7" s="392"/>
      <c r="HOG7" s="392"/>
      <c r="HOH7" s="392"/>
      <c r="HOI7" s="392"/>
      <c r="HOJ7" s="392"/>
      <c r="HOK7" s="392"/>
      <c r="HOL7" s="392"/>
      <c r="HOM7" s="392"/>
      <c r="HON7" s="392"/>
      <c r="HOO7" s="392"/>
      <c r="HOP7" s="392"/>
      <c r="HOQ7" s="392"/>
      <c r="HOR7" s="392"/>
      <c r="HOS7" s="392"/>
      <c r="HOT7" s="392"/>
      <c r="HOU7" s="392"/>
      <c r="HOV7" s="392"/>
      <c r="HOW7" s="392"/>
      <c r="HOX7" s="392"/>
      <c r="HOY7" s="392"/>
      <c r="HOZ7" s="392"/>
      <c r="HPA7" s="392"/>
      <c r="HPB7" s="392"/>
      <c r="HPC7" s="392"/>
      <c r="HPD7" s="392"/>
      <c r="HPE7" s="392"/>
      <c r="HPF7" s="392"/>
      <c r="HPG7" s="392"/>
      <c r="HPH7" s="392"/>
      <c r="HPI7" s="392"/>
      <c r="HPJ7" s="392"/>
      <c r="HPK7" s="392"/>
      <c r="HPL7" s="392"/>
      <c r="HPM7" s="392"/>
      <c r="HPN7" s="392"/>
      <c r="HPO7" s="392"/>
      <c r="HPP7" s="392"/>
      <c r="HPQ7" s="392"/>
      <c r="HPR7" s="392"/>
      <c r="HPS7" s="392"/>
      <c r="HPT7" s="392"/>
      <c r="HPU7" s="392"/>
      <c r="HPV7" s="392"/>
      <c r="HPW7" s="392"/>
      <c r="HPX7" s="392"/>
      <c r="HPY7" s="392"/>
      <c r="HPZ7" s="392"/>
      <c r="HQA7" s="392"/>
      <c r="HQB7" s="392"/>
      <c r="HQC7" s="392"/>
      <c r="HQD7" s="392"/>
      <c r="HQE7" s="392"/>
      <c r="HQF7" s="392"/>
      <c r="HQG7" s="392"/>
      <c r="HQH7" s="392"/>
      <c r="HQI7" s="392"/>
      <c r="HQJ7" s="392"/>
      <c r="HQK7" s="392"/>
      <c r="HQL7" s="392"/>
      <c r="HQM7" s="392"/>
      <c r="HQN7" s="392"/>
      <c r="HQO7" s="392"/>
      <c r="HQP7" s="392"/>
      <c r="HQQ7" s="392"/>
      <c r="HQR7" s="392"/>
      <c r="HQS7" s="392"/>
      <c r="HQT7" s="392"/>
      <c r="HQU7" s="392"/>
      <c r="HQV7" s="392"/>
      <c r="HQW7" s="392"/>
      <c r="HQX7" s="392"/>
      <c r="HQY7" s="392"/>
      <c r="HQZ7" s="392"/>
      <c r="HRA7" s="392"/>
      <c r="HRB7" s="392"/>
      <c r="HRC7" s="392"/>
      <c r="HRD7" s="392"/>
      <c r="HRE7" s="392"/>
      <c r="HRF7" s="392"/>
      <c r="HRG7" s="392"/>
      <c r="HRH7" s="392"/>
      <c r="HRI7" s="392"/>
      <c r="HRJ7" s="392"/>
      <c r="HRK7" s="392"/>
      <c r="HRL7" s="392"/>
      <c r="HRM7" s="392"/>
      <c r="HRN7" s="392"/>
      <c r="HRO7" s="392"/>
      <c r="HRP7" s="392"/>
      <c r="HRQ7" s="392"/>
      <c r="HRR7" s="392"/>
      <c r="HRS7" s="392"/>
      <c r="HRT7" s="392"/>
      <c r="HRU7" s="392"/>
      <c r="HRV7" s="392"/>
      <c r="HRW7" s="392"/>
      <c r="HRX7" s="392"/>
      <c r="HRY7" s="392"/>
      <c r="HRZ7" s="392"/>
      <c r="HSA7" s="392"/>
      <c r="HSB7" s="392"/>
      <c r="HSC7" s="392"/>
      <c r="HSD7" s="392"/>
      <c r="HSE7" s="392"/>
      <c r="HSF7" s="392"/>
      <c r="HSG7" s="392"/>
      <c r="HSH7" s="392"/>
      <c r="HSI7" s="392"/>
      <c r="HSJ7" s="392"/>
      <c r="HSK7" s="392"/>
      <c r="HSL7" s="392"/>
      <c r="HSM7" s="392"/>
      <c r="HSN7" s="392"/>
      <c r="HSO7" s="392"/>
      <c r="HSP7" s="392"/>
      <c r="HSQ7" s="392"/>
      <c r="HSR7" s="392"/>
      <c r="HSS7" s="392"/>
      <c r="HST7" s="392"/>
      <c r="HSU7" s="392"/>
      <c r="HSV7" s="392"/>
      <c r="HSW7" s="392"/>
      <c r="HSX7" s="392"/>
      <c r="HSY7" s="392"/>
      <c r="HSZ7" s="392"/>
      <c r="HTA7" s="392"/>
      <c r="HTB7" s="392"/>
      <c r="HTC7" s="392"/>
      <c r="HTD7" s="392"/>
      <c r="HTE7" s="392"/>
      <c r="HTF7" s="392"/>
      <c r="HTG7" s="392"/>
      <c r="HTH7" s="392"/>
      <c r="HTI7" s="392"/>
      <c r="HTJ7" s="392"/>
      <c r="HTK7" s="392"/>
      <c r="HTL7" s="392"/>
      <c r="HTM7" s="392"/>
      <c r="HTN7" s="392"/>
      <c r="HTO7" s="392"/>
      <c r="HTP7" s="392"/>
      <c r="HTQ7" s="392"/>
      <c r="HTR7" s="392"/>
      <c r="HTS7" s="392"/>
      <c r="HTT7" s="392"/>
      <c r="HTU7" s="392"/>
      <c r="HTV7" s="392"/>
      <c r="HTW7" s="392"/>
      <c r="HTX7" s="392"/>
      <c r="HTY7" s="392"/>
      <c r="HTZ7" s="392"/>
      <c r="HUA7" s="392"/>
      <c r="HUB7" s="392"/>
      <c r="HUC7" s="392"/>
      <c r="HUD7" s="392"/>
      <c r="HUE7" s="392"/>
      <c r="HUF7" s="392"/>
      <c r="HUG7" s="392"/>
      <c r="HUH7" s="392"/>
      <c r="HUI7" s="392"/>
      <c r="HUJ7" s="392"/>
      <c r="HUK7" s="392"/>
      <c r="HUL7" s="392"/>
      <c r="HUM7" s="392"/>
      <c r="HUN7" s="392"/>
      <c r="HUO7" s="392"/>
      <c r="HUP7" s="392"/>
      <c r="HUQ7" s="392"/>
      <c r="HUR7" s="392"/>
      <c r="HUS7" s="392"/>
      <c r="HUT7" s="392"/>
      <c r="HUU7" s="392"/>
      <c r="HUV7" s="392"/>
      <c r="HUW7" s="392"/>
      <c r="HUX7" s="392"/>
      <c r="HUY7" s="392"/>
      <c r="HUZ7" s="392"/>
      <c r="HVA7" s="392"/>
      <c r="HVB7" s="392"/>
      <c r="HVC7" s="392"/>
      <c r="HVD7" s="392"/>
      <c r="HVE7" s="392"/>
      <c r="HVF7" s="392"/>
      <c r="HVG7" s="392"/>
      <c r="HVH7" s="392"/>
      <c r="HVI7" s="392"/>
      <c r="HVJ7" s="392"/>
      <c r="HVK7" s="392"/>
      <c r="HVL7" s="392"/>
      <c r="HVM7" s="392"/>
      <c r="HVN7" s="392"/>
      <c r="HVO7" s="392"/>
      <c r="HVP7" s="392"/>
      <c r="HVQ7" s="392"/>
      <c r="HVR7" s="392"/>
      <c r="HVS7" s="392"/>
      <c r="HVT7" s="392"/>
      <c r="HVU7" s="392"/>
      <c r="HVV7" s="392"/>
      <c r="HVW7" s="392"/>
      <c r="HVX7" s="392"/>
      <c r="HVY7" s="392"/>
      <c r="HVZ7" s="392"/>
      <c r="HWA7" s="392"/>
      <c r="HWB7" s="392"/>
      <c r="HWC7" s="392"/>
      <c r="HWD7" s="392"/>
      <c r="HWE7" s="392"/>
      <c r="HWF7" s="392"/>
      <c r="HWG7" s="392"/>
      <c r="HWH7" s="392"/>
      <c r="HWI7" s="392"/>
      <c r="HWJ7" s="392"/>
      <c r="HWK7" s="392"/>
      <c r="HWL7" s="392"/>
      <c r="HWM7" s="392"/>
      <c r="HWN7" s="392"/>
      <c r="HWO7" s="392"/>
      <c r="HWP7" s="392"/>
      <c r="HWQ7" s="392"/>
      <c r="HWR7" s="392"/>
      <c r="HWS7" s="392"/>
      <c r="HWT7" s="392"/>
      <c r="HWU7" s="392"/>
      <c r="HWV7" s="392"/>
      <c r="HWW7" s="392"/>
      <c r="HWX7" s="392"/>
      <c r="HWY7" s="392"/>
      <c r="HWZ7" s="392"/>
      <c r="HXA7" s="392"/>
      <c r="HXB7" s="392"/>
      <c r="HXC7" s="392"/>
      <c r="HXD7" s="392"/>
      <c r="HXE7" s="392"/>
      <c r="HXF7" s="392"/>
      <c r="HXG7" s="392"/>
      <c r="HXH7" s="392"/>
      <c r="HXI7" s="392"/>
      <c r="HXJ7" s="392"/>
      <c r="HXK7" s="392"/>
      <c r="HXL7" s="392"/>
      <c r="HXM7" s="392"/>
      <c r="HXN7" s="392"/>
      <c r="HXO7" s="392"/>
      <c r="HXP7" s="392"/>
      <c r="HXQ7" s="392"/>
      <c r="HXR7" s="392"/>
      <c r="HXS7" s="392"/>
      <c r="HXT7" s="392"/>
      <c r="HXU7" s="392"/>
      <c r="HXV7" s="392"/>
      <c r="HXW7" s="392"/>
      <c r="HXX7" s="392"/>
      <c r="HXY7" s="392"/>
      <c r="HXZ7" s="392"/>
      <c r="HYA7" s="392"/>
      <c r="HYB7" s="392"/>
      <c r="HYC7" s="392"/>
      <c r="HYD7" s="392"/>
      <c r="HYE7" s="392"/>
      <c r="HYF7" s="392"/>
      <c r="HYG7" s="392"/>
      <c r="HYH7" s="392"/>
      <c r="HYI7" s="392"/>
      <c r="HYJ7" s="392"/>
      <c r="HYK7" s="392"/>
      <c r="HYL7" s="392"/>
      <c r="HYM7" s="392"/>
      <c r="HYN7" s="392"/>
      <c r="HYO7" s="392"/>
      <c r="HYP7" s="392"/>
      <c r="HYQ7" s="392"/>
      <c r="HYR7" s="392"/>
      <c r="HYS7" s="392"/>
      <c r="HYT7" s="392"/>
      <c r="HYU7" s="392"/>
      <c r="HYV7" s="392"/>
      <c r="HYW7" s="392"/>
      <c r="HYX7" s="392"/>
      <c r="HYY7" s="392"/>
      <c r="HYZ7" s="392"/>
      <c r="HZA7" s="392"/>
      <c r="HZB7" s="392"/>
      <c r="HZC7" s="392"/>
      <c r="HZD7" s="392"/>
      <c r="HZE7" s="392"/>
      <c r="HZF7" s="392"/>
      <c r="HZG7" s="392"/>
      <c r="HZH7" s="392"/>
      <c r="HZI7" s="392"/>
      <c r="HZJ7" s="392"/>
      <c r="HZK7" s="392"/>
      <c r="HZL7" s="392"/>
      <c r="HZM7" s="392"/>
      <c r="HZN7" s="392"/>
      <c r="HZO7" s="392"/>
      <c r="HZP7" s="392"/>
      <c r="HZQ7" s="392"/>
      <c r="HZR7" s="392"/>
      <c r="HZS7" s="392"/>
      <c r="HZT7" s="392"/>
      <c r="HZU7" s="392"/>
      <c r="HZV7" s="392"/>
      <c r="HZW7" s="392"/>
      <c r="HZX7" s="392"/>
      <c r="HZY7" s="392"/>
      <c r="HZZ7" s="392"/>
      <c r="IAA7" s="392"/>
      <c r="IAB7" s="392"/>
      <c r="IAC7" s="392"/>
      <c r="IAD7" s="392"/>
      <c r="IAE7" s="392"/>
      <c r="IAF7" s="392"/>
      <c r="IAG7" s="392"/>
      <c r="IAH7" s="392"/>
      <c r="IAI7" s="392"/>
      <c r="IAJ7" s="392"/>
      <c r="IAK7" s="392"/>
      <c r="IAL7" s="392"/>
      <c r="IAM7" s="392"/>
      <c r="IAN7" s="392"/>
      <c r="IAO7" s="392"/>
      <c r="IAP7" s="392"/>
      <c r="IAQ7" s="392"/>
      <c r="IAR7" s="392"/>
      <c r="IAS7" s="392"/>
      <c r="IAT7" s="392"/>
      <c r="IAU7" s="392"/>
      <c r="IAV7" s="392"/>
      <c r="IAW7" s="392"/>
      <c r="IAX7" s="392"/>
      <c r="IAY7" s="392"/>
      <c r="IAZ7" s="392"/>
      <c r="IBA7" s="392"/>
      <c r="IBB7" s="392"/>
      <c r="IBC7" s="392"/>
      <c r="IBD7" s="392"/>
      <c r="IBE7" s="392"/>
      <c r="IBF7" s="392"/>
      <c r="IBG7" s="392"/>
      <c r="IBH7" s="392"/>
      <c r="IBI7" s="392"/>
      <c r="IBJ7" s="392"/>
      <c r="IBK7" s="392"/>
      <c r="IBL7" s="392"/>
      <c r="IBM7" s="392"/>
      <c r="IBN7" s="392"/>
      <c r="IBO7" s="392"/>
      <c r="IBP7" s="392"/>
      <c r="IBQ7" s="392"/>
      <c r="IBR7" s="392"/>
      <c r="IBS7" s="392"/>
      <c r="IBT7" s="392"/>
      <c r="IBU7" s="392"/>
      <c r="IBV7" s="392"/>
      <c r="IBW7" s="392"/>
      <c r="IBX7" s="392"/>
      <c r="IBY7" s="392"/>
      <c r="IBZ7" s="392"/>
      <c r="ICA7" s="392"/>
      <c r="ICB7" s="392"/>
      <c r="ICC7" s="392"/>
      <c r="ICD7" s="392"/>
      <c r="ICE7" s="392"/>
      <c r="ICF7" s="392"/>
      <c r="ICG7" s="392"/>
      <c r="ICH7" s="392"/>
      <c r="ICI7" s="392"/>
      <c r="ICJ7" s="392"/>
      <c r="ICK7" s="392"/>
      <c r="ICL7" s="392"/>
      <c r="ICM7" s="392"/>
      <c r="ICN7" s="392"/>
      <c r="ICO7" s="392"/>
      <c r="ICP7" s="392"/>
      <c r="ICQ7" s="392"/>
      <c r="ICR7" s="392"/>
      <c r="ICS7" s="392"/>
      <c r="ICT7" s="392"/>
      <c r="ICU7" s="392"/>
      <c r="ICV7" s="392"/>
      <c r="ICW7" s="392"/>
      <c r="ICX7" s="392"/>
      <c r="ICY7" s="392"/>
      <c r="ICZ7" s="392"/>
      <c r="IDA7" s="392"/>
      <c r="IDB7" s="392"/>
      <c r="IDC7" s="392"/>
      <c r="IDD7" s="392"/>
      <c r="IDE7" s="392"/>
      <c r="IDF7" s="392"/>
      <c r="IDG7" s="392"/>
      <c r="IDH7" s="392"/>
      <c r="IDI7" s="392"/>
      <c r="IDJ7" s="392"/>
      <c r="IDK7" s="392"/>
      <c r="IDL7" s="392"/>
      <c r="IDM7" s="392"/>
      <c r="IDN7" s="392"/>
      <c r="IDO7" s="392"/>
      <c r="IDP7" s="392"/>
      <c r="IDQ7" s="392"/>
      <c r="IDR7" s="392"/>
      <c r="IDS7" s="392"/>
      <c r="IDT7" s="392"/>
      <c r="IDU7" s="392"/>
      <c r="IDV7" s="392"/>
      <c r="IDW7" s="392"/>
      <c r="IDX7" s="392"/>
      <c r="IDY7" s="392"/>
      <c r="IDZ7" s="392"/>
      <c r="IEA7" s="392"/>
      <c r="IEB7" s="392"/>
      <c r="IEC7" s="392"/>
      <c r="IED7" s="392"/>
      <c r="IEE7" s="392"/>
      <c r="IEF7" s="392"/>
      <c r="IEG7" s="392"/>
      <c r="IEH7" s="392"/>
      <c r="IEI7" s="392"/>
      <c r="IEJ7" s="392"/>
      <c r="IEK7" s="392"/>
      <c r="IEL7" s="392"/>
      <c r="IEM7" s="392"/>
      <c r="IEN7" s="392"/>
      <c r="IEO7" s="392"/>
      <c r="IEP7" s="392"/>
      <c r="IEQ7" s="392"/>
      <c r="IER7" s="392"/>
      <c r="IES7" s="392"/>
      <c r="IET7" s="392"/>
      <c r="IEU7" s="392"/>
      <c r="IEV7" s="392"/>
      <c r="IEW7" s="392"/>
      <c r="IEX7" s="392"/>
      <c r="IEY7" s="392"/>
      <c r="IEZ7" s="392"/>
      <c r="IFA7" s="392"/>
      <c r="IFB7" s="392"/>
      <c r="IFC7" s="392"/>
      <c r="IFD7" s="392"/>
      <c r="IFE7" s="392"/>
      <c r="IFF7" s="392"/>
      <c r="IFG7" s="392"/>
      <c r="IFH7" s="392"/>
      <c r="IFI7" s="392"/>
      <c r="IFJ7" s="392"/>
      <c r="IFK7" s="392"/>
      <c r="IFL7" s="392"/>
      <c r="IFM7" s="392"/>
      <c r="IFN7" s="392"/>
      <c r="IFO7" s="392"/>
      <c r="IFP7" s="392"/>
      <c r="IFQ7" s="392"/>
      <c r="IFR7" s="392"/>
      <c r="IFS7" s="392"/>
      <c r="IFT7" s="392"/>
      <c r="IFU7" s="392"/>
      <c r="IFV7" s="392"/>
      <c r="IFW7" s="392"/>
      <c r="IFX7" s="392"/>
      <c r="IFY7" s="392"/>
      <c r="IFZ7" s="392"/>
      <c r="IGA7" s="392"/>
      <c r="IGB7" s="392"/>
      <c r="IGC7" s="392"/>
      <c r="IGD7" s="392"/>
      <c r="IGE7" s="392"/>
      <c r="IGF7" s="392"/>
      <c r="IGG7" s="392"/>
      <c r="IGH7" s="392"/>
      <c r="IGI7" s="392"/>
      <c r="IGJ7" s="392"/>
      <c r="IGK7" s="392"/>
      <c r="IGL7" s="392"/>
      <c r="IGM7" s="392"/>
      <c r="IGN7" s="392"/>
      <c r="IGO7" s="392"/>
      <c r="IGP7" s="392"/>
      <c r="IGQ7" s="392"/>
      <c r="IGR7" s="392"/>
      <c r="IGS7" s="392"/>
      <c r="IGT7" s="392"/>
      <c r="IGU7" s="392"/>
      <c r="IGV7" s="392"/>
      <c r="IGW7" s="392"/>
      <c r="IGX7" s="392"/>
      <c r="IGY7" s="392"/>
      <c r="IGZ7" s="392"/>
      <c r="IHA7" s="392"/>
      <c r="IHB7" s="392"/>
      <c r="IHC7" s="392"/>
      <c r="IHD7" s="392"/>
      <c r="IHE7" s="392"/>
      <c r="IHF7" s="392"/>
      <c r="IHG7" s="392"/>
      <c r="IHH7" s="392"/>
      <c r="IHI7" s="392"/>
      <c r="IHJ7" s="392"/>
      <c r="IHK7" s="392"/>
      <c r="IHL7" s="392"/>
      <c r="IHM7" s="392"/>
      <c r="IHN7" s="392"/>
      <c r="IHO7" s="392"/>
      <c r="IHP7" s="392"/>
      <c r="IHQ7" s="392"/>
      <c r="IHR7" s="392"/>
      <c r="IHS7" s="392"/>
      <c r="IHT7" s="392"/>
      <c r="IHU7" s="392"/>
      <c r="IHV7" s="392"/>
      <c r="IHW7" s="392"/>
      <c r="IHX7" s="392"/>
      <c r="IHY7" s="392"/>
      <c r="IHZ7" s="392"/>
      <c r="IIA7" s="392"/>
      <c r="IIB7" s="392"/>
      <c r="IIC7" s="392"/>
      <c r="IID7" s="392"/>
      <c r="IIE7" s="392"/>
      <c r="IIF7" s="392"/>
      <c r="IIG7" s="392"/>
      <c r="IIH7" s="392"/>
      <c r="III7" s="392"/>
      <c r="IIJ7" s="392"/>
      <c r="IIK7" s="392"/>
      <c r="IIL7" s="392"/>
      <c r="IIM7" s="392"/>
      <c r="IIN7" s="392"/>
      <c r="IIO7" s="392"/>
      <c r="IIP7" s="392"/>
      <c r="IIQ7" s="392"/>
      <c r="IIR7" s="392"/>
      <c r="IIS7" s="392"/>
      <c r="IIT7" s="392"/>
      <c r="IIU7" s="392"/>
      <c r="IIV7" s="392"/>
      <c r="IIW7" s="392"/>
      <c r="IIX7" s="392"/>
      <c r="IIY7" s="392"/>
      <c r="IIZ7" s="392"/>
      <c r="IJA7" s="392"/>
      <c r="IJB7" s="392"/>
      <c r="IJC7" s="392"/>
      <c r="IJD7" s="392"/>
      <c r="IJE7" s="392"/>
      <c r="IJF7" s="392"/>
      <c r="IJG7" s="392"/>
      <c r="IJH7" s="392"/>
      <c r="IJI7" s="392"/>
      <c r="IJJ7" s="392"/>
      <c r="IJK7" s="392"/>
      <c r="IJL7" s="392"/>
      <c r="IJM7" s="392"/>
      <c r="IJN7" s="392"/>
      <c r="IJO7" s="392"/>
      <c r="IJP7" s="392"/>
      <c r="IJQ7" s="392"/>
      <c r="IJR7" s="392"/>
      <c r="IJS7" s="392"/>
      <c r="IJT7" s="392"/>
      <c r="IJU7" s="392"/>
      <c r="IJV7" s="392"/>
      <c r="IJW7" s="392"/>
      <c r="IJX7" s="392"/>
      <c r="IJY7" s="392"/>
      <c r="IJZ7" s="392"/>
      <c r="IKA7" s="392"/>
      <c r="IKB7" s="392"/>
      <c r="IKC7" s="392"/>
      <c r="IKD7" s="392"/>
      <c r="IKE7" s="392"/>
      <c r="IKF7" s="392"/>
      <c r="IKG7" s="392"/>
      <c r="IKH7" s="392"/>
      <c r="IKI7" s="392"/>
      <c r="IKJ7" s="392"/>
      <c r="IKK7" s="392"/>
      <c r="IKL7" s="392"/>
      <c r="IKM7" s="392"/>
      <c r="IKN7" s="392"/>
      <c r="IKO7" s="392"/>
      <c r="IKP7" s="392"/>
      <c r="IKQ7" s="392"/>
      <c r="IKR7" s="392"/>
      <c r="IKS7" s="392"/>
      <c r="IKT7" s="392"/>
      <c r="IKU7" s="392"/>
      <c r="IKV7" s="392"/>
      <c r="IKW7" s="392"/>
      <c r="IKX7" s="392"/>
      <c r="IKY7" s="392"/>
      <c r="IKZ7" s="392"/>
      <c r="ILA7" s="392"/>
      <c r="ILB7" s="392"/>
      <c r="ILC7" s="392"/>
      <c r="ILD7" s="392"/>
      <c r="ILE7" s="392"/>
      <c r="ILF7" s="392"/>
      <c r="ILG7" s="392"/>
      <c r="ILH7" s="392"/>
      <c r="ILI7" s="392"/>
      <c r="ILJ7" s="392"/>
      <c r="ILK7" s="392"/>
      <c r="ILL7" s="392"/>
      <c r="ILM7" s="392"/>
      <c r="ILN7" s="392"/>
      <c r="ILO7" s="392"/>
      <c r="ILP7" s="392"/>
      <c r="ILQ7" s="392"/>
      <c r="ILR7" s="392"/>
      <c r="ILS7" s="392"/>
      <c r="ILT7" s="392"/>
      <c r="ILU7" s="392"/>
      <c r="ILV7" s="392"/>
      <c r="ILW7" s="392"/>
      <c r="ILX7" s="392"/>
      <c r="ILY7" s="392"/>
      <c r="ILZ7" s="392"/>
      <c r="IMA7" s="392"/>
      <c r="IMB7" s="392"/>
      <c r="IMC7" s="392"/>
      <c r="IMD7" s="392"/>
      <c r="IME7" s="392"/>
      <c r="IMF7" s="392"/>
      <c r="IMG7" s="392"/>
      <c r="IMH7" s="392"/>
      <c r="IMI7" s="392"/>
      <c r="IMJ7" s="392"/>
      <c r="IMK7" s="392"/>
      <c r="IML7" s="392"/>
      <c r="IMM7" s="392"/>
      <c r="IMN7" s="392"/>
      <c r="IMO7" s="392"/>
      <c r="IMP7" s="392"/>
      <c r="IMQ7" s="392"/>
      <c r="IMR7" s="392"/>
      <c r="IMS7" s="392"/>
      <c r="IMT7" s="392"/>
      <c r="IMU7" s="392"/>
      <c r="IMV7" s="392"/>
      <c r="IMW7" s="392"/>
      <c r="IMX7" s="392"/>
      <c r="IMY7" s="392"/>
      <c r="IMZ7" s="392"/>
      <c r="INA7" s="392"/>
      <c r="INB7" s="392"/>
      <c r="INC7" s="392"/>
      <c r="IND7" s="392"/>
      <c r="INE7" s="392"/>
      <c r="INF7" s="392"/>
      <c r="ING7" s="392"/>
      <c r="INH7" s="392"/>
      <c r="INI7" s="392"/>
      <c r="INJ7" s="392"/>
      <c r="INK7" s="392"/>
      <c r="INL7" s="392"/>
      <c r="INM7" s="392"/>
      <c r="INN7" s="392"/>
      <c r="INO7" s="392"/>
      <c r="INP7" s="392"/>
      <c r="INQ7" s="392"/>
      <c r="INR7" s="392"/>
      <c r="INS7" s="392"/>
      <c r="INT7" s="392"/>
      <c r="INU7" s="392"/>
      <c r="INV7" s="392"/>
      <c r="INW7" s="392"/>
      <c r="INX7" s="392"/>
      <c r="INY7" s="392"/>
      <c r="INZ7" s="392"/>
      <c r="IOA7" s="392"/>
      <c r="IOB7" s="392"/>
      <c r="IOC7" s="392"/>
      <c r="IOD7" s="392"/>
      <c r="IOE7" s="392"/>
      <c r="IOF7" s="392"/>
      <c r="IOG7" s="392"/>
      <c r="IOH7" s="392"/>
      <c r="IOI7" s="392"/>
      <c r="IOJ7" s="392"/>
      <c r="IOK7" s="392"/>
      <c r="IOL7" s="392"/>
      <c r="IOM7" s="392"/>
      <c r="ION7" s="392"/>
      <c r="IOO7" s="392"/>
      <c r="IOP7" s="392"/>
      <c r="IOQ7" s="392"/>
      <c r="IOR7" s="392"/>
      <c r="IOS7" s="392"/>
      <c r="IOT7" s="392"/>
      <c r="IOU7" s="392"/>
      <c r="IOV7" s="392"/>
      <c r="IOW7" s="392"/>
      <c r="IOX7" s="392"/>
      <c r="IOY7" s="392"/>
      <c r="IOZ7" s="392"/>
      <c r="IPA7" s="392"/>
      <c r="IPB7" s="392"/>
      <c r="IPC7" s="392"/>
      <c r="IPD7" s="392"/>
      <c r="IPE7" s="392"/>
      <c r="IPF7" s="392"/>
      <c r="IPG7" s="392"/>
      <c r="IPH7" s="392"/>
      <c r="IPI7" s="392"/>
      <c r="IPJ7" s="392"/>
      <c r="IPK7" s="392"/>
      <c r="IPL7" s="392"/>
      <c r="IPM7" s="392"/>
      <c r="IPN7" s="392"/>
      <c r="IPO7" s="392"/>
      <c r="IPP7" s="392"/>
      <c r="IPQ7" s="392"/>
      <c r="IPR7" s="392"/>
      <c r="IPS7" s="392"/>
      <c r="IPT7" s="392"/>
      <c r="IPU7" s="392"/>
      <c r="IPV7" s="392"/>
      <c r="IPW7" s="392"/>
      <c r="IPX7" s="392"/>
      <c r="IPY7" s="392"/>
      <c r="IPZ7" s="392"/>
      <c r="IQA7" s="392"/>
      <c r="IQB7" s="392"/>
      <c r="IQC7" s="392"/>
      <c r="IQD7" s="392"/>
      <c r="IQE7" s="392"/>
      <c r="IQF7" s="392"/>
      <c r="IQG7" s="392"/>
      <c r="IQH7" s="392"/>
      <c r="IQI7" s="392"/>
      <c r="IQJ7" s="392"/>
      <c r="IQK7" s="392"/>
      <c r="IQL7" s="392"/>
      <c r="IQM7" s="392"/>
      <c r="IQN7" s="392"/>
      <c r="IQO7" s="392"/>
      <c r="IQP7" s="392"/>
      <c r="IQQ7" s="392"/>
      <c r="IQR7" s="392"/>
      <c r="IQS7" s="392"/>
      <c r="IQT7" s="392"/>
      <c r="IQU7" s="392"/>
      <c r="IQV7" s="392"/>
      <c r="IQW7" s="392"/>
      <c r="IQX7" s="392"/>
      <c r="IQY7" s="392"/>
      <c r="IQZ7" s="392"/>
      <c r="IRA7" s="392"/>
      <c r="IRB7" s="392"/>
      <c r="IRC7" s="392"/>
      <c r="IRD7" s="392"/>
      <c r="IRE7" s="392"/>
      <c r="IRF7" s="392"/>
      <c r="IRG7" s="392"/>
      <c r="IRH7" s="392"/>
      <c r="IRI7" s="392"/>
      <c r="IRJ7" s="392"/>
      <c r="IRK7" s="392"/>
      <c r="IRL7" s="392"/>
      <c r="IRM7" s="392"/>
      <c r="IRN7" s="392"/>
      <c r="IRO7" s="392"/>
      <c r="IRP7" s="392"/>
      <c r="IRQ7" s="392"/>
      <c r="IRR7" s="392"/>
      <c r="IRS7" s="392"/>
      <c r="IRT7" s="392"/>
      <c r="IRU7" s="392"/>
      <c r="IRV7" s="392"/>
      <c r="IRW7" s="392"/>
      <c r="IRX7" s="392"/>
      <c r="IRY7" s="392"/>
      <c r="IRZ7" s="392"/>
      <c r="ISA7" s="392"/>
      <c r="ISB7" s="392"/>
      <c r="ISC7" s="392"/>
      <c r="ISD7" s="392"/>
      <c r="ISE7" s="392"/>
      <c r="ISF7" s="392"/>
      <c r="ISG7" s="392"/>
      <c r="ISH7" s="392"/>
      <c r="ISI7" s="392"/>
      <c r="ISJ7" s="392"/>
      <c r="ISK7" s="392"/>
      <c r="ISL7" s="392"/>
      <c r="ISM7" s="392"/>
      <c r="ISN7" s="392"/>
      <c r="ISO7" s="392"/>
      <c r="ISP7" s="392"/>
      <c r="ISQ7" s="392"/>
      <c r="ISR7" s="392"/>
      <c r="ISS7" s="392"/>
      <c r="IST7" s="392"/>
      <c r="ISU7" s="392"/>
      <c r="ISV7" s="392"/>
      <c r="ISW7" s="392"/>
      <c r="ISX7" s="392"/>
      <c r="ISY7" s="392"/>
      <c r="ISZ7" s="392"/>
      <c r="ITA7" s="392"/>
      <c r="ITB7" s="392"/>
      <c r="ITC7" s="392"/>
      <c r="ITD7" s="392"/>
      <c r="ITE7" s="392"/>
      <c r="ITF7" s="392"/>
      <c r="ITG7" s="392"/>
      <c r="ITH7" s="392"/>
      <c r="ITI7" s="392"/>
      <c r="ITJ7" s="392"/>
      <c r="ITK7" s="392"/>
      <c r="ITL7" s="392"/>
      <c r="ITM7" s="392"/>
      <c r="ITN7" s="392"/>
      <c r="ITO7" s="392"/>
      <c r="ITP7" s="392"/>
      <c r="ITQ7" s="392"/>
      <c r="ITR7" s="392"/>
      <c r="ITS7" s="392"/>
      <c r="ITT7" s="392"/>
      <c r="ITU7" s="392"/>
      <c r="ITV7" s="392"/>
      <c r="ITW7" s="392"/>
      <c r="ITX7" s="392"/>
      <c r="ITY7" s="392"/>
      <c r="ITZ7" s="392"/>
      <c r="IUA7" s="392"/>
      <c r="IUB7" s="392"/>
      <c r="IUC7" s="392"/>
      <c r="IUD7" s="392"/>
      <c r="IUE7" s="392"/>
      <c r="IUF7" s="392"/>
      <c r="IUG7" s="392"/>
      <c r="IUH7" s="392"/>
      <c r="IUI7" s="392"/>
      <c r="IUJ7" s="392"/>
      <c r="IUK7" s="392"/>
      <c r="IUL7" s="392"/>
      <c r="IUM7" s="392"/>
      <c r="IUN7" s="392"/>
      <c r="IUO7" s="392"/>
      <c r="IUP7" s="392"/>
      <c r="IUQ7" s="392"/>
      <c r="IUR7" s="392"/>
      <c r="IUS7" s="392"/>
      <c r="IUT7" s="392"/>
      <c r="IUU7" s="392"/>
      <c r="IUV7" s="392"/>
      <c r="IUW7" s="392"/>
      <c r="IUX7" s="392"/>
      <c r="IUY7" s="392"/>
      <c r="IUZ7" s="392"/>
      <c r="IVA7" s="392"/>
      <c r="IVB7" s="392"/>
      <c r="IVC7" s="392"/>
      <c r="IVD7" s="392"/>
      <c r="IVE7" s="392"/>
      <c r="IVF7" s="392"/>
      <c r="IVG7" s="392"/>
      <c r="IVH7" s="392"/>
      <c r="IVI7" s="392"/>
      <c r="IVJ7" s="392"/>
      <c r="IVK7" s="392"/>
      <c r="IVL7" s="392"/>
      <c r="IVM7" s="392"/>
      <c r="IVN7" s="392"/>
      <c r="IVO7" s="392"/>
      <c r="IVP7" s="392"/>
      <c r="IVQ7" s="392"/>
      <c r="IVR7" s="392"/>
      <c r="IVS7" s="392"/>
      <c r="IVT7" s="392"/>
      <c r="IVU7" s="392"/>
      <c r="IVV7" s="392"/>
      <c r="IVW7" s="392"/>
      <c r="IVX7" s="392"/>
      <c r="IVY7" s="392"/>
      <c r="IVZ7" s="392"/>
      <c r="IWA7" s="392"/>
      <c r="IWB7" s="392"/>
      <c r="IWC7" s="392"/>
      <c r="IWD7" s="392"/>
      <c r="IWE7" s="392"/>
      <c r="IWF7" s="392"/>
      <c r="IWG7" s="392"/>
      <c r="IWH7" s="392"/>
      <c r="IWI7" s="392"/>
      <c r="IWJ7" s="392"/>
      <c r="IWK7" s="392"/>
      <c r="IWL7" s="392"/>
      <c r="IWM7" s="392"/>
      <c r="IWN7" s="392"/>
      <c r="IWO7" s="392"/>
      <c r="IWP7" s="392"/>
      <c r="IWQ7" s="392"/>
      <c r="IWR7" s="392"/>
      <c r="IWS7" s="392"/>
      <c r="IWT7" s="392"/>
      <c r="IWU7" s="392"/>
      <c r="IWV7" s="392"/>
      <c r="IWW7" s="392"/>
      <c r="IWX7" s="392"/>
      <c r="IWY7" s="392"/>
      <c r="IWZ7" s="392"/>
      <c r="IXA7" s="392"/>
      <c r="IXB7" s="392"/>
      <c r="IXC7" s="392"/>
      <c r="IXD7" s="392"/>
      <c r="IXE7" s="392"/>
      <c r="IXF7" s="392"/>
      <c r="IXG7" s="392"/>
      <c r="IXH7" s="392"/>
      <c r="IXI7" s="392"/>
      <c r="IXJ7" s="392"/>
      <c r="IXK7" s="392"/>
      <c r="IXL7" s="392"/>
      <c r="IXM7" s="392"/>
      <c r="IXN7" s="392"/>
      <c r="IXO7" s="392"/>
      <c r="IXP7" s="392"/>
      <c r="IXQ7" s="392"/>
      <c r="IXR7" s="392"/>
      <c r="IXS7" s="392"/>
      <c r="IXT7" s="392"/>
      <c r="IXU7" s="392"/>
      <c r="IXV7" s="392"/>
      <c r="IXW7" s="392"/>
      <c r="IXX7" s="392"/>
      <c r="IXY7" s="392"/>
      <c r="IXZ7" s="392"/>
      <c r="IYA7" s="392"/>
      <c r="IYB7" s="392"/>
      <c r="IYC7" s="392"/>
      <c r="IYD7" s="392"/>
      <c r="IYE7" s="392"/>
      <c r="IYF7" s="392"/>
      <c r="IYG7" s="392"/>
      <c r="IYH7" s="392"/>
      <c r="IYI7" s="392"/>
      <c r="IYJ7" s="392"/>
      <c r="IYK7" s="392"/>
      <c r="IYL7" s="392"/>
      <c r="IYM7" s="392"/>
      <c r="IYN7" s="392"/>
      <c r="IYO7" s="392"/>
      <c r="IYP7" s="392"/>
      <c r="IYQ7" s="392"/>
      <c r="IYR7" s="392"/>
      <c r="IYS7" s="392"/>
      <c r="IYT7" s="392"/>
      <c r="IYU7" s="392"/>
      <c r="IYV7" s="392"/>
      <c r="IYW7" s="392"/>
      <c r="IYX7" s="392"/>
      <c r="IYY7" s="392"/>
      <c r="IYZ7" s="392"/>
      <c r="IZA7" s="392"/>
      <c r="IZB7" s="392"/>
      <c r="IZC7" s="392"/>
      <c r="IZD7" s="392"/>
      <c r="IZE7" s="392"/>
      <c r="IZF7" s="392"/>
      <c r="IZG7" s="392"/>
      <c r="IZH7" s="392"/>
      <c r="IZI7" s="392"/>
      <c r="IZJ7" s="392"/>
      <c r="IZK7" s="392"/>
      <c r="IZL7" s="392"/>
      <c r="IZM7" s="392"/>
      <c r="IZN7" s="392"/>
      <c r="IZO7" s="392"/>
      <c r="IZP7" s="392"/>
      <c r="IZQ7" s="392"/>
      <c r="IZR7" s="392"/>
      <c r="IZS7" s="392"/>
      <c r="IZT7" s="392"/>
      <c r="IZU7" s="392"/>
      <c r="IZV7" s="392"/>
      <c r="IZW7" s="392"/>
      <c r="IZX7" s="392"/>
      <c r="IZY7" s="392"/>
      <c r="IZZ7" s="392"/>
      <c r="JAA7" s="392"/>
      <c r="JAB7" s="392"/>
      <c r="JAC7" s="392"/>
      <c r="JAD7" s="392"/>
      <c r="JAE7" s="392"/>
      <c r="JAF7" s="392"/>
      <c r="JAG7" s="392"/>
      <c r="JAH7" s="392"/>
      <c r="JAI7" s="392"/>
      <c r="JAJ7" s="392"/>
      <c r="JAK7" s="392"/>
      <c r="JAL7" s="392"/>
      <c r="JAM7" s="392"/>
      <c r="JAN7" s="392"/>
      <c r="JAO7" s="392"/>
      <c r="JAP7" s="392"/>
      <c r="JAQ7" s="392"/>
      <c r="JAR7" s="392"/>
      <c r="JAS7" s="392"/>
      <c r="JAT7" s="392"/>
      <c r="JAU7" s="392"/>
      <c r="JAV7" s="392"/>
      <c r="JAW7" s="392"/>
      <c r="JAX7" s="392"/>
      <c r="JAY7" s="392"/>
      <c r="JAZ7" s="392"/>
      <c r="JBA7" s="392"/>
      <c r="JBB7" s="392"/>
      <c r="JBC7" s="392"/>
      <c r="JBD7" s="392"/>
      <c r="JBE7" s="392"/>
      <c r="JBF7" s="392"/>
      <c r="JBG7" s="392"/>
      <c r="JBH7" s="392"/>
      <c r="JBI7" s="392"/>
      <c r="JBJ7" s="392"/>
      <c r="JBK7" s="392"/>
      <c r="JBL7" s="392"/>
      <c r="JBM7" s="392"/>
      <c r="JBN7" s="392"/>
      <c r="JBO7" s="392"/>
      <c r="JBP7" s="392"/>
      <c r="JBQ7" s="392"/>
      <c r="JBR7" s="392"/>
      <c r="JBS7" s="392"/>
      <c r="JBT7" s="392"/>
      <c r="JBU7" s="392"/>
      <c r="JBV7" s="392"/>
      <c r="JBW7" s="392"/>
      <c r="JBX7" s="392"/>
      <c r="JBY7" s="392"/>
      <c r="JBZ7" s="392"/>
      <c r="JCA7" s="392"/>
      <c r="JCB7" s="392"/>
      <c r="JCC7" s="392"/>
      <c r="JCD7" s="392"/>
      <c r="JCE7" s="392"/>
      <c r="JCF7" s="392"/>
      <c r="JCG7" s="392"/>
      <c r="JCH7" s="392"/>
      <c r="JCI7" s="392"/>
      <c r="JCJ7" s="392"/>
      <c r="JCK7" s="392"/>
      <c r="JCL7" s="392"/>
      <c r="JCM7" s="392"/>
      <c r="JCN7" s="392"/>
      <c r="JCO7" s="392"/>
      <c r="JCP7" s="392"/>
      <c r="JCQ7" s="392"/>
      <c r="JCR7" s="392"/>
      <c r="JCS7" s="392"/>
      <c r="JCT7" s="392"/>
      <c r="JCU7" s="392"/>
      <c r="JCV7" s="392"/>
      <c r="JCW7" s="392"/>
      <c r="JCX7" s="392"/>
      <c r="JCY7" s="392"/>
      <c r="JCZ7" s="392"/>
      <c r="JDA7" s="392"/>
      <c r="JDB7" s="392"/>
      <c r="JDC7" s="392"/>
      <c r="JDD7" s="392"/>
      <c r="JDE7" s="392"/>
      <c r="JDF7" s="392"/>
      <c r="JDG7" s="392"/>
      <c r="JDH7" s="392"/>
      <c r="JDI7" s="392"/>
      <c r="JDJ7" s="392"/>
      <c r="JDK7" s="392"/>
      <c r="JDL7" s="392"/>
      <c r="JDM7" s="392"/>
      <c r="JDN7" s="392"/>
      <c r="JDO7" s="392"/>
      <c r="JDP7" s="392"/>
      <c r="JDQ7" s="392"/>
      <c r="JDR7" s="392"/>
      <c r="JDS7" s="392"/>
      <c r="JDT7" s="392"/>
      <c r="JDU7" s="392"/>
      <c r="JDV7" s="392"/>
      <c r="JDW7" s="392"/>
      <c r="JDX7" s="392"/>
      <c r="JDY7" s="392"/>
      <c r="JDZ7" s="392"/>
      <c r="JEA7" s="392"/>
      <c r="JEB7" s="392"/>
      <c r="JEC7" s="392"/>
      <c r="JED7" s="392"/>
      <c r="JEE7" s="392"/>
      <c r="JEF7" s="392"/>
      <c r="JEG7" s="392"/>
      <c r="JEH7" s="392"/>
      <c r="JEI7" s="392"/>
      <c r="JEJ7" s="392"/>
      <c r="JEK7" s="392"/>
      <c r="JEL7" s="392"/>
      <c r="JEM7" s="392"/>
      <c r="JEN7" s="392"/>
      <c r="JEO7" s="392"/>
      <c r="JEP7" s="392"/>
      <c r="JEQ7" s="392"/>
      <c r="JER7" s="392"/>
      <c r="JES7" s="392"/>
      <c r="JET7" s="392"/>
      <c r="JEU7" s="392"/>
      <c r="JEV7" s="392"/>
      <c r="JEW7" s="392"/>
      <c r="JEX7" s="392"/>
      <c r="JEY7" s="392"/>
      <c r="JEZ7" s="392"/>
      <c r="JFA7" s="392"/>
      <c r="JFB7" s="392"/>
      <c r="JFC7" s="392"/>
      <c r="JFD7" s="392"/>
      <c r="JFE7" s="392"/>
      <c r="JFF7" s="392"/>
      <c r="JFG7" s="392"/>
      <c r="JFH7" s="392"/>
      <c r="JFI7" s="392"/>
      <c r="JFJ7" s="392"/>
      <c r="JFK7" s="392"/>
      <c r="JFL7" s="392"/>
      <c r="JFM7" s="392"/>
      <c r="JFN7" s="392"/>
      <c r="JFO7" s="392"/>
      <c r="JFP7" s="392"/>
      <c r="JFQ7" s="392"/>
      <c r="JFR7" s="392"/>
      <c r="JFS7" s="392"/>
      <c r="JFT7" s="392"/>
      <c r="JFU7" s="392"/>
      <c r="JFV7" s="392"/>
      <c r="JFW7" s="392"/>
      <c r="JFX7" s="392"/>
      <c r="JFY7" s="392"/>
      <c r="JFZ7" s="392"/>
      <c r="JGA7" s="392"/>
      <c r="JGB7" s="392"/>
      <c r="JGC7" s="392"/>
      <c r="JGD7" s="392"/>
      <c r="JGE7" s="392"/>
      <c r="JGF7" s="392"/>
      <c r="JGG7" s="392"/>
      <c r="JGH7" s="392"/>
      <c r="JGI7" s="392"/>
      <c r="JGJ7" s="392"/>
      <c r="JGK7" s="392"/>
      <c r="JGL7" s="392"/>
      <c r="JGM7" s="392"/>
      <c r="JGN7" s="392"/>
      <c r="JGO7" s="392"/>
      <c r="JGP7" s="392"/>
      <c r="JGQ7" s="392"/>
      <c r="JGR7" s="392"/>
      <c r="JGS7" s="392"/>
      <c r="JGT7" s="392"/>
      <c r="JGU7" s="392"/>
      <c r="JGV7" s="392"/>
      <c r="JGW7" s="392"/>
      <c r="JGX7" s="392"/>
      <c r="JGY7" s="392"/>
      <c r="JGZ7" s="392"/>
      <c r="JHA7" s="392"/>
      <c r="JHB7" s="392"/>
      <c r="JHC7" s="392"/>
      <c r="JHD7" s="392"/>
      <c r="JHE7" s="392"/>
      <c r="JHF7" s="392"/>
      <c r="JHG7" s="392"/>
      <c r="JHH7" s="392"/>
      <c r="JHI7" s="392"/>
      <c r="JHJ7" s="392"/>
      <c r="JHK7" s="392"/>
      <c r="JHL7" s="392"/>
      <c r="JHM7" s="392"/>
      <c r="JHN7" s="392"/>
      <c r="JHO7" s="392"/>
      <c r="JHP7" s="392"/>
      <c r="JHQ7" s="392"/>
      <c r="JHR7" s="392"/>
      <c r="JHS7" s="392"/>
      <c r="JHT7" s="392"/>
      <c r="JHU7" s="392"/>
      <c r="JHV7" s="392"/>
      <c r="JHW7" s="392"/>
      <c r="JHX7" s="392"/>
      <c r="JHY7" s="392"/>
      <c r="JHZ7" s="392"/>
      <c r="JIA7" s="392"/>
      <c r="JIB7" s="392"/>
      <c r="JIC7" s="392"/>
      <c r="JID7" s="392"/>
      <c r="JIE7" s="392"/>
      <c r="JIF7" s="392"/>
      <c r="JIG7" s="392"/>
      <c r="JIH7" s="392"/>
      <c r="JII7" s="392"/>
      <c r="JIJ7" s="392"/>
      <c r="JIK7" s="392"/>
      <c r="JIL7" s="392"/>
      <c r="JIM7" s="392"/>
      <c r="JIN7" s="392"/>
      <c r="JIO7" s="392"/>
      <c r="JIP7" s="392"/>
      <c r="JIQ7" s="392"/>
      <c r="JIR7" s="392"/>
      <c r="JIS7" s="392"/>
      <c r="JIT7" s="392"/>
      <c r="JIU7" s="392"/>
      <c r="JIV7" s="392"/>
      <c r="JIW7" s="392"/>
      <c r="JIX7" s="392"/>
      <c r="JIY7" s="392"/>
      <c r="JIZ7" s="392"/>
      <c r="JJA7" s="392"/>
      <c r="JJB7" s="392"/>
      <c r="JJC7" s="392"/>
      <c r="JJD7" s="392"/>
      <c r="JJE7" s="392"/>
      <c r="JJF7" s="392"/>
      <c r="JJG7" s="392"/>
      <c r="JJH7" s="392"/>
      <c r="JJI7" s="392"/>
      <c r="JJJ7" s="392"/>
      <c r="JJK7" s="392"/>
      <c r="JJL7" s="392"/>
      <c r="JJM7" s="392"/>
      <c r="JJN7" s="392"/>
      <c r="JJO7" s="392"/>
      <c r="JJP7" s="392"/>
      <c r="JJQ7" s="392"/>
      <c r="JJR7" s="392"/>
      <c r="JJS7" s="392"/>
      <c r="JJT7" s="392"/>
      <c r="JJU7" s="392"/>
      <c r="JJV7" s="392"/>
      <c r="JJW7" s="392"/>
      <c r="JJX7" s="392"/>
      <c r="JJY7" s="392"/>
      <c r="JJZ7" s="392"/>
      <c r="JKA7" s="392"/>
      <c r="JKB7" s="392"/>
      <c r="JKC7" s="392"/>
      <c r="JKD7" s="392"/>
      <c r="JKE7" s="392"/>
      <c r="JKF7" s="392"/>
      <c r="JKG7" s="392"/>
      <c r="JKH7" s="392"/>
      <c r="JKI7" s="392"/>
      <c r="JKJ7" s="392"/>
      <c r="JKK7" s="392"/>
      <c r="JKL7" s="392"/>
      <c r="JKM7" s="392"/>
      <c r="JKN7" s="392"/>
      <c r="JKO7" s="392"/>
      <c r="JKP7" s="392"/>
      <c r="JKQ7" s="392"/>
      <c r="JKR7" s="392"/>
      <c r="JKS7" s="392"/>
      <c r="JKT7" s="392"/>
      <c r="JKU7" s="392"/>
      <c r="JKV7" s="392"/>
      <c r="JKW7" s="392"/>
      <c r="JKX7" s="392"/>
      <c r="JKY7" s="392"/>
      <c r="JKZ7" s="392"/>
      <c r="JLA7" s="392"/>
      <c r="JLB7" s="392"/>
      <c r="JLC7" s="392"/>
      <c r="JLD7" s="392"/>
      <c r="JLE7" s="392"/>
      <c r="JLF7" s="392"/>
      <c r="JLG7" s="392"/>
      <c r="JLH7" s="392"/>
      <c r="JLI7" s="392"/>
      <c r="JLJ7" s="392"/>
      <c r="JLK7" s="392"/>
      <c r="JLL7" s="392"/>
      <c r="JLM7" s="392"/>
      <c r="JLN7" s="392"/>
      <c r="JLO7" s="392"/>
      <c r="JLP7" s="392"/>
      <c r="JLQ7" s="392"/>
      <c r="JLR7" s="392"/>
      <c r="JLS7" s="392"/>
      <c r="JLT7" s="392"/>
      <c r="JLU7" s="392"/>
      <c r="JLV7" s="392"/>
      <c r="JLW7" s="392"/>
      <c r="JLX7" s="392"/>
      <c r="JLY7" s="392"/>
      <c r="JLZ7" s="392"/>
      <c r="JMA7" s="392"/>
      <c r="JMB7" s="392"/>
      <c r="JMC7" s="392"/>
      <c r="JMD7" s="392"/>
      <c r="JME7" s="392"/>
      <c r="JMF7" s="392"/>
      <c r="JMG7" s="392"/>
      <c r="JMH7" s="392"/>
      <c r="JMI7" s="392"/>
      <c r="JMJ7" s="392"/>
      <c r="JMK7" s="392"/>
      <c r="JML7" s="392"/>
      <c r="JMM7" s="392"/>
      <c r="JMN7" s="392"/>
      <c r="JMO7" s="392"/>
      <c r="JMP7" s="392"/>
      <c r="JMQ7" s="392"/>
      <c r="JMR7" s="392"/>
      <c r="JMS7" s="392"/>
      <c r="JMT7" s="392"/>
      <c r="JMU7" s="392"/>
      <c r="JMV7" s="392"/>
      <c r="JMW7" s="392"/>
      <c r="JMX7" s="392"/>
      <c r="JMY7" s="392"/>
      <c r="JMZ7" s="392"/>
      <c r="JNA7" s="392"/>
      <c r="JNB7" s="392"/>
      <c r="JNC7" s="392"/>
      <c r="JND7" s="392"/>
      <c r="JNE7" s="392"/>
      <c r="JNF7" s="392"/>
      <c r="JNG7" s="392"/>
      <c r="JNH7" s="392"/>
      <c r="JNI7" s="392"/>
      <c r="JNJ7" s="392"/>
      <c r="JNK7" s="392"/>
      <c r="JNL7" s="392"/>
      <c r="JNM7" s="392"/>
      <c r="JNN7" s="392"/>
      <c r="JNO7" s="392"/>
      <c r="JNP7" s="392"/>
      <c r="JNQ7" s="392"/>
      <c r="JNR7" s="392"/>
      <c r="JNS7" s="392"/>
      <c r="JNT7" s="392"/>
      <c r="JNU7" s="392"/>
      <c r="JNV7" s="392"/>
      <c r="JNW7" s="392"/>
      <c r="JNX7" s="392"/>
      <c r="JNY7" s="392"/>
      <c r="JNZ7" s="392"/>
      <c r="JOA7" s="392"/>
      <c r="JOB7" s="392"/>
      <c r="JOC7" s="392"/>
      <c r="JOD7" s="392"/>
      <c r="JOE7" s="392"/>
      <c r="JOF7" s="392"/>
      <c r="JOG7" s="392"/>
      <c r="JOH7" s="392"/>
      <c r="JOI7" s="392"/>
      <c r="JOJ7" s="392"/>
      <c r="JOK7" s="392"/>
      <c r="JOL7" s="392"/>
      <c r="JOM7" s="392"/>
      <c r="JON7" s="392"/>
      <c r="JOO7" s="392"/>
      <c r="JOP7" s="392"/>
      <c r="JOQ7" s="392"/>
      <c r="JOR7" s="392"/>
      <c r="JOS7" s="392"/>
      <c r="JOT7" s="392"/>
      <c r="JOU7" s="392"/>
      <c r="JOV7" s="392"/>
      <c r="JOW7" s="392"/>
      <c r="JOX7" s="392"/>
      <c r="JOY7" s="392"/>
      <c r="JOZ7" s="392"/>
      <c r="JPA7" s="392"/>
      <c r="JPB7" s="392"/>
      <c r="JPC7" s="392"/>
      <c r="JPD7" s="392"/>
      <c r="JPE7" s="392"/>
      <c r="JPF7" s="392"/>
      <c r="JPG7" s="392"/>
      <c r="JPH7" s="392"/>
      <c r="JPI7" s="392"/>
      <c r="JPJ7" s="392"/>
      <c r="JPK7" s="392"/>
      <c r="JPL7" s="392"/>
      <c r="JPM7" s="392"/>
      <c r="JPN7" s="392"/>
      <c r="JPO7" s="392"/>
      <c r="JPP7" s="392"/>
      <c r="JPQ7" s="392"/>
      <c r="JPR7" s="392"/>
      <c r="JPS7" s="392"/>
      <c r="JPT7" s="392"/>
      <c r="JPU7" s="392"/>
      <c r="JPV7" s="392"/>
      <c r="JPW7" s="392"/>
      <c r="JPX7" s="392"/>
      <c r="JPY7" s="392"/>
      <c r="JPZ7" s="392"/>
      <c r="JQA7" s="392"/>
      <c r="JQB7" s="392"/>
      <c r="JQC7" s="392"/>
      <c r="JQD7" s="392"/>
      <c r="JQE7" s="392"/>
      <c r="JQF7" s="392"/>
      <c r="JQG7" s="392"/>
      <c r="JQH7" s="392"/>
      <c r="JQI7" s="392"/>
      <c r="JQJ7" s="392"/>
      <c r="JQK7" s="392"/>
      <c r="JQL7" s="392"/>
      <c r="JQM7" s="392"/>
      <c r="JQN7" s="392"/>
      <c r="JQO7" s="392"/>
      <c r="JQP7" s="392"/>
      <c r="JQQ7" s="392"/>
      <c r="JQR7" s="392"/>
      <c r="JQS7" s="392"/>
      <c r="JQT7" s="392"/>
      <c r="JQU7" s="392"/>
      <c r="JQV7" s="392"/>
      <c r="JQW7" s="392"/>
      <c r="JQX7" s="392"/>
      <c r="JQY7" s="392"/>
      <c r="JQZ7" s="392"/>
      <c r="JRA7" s="392"/>
      <c r="JRB7" s="392"/>
      <c r="JRC7" s="392"/>
      <c r="JRD7" s="392"/>
      <c r="JRE7" s="392"/>
      <c r="JRF7" s="392"/>
      <c r="JRG7" s="392"/>
      <c r="JRH7" s="392"/>
      <c r="JRI7" s="392"/>
      <c r="JRJ7" s="392"/>
      <c r="JRK7" s="392"/>
      <c r="JRL7" s="392"/>
      <c r="JRM7" s="392"/>
      <c r="JRN7" s="392"/>
      <c r="JRO7" s="392"/>
      <c r="JRP7" s="392"/>
      <c r="JRQ7" s="392"/>
      <c r="JRR7" s="392"/>
      <c r="JRS7" s="392"/>
      <c r="JRT7" s="392"/>
      <c r="JRU7" s="392"/>
      <c r="JRV7" s="392"/>
      <c r="JRW7" s="392"/>
      <c r="JRX7" s="392"/>
      <c r="JRY7" s="392"/>
      <c r="JRZ7" s="392"/>
      <c r="JSA7" s="392"/>
      <c r="JSB7" s="392"/>
      <c r="JSC7" s="392"/>
      <c r="JSD7" s="392"/>
      <c r="JSE7" s="392"/>
      <c r="JSF7" s="392"/>
      <c r="JSG7" s="392"/>
      <c r="JSH7" s="392"/>
      <c r="JSI7" s="392"/>
      <c r="JSJ7" s="392"/>
      <c r="JSK7" s="392"/>
      <c r="JSL7" s="392"/>
      <c r="JSM7" s="392"/>
      <c r="JSN7" s="392"/>
      <c r="JSO7" s="392"/>
      <c r="JSP7" s="392"/>
      <c r="JSQ7" s="392"/>
      <c r="JSR7" s="392"/>
      <c r="JSS7" s="392"/>
      <c r="JST7" s="392"/>
      <c r="JSU7" s="392"/>
      <c r="JSV7" s="392"/>
      <c r="JSW7" s="392"/>
      <c r="JSX7" s="392"/>
      <c r="JSY7" s="392"/>
      <c r="JSZ7" s="392"/>
      <c r="JTA7" s="392"/>
      <c r="JTB7" s="392"/>
      <c r="JTC7" s="392"/>
      <c r="JTD7" s="392"/>
      <c r="JTE7" s="392"/>
      <c r="JTF7" s="392"/>
      <c r="JTG7" s="392"/>
      <c r="JTH7" s="392"/>
      <c r="JTI7" s="392"/>
      <c r="JTJ7" s="392"/>
      <c r="JTK7" s="392"/>
      <c r="JTL7" s="392"/>
      <c r="JTM7" s="392"/>
      <c r="JTN7" s="392"/>
      <c r="JTO7" s="392"/>
      <c r="JTP7" s="392"/>
      <c r="JTQ7" s="392"/>
      <c r="JTR7" s="392"/>
      <c r="JTS7" s="392"/>
      <c r="JTT7" s="392"/>
      <c r="JTU7" s="392"/>
      <c r="JTV7" s="392"/>
      <c r="JTW7" s="392"/>
      <c r="JTX7" s="392"/>
      <c r="JTY7" s="392"/>
      <c r="JTZ7" s="392"/>
      <c r="JUA7" s="392"/>
      <c r="JUB7" s="392"/>
      <c r="JUC7" s="392"/>
      <c r="JUD7" s="392"/>
      <c r="JUE7" s="392"/>
      <c r="JUF7" s="392"/>
      <c r="JUG7" s="392"/>
      <c r="JUH7" s="392"/>
      <c r="JUI7" s="392"/>
      <c r="JUJ7" s="392"/>
      <c r="JUK7" s="392"/>
      <c r="JUL7" s="392"/>
      <c r="JUM7" s="392"/>
      <c r="JUN7" s="392"/>
      <c r="JUO7" s="392"/>
      <c r="JUP7" s="392"/>
      <c r="JUQ7" s="392"/>
      <c r="JUR7" s="392"/>
      <c r="JUS7" s="392"/>
      <c r="JUT7" s="392"/>
      <c r="JUU7" s="392"/>
      <c r="JUV7" s="392"/>
      <c r="JUW7" s="392"/>
      <c r="JUX7" s="392"/>
      <c r="JUY7" s="392"/>
      <c r="JUZ7" s="392"/>
      <c r="JVA7" s="392"/>
      <c r="JVB7" s="392"/>
      <c r="JVC7" s="392"/>
      <c r="JVD7" s="392"/>
      <c r="JVE7" s="392"/>
      <c r="JVF7" s="392"/>
      <c r="JVG7" s="392"/>
      <c r="JVH7" s="392"/>
      <c r="JVI7" s="392"/>
      <c r="JVJ7" s="392"/>
      <c r="JVK7" s="392"/>
      <c r="JVL7" s="392"/>
      <c r="JVM7" s="392"/>
      <c r="JVN7" s="392"/>
      <c r="JVO7" s="392"/>
      <c r="JVP7" s="392"/>
      <c r="JVQ7" s="392"/>
      <c r="JVR7" s="392"/>
      <c r="JVS7" s="392"/>
      <c r="JVT7" s="392"/>
      <c r="JVU7" s="392"/>
      <c r="JVV7" s="392"/>
      <c r="JVW7" s="392"/>
      <c r="JVX7" s="392"/>
      <c r="JVY7" s="392"/>
      <c r="JVZ7" s="392"/>
      <c r="JWA7" s="392"/>
      <c r="JWB7" s="392"/>
      <c r="JWC7" s="392"/>
      <c r="JWD7" s="392"/>
      <c r="JWE7" s="392"/>
      <c r="JWF7" s="392"/>
      <c r="JWG7" s="392"/>
      <c r="JWH7" s="392"/>
      <c r="JWI7" s="392"/>
      <c r="JWJ7" s="392"/>
      <c r="JWK7" s="392"/>
      <c r="JWL7" s="392"/>
      <c r="JWM7" s="392"/>
      <c r="JWN7" s="392"/>
      <c r="JWO7" s="392"/>
      <c r="JWP7" s="392"/>
      <c r="JWQ7" s="392"/>
      <c r="JWR7" s="392"/>
      <c r="JWS7" s="392"/>
      <c r="JWT7" s="392"/>
      <c r="JWU7" s="392"/>
      <c r="JWV7" s="392"/>
      <c r="JWW7" s="392"/>
      <c r="JWX7" s="392"/>
      <c r="JWY7" s="392"/>
      <c r="JWZ7" s="392"/>
      <c r="JXA7" s="392"/>
      <c r="JXB7" s="392"/>
      <c r="JXC7" s="392"/>
      <c r="JXD7" s="392"/>
      <c r="JXE7" s="392"/>
      <c r="JXF7" s="392"/>
      <c r="JXG7" s="392"/>
      <c r="JXH7" s="392"/>
      <c r="JXI7" s="392"/>
      <c r="JXJ7" s="392"/>
      <c r="JXK7" s="392"/>
      <c r="JXL7" s="392"/>
      <c r="JXM7" s="392"/>
      <c r="JXN7" s="392"/>
      <c r="JXO7" s="392"/>
      <c r="JXP7" s="392"/>
      <c r="JXQ7" s="392"/>
      <c r="JXR7" s="392"/>
      <c r="JXS7" s="392"/>
      <c r="JXT7" s="392"/>
      <c r="JXU7" s="392"/>
      <c r="JXV7" s="392"/>
      <c r="JXW7" s="392"/>
      <c r="JXX7" s="392"/>
      <c r="JXY7" s="392"/>
      <c r="JXZ7" s="392"/>
      <c r="JYA7" s="392"/>
      <c r="JYB7" s="392"/>
      <c r="JYC7" s="392"/>
      <c r="JYD7" s="392"/>
      <c r="JYE7" s="392"/>
      <c r="JYF7" s="392"/>
      <c r="JYG7" s="392"/>
      <c r="JYH7" s="392"/>
      <c r="JYI7" s="392"/>
      <c r="JYJ7" s="392"/>
      <c r="JYK7" s="392"/>
      <c r="JYL7" s="392"/>
      <c r="JYM7" s="392"/>
      <c r="JYN7" s="392"/>
      <c r="JYO7" s="392"/>
      <c r="JYP7" s="392"/>
      <c r="JYQ7" s="392"/>
      <c r="JYR7" s="392"/>
      <c r="JYS7" s="392"/>
      <c r="JYT7" s="392"/>
      <c r="JYU7" s="392"/>
      <c r="JYV7" s="392"/>
      <c r="JYW7" s="392"/>
      <c r="JYX7" s="392"/>
      <c r="JYY7" s="392"/>
      <c r="JYZ7" s="392"/>
      <c r="JZA7" s="392"/>
      <c r="JZB7" s="392"/>
      <c r="JZC7" s="392"/>
      <c r="JZD7" s="392"/>
      <c r="JZE7" s="392"/>
      <c r="JZF7" s="392"/>
      <c r="JZG7" s="392"/>
      <c r="JZH7" s="392"/>
      <c r="JZI7" s="392"/>
      <c r="JZJ7" s="392"/>
      <c r="JZK7" s="392"/>
      <c r="JZL7" s="392"/>
      <c r="JZM7" s="392"/>
      <c r="JZN7" s="392"/>
      <c r="JZO7" s="392"/>
      <c r="JZP7" s="392"/>
      <c r="JZQ7" s="392"/>
      <c r="JZR7" s="392"/>
      <c r="JZS7" s="392"/>
      <c r="JZT7" s="392"/>
      <c r="JZU7" s="392"/>
      <c r="JZV7" s="392"/>
      <c r="JZW7" s="392"/>
      <c r="JZX7" s="392"/>
      <c r="JZY7" s="392"/>
      <c r="JZZ7" s="392"/>
      <c r="KAA7" s="392"/>
      <c r="KAB7" s="392"/>
      <c r="KAC7" s="392"/>
      <c r="KAD7" s="392"/>
      <c r="KAE7" s="392"/>
      <c r="KAF7" s="392"/>
      <c r="KAG7" s="392"/>
      <c r="KAH7" s="392"/>
      <c r="KAI7" s="392"/>
      <c r="KAJ7" s="392"/>
      <c r="KAK7" s="392"/>
      <c r="KAL7" s="392"/>
      <c r="KAM7" s="392"/>
      <c r="KAN7" s="392"/>
      <c r="KAO7" s="392"/>
      <c r="KAP7" s="392"/>
      <c r="KAQ7" s="392"/>
      <c r="KAR7" s="392"/>
      <c r="KAS7" s="392"/>
      <c r="KAT7" s="392"/>
      <c r="KAU7" s="392"/>
      <c r="KAV7" s="392"/>
      <c r="KAW7" s="392"/>
      <c r="KAX7" s="392"/>
      <c r="KAY7" s="392"/>
      <c r="KAZ7" s="392"/>
      <c r="KBA7" s="392"/>
      <c r="KBB7" s="392"/>
      <c r="KBC7" s="392"/>
      <c r="KBD7" s="392"/>
      <c r="KBE7" s="392"/>
      <c r="KBF7" s="392"/>
      <c r="KBG7" s="392"/>
      <c r="KBH7" s="392"/>
      <c r="KBI7" s="392"/>
      <c r="KBJ7" s="392"/>
      <c r="KBK7" s="392"/>
      <c r="KBL7" s="392"/>
      <c r="KBM7" s="392"/>
      <c r="KBN7" s="392"/>
      <c r="KBO7" s="392"/>
      <c r="KBP7" s="392"/>
      <c r="KBQ7" s="392"/>
      <c r="KBR7" s="392"/>
      <c r="KBS7" s="392"/>
      <c r="KBT7" s="392"/>
      <c r="KBU7" s="392"/>
      <c r="KBV7" s="392"/>
      <c r="KBW7" s="392"/>
      <c r="KBX7" s="392"/>
      <c r="KBY7" s="392"/>
      <c r="KBZ7" s="392"/>
      <c r="KCA7" s="392"/>
      <c r="KCB7" s="392"/>
      <c r="KCC7" s="392"/>
      <c r="KCD7" s="392"/>
      <c r="KCE7" s="392"/>
      <c r="KCF7" s="392"/>
      <c r="KCG7" s="392"/>
      <c r="KCH7" s="392"/>
      <c r="KCI7" s="392"/>
      <c r="KCJ7" s="392"/>
      <c r="KCK7" s="392"/>
      <c r="KCL7" s="392"/>
      <c r="KCM7" s="392"/>
      <c r="KCN7" s="392"/>
      <c r="KCO7" s="392"/>
      <c r="KCP7" s="392"/>
      <c r="KCQ7" s="392"/>
      <c r="KCR7" s="392"/>
      <c r="KCS7" s="392"/>
      <c r="KCT7" s="392"/>
      <c r="KCU7" s="392"/>
      <c r="KCV7" s="392"/>
      <c r="KCW7" s="392"/>
      <c r="KCX7" s="392"/>
      <c r="KCY7" s="392"/>
      <c r="KCZ7" s="392"/>
      <c r="KDA7" s="392"/>
      <c r="KDB7" s="392"/>
      <c r="KDC7" s="392"/>
      <c r="KDD7" s="392"/>
      <c r="KDE7" s="392"/>
      <c r="KDF7" s="392"/>
      <c r="KDG7" s="392"/>
      <c r="KDH7" s="392"/>
      <c r="KDI7" s="392"/>
      <c r="KDJ7" s="392"/>
      <c r="KDK7" s="392"/>
      <c r="KDL7" s="392"/>
      <c r="KDM7" s="392"/>
      <c r="KDN7" s="392"/>
      <c r="KDO7" s="392"/>
      <c r="KDP7" s="392"/>
      <c r="KDQ7" s="392"/>
      <c r="KDR7" s="392"/>
      <c r="KDS7" s="392"/>
      <c r="KDT7" s="392"/>
      <c r="KDU7" s="392"/>
      <c r="KDV7" s="392"/>
      <c r="KDW7" s="392"/>
      <c r="KDX7" s="392"/>
      <c r="KDY7" s="392"/>
      <c r="KDZ7" s="392"/>
      <c r="KEA7" s="392"/>
      <c r="KEB7" s="392"/>
      <c r="KEC7" s="392"/>
      <c r="KED7" s="392"/>
      <c r="KEE7" s="392"/>
      <c r="KEF7" s="392"/>
      <c r="KEG7" s="392"/>
      <c r="KEH7" s="392"/>
      <c r="KEI7" s="392"/>
      <c r="KEJ7" s="392"/>
      <c r="KEK7" s="392"/>
      <c r="KEL7" s="392"/>
      <c r="KEM7" s="392"/>
      <c r="KEN7" s="392"/>
      <c r="KEO7" s="392"/>
      <c r="KEP7" s="392"/>
      <c r="KEQ7" s="392"/>
      <c r="KER7" s="392"/>
      <c r="KES7" s="392"/>
      <c r="KET7" s="392"/>
      <c r="KEU7" s="392"/>
      <c r="KEV7" s="392"/>
      <c r="KEW7" s="392"/>
      <c r="KEX7" s="392"/>
      <c r="KEY7" s="392"/>
      <c r="KEZ7" s="392"/>
      <c r="KFA7" s="392"/>
      <c r="KFB7" s="392"/>
      <c r="KFC7" s="392"/>
      <c r="KFD7" s="392"/>
      <c r="KFE7" s="392"/>
      <c r="KFF7" s="392"/>
      <c r="KFG7" s="392"/>
      <c r="KFH7" s="392"/>
      <c r="KFI7" s="392"/>
      <c r="KFJ7" s="392"/>
      <c r="KFK7" s="392"/>
      <c r="KFL7" s="392"/>
      <c r="KFM7" s="392"/>
      <c r="KFN7" s="392"/>
      <c r="KFO7" s="392"/>
      <c r="KFP7" s="392"/>
      <c r="KFQ7" s="392"/>
      <c r="KFR7" s="392"/>
      <c r="KFS7" s="392"/>
      <c r="KFT7" s="392"/>
      <c r="KFU7" s="392"/>
      <c r="KFV7" s="392"/>
      <c r="KFW7" s="392"/>
      <c r="KFX7" s="392"/>
      <c r="KFY7" s="392"/>
      <c r="KFZ7" s="392"/>
      <c r="KGA7" s="392"/>
      <c r="KGB7" s="392"/>
      <c r="KGC7" s="392"/>
      <c r="KGD7" s="392"/>
      <c r="KGE7" s="392"/>
      <c r="KGF7" s="392"/>
      <c r="KGG7" s="392"/>
      <c r="KGH7" s="392"/>
      <c r="KGI7" s="392"/>
      <c r="KGJ7" s="392"/>
      <c r="KGK7" s="392"/>
      <c r="KGL7" s="392"/>
      <c r="KGM7" s="392"/>
      <c r="KGN7" s="392"/>
      <c r="KGO7" s="392"/>
      <c r="KGP7" s="392"/>
      <c r="KGQ7" s="392"/>
      <c r="KGR7" s="392"/>
      <c r="KGS7" s="392"/>
      <c r="KGT7" s="392"/>
      <c r="KGU7" s="392"/>
      <c r="KGV7" s="392"/>
      <c r="KGW7" s="392"/>
      <c r="KGX7" s="392"/>
      <c r="KGY7" s="392"/>
      <c r="KGZ7" s="392"/>
      <c r="KHA7" s="392"/>
      <c r="KHB7" s="392"/>
      <c r="KHC7" s="392"/>
      <c r="KHD7" s="392"/>
      <c r="KHE7" s="392"/>
      <c r="KHF7" s="392"/>
      <c r="KHG7" s="392"/>
      <c r="KHH7" s="392"/>
      <c r="KHI7" s="392"/>
      <c r="KHJ7" s="392"/>
      <c r="KHK7" s="392"/>
      <c r="KHL7" s="392"/>
      <c r="KHM7" s="392"/>
      <c r="KHN7" s="392"/>
      <c r="KHO7" s="392"/>
      <c r="KHP7" s="392"/>
      <c r="KHQ7" s="392"/>
      <c r="KHR7" s="392"/>
      <c r="KHS7" s="392"/>
      <c r="KHT7" s="392"/>
      <c r="KHU7" s="392"/>
      <c r="KHV7" s="392"/>
      <c r="KHW7" s="392"/>
      <c r="KHX7" s="392"/>
      <c r="KHY7" s="392"/>
      <c r="KHZ7" s="392"/>
      <c r="KIA7" s="392"/>
      <c r="KIB7" s="392"/>
      <c r="KIC7" s="392"/>
      <c r="KID7" s="392"/>
      <c r="KIE7" s="392"/>
      <c r="KIF7" s="392"/>
      <c r="KIG7" s="392"/>
      <c r="KIH7" s="392"/>
      <c r="KII7" s="392"/>
      <c r="KIJ7" s="392"/>
      <c r="KIK7" s="392"/>
      <c r="KIL7" s="392"/>
      <c r="KIM7" s="392"/>
      <c r="KIN7" s="392"/>
      <c r="KIO7" s="392"/>
      <c r="KIP7" s="392"/>
      <c r="KIQ7" s="392"/>
      <c r="KIR7" s="392"/>
      <c r="KIS7" s="392"/>
      <c r="KIT7" s="392"/>
      <c r="KIU7" s="392"/>
      <c r="KIV7" s="392"/>
      <c r="KIW7" s="392"/>
      <c r="KIX7" s="392"/>
      <c r="KIY7" s="392"/>
      <c r="KIZ7" s="392"/>
      <c r="KJA7" s="392"/>
      <c r="KJB7" s="392"/>
      <c r="KJC7" s="392"/>
      <c r="KJD7" s="392"/>
      <c r="KJE7" s="392"/>
      <c r="KJF7" s="392"/>
      <c r="KJG7" s="392"/>
      <c r="KJH7" s="392"/>
      <c r="KJI7" s="392"/>
      <c r="KJJ7" s="392"/>
      <c r="KJK7" s="392"/>
      <c r="KJL7" s="392"/>
      <c r="KJM7" s="392"/>
      <c r="KJN7" s="392"/>
      <c r="KJO7" s="392"/>
      <c r="KJP7" s="392"/>
      <c r="KJQ7" s="392"/>
      <c r="KJR7" s="392"/>
      <c r="KJS7" s="392"/>
      <c r="KJT7" s="392"/>
      <c r="KJU7" s="392"/>
      <c r="KJV7" s="392"/>
      <c r="KJW7" s="392"/>
      <c r="KJX7" s="392"/>
      <c r="KJY7" s="392"/>
      <c r="KJZ7" s="392"/>
      <c r="KKA7" s="392"/>
      <c r="KKB7" s="392"/>
      <c r="KKC7" s="392"/>
      <c r="KKD7" s="392"/>
      <c r="KKE7" s="392"/>
      <c r="KKF7" s="392"/>
      <c r="KKG7" s="392"/>
      <c r="KKH7" s="392"/>
      <c r="KKI7" s="392"/>
      <c r="KKJ7" s="392"/>
      <c r="KKK7" s="392"/>
      <c r="KKL7" s="392"/>
      <c r="KKM7" s="392"/>
      <c r="KKN7" s="392"/>
      <c r="KKO7" s="392"/>
      <c r="KKP7" s="392"/>
      <c r="KKQ7" s="392"/>
      <c r="KKR7" s="392"/>
      <c r="KKS7" s="392"/>
      <c r="KKT7" s="392"/>
      <c r="KKU7" s="392"/>
      <c r="KKV7" s="392"/>
      <c r="KKW7" s="392"/>
      <c r="KKX7" s="392"/>
      <c r="KKY7" s="392"/>
      <c r="KKZ7" s="392"/>
      <c r="KLA7" s="392"/>
      <c r="KLB7" s="392"/>
      <c r="KLC7" s="392"/>
      <c r="KLD7" s="392"/>
      <c r="KLE7" s="392"/>
      <c r="KLF7" s="392"/>
      <c r="KLG7" s="392"/>
      <c r="KLH7" s="392"/>
      <c r="KLI7" s="392"/>
      <c r="KLJ7" s="392"/>
      <c r="KLK7" s="392"/>
      <c r="KLL7" s="392"/>
      <c r="KLM7" s="392"/>
      <c r="KLN7" s="392"/>
      <c r="KLO7" s="392"/>
      <c r="KLP7" s="392"/>
      <c r="KLQ7" s="392"/>
      <c r="KLR7" s="392"/>
      <c r="KLS7" s="392"/>
      <c r="KLT7" s="392"/>
      <c r="KLU7" s="392"/>
      <c r="KLV7" s="392"/>
      <c r="KLW7" s="392"/>
      <c r="KLX7" s="392"/>
      <c r="KLY7" s="392"/>
      <c r="KLZ7" s="392"/>
      <c r="KMA7" s="392"/>
      <c r="KMB7" s="392"/>
      <c r="KMC7" s="392"/>
      <c r="KMD7" s="392"/>
      <c r="KME7" s="392"/>
      <c r="KMF7" s="392"/>
      <c r="KMG7" s="392"/>
      <c r="KMH7" s="392"/>
      <c r="KMI7" s="392"/>
      <c r="KMJ7" s="392"/>
      <c r="KMK7" s="392"/>
      <c r="KML7" s="392"/>
      <c r="KMM7" s="392"/>
      <c r="KMN7" s="392"/>
      <c r="KMO7" s="392"/>
      <c r="KMP7" s="392"/>
      <c r="KMQ7" s="392"/>
      <c r="KMR7" s="392"/>
      <c r="KMS7" s="392"/>
      <c r="KMT7" s="392"/>
      <c r="KMU7" s="392"/>
      <c r="KMV7" s="392"/>
      <c r="KMW7" s="392"/>
      <c r="KMX7" s="392"/>
      <c r="KMY7" s="392"/>
      <c r="KMZ7" s="392"/>
      <c r="KNA7" s="392"/>
      <c r="KNB7" s="392"/>
      <c r="KNC7" s="392"/>
      <c r="KND7" s="392"/>
      <c r="KNE7" s="392"/>
      <c r="KNF7" s="392"/>
      <c r="KNG7" s="392"/>
      <c r="KNH7" s="392"/>
      <c r="KNI7" s="392"/>
      <c r="KNJ7" s="392"/>
      <c r="KNK7" s="392"/>
      <c r="KNL7" s="392"/>
      <c r="KNM7" s="392"/>
      <c r="KNN7" s="392"/>
      <c r="KNO7" s="392"/>
      <c r="KNP7" s="392"/>
      <c r="KNQ7" s="392"/>
      <c r="KNR7" s="392"/>
      <c r="KNS7" s="392"/>
      <c r="KNT7" s="392"/>
      <c r="KNU7" s="392"/>
      <c r="KNV7" s="392"/>
      <c r="KNW7" s="392"/>
      <c r="KNX7" s="392"/>
      <c r="KNY7" s="392"/>
      <c r="KNZ7" s="392"/>
      <c r="KOA7" s="392"/>
      <c r="KOB7" s="392"/>
      <c r="KOC7" s="392"/>
      <c r="KOD7" s="392"/>
      <c r="KOE7" s="392"/>
      <c r="KOF7" s="392"/>
      <c r="KOG7" s="392"/>
      <c r="KOH7" s="392"/>
      <c r="KOI7" s="392"/>
      <c r="KOJ7" s="392"/>
      <c r="KOK7" s="392"/>
      <c r="KOL7" s="392"/>
      <c r="KOM7" s="392"/>
      <c r="KON7" s="392"/>
      <c r="KOO7" s="392"/>
      <c r="KOP7" s="392"/>
      <c r="KOQ7" s="392"/>
      <c r="KOR7" s="392"/>
      <c r="KOS7" s="392"/>
      <c r="KOT7" s="392"/>
      <c r="KOU7" s="392"/>
      <c r="KOV7" s="392"/>
      <c r="KOW7" s="392"/>
      <c r="KOX7" s="392"/>
      <c r="KOY7" s="392"/>
      <c r="KOZ7" s="392"/>
      <c r="KPA7" s="392"/>
      <c r="KPB7" s="392"/>
      <c r="KPC7" s="392"/>
      <c r="KPD7" s="392"/>
      <c r="KPE7" s="392"/>
      <c r="KPF7" s="392"/>
      <c r="KPG7" s="392"/>
      <c r="KPH7" s="392"/>
      <c r="KPI7" s="392"/>
      <c r="KPJ7" s="392"/>
      <c r="KPK7" s="392"/>
      <c r="KPL7" s="392"/>
      <c r="KPM7" s="392"/>
      <c r="KPN7" s="392"/>
      <c r="KPO7" s="392"/>
      <c r="KPP7" s="392"/>
      <c r="KPQ7" s="392"/>
      <c r="KPR7" s="392"/>
      <c r="KPS7" s="392"/>
      <c r="KPT7" s="392"/>
      <c r="KPU7" s="392"/>
      <c r="KPV7" s="392"/>
      <c r="KPW7" s="392"/>
      <c r="KPX7" s="392"/>
      <c r="KPY7" s="392"/>
      <c r="KPZ7" s="392"/>
      <c r="KQA7" s="392"/>
      <c r="KQB7" s="392"/>
      <c r="KQC7" s="392"/>
      <c r="KQD7" s="392"/>
      <c r="KQE7" s="392"/>
      <c r="KQF7" s="392"/>
      <c r="KQG7" s="392"/>
      <c r="KQH7" s="392"/>
      <c r="KQI7" s="392"/>
      <c r="KQJ7" s="392"/>
      <c r="KQK7" s="392"/>
      <c r="KQL7" s="392"/>
      <c r="KQM7" s="392"/>
      <c r="KQN7" s="392"/>
      <c r="KQO7" s="392"/>
      <c r="KQP7" s="392"/>
      <c r="KQQ7" s="392"/>
      <c r="KQR7" s="392"/>
      <c r="KQS7" s="392"/>
      <c r="KQT7" s="392"/>
      <c r="KQU7" s="392"/>
      <c r="KQV7" s="392"/>
      <c r="KQW7" s="392"/>
      <c r="KQX7" s="392"/>
      <c r="KQY7" s="392"/>
      <c r="KQZ7" s="392"/>
      <c r="KRA7" s="392"/>
      <c r="KRB7" s="392"/>
      <c r="KRC7" s="392"/>
      <c r="KRD7" s="392"/>
      <c r="KRE7" s="392"/>
      <c r="KRF7" s="392"/>
      <c r="KRG7" s="392"/>
      <c r="KRH7" s="392"/>
      <c r="KRI7" s="392"/>
      <c r="KRJ7" s="392"/>
      <c r="KRK7" s="392"/>
      <c r="KRL7" s="392"/>
      <c r="KRM7" s="392"/>
      <c r="KRN7" s="392"/>
      <c r="KRO7" s="392"/>
      <c r="KRP7" s="392"/>
      <c r="KRQ7" s="392"/>
      <c r="KRR7" s="392"/>
      <c r="KRS7" s="392"/>
      <c r="KRT7" s="392"/>
      <c r="KRU7" s="392"/>
      <c r="KRV7" s="392"/>
      <c r="KRW7" s="392"/>
      <c r="KRX7" s="392"/>
      <c r="KRY7" s="392"/>
      <c r="KRZ7" s="392"/>
      <c r="KSA7" s="392"/>
      <c r="KSB7" s="392"/>
      <c r="KSC7" s="392"/>
      <c r="KSD7" s="392"/>
      <c r="KSE7" s="392"/>
      <c r="KSF7" s="392"/>
      <c r="KSG7" s="392"/>
      <c r="KSH7" s="392"/>
      <c r="KSI7" s="392"/>
      <c r="KSJ7" s="392"/>
      <c r="KSK7" s="392"/>
      <c r="KSL7" s="392"/>
      <c r="KSM7" s="392"/>
      <c r="KSN7" s="392"/>
      <c r="KSO7" s="392"/>
      <c r="KSP7" s="392"/>
      <c r="KSQ7" s="392"/>
      <c r="KSR7" s="392"/>
      <c r="KSS7" s="392"/>
      <c r="KST7" s="392"/>
      <c r="KSU7" s="392"/>
      <c r="KSV7" s="392"/>
      <c r="KSW7" s="392"/>
      <c r="KSX7" s="392"/>
      <c r="KSY7" s="392"/>
      <c r="KSZ7" s="392"/>
      <c r="KTA7" s="392"/>
      <c r="KTB7" s="392"/>
      <c r="KTC7" s="392"/>
      <c r="KTD7" s="392"/>
      <c r="KTE7" s="392"/>
      <c r="KTF7" s="392"/>
      <c r="KTG7" s="392"/>
      <c r="KTH7" s="392"/>
      <c r="KTI7" s="392"/>
      <c r="KTJ7" s="392"/>
      <c r="KTK7" s="392"/>
      <c r="KTL7" s="392"/>
      <c r="KTM7" s="392"/>
      <c r="KTN7" s="392"/>
      <c r="KTO7" s="392"/>
      <c r="KTP7" s="392"/>
      <c r="KTQ7" s="392"/>
      <c r="KTR7" s="392"/>
      <c r="KTS7" s="392"/>
      <c r="KTT7" s="392"/>
      <c r="KTU7" s="392"/>
      <c r="KTV7" s="392"/>
      <c r="KTW7" s="392"/>
      <c r="KTX7" s="392"/>
      <c r="KTY7" s="392"/>
      <c r="KTZ7" s="392"/>
      <c r="KUA7" s="392"/>
      <c r="KUB7" s="392"/>
      <c r="KUC7" s="392"/>
      <c r="KUD7" s="392"/>
      <c r="KUE7" s="392"/>
      <c r="KUF7" s="392"/>
      <c r="KUG7" s="392"/>
      <c r="KUH7" s="392"/>
      <c r="KUI7" s="392"/>
      <c r="KUJ7" s="392"/>
      <c r="KUK7" s="392"/>
      <c r="KUL7" s="392"/>
      <c r="KUM7" s="392"/>
      <c r="KUN7" s="392"/>
      <c r="KUO7" s="392"/>
      <c r="KUP7" s="392"/>
      <c r="KUQ7" s="392"/>
      <c r="KUR7" s="392"/>
      <c r="KUS7" s="392"/>
      <c r="KUT7" s="392"/>
      <c r="KUU7" s="392"/>
      <c r="KUV7" s="392"/>
      <c r="KUW7" s="392"/>
      <c r="KUX7" s="392"/>
      <c r="KUY7" s="392"/>
      <c r="KUZ7" s="392"/>
      <c r="KVA7" s="392"/>
      <c r="KVB7" s="392"/>
      <c r="KVC7" s="392"/>
      <c r="KVD7" s="392"/>
      <c r="KVE7" s="392"/>
      <c r="KVF7" s="392"/>
      <c r="KVG7" s="392"/>
      <c r="KVH7" s="392"/>
      <c r="KVI7" s="392"/>
      <c r="KVJ7" s="392"/>
      <c r="KVK7" s="392"/>
      <c r="KVL7" s="392"/>
      <c r="KVM7" s="392"/>
      <c r="KVN7" s="392"/>
      <c r="KVO7" s="392"/>
      <c r="KVP7" s="392"/>
      <c r="KVQ7" s="392"/>
      <c r="KVR7" s="392"/>
      <c r="KVS7" s="392"/>
      <c r="KVT7" s="392"/>
      <c r="KVU7" s="392"/>
      <c r="KVV7" s="392"/>
      <c r="KVW7" s="392"/>
      <c r="KVX7" s="392"/>
      <c r="KVY7" s="392"/>
      <c r="KVZ7" s="392"/>
      <c r="KWA7" s="392"/>
      <c r="KWB7" s="392"/>
      <c r="KWC7" s="392"/>
      <c r="KWD7" s="392"/>
      <c r="KWE7" s="392"/>
      <c r="KWF7" s="392"/>
      <c r="KWG7" s="392"/>
      <c r="KWH7" s="392"/>
      <c r="KWI7" s="392"/>
      <c r="KWJ7" s="392"/>
      <c r="KWK7" s="392"/>
      <c r="KWL7" s="392"/>
      <c r="KWM7" s="392"/>
      <c r="KWN7" s="392"/>
      <c r="KWO7" s="392"/>
      <c r="KWP7" s="392"/>
      <c r="KWQ7" s="392"/>
      <c r="KWR7" s="392"/>
      <c r="KWS7" s="392"/>
      <c r="KWT7" s="392"/>
      <c r="KWU7" s="392"/>
      <c r="KWV7" s="392"/>
      <c r="KWW7" s="392"/>
      <c r="KWX7" s="392"/>
      <c r="KWY7" s="392"/>
      <c r="KWZ7" s="392"/>
      <c r="KXA7" s="392"/>
      <c r="KXB7" s="392"/>
      <c r="KXC7" s="392"/>
      <c r="KXD7" s="392"/>
      <c r="KXE7" s="392"/>
      <c r="KXF7" s="392"/>
      <c r="KXG7" s="392"/>
      <c r="KXH7" s="392"/>
      <c r="KXI7" s="392"/>
      <c r="KXJ7" s="392"/>
      <c r="KXK7" s="392"/>
      <c r="KXL7" s="392"/>
      <c r="KXM7" s="392"/>
      <c r="KXN7" s="392"/>
      <c r="KXO7" s="392"/>
      <c r="KXP7" s="392"/>
      <c r="KXQ7" s="392"/>
      <c r="KXR7" s="392"/>
      <c r="KXS7" s="392"/>
      <c r="KXT7" s="392"/>
      <c r="KXU7" s="392"/>
      <c r="KXV7" s="392"/>
      <c r="KXW7" s="392"/>
      <c r="KXX7" s="392"/>
      <c r="KXY7" s="392"/>
      <c r="KXZ7" s="392"/>
      <c r="KYA7" s="392"/>
      <c r="KYB7" s="392"/>
      <c r="KYC7" s="392"/>
      <c r="KYD7" s="392"/>
      <c r="KYE7" s="392"/>
      <c r="KYF7" s="392"/>
      <c r="KYG7" s="392"/>
      <c r="KYH7" s="392"/>
      <c r="KYI7" s="392"/>
      <c r="KYJ7" s="392"/>
      <c r="KYK7" s="392"/>
      <c r="KYL7" s="392"/>
      <c r="KYM7" s="392"/>
      <c r="KYN7" s="392"/>
      <c r="KYO7" s="392"/>
      <c r="KYP7" s="392"/>
      <c r="KYQ7" s="392"/>
      <c r="KYR7" s="392"/>
      <c r="KYS7" s="392"/>
      <c r="KYT7" s="392"/>
      <c r="KYU7" s="392"/>
      <c r="KYV7" s="392"/>
      <c r="KYW7" s="392"/>
      <c r="KYX7" s="392"/>
      <c r="KYY7" s="392"/>
      <c r="KYZ7" s="392"/>
      <c r="KZA7" s="392"/>
      <c r="KZB7" s="392"/>
      <c r="KZC7" s="392"/>
      <c r="KZD7" s="392"/>
      <c r="KZE7" s="392"/>
      <c r="KZF7" s="392"/>
      <c r="KZG7" s="392"/>
      <c r="KZH7" s="392"/>
      <c r="KZI7" s="392"/>
      <c r="KZJ7" s="392"/>
      <c r="KZK7" s="392"/>
      <c r="KZL7" s="392"/>
      <c r="KZM7" s="392"/>
      <c r="KZN7" s="392"/>
      <c r="KZO7" s="392"/>
      <c r="KZP7" s="392"/>
      <c r="KZQ7" s="392"/>
      <c r="KZR7" s="392"/>
      <c r="KZS7" s="392"/>
      <c r="KZT7" s="392"/>
      <c r="KZU7" s="392"/>
      <c r="KZV7" s="392"/>
      <c r="KZW7" s="392"/>
      <c r="KZX7" s="392"/>
      <c r="KZY7" s="392"/>
      <c r="KZZ7" s="392"/>
      <c r="LAA7" s="392"/>
      <c r="LAB7" s="392"/>
      <c r="LAC7" s="392"/>
      <c r="LAD7" s="392"/>
      <c r="LAE7" s="392"/>
      <c r="LAF7" s="392"/>
      <c r="LAG7" s="392"/>
      <c r="LAH7" s="392"/>
      <c r="LAI7" s="392"/>
      <c r="LAJ7" s="392"/>
      <c r="LAK7" s="392"/>
      <c r="LAL7" s="392"/>
      <c r="LAM7" s="392"/>
      <c r="LAN7" s="392"/>
      <c r="LAO7" s="392"/>
      <c r="LAP7" s="392"/>
      <c r="LAQ7" s="392"/>
      <c r="LAR7" s="392"/>
      <c r="LAS7" s="392"/>
      <c r="LAT7" s="392"/>
      <c r="LAU7" s="392"/>
      <c r="LAV7" s="392"/>
      <c r="LAW7" s="392"/>
      <c r="LAX7" s="392"/>
      <c r="LAY7" s="392"/>
      <c r="LAZ7" s="392"/>
      <c r="LBA7" s="392"/>
      <c r="LBB7" s="392"/>
      <c r="LBC7" s="392"/>
      <c r="LBD7" s="392"/>
      <c r="LBE7" s="392"/>
      <c r="LBF7" s="392"/>
      <c r="LBG7" s="392"/>
      <c r="LBH7" s="392"/>
      <c r="LBI7" s="392"/>
      <c r="LBJ7" s="392"/>
      <c r="LBK7" s="392"/>
      <c r="LBL7" s="392"/>
      <c r="LBM7" s="392"/>
      <c r="LBN7" s="392"/>
      <c r="LBO7" s="392"/>
      <c r="LBP7" s="392"/>
      <c r="LBQ7" s="392"/>
      <c r="LBR7" s="392"/>
      <c r="LBS7" s="392"/>
      <c r="LBT7" s="392"/>
      <c r="LBU7" s="392"/>
      <c r="LBV7" s="392"/>
      <c r="LBW7" s="392"/>
      <c r="LBX7" s="392"/>
      <c r="LBY7" s="392"/>
      <c r="LBZ7" s="392"/>
      <c r="LCA7" s="392"/>
      <c r="LCB7" s="392"/>
      <c r="LCC7" s="392"/>
      <c r="LCD7" s="392"/>
      <c r="LCE7" s="392"/>
      <c r="LCF7" s="392"/>
      <c r="LCG7" s="392"/>
      <c r="LCH7" s="392"/>
      <c r="LCI7" s="392"/>
      <c r="LCJ7" s="392"/>
      <c r="LCK7" s="392"/>
      <c r="LCL7" s="392"/>
      <c r="LCM7" s="392"/>
      <c r="LCN7" s="392"/>
      <c r="LCO7" s="392"/>
      <c r="LCP7" s="392"/>
      <c r="LCQ7" s="392"/>
      <c r="LCR7" s="392"/>
      <c r="LCS7" s="392"/>
      <c r="LCT7" s="392"/>
      <c r="LCU7" s="392"/>
      <c r="LCV7" s="392"/>
      <c r="LCW7" s="392"/>
      <c r="LCX7" s="392"/>
      <c r="LCY7" s="392"/>
      <c r="LCZ7" s="392"/>
      <c r="LDA7" s="392"/>
      <c r="LDB7" s="392"/>
      <c r="LDC7" s="392"/>
      <c r="LDD7" s="392"/>
      <c r="LDE7" s="392"/>
      <c r="LDF7" s="392"/>
      <c r="LDG7" s="392"/>
      <c r="LDH7" s="392"/>
      <c r="LDI7" s="392"/>
      <c r="LDJ7" s="392"/>
      <c r="LDK7" s="392"/>
      <c r="LDL7" s="392"/>
      <c r="LDM7" s="392"/>
      <c r="LDN7" s="392"/>
      <c r="LDO7" s="392"/>
      <c r="LDP7" s="392"/>
      <c r="LDQ7" s="392"/>
      <c r="LDR7" s="392"/>
      <c r="LDS7" s="392"/>
      <c r="LDT7" s="392"/>
      <c r="LDU7" s="392"/>
      <c r="LDV7" s="392"/>
      <c r="LDW7" s="392"/>
      <c r="LDX7" s="392"/>
      <c r="LDY7" s="392"/>
      <c r="LDZ7" s="392"/>
      <c r="LEA7" s="392"/>
      <c r="LEB7" s="392"/>
      <c r="LEC7" s="392"/>
      <c r="LED7" s="392"/>
      <c r="LEE7" s="392"/>
      <c r="LEF7" s="392"/>
      <c r="LEG7" s="392"/>
      <c r="LEH7" s="392"/>
      <c r="LEI7" s="392"/>
      <c r="LEJ7" s="392"/>
      <c r="LEK7" s="392"/>
      <c r="LEL7" s="392"/>
      <c r="LEM7" s="392"/>
      <c r="LEN7" s="392"/>
      <c r="LEO7" s="392"/>
      <c r="LEP7" s="392"/>
      <c r="LEQ7" s="392"/>
      <c r="LER7" s="392"/>
      <c r="LES7" s="392"/>
      <c r="LET7" s="392"/>
      <c r="LEU7" s="392"/>
      <c r="LEV7" s="392"/>
      <c r="LEW7" s="392"/>
      <c r="LEX7" s="392"/>
      <c r="LEY7" s="392"/>
      <c r="LEZ7" s="392"/>
      <c r="LFA7" s="392"/>
      <c r="LFB7" s="392"/>
      <c r="LFC7" s="392"/>
      <c r="LFD7" s="392"/>
      <c r="LFE7" s="392"/>
      <c r="LFF7" s="392"/>
      <c r="LFG7" s="392"/>
      <c r="LFH7" s="392"/>
      <c r="LFI7" s="392"/>
      <c r="LFJ7" s="392"/>
      <c r="LFK7" s="392"/>
      <c r="LFL7" s="392"/>
      <c r="LFM7" s="392"/>
      <c r="LFN7" s="392"/>
      <c r="LFO7" s="392"/>
      <c r="LFP7" s="392"/>
      <c r="LFQ7" s="392"/>
      <c r="LFR7" s="392"/>
      <c r="LFS7" s="392"/>
      <c r="LFT7" s="392"/>
      <c r="LFU7" s="392"/>
      <c r="LFV7" s="392"/>
      <c r="LFW7" s="392"/>
      <c r="LFX7" s="392"/>
      <c r="LFY7" s="392"/>
      <c r="LFZ7" s="392"/>
      <c r="LGA7" s="392"/>
      <c r="LGB7" s="392"/>
      <c r="LGC7" s="392"/>
      <c r="LGD7" s="392"/>
      <c r="LGE7" s="392"/>
      <c r="LGF7" s="392"/>
      <c r="LGG7" s="392"/>
      <c r="LGH7" s="392"/>
      <c r="LGI7" s="392"/>
      <c r="LGJ7" s="392"/>
      <c r="LGK7" s="392"/>
      <c r="LGL7" s="392"/>
      <c r="LGM7" s="392"/>
      <c r="LGN7" s="392"/>
      <c r="LGO7" s="392"/>
      <c r="LGP7" s="392"/>
      <c r="LGQ7" s="392"/>
      <c r="LGR7" s="392"/>
      <c r="LGS7" s="392"/>
      <c r="LGT7" s="392"/>
      <c r="LGU7" s="392"/>
      <c r="LGV7" s="392"/>
      <c r="LGW7" s="392"/>
      <c r="LGX7" s="392"/>
      <c r="LGY7" s="392"/>
      <c r="LGZ7" s="392"/>
      <c r="LHA7" s="392"/>
      <c r="LHB7" s="392"/>
      <c r="LHC7" s="392"/>
      <c r="LHD7" s="392"/>
      <c r="LHE7" s="392"/>
      <c r="LHF7" s="392"/>
      <c r="LHG7" s="392"/>
      <c r="LHH7" s="392"/>
      <c r="LHI7" s="392"/>
      <c r="LHJ7" s="392"/>
      <c r="LHK7" s="392"/>
      <c r="LHL7" s="392"/>
      <c r="LHM7" s="392"/>
      <c r="LHN7" s="392"/>
      <c r="LHO7" s="392"/>
      <c r="LHP7" s="392"/>
      <c r="LHQ7" s="392"/>
      <c r="LHR7" s="392"/>
      <c r="LHS7" s="392"/>
      <c r="LHT7" s="392"/>
      <c r="LHU7" s="392"/>
      <c r="LHV7" s="392"/>
      <c r="LHW7" s="392"/>
      <c r="LHX7" s="392"/>
      <c r="LHY7" s="392"/>
      <c r="LHZ7" s="392"/>
      <c r="LIA7" s="392"/>
      <c r="LIB7" s="392"/>
      <c r="LIC7" s="392"/>
      <c r="LID7" s="392"/>
      <c r="LIE7" s="392"/>
      <c r="LIF7" s="392"/>
      <c r="LIG7" s="392"/>
      <c r="LIH7" s="392"/>
      <c r="LII7" s="392"/>
      <c r="LIJ7" s="392"/>
      <c r="LIK7" s="392"/>
      <c r="LIL7" s="392"/>
      <c r="LIM7" s="392"/>
      <c r="LIN7" s="392"/>
      <c r="LIO7" s="392"/>
      <c r="LIP7" s="392"/>
      <c r="LIQ7" s="392"/>
      <c r="LIR7" s="392"/>
      <c r="LIS7" s="392"/>
      <c r="LIT7" s="392"/>
      <c r="LIU7" s="392"/>
      <c r="LIV7" s="392"/>
      <c r="LIW7" s="392"/>
      <c r="LIX7" s="392"/>
      <c r="LIY7" s="392"/>
      <c r="LIZ7" s="392"/>
      <c r="LJA7" s="392"/>
      <c r="LJB7" s="392"/>
      <c r="LJC7" s="392"/>
      <c r="LJD7" s="392"/>
      <c r="LJE7" s="392"/>
      <c r="LJF7" s="392"/>
      <c r="LJG7" s="392"/>
      <c r="LJH7" s="392"/>
      <c r="LJI7" s="392"/>
      <c r="LJJ7" s="392"/>
      <c r="LJK7" s="392"/>
      <c r="LJL7" s="392"/>
      <c r="LJM7" s="392"/>
      <c r="LJN7" s="392"/>
      <c r="LJO7" s="392"/>
      <c r="LJP7" s="392"/>
      <c r="LJQ7" s="392"/>
      <c r="LJR7" s="392"/>
      <c r="LJS7" s="392"/>
      <c r="LJT7" s="392"/>
      <c r="LJU7" s="392"/>
      <c r="LJV7" s="392"/>
      <c r="LJW7" s="392"/>
      <c r="LJX7" s="392"/>
      <c r="LJY7" s="392"/>
      <c r="LJZ7" s="392"/>
      <c r="LKA7" s="392"/>
      <c r="LKB7" s="392"/>
      <c r="LKC7" s="392"/>
      <c r="LKD7" s="392"/>
      <c r="LKE7" s="392"/>
      <c r="LKF7" s="392"/>
      <c r="LKG7" s="392"/>
      <c r="LKH7" s="392"/>
      <c r="LKI7" s="392"/>
      <c r="LKJ7" s="392"/>
      <c r="LKK7" s="392"/>
      <c r="LKL7" s="392"/>
      <c r="LKM7" s="392"/>
      <c r="LKN7" s="392"/>
      <c r="LKO7" s="392"/>
      <c r="LKP7" s="392"/>
      <c r="LKQ7" s="392"/>
      <c r="LKR7" s="392"/>
      <c r="LKS7" s="392"/>
      <c r="LKT7" s="392"/>
      <c r="LKU7" s="392"/>
      <c r="LKV7" s="392"/>
      <c r="LKW7" s="392"/>
      <c r="LKX7" s="392"/>
      <c r="LKY7" s="392"/>
      <c r="LKZ7" s="392"/>
      <c r="LLA7" s="392"/>
      <c r="LLB7" s="392"/>
      <c r="LLC7" s="392"/>
      <c r="LLD7" s="392"/>
      <c r="LLE7" s="392"/>
      <c r="LLF7" s="392"/>
      <c r="LLG7" s="392"/>
      <c r="LLH7" s="392"/>
      <c r="LLI7" s="392"/>
      <c r="LLJ7" s="392"/>
      <c r="LLK7" s="392"/>
      <c r="LLL7" s="392"/>
      <c r="LLM7" s="392"/>
      <c r="LLN7" s="392"/>
      <c r="LLO7" s="392"/>
      <c r="LLP7" s="392"/>
      <c r="LLQ7" s="392"/>
      <c r="LLR7" s="392"/>
      <c r="LLS7" s="392"/>
      <c r="LLT7" s="392"/>
      <c r="LLU7" s="392"/>
      <c r="LLV7" s="392"/>
      <c r="LLW7" s="392"/>
      <c r="LLX7" s="392"/>
      <c r="LLY7" s="392"/>
      <c r="LLZ7" s="392"/>
      <c r="LMA7" s="392"/>
      <c r="LMB7" s="392"/>
      <c r="LMC7" s="392"/>
      <c r="LMD7" s="392"/>
      <c r="LME7" s="392"/>
      <c r="LMF7" s="392"/>
      <c r="LMG7" s="392"/>
      <c r="LMH7" s="392"/>
      <c r="LMI7" s="392"/>
      <c r="LMJ7" s="392"/>
      <c r="LMK7" s="392"/>
      <c r="LML7" s="392"/>
      <c r="LMM7" s="392"/>
      <c r="LMN7" s="392"/>
      <c r="LMO7" s="392"/>
      <c r="LMP7" s="392"/>
      <c r="LMQ7" s="392"/>
      <c r="LMR7" s="392"/>
      <c r="LMS7" s="392"/>
      <c r="LMT7" s="392"/>
      <c r="LMU7" s="392"/>
      <c r="LMV7" s="392"/>
      <c r="LMW7" s="392"/>
      <c r="LMX7" s="392"/>
      <c r="LMY7" s="392"/>
      <c r="LMZ7" s="392"/>
      <c r="LNA7" s="392"/>
      <c r="LNB7" s="392"/>
      <c r="LNC7" s="392"/>
      <c r="LND7" s="392"/>
      <c r="LNE7" s="392"/>
      <c r="LNF7" s="392"/>
      <c r="LNG7" s="392"/>
      <c r="LNH7" s="392"/>
      <c r="LNI7" s="392"/>
      <c r="LNJ7" s="392"/>
      <c r="LNK7" s="392"/>
      <c r="LNL7" s="392"/>
      <c r="LNM7" s="392"/>
      <c r="LNN7" s="392"/>
      <c r="LNO7" s="392"/>
      <c r="LNP7" s="392"/>
      <c r="LNQ7" s="392"/>
      <c r="LNR7" s="392"/>
      <c r="LNS7" s="392"/>
      <c r="LNT7" s="392"/>
      <c r="LNU7" s="392"/>
      <c r="LNV7" s="392"/>
      <c r="LNW7" s="392"/>
      <c r="LNX7" s="392"/>
      <c r="LNY7" s="392"/>
      <c r="LNZ7" s="392"/>
      <c r="LOA7" s="392"/>
      <c r="LOB7" s="392"/>
      <c r="LOC7" s="392"/>
      <c r="LOD7" s="392"/>
      <c r="LOE7" s="392"/>
      <c r="LOF7" s="392"/>
      <c r="LOG7" s="392"/>
      <c r="LOH7" s="392"/>
      <c r="LOI7" s="392"/>
      <c r="LOJ7" s="392"/>
      <c r="LOK7" s="392"/>
      <c r="LOL7" s="392"/>
      <c r="LOM7" s="392"/>
      <c r="LON7" s="392"/>
      <c r="LOO7" s="392"/>
      <c r="LOP7" s="392"/>
      <c r="LOQ7" s="392"/>
      <c r="LOR7" s="392"/>
      <c r="LOS7" s="392"/>
      <c r="LOT7" s="392"/>
      <c r="LOU7" s="392"/>
      <c r="LOV7" s="392"/>
      <c r="LOW7" s="392"/>
      <c r="LOX7" s="392"/>
      <c r="LOY7" s="392"/>
      <c r="LOZ7" s="392"/>
      <c r="LPA7" s="392"/>
      <c r="LPB7" s="392"/>
      <c r="LPC7" s="392"/>
      <c r="LPD7" s="392"/>
      <c r="LPE7" s="392"/>
      <c r="LPF7" s="392"/>
      <c r="LPG7" s="392"/>
      <c r="LPH7" s="392"/>
      <c r="LPI7" s="392"/>
      <c r="LPJ7" s="392"/>
      <c r="LPK7" s="392"/>
      <c r="LPL7" s="392"/>
      <c r="LPM7" s="392"/>
      <c r="LPN7" s="392"/>
      <c r="LPO7" s="392"/>
      <c r="LPP7" s="392"/>
      <c r="LPQ7" s="392"/>
      <c r="LPR7" s="392"/>
      <c r="LPS7" s="392"/>
      <c r="LPT7" s="392"/>
      <c r="LPU7" s="392"/>
      <c r="LPV7" s="392"/>
      <c r="LPW7" s="392"/>
      <c r="LPX7" s="392"/>
      <c r="LPY7" s="392"/>
      <c r="LPZ7" s="392"/>
      <c r="LQA7" s="392"/>
      <c r="LQB7" s="392"/>
      <c r="LQC7" s="392"/>
      <c r="LQD7" s="392"/>
      <c r="LQE7" s="392"/>
      <c r="LQF7" s="392"/>
      <c r="LQG7" s="392"/>
      <c r="LQH7" s="392"/>
      <c r="LQI7" s="392"/>
      <c r="LQJ7" s="392"/>
      <c r="LQK7" s="392"/>
      <c r="LQL7" s="392"/>
      <c r="LQM7" s="392"/>
      <c r="LQN7" s="392"/>
      <c r="LQO7" s="392"/>
      <c r="LQP7" s="392"/>
      <c r="LQQ7" s="392"/>
      <c r="LQR7" s="392"/>
      <c r="LQS7" s="392"/>
      <c r="LQT7" s="392"/>
      <c r="LQU7" s="392"/>
      <c r="LQV7" s="392"/>
      <c r="LQW7" s="392"/>
      <c r="LQX7" s="392"/>
      <c r="LQY7" s="392"/>
      <c r="LQZ7" s="392"/>
      <c r="LRA7" s="392"/>
      <c r="LRB7" s="392"/>
      <c r="LRC7" s="392"/>
      <c r="LRD7" s="392"/>
      <c r="LRE7" s="392"/>
      <c r="LRF7" s="392"/>
      <c r="LRG7" s="392"/>
      <c r="LRH7" s="392"/>
      <c r="LRI7" s="392"/>
      <c r="LRJ7" s="392"/>
      <c r="LRK7" s="392"/>
      <c r="LRL7" s="392"/>
      <c r="LRM7" s="392"/>
      <c r="LRN7" s="392"/>
      <c r="LRO7" s="392"/>
      <c r="LRP7" s="392"/>
      <c r="LRQ7" s="392"/>
      <c r="LRR7" s="392"/>
      <c r="LRS7" s="392"/>
      <c r="LRT7" s="392"/>
      <c r="LRU7" s="392"/>
      <c r="LRV7" s="392"/>
      <c r="LRW7" s="392"/>
      <c r="LRX7" s="392"/>
      <c r="LRY7" s="392"/>
      <c r="LRZ7" s="392"/>
      <c r="LSA7" s="392"/>
      <c r="LSB7" s="392"/>
      <c r="LSC7" s="392"/>
      <c r="LSD7" s="392"/>
      <c r="LSE7" s="392"/>
      <c r="LSF7" s="392"/>
      <c r="LSG7" s="392"/>
      <c r="LSH7" s="392"/>
      <c r="LSI7" s="392"/>
      <c r="LSJ7" s="392"/>
      <c r="LSK7" s="392"/>
      <c r="LSL7" s="392"/>
      <c r="LSM7" s="392"/>
      <c r="LSN7" s="392"/>
      <c r="LSO7" s="392"/>
      <c r="LSP7" s="392"/>
      <c r="LSQ7" s="392"/>
      <c r="LSR7" s="392"/>
      <c r="LSS7" s="392"/>
      <c r="LST7" s="392"/>
      <c r="LSU7" s="392"/>
      <c r="LSV7" s="392"/>
      <c r="LSW7" s="392"/>
      <c r="LSX7" s="392"/>
      <c r="LSY7" s="392"/>
      <c r="LSZ7" s="392"/>
      <c r="LTA7" s="392"/>
      <c r="LTB7" s="392"/>
      <c r="LTC7" s="392"/>
      <c r="LTD7" s="392"/>
      <c r="LTE7" s="392"/>
      <c r="LTF7" s="392"/>
      <c r="LTG7" s="392"/>
      <c r="LTH7" s="392"/>
      <c r="LTI7" s="392"/>
      <c r="LTJ7" s="392"/>
      <c r="LTK7" s="392"/>
      <c r="LTL7" s="392"/>
      <c r="LTM7" s="392"/>
      <c r="LTN7" s="392"/>
      <c r="LTO7" s="392"/>
      <c r="LTP7" s="392"/>
      <c r="LTQ7" s="392"/>
      <c r="LTR7" s="392"/>
      <c r="LTS7" s="392"/>
      <c r="LTT7" s="392"/>
      <c r="LTU7" s="392"/>
      <c r="LTV7" s="392"/>
      <c r="LTW7" s="392"/>
      <c r="LTX7" s="392"/>
      <c r="LTY7" s="392"/>
      <c r="LTZ7" s="392"/>
      <c r="LUA7" s="392"/>
      <c r="LUB7" s="392"/>
      <c r="LUC7" s="392"/>
      <c r="LUD7" s="392"/>
      <c r="LUE7" s="392"/>
      <c r="LUF7" s="392"/>
      <c r="LUG7" s="392"/>
      <c r="LUH7" s="392"/>
      <c r="LUI7" s="392"/>
      <c r="LUJ7" s="392"/>
      <c r="LUK7" s="392"/>
      <c r="LUL7" s="392"/>
      <c r="LUM7" s="392"/>
      <c r="LUN7" s="392"/>
      <c r="LUO7" s="392"/>
      <c r="LUP7" s="392"/>
      <c r="LUQ7" s="392"/>
      <c r="LUR7" s="392"/>
      <c r="LUS7" s="392"/>
      <c r="LUT7" s="392"/>
      <c r="LUU7" s="392"/>
      <c r="LUV7" s="392"/>
      <c r="LUW7" s="392"/>
      <c r="LUX7" s="392"/>
      <c r="LUY7" s="392"/>
      <c r="LUZ7" s="392"/>
      <c r="LVA7" s="392"/>
      <c r="LVB7" s="392"/>
      <c r="LVC7" s="392"/>
      <c r="LVD7" s="392"/>
      <c r="LVE7" s="392"/>
      <c r="LVF7" s="392"/>
      <c r="LVG7" s="392"/>
      <c r="LVH7" s="392"/>
      <c r="LVI7" s="392"/>
      <c r="LVJ7" s="392"/>
      <c r="LVK7" s="392"/>
      <c r="LVL7" s="392"/>
      <c r="LVM7" s="392"/>
      <c r="LVN7" s="392"/>
      <c r="LVO7" s="392"/>
      <c r="LVP7" s="392"/>
      <c r="LVQ7" s="392"/>
      <c r="LVR7" s="392"/>
      <c r="LVS7" s="392"/>
      <c r="LVT7" s="392"/>
      <c r="LVU7" s="392"/>
      <c r="LVV7" s="392"/>
      <c r="LVW7" s="392"/>
      <c r="LVX7" s="392"/>
      <c r="LVY7" s="392"/>
      <c r="LVZ7" s="392"/>
      <c r="LWA7" s="392"/>
      <c r="LWB7" s="392"/>
      <c r="LWC7" s="392"/>
      <c r="LWD7" s="392"/>
      <c r="LWE7" s="392"/>
      <c r="LWF7" s="392"/>
      <c r="LWG7" s="392"/>
      <c r="LWH7" s="392"/>
      <c r="LWI7" s="392"/>
      <c r="LWJ7" s="392"/>
      <c r="LWK7" s="392"/>
      <c r="LWL7" s="392"/>
      <c r="LWM7" s="392"/>
      <c r="LWN7" s="392"/>
      <c r="LWO7" s="392"/>
      <c r="LWP7" s="392"/>
      <c r="LWQ7" s="392"/>
      <c r="LWR7" s="392"/>
      <c r="LWS7" s="392"/>
      <c r="LWT7" s="392"/>
      <c r="LWU7" s="392"/>
      <c r="LWV7" s="392"/>
      <c r="LWW7" s="392"/>
      <c r="LWX7" s="392"/>
      <c r="LWY7" s="392"/>
      <c r="LWZ7" s="392"/>
      <c r="LXA7" s="392"/>
      <c r="LXB7" s="392"/>
      <c r="LXC7" s="392"/>
      <c r="LXD7" s="392"/>
      <c r="LXE7" s="392"/>
      <c r="LXF7" s="392"/>
      <c r="LXG7" s="392"/>
      <c r="LXH7" s="392"/>
      <c r="LXI7" s="392"/>
      <c r="LXJ7" s="392"/>
      <c r="LXK7" s="392"/>
      <c r="LXL7" s="392"/>
      <c r="LXM7" s="392"/>
      <c r="LXN7" s="392"/>
      <c r="LXO7" s="392"/>
      <c r="LXP7" s="392"/>
      <c r="LXQ7" s="392"/>
      <c r="LXR7" s="392"/>
      <c r="LXS7" s="392"/>
      <c r="LXT7" s="392"/>
      <c r="LXU7" s="392"/>
      <c r="LXV7" s="392"/>
      <c r="LXW7" s="392"/>
      <c r="LXX7" s="392"/>
      <c r="LXY7" s="392"/>
      <c r="LXZ7" s="392"/>
      <c r="LYA7" s="392"/>
      <c r="LYB7" s="392"/>
      <c r="LYC7" s="392"/>
      <c r="LYD7" s="392"/>
      <c r="LYE7" s="392"/>
      <c r="LYF7" s="392"/>
      <c r="LYG7" s="392"/>
      <c r="LYH7" s="392"/>
      <c r="LYI7" s="392"/>
      <c r="LYJ7" s="392"/>
      <c r="LYK7" s="392"/>
      <c r="LYL7" s="392"/>
      <c r="LYM7" s="392"/>
      <c r="LYN7" s="392"/>
      <c r="LYO7" s="392"/>
      <c r="LYP7" s="392"/>
      <c r="LYQ7" s="392"/>
      <c r="LYR7" s="392"/>
      <c r="LYS7" s="392"/>
      <c r="LYT7" s="392"/>
      <c r="LYU7" s="392"/>
      <c r="LYV7" s="392"/>
      <c r="LYW7" s="392"/>
      <c r="LYX7" s="392"/>
      <c r="LYY7" s="392"/>
      <c r="LYZ7" s="392"/>
      <c r="LZA7" s="392"/>
      <c r="LZB7" s="392"/>
      <c r="LZC7" s="392"/>
      <c r="LZD7" s="392"/>
      <c r="LZE7" s="392"/>
      <c r="LZF7" s="392"/>
      <c r="LZG7" s="392"/>
      <c r="LZH7" s="392"/>
      <c r="LZI7" s="392"/>
      <c r="LZJ7" s="392"/>
      <c r="LZK7" s="392"/>
      <c r="LZL7" s="392"/>
      <c r="LZM7" s="392"/>
      <c r="LZN7" s="392"/>
      <c r="LZO7" s="392"/>
      <c r="LZP7" s="392"/>
      <c r="LZQ7" s="392"/>
      <c r="LZR7" s="392"/>
      <c r="LZS7" s="392"/>
      <c r="LZT7" s="392"/>
      <c r="LZU7" s="392"/>
      <c r="LZV7" s="392"/>
      <c r="LZW7" s="392"/>
      <c r="LZX7" s="392"/>
      <c r="LZY7" s="392"/>
      <c r="LZZ7" s="392"/>
      <c r="MAA7" s="392"/>
      <c r="MAB7" s="392"/>
      <c r="MAC7" s="392"/>
      <c r="MAD7" s="392"/>
      <c r="MAE7" s="392"/>
      <c r="MAF7" s="392"/>
      <c r="MAG7" s="392"/>
      <c r="MAH7" s="392"/>
      <c r="MAI7" s="392"/>
      <c r="MAJ7" s="392"/>
      <c r="MAK7" s="392"/>
      <c r="MAL7" s="392"/>
      <c r="MAM7" s="392"/>
      <c r="MAN7" s="392"/>
      <c r="MAO7" s="392"/>
      <c r="MAP7" s="392"/>
      <c r="MAQ7" s="392"/>
      <c r="MAR7" s="392"/>
      <c r="MAS7" s="392"/>
      <c r="MAT7" s="392"/>
      <c r="MAU7" s="392"/>
      <c r="MAV7" s="392"/>
      <c r="MAW7" s="392"/>
      <c r="MAX7" s="392"/>
      <c r="MAY7" s="392"/>
      <c r="MAZ7" s="392"/>
      <c r="MBA7" s="392"/>
      <c r="MBB7" s="392"/>
      <c r="MBC7" s="392"/>
      <c r="MBD7" s="392"/>
      <c r="MBE7" s="392"/>
      <c r="MBF7" s="392"/>
      <c r="MBG7" s="392"/>
      <c r="MBH7" s="392"/>
      <c r="MBI7" s="392"/>
      <c r="MBJ7" s="392"/>
      <c r="MBK7" s="392"/>
      <c r="MBL7" s="392"/>
      <c r="MBM7" s="392"/>
      <c r="MBN7" s="392"/>
      <c r="MBO7" s="392"/>
      <c r="MBP7" s="392"/>
      <c r="MBQ7" s="392"/>
      <c r="MBR7" s="392"/>
      <c r="MBS7" s="392"/>
      <c r="MBT7" s="392"/>
      <c r="MBU7" s="392"/>
      <c r="MBV7" s="392"/>
      <c r="MBW7" s="392"/>
      <c r="MBX7" s="392"/>
      <c r="MBY7" s="392"/>
      <c r="MBZ7" s="392"/>
      <c r="MCA7" s="392"/>
      <c r="MCB7" s="392"/>
      <c r="MCC7" s="392"/>
      <c r="MCD7" s="392"/>
      <c r="MCE7" s="392"/>
      <c r="MCF7" s="392"/>
      <c r="MCG7" s="392"/>
      <c r="MCH7" s="392"/>
      <c r="MCI7" s="392"/>
      <c r="MCJ7" s="392"/>
      <c r="MCK7" s="392"/>
      <c r="MCL7" s="392"/>
      <c r="MCM7" s="392"/>
      <c r="MCN7" s="392"/>
      <c r="MCO7" s="392"/>
      <c r="MCP7" s="392"/>
      <c r="MCQ7" s="392"/>
      <c r="MCR7" s="392"/>
      <c r="MCS7" s="392"/>
      <c r="MCT7" s="392"/>
      <c r="MCU7" s="392"/>
      <c r="MCV7" s="392"/>
      <c r="MCW7" s="392"/>
      <c r="MCX7" s="392"/>
      <c r="MCY7" s="392"/>
      <c r="MCZ7" s="392"/>
      <c r="MDA7" s="392"/>
      <c r="MDB7" s="392"/>
      <c r="MDC7" s="392"/>
      <c r="MDD7" s="392"/>
      <c r="MDE7" s="392"/>
      <c r="MDF7" s="392"/>
      <c r="MDG7" s="392"/>
      <c r="MDH7" s="392"/>
      <c r="MDI7" s="392"/>
      <c r="MDJ7" s="392"/>
      <c r="MDK7" s="392"/>
      <c r="MDL7" s="392"/>
      <c r="MDM7" s="392"/>
      <c r="MDN7" s="392"/>
      <c r="MDO7" s="392"/>
      <c r="MDP7" s="392"/>
      <c r="MDQ7" s="392"/>
      <c r="MDR7" s="392"/>
      <c r="MDS7" s="392"/>
      <c r="MDT7" s="392"/>
      <c r="MDU7" s="392"/>
      <c r="MDV7" s="392"/>
      <c r="MDW7" s="392"/>
      <c r="MDX7" s="392"/>
      <c r="MDY7" s="392"/>
      <c r="MDZ7" s="392"/>
      <c r="MEA7" s="392"/>
      <c r="MEB7" s="392"/>
      <c r="MEC7" s="392"/>
      <c r="MED7" s="392"/>
      <c r="MEE7" s="392"/>
      <c r="MEF7" s="392"/>
      <c r="MEG7" s="392"/>
      <c r="MEH7" s="392"/>
      <c r="MEI7" s="392"/>
      <c r="MEJ7" s="392"/>
      <c r="MEK7" s="392"/>
      <c r="MEL7" s="392"/>
      <c r="MEM7" s="392"/>
      <c r="MEN7" s="392"/>
      <c r="MEO7" s="392"/>
      <c r="MEP7" s="392"/>
      <c r="MEQ7" s="392"/>
      <c r="MER7" s="392"/>
      <c r="MES7" s="392"/>
      <c r="MET7" s="392"/>
      <c r="MEU7" s="392"/>
      <c r="MEV7" s="392"/>
      <c r="MEW7" s="392"/>
      <c r="MEX7" s="392"/>
      <c r="MEY7" s="392"/>
      <c r="MEZ7" s="392"/>
      <c r="MFA7" s="392"/>
      <c r="MFB7" s="392"/>
      <c r="MFC7" s="392"/>
      <c r="MFD7" s="392"/>
      <c r="MFE7" s="392"/>
      <c r="MFF7" s="392"/>
      <c r="MFG7" s="392"/>
      <c r="MFH7" s="392"/>
      <c r="MFI7" s="392"/>
      <c r="MFJ7" s="392"/>
      <c r="MFK7" s="392"/>
      <c r="MFL7" s="392"/>
      <c r="MFM7" s="392"/>
      <c r="MFN7" s="392"/>
      <c r="MFO7" s="392"/>
      <c r="MFP7" s="392"/>
      <c r="MFQ7" s="392"/>
      <c r="MFR7" s="392"/>
      <c r="MFS7" s="392"/>
      <c r="MFT7" s="392"/>
      <c r="MFU7" s="392"/>
      <c r="MFV7" s="392"/>
      <c r="MFW7" s="392"/>
      <c r="MFX7" s="392"/>
      <c r="MFY7" s="392"/>
      <c r="MFZ7" s="392"/>
      <c r="MGA7" s="392"/>
      <c r="MGB7" s="392"/>
      <c r="MGC7" s="392"/>
      <c r="MGD7" s="392"/>
      <c r="MGE7" s="392"/>
      <c r="MGF7" s="392"/>
      <c r="MGG7" s="392"/>
      <c r="MGH7" s="392"/>
      <c r="MGI7" s="392"/>
      <c r="MGJ7" s="392"/>
      <c r="MGK7" s="392"/>
      <c r="MGL7" s="392"/>
      <c r="MGM7" s="392"/>
      <c r="MGN7" s="392"/>
      <c r="MGO7" s="392"/>
      <c r="MGP7" s="392"/>
      <c r="MGQ7" s="392"/>
      <c r="MGR7" s="392"/>
      <c r="MGS7" s="392"/>
      <c r="MGT7" s="392"/>
      <c r="MGU7" s="392"/>
      <c r="MGV7" s="392"/>
      <c r="MGW7" s="392"/>
      <c r="MGX7" s="392"/>
      <c r="MGY7" s="392"/>
      <c r="MGZ7" s="392"/>
      <c r="MHA7" s="392"/>
      <c r="MHB7" s="392"/>
      <c r="MHC7" s="392"/>
      <c r="MHD7" s="392"/>
      <c r="MHE7" s="392"/>
      <c r="MHF7" s="392"/>
      <c r="MHG7" s="392"/>
      <c r="MHH7" s="392"/>
      <c r="MHI7" s="392"/>
      <c r="MHJ7" s="392"/>
      <c r="MHK7" s="392"/>
      <c r="MHL7" s="392"/>
      <c r="MHM7" s="392"/>
      <c r="MHN7" s="392"/>
      <c r="MHO7" s="392"/>
      <c r="MHP7" s="392"/>
      <c r="MHQ7" s="392"/>
      <c r="MHR7" s="392"/>
      <c r="MHS7" s="392"/>
      <c r="MHT7" s="392"/>
      <c r="MHU7" s="392"/>
      <c r="MHV7" s="392"/>
      <c r="MHW7" s="392"/>
      <c r="MHX7" s="392"/>
      <c r="MHY7" s="392"/>
      <c r="MHZ7" s="392"/>
      <c r="MIA7" s="392"/>
      <c r="MIB7" s="392"/>
      <c r="MIC7" s="392"/>
      <c r="MID7" s="392"/>
      <c r="MIE7" s="392"/>
      <c r="MIF7" s="392"/>
      <c r="MIG7" s="392"/>
      <c r="MIH7" s="392"/>
      <c r="MII7" s="392"/>
      <c r="MIJ7" s="392"/>
      <c r="MIK7" s="392"/>
      <c r="MIL7" s="392"/>
      <c r="MIM7" s="392"/>
      <c r="MIN7" s="392"/>
      <c r="MIO7" s="392"/>
      <c r="MIP7" s="392"/>
      <c r="MIQ7" s="392"/>
      <c r="MIR7" s="392"/>
      <c r="MIS7" s="392"/>
      <c r="MIT7" s="392"/>
      <c r="MIU7" s="392"/>
      <c r="MIV7" s="392"/>
      <c r="MIW7" s="392"/>
      <c r="MIX7" s="392"/>
      <c r="MIY7" s="392"/>
      <c r="MIZ7" s="392"/>
      <c r="MJA7" s="392"/>
      <c r="MJB7" s="392"/>
      <c r="MJC7" s="392"/>
      <c r="MJD7" s="392"/>
      <c r="MJE7" s="392"/>
      <c r="MJF7" s="392"/>
      <c r="MJG7" s="392"/>
      <c r="MJH7" s="392"/>
      <c r="MJI7" s="392"/>
      <c r="MJJ7" s="392"/>
      <c r="MJK7" s="392"/>
      <c r="MJL7" s="392"/>
      <c r="MJM7" s="392"/>
      <c r="MJN7" s="392"/>
      <c r="MJO7" s="392"/>
      <c r="MJP7" s="392"/>
      <c r="MJQ7" s="392"/>
      <c r="MJR7" s="392"/>
      <c r="MJS7" s="392"/>
      <c r="MJT7" s="392"/>
      <c r="MJU7" s="392"/>
      <c r="MJV7" s="392"/>
      <c r="MJW7" s="392"/>
      <c r="MJX7" s="392"/>
      <c r="MJY7" s="392"/>
      <c r="MJZ7" s="392"/>
      <c r="MKA7" s="392"/>
      <c r="MKB7" s="392"/>
      <c r="MKC7" s="392"/>
      <c r="MKD7" s="392"/>
      <c r="MKE7" s="392"/>
      <c r="MKF7" s="392"/>
      <c r="MKG7" s="392"/>
      <c r="MKH7" s="392"/>
      <c r="MKI7" s="392"/>
      <c r="MKJ7" s="392"/>
      <c r="MKK7" s="392"/>
      <c r="MKL7" s="392"/>
      <c r="MKM7" s="392"/>
      <c r="MKN7" s="392"/>
      <c r="MKO7" s="392"/>
      <c r="MKP7" s="392"/>
      <c r="MKQ7" s="392"/>
      <c r="MKR7" s="392"/>
      <c r="MKS7" s="392"/>
      <c r="MKT7" s="392"/>
      <c r="MKU7" s="392"/>
      <c r="MKV7" s="392"/>
      <c r="MKW7" s="392"/>
      <c r="MKX7" s="392"/>
      <c r="MKY7" s="392"/>
      <c r="MKZ7" s="392"/>
      <c r="MLA7" s="392"/>
      <c r="MLB7" s="392"/>
      <c r="MLC7" s="392"/>
      <c r="MLD7" s="392"/>
      <c r="MLE7" s="392"/>
      <c r="MLF7" s="392"/>
      <c r="MLG7" s="392"/>
      <c r="MLH7" s="392"/>
      <c r="MLI7" s="392"/>
      <c r="MLJ7" s="392"/>
      <c r="MLK7" s="392"/>
      <c r="MLL7" s="392"/>
      <c r="MLM7" s="392"/>
      <c r="MLN7" s="392"/>
      <c r="MLO7" s="392"/>
      <c r="MLP7" s="392"/>
      <c r="MLQ7" s="392"/>
      <c r="MLR7" s="392"/>
      <c r="MLS7" s="392"/>
      <c r="MLT7" s="392"/>
      <c r="MLU7" s="392"/>
      <c r="MLV7" s="392"/>
      <c r="MLW7" s="392"/>
      <c r="MLX7" s="392"/>
      <c r="MLY7" s="392"/>
      <c r="MLZ7" s="392"/>
      <c r="MMA7" s="392"/>
      <c r="MMB7" s="392"/>
      <c r="MMC7" s="392"/>
      <c r="MMD7" s="392"/>
      <c r="MME7" s="392"/>
      <c r="MMF7" s="392"/>
      <c r="MMG7" s="392"/>
      <c r="MMH7" s="392"/>
      <c r="MMI7" s="392"/>
      <c r="MMJ7" s="392"/>
      <c r="MMK7" s="392"/>
      <c r="MML7" s="392"/>
      <c r="MMM7" s="392"/>
      <c r="MMN7" s="392"/>
      <c r="MMO7" s="392"/>
      <c r="MMP7" s="392"/>
      <c r="MMQ7" s="392"/>
      <c r="MMR7" s="392"/>
      <c r="MMS7" s="392"/>
      <c r="MMT7" s="392"/>
      <c r="MMU7" s="392"/>
      <c r="MMV7" s="392"/>
      <c r="MMW7" s="392"/>
      <c r="MMX7" s="392"/>
      <c r="MMY7" s="392"/>
      <c r="MMZ7" s="392"/>
      <c r="MNA7" s="392"/>
      <c r="MNB7" s="392"/>
      <c r="MNC7" s="392"/>
      <c r="MND7" s="392"/>
      <c r="MNE7" s="392"/>
      <c r="MNF7" s="392"/>
      <c r="MNG7" s="392"/>
      <c r="MNH7" s="392"/>
      <c r="MNI7" s="392"/>
      <c r="MNJ7" s="392"/>
      <c r="MNK7" s="392"/>
      <c r="MNL7" s="392"/>
      <c r="MNM7" s="392"/>
      <c r="MNN7" s="392"/>
      <c r="MNO7" s="392"/>
      <c r="MNP7" s="392"/>
      <c r="MNQ7" s="392"/>
      <c r="MNR7" s="392"/>
      <c r="MNS7" s="392"/>
      <c r="MNT7" s="392"/>
      <c r="MNU7" s="392"/>
      <c r="MNV7" s="392"/>
      <c r="MNW7" s="392"/>
      <c r="MNX7" s="392"/>
      <c r="MNY7" s="392"/>
      <c r="MNZ7" s="392"/>
      <c r="MOA7" s="392"/>
      <c r="MOB7" s="392"/>
      <c r="MOC7" s="392"/>
      <c r="MOD7" s="392"/>
      <c r="MOE7" s="392"/>
      <c r="MOF7" s="392"/>
      <c r="MOG7" s="392"/>
      <c r="MOH7" s="392"/>
      <c r="MOI7" s="392"/>
      <c r="MOJ7" s="392"/>
      <c r="MOK7" s="392"/>
      <c r="MOL7" s="392"/>
      <c r="MOM7" s="392"/>
      <c r="MON7" s="392"/>
      <c r="MOO7" s="392"/>
      <c r="MOP7" s="392"/>
      <c r="MOQ7" s="392"/>
      <c r="MOR7" s="392"/>
      <c r="MOS7" s="392"/>
      <c r="MOT7" s="392"/>
      <c r="MOU7" s="392"/>
      <c r="MOV7" s="392"/>
      <c r="MOW7" s="392"/>
      <c r="MOX7" s="392"/>
      <c r="MOY7" s="392"/>
      <c r="MOZ7" s="392"/>
      <c r="MPA7" s="392"/>
      <c r="MPB7" s="392"/>
      <c r="MPC7" s="392"/>
      <c r="MPD7" s="392"/>
      <c r="MPE7" s="392"/>
      <c r="MPF7" s="392"/>
      <c r="MPG7" s="392"/>
      <c r="MPH7" s="392"/>
      <c r="MPI7" s="392"/>
      <c r="MPJ7" s="392"/>
      <c r="MPK7" s="392"/>
      <c r="MPL7" s="392"/>
      <c r="MPM7" s="392"/>
      <c r="MPN7" s="392"/>
      <c r="MPO7" s="392"/>
      <c r="MPP7" s="392"/>
      <c r="MPQ7" s="392"/>
      <c r="MPR7" s="392"/>
      <c r="MPS7" s="392"/>
      <c r="MPT7" s="392"/>
      <c r="MPU7" s="392"/>
      <c r="MPV7" s="392"/>
      <c r="MPW7" s="392"/>
      <c r="MPX7" s="392"/>
      <c r="MPY7" s="392"/>
      <c r="MPZ7" s="392"/>
      <c r="MQA7" s="392"/>
      <c r="MQB7" s="392"/>
      <c r="MQC7" s="392"/>
      <c r="MQD7" s="392"/>
      <c r="MQE7" s="392"/>
      <c r="MQF7" s="392"/>
      <c r="MQG7" s="392"/>
      <c r="MQH7" s="392"/>
      <c r="MQI7" s="392"/>
      <c r="MQJ7" s="392"/>
      <c r="MQK7" s="392"/>
      <c r="MQL7" s="392"/>
      <c r="MQM7" s="392"/>
      <c r="MQN7" s="392"/>
      <c r="MQO7" s="392"/>
      <c r="MQP7" s="392"/>
      <c r="MQQ7" s="392"/>
      <c r="MQR7" s="392"/>
      <c r="MQS7" s="392"/>
      <c r="MQT7" s="392"/>
      <c r="MQU7" s="392"/>
      <c r="MQV7" s="392"/>
      <c r="MQW7" s="392"/>
      <c r="MQX7" s="392"/>
      <c r="MQY7" s="392"/>
      <c r="MQZ7" s="392"/>
      <c r="MRA7" s="392"/>
      <c r="MRB7" s="392"/>
      <c r="MRC7" s="392"/>
      <c r="MRD7" s="392"/>
      <c r="MRE7" s="392"/>
      <c r="MRF7" s="392"/>
      <c r="MRG7" s="392"/>
      <c r="MRH7" s="392"/>
      <c r="MRI7" s="392"/>
      <c r="MRJ7" s="392"/>
      <c r="MRK7" s="392"/>
      <c r="MRL7" s="392"/>
      <c r="MRM7" s="392"/>
      <c r="MRN7" s="392"/>
      <c r="MRO7" s="392"/>
      <c r="MRP7" s="392"/>
      <c r="MRQ7" s="392"/>
      <c r="MRR7" s="392"/>
      <c r="MRS7" s="392"/>
      <c r="MRT7" s="392"/>
      <c r="MRU7" s="392"/>
      <c r="MRV7" s="392"/>
      <c r="MRW7" s="392"/>
      <c r="MRX7" s="392"/>
      <c r="MRY7" s="392"/>
      <c r="MRZ7" s="392"/>
      <c r="MSA7" s="392"/>
      <c r="MSB7" s="392"/>
      <c r="MSC7" s="392"/>
      <c r="MSD7" s="392"/>
      <c r="MSE7" s="392"/>
      <c r="MSF7" s="392"/>
      <c r="MSG7" s="392"/>
      <c r="MSH7" s="392"/>
      <c r="MSI7" s="392"/>
      <c r="MSJ7" s="392"/>
      <c r="MSK7" s="392"/>
      <c r="MSL7" s="392"/>
      <c r="MSM7" s="392"/>
      <c r="MSN7" s="392"/>
      <c r="MSO7" s="392"/>
      <c r="MSP7" s="392"/>
      <c r="MSQ7" s="392"/>
      <c r="MSR7" s="392"/>
      <c r="MSS7" s="392"/>
      <c r="MST7" s="392"/>
      <c r="MSU7" s="392"/>
      <c r="MSV7" s="392"/>
      <c r="MSW7" s="392"/>
      <c r="MSX7" s="392"/>
      <c r="MSY7" s="392"/>
      <c r="MSZ7" s="392"/>
      <c r="MTA7" s="392"/>
      <c r="MTB7" s="392"/>
      <c r="MTC7" s="392"/>
      <c r="MTD7" s="392"/>
      <c r="MTE7" s="392"/>
      <c r="MTF7" s="392"/>
      <c r="MTG7" s="392"/>
      <c r="MTH7" s="392"/>
      <c r="MTI7" s="392"/>
      <c r="MTJ7" s="392"/>
      <c r="MTK7" s="392"/>
      <c r="MTL7" s="392"/>
      <c r="MTM7" s="392"/>
      <c r="MTN7" s="392"/>
      <c r="MTO7" s="392"/>
      <c r="MTP7" s="392"/>
      <c r="MTQ7" s="392"/>
      <c r="MTR7" s="392"/>
      <c r="MTS7" s="392"/>
      <c r="MTT7" s="392"/>
      <c r="MTU7" s="392"/>
      <c r="MTV7" s="392"/>
      <c r="MTW7" s="392"/>
      <c r="MTX7" s="392"/>
      <c r="MTY7" s="392"/>
      <c r="MTZ7" s="392"/>
      <c r="MUA7" s="392"/>
      <c r="MUB7" s="392"/>
      <c r="MUC7" s="392"/>
      <c r="MUD7" s="392"/>
      <c r="MUE7" s="392"/>
      <c r="MUF7" s="392"/>
      <c r="MUG7" s="392"/>
      <c r="MUH7" s="392"/>
      <c r="MUI7" s="392"/>
      <c r="MUJ7" s="392"/>
      <c r="MUK7" s="392"/>
      <c r="MUL7" s="392"/>
      <c r="MUM7" s="392"/>
      <c r="MUN7" s="392"/>
      <c r="MUO7" s="392"/>
      <c r="MUP7" s="392"/>
      <c r="MUQ7" s="392"/>
      <c r="MUR7" s="392"/>
      <c r="MUS7" s="392"/>
      <c r="MUT7" s="392"/>
      <c r="MUU7" s="392"/>
      <c r="MUV7" s="392"/>
      <c r="MUW7" s="392"/>
      <c r="MUX7" s="392"/>
      <c r="MUY7" s="392"/>
      <c r="MUZ7" s="392"/>
      <c r="MVA7" s="392"/>
      <c r="MVB7" s="392"/>
      <c r="MVC7" s="392"/>
      <c r="MVD7" s="392"/>
      <c r="MVE7" s="392"/>
      <c r="MVF7" s="392"/>
      <c r="MVG7" s="392"/>
      <c r="MVH7" s="392"/>
      <c r="MVI7" s="392"/>
      <c r="MVJ7" s="392"/>
      <c r="MVK7" s="392"/>
      <c r="MVL7" s="392"/>
      <c r="MVM7" s="392"/>
      <c r="MVN7" s="392"/>
      <c r="MVO7" s="392"/>
      <c r="MVP7" s="392"/>
      <c r="MVQ7" s="392"/>
      <c r="MVR7" s="392"/>
      <c r="MVS7" s="392"/>
      <c r="MVT7" s="392"/>
      <c r="MVU7" s="392"/>
      <c r="MVV7" s="392"/>
      <c r="MVW7" s="392"/>
      <c r="MVX7" s="392"/>
      <c r="MVY7" s="392"/>
      <c r="MVZ7" s="392"/>
      <c r="MWA7" s="392"/>
      <c r="MWB7" s="392"/>
      <c r="MWC7" s="392"/>
      <c r="MWD7" s="392"/>
      <c r="MWE7" s="392"/>
      <c r="MWF7" s="392"/>
      <c r="MWG7" s="392"/>
      <c r="MWH7" s="392"/>
      <c r="MWI7" s="392"/>
      <c r="MWJ7" s="392"/>
      <c r="MWK7" s="392"/>
      <c r="MWL7" s="392"/>
      <c r="MWM7" s="392"/>
      <c r="MWN7" s="392"/>
      <c r="MWO7" s="392"/>
      <c r="MWP7" s="392"/>
      <c r="MWQ7" s="392"/>
      <c r="MWR7" s="392"/>
      <c r="MWS7" s="392"/>
      <c r="MWT7" s="392"/>
      <c r="MWU7" s="392"/>
      <c r="MWV7" s="392"/>
      <c r="MWW7" s="392"/>
      <c r="MWX7" s="392"/>
      <c r="MWY7" s="392"/>
      <c r="MWZ7" s="392"/>
      <c r="MXA7" s="392"/>
      <c r="MXB7" s="392"/>
      <c r="MXC7" s="392"/>
      <c r="MXD7" s="392"/>
      <c r="MXE7" s="392"/>
      <c r="MXF7" s="392"/>
      <c r="MXG7" s="392"/>
      <c r="MXH7" s="392"/>
      <c r="MXI7" s="392"/>
      <c r="MXJ7" s="392"/>
      <c r="MXK7" s="392"/>
      <c r="MXL7" s="392"/>
      <c r="MXM7" s="392"/>
      <c r="MXN7" s="392"/>
      <c r="MXO7" s="392"/>
      <c r="MXP7" s="392"/>
      <c r="MXQ7" s="392"/>
      <c r="MXR7" s="392"/>
      <c r="MXS7" s="392"/>
      <c r="MXT7" s="392"/>
      <c r="MXU7" s="392"/>
      <c r="MXV7" s="392"/>
      <c r="MXW7" s="392"/>
      <c r="MXX7" s="392"/>
      <c r="MXY7" s="392"/>
      <c r="MXZ7" s="392"/>
      <c r="MYA7" s="392"/>
      <c r="MYB7" s="392"/>
      <c r="MYC7" s="392"/>
      <c r="MYD7" s="392"/>
      <c r="MYE7" s="392"/>
      <c r="MYF7" s="392"/>
      <c r="MYG7" s="392"/>
      <c r="MYH7" s="392"/>
      <c r="MYI7" s="392"/>
      <c r="MYJ7" s="392"/>
      <c r="MYK7" s="392"/>
      <c r="MYL7" s="392"/>
      <c r="MYM7" s="392"/>
      <c r="MYN7" s="392"/>
      <c r="MYO7" s="392"/>
      <c r="MYP7" s="392"/>
      <c r="MYQ7" s="392"/>
      <c r="MYR7" s="392"/>
      <c r="MYS7" s="392"/>
      <c r="MYT7" s="392"/>
      <c r="MYU7" s="392"/>
      <c r="MYV7" s="392"/>
      <c r="MYW7" s="392"/>
      <c r="MYX7" s="392"/>
      <c r="MYY7" s="392"/>
      <c r="MYZ7" s="392"/>
      <c r="MZA7" s="392"/>
      <c r="MZB7" s="392"/>
      <c r="MZC7" s="392"/>
      <c r="MZD7" s="392"/>
      <c r="MZE7" s="392"/>
      <c r="MZF7" s="392"/>
      <c r="MZG7" s="392"/>
      <c r="MZH7" s="392"/>
      <c r="MZI7" s="392"/>
      <c r="MZJ7" s="392"/>
      <c r="MZK7" s="392"/>
      <c r="MZL7" s="392"/>
      <c r="MZM7" s="392"/>
      <c r="MZN7" s="392"/>
      <c r="MZO7" s="392"/>
      <c r="MZP7" s="392"/>
      <c r="MZQ7" s="392"/>
      <c r="MZR7" s="392"/>
      <c r="MZS7" s="392"/>
      <c r="MZT7" s="392"/>
      <c r="MZU7" s="392"/>
      <c r="MZV7" s="392"/>
      <c r="MZW7" s="392"/>
      <c r="MZX7" s="392"/>
      <c r="MZY7" s="392"/>
      <c r="MZZ7" s="392"/>
      <c r="NAA7" s="392"/>
      <c r="NAB7" s="392"/>
      <c r="NAC7" s="392"/>
      <c r="NAD7" s="392"/>
      <c r="NAE7" s="392"/>
      <c r="NAF7" s="392"/>
      <c r="NAG7" s="392"/>
      <c r="NAH7" s="392"/>
      <c r="NAI7" s="392"/>
      <c r="NAJ7" s="392"/>
      <c r="NAK7" s="392"/>
      <c r="NAL7" s="392"/>
      <c r="NAM7" s="392"/>
      <c r="NAN7" s="392"/>
      <c r="NAO7" s="392"/>
      <c r="NAP7" s="392"/>
      <c r="NAQ7" s="392"/>
      <c r="NAR7" s="392"/>
      <c r="NAS7" s="392"/>
      <c r="NAT7" s="392"/>
      <c r="NAU7" s="392"/>
      <c r="NAV7" s="392"/>
      <c r="NAW7" s="392"/>
      <c r="NAX7" s="392"/>
      <c r="NAY7" s="392"/>
      <c r="NAZ7" s="392"/>
      <c r="NBA7" s="392"/>
      <c r="NBB7" s="392"/>
      <c r="NBC7" s="392"/>
      <c r="NBD7" s="392"/>
      <c r="NBE7" s="392"/>
      <c r="NBF7" s="392"/>
      <c r="NBG7" s="392"/>
      <c r="NBH7" s="392"/>
      <c r="NBI7" s="392"/>
      <c r="NBJ7" s="392"/>
      <c r="NBK7" s="392"/>
      <c r="NBL7" s="392"/>
      <c r="NBM7" s="392"/>
      <c r="NBN7" s="392"/>
      <c r="NBO7" s="392"/>
      <c r="NBP7" s="392"/>
      <c r="NBQ7" s="392"/>
      <c r="NBR7" s="392"/>
      <c r="NBS7" s="392"/>
      <c r="NBT7" s="392"/>
      <c r="NBU7" s="392"/>
      <c r="NBV7" s="392"/>
      <c r="NBW7" s="392"/>
      <c r="NBX7" s="392"/>
      <c r="NBY7" s="392"/>
      <c r="NBZ7" s="392"/>
      <c r="NCA7" s="392"/>
      <c r="NCB7" s="392"/>
      <c r="NCC7" s="392"/>
      <c r="NCD7" s="392"/>
      <c r="NCE7" s="392"/>
      <c r="NCF7" s="392"/>
      <c r="NCG7" s="392"/>
      <c r="NCH7" s="392"/>
      <c r="NCI7" s="392"/>
      <c r="NCJ7" s="392"/>
      <c r="NCK7" s="392"/>
      <c r="NCL7" s="392"/>
      <c r="NCM7" s="392"/>
      <c r="NCN7" s="392"/>
      <c r="NCO7" s="392"/>
      <c r="NCP7" s="392"/>
      <c r="NCQ7" s="392"/>
      <c r="NCR7" s="392"/>
      <c r="NCS7" s="392"/>
      <c r="NCT7" s="392"/>
      <c r="NCU7" s="392"/>
      <c r="NCV7" s="392"/>
      <c r="NCW7" s="392"/>
      <c r="NCX7" s="392"/>
      <c r="NCY7" s="392"/>
      <c r="NCZ7" s="392"/>
      <c r="NDA7" s="392"/>
      <c r="NDB7" s="392"/>
      <c r="NDC7" s="392"/>
      <c r="NDD7" s="392"/>
      <c r="NDE7" s="392"/>
      <c r="NDF7" s="392"/>
      <c r="NDG7" s="392"/>
      <c r="NDH7" s="392"/>
      <c r="NDI7" s="392"/>
      <c r="NDJ7" s="392"/>
      <c r="NDK7" s="392"/>
      <c r="NDL7" s="392"/>
      <c r="NDM7" s="392"/>
      <c r="NDN7" s="392"/>
      <c r="NDO7" s="392"/>
      <c r="NDP7" s="392"/>
      <c r="NDQ7" s="392"/>
      <c r="NDR7" s="392"/>
      <c r="NDS7" s="392"/>
      <c r="NDT7" s="392"/>
      <c r="NDU7" s="392"/>
      <c r="NDV7" s="392"/>
      <c r="NDW7" s="392"/>
      <c r="NDX7" s="392"/>
      <c r="NDY7" s="392"/>
      <c r="NDZ7" s="392"/>
      <c r="NEA7" s="392"/>
      <c r="NEB7" s="392"/>
      <c r="NEC7" s="392"/>
      <c r="NED7" s="392"/>
      <c r="NEE7" s="392"/>
      <c r="NEF7" s="392"/>
      <c r="NEG7" s="392"/>
      <c r="NEH7" s="392"/>
      <c r="NEI7" s="392"/>
      <c r="NEJ7" s="392"/>
      <c r="NEK7" s="392"/>
      <c r="NEL7" s="392"/>
      <c r="NEM7" s="392"/>
      <c r="NEN7" s="392"/>
      <c r="NEO7" s="392"/>
      <c r="NEP7" s="392"/>
      <c r="NEQ7" s="392"/>
      <c r="NER7" s="392"/>
      <c r="NES7" s="392"/>
      <c r="NET7" s="392"/>
      <c r="NEU7" s="392"/>
      <c r="NEV7" s="392"/>
      <c r="NEW7" s="392"/>
      <c r="NEX7" s="392"/>
      <c r="NEY7" s="392"/>
      <c r="NEZ7" s="392"/>
      <c r="NFA7" s="392"/>
      <c r="NFB7" s="392"/>
      <c r="NFC7" s="392"/>
      <c r="NFD7" s="392"/>
      <c r="NFE7" s="392"/>
      <c r="NFF7" s="392"/>
      <c r="NFG7" s="392"/>
      <c r="NFH7" s="392"/>
      <c r="NFI7" s="392"/>
      <c r="NFJ7" s="392"/>
      <c r="NFK7" s="392"/>
      <c r="NFL7" s="392"/>
      <c r="NFM7" s="392"/>
      <c r="NFN7" s="392"/>
      <c r="NFO7" s="392"/>
      <c r="NFP7" s="392"/>
      <c r="NFQ7" s="392"/>
      <c r="NFR7" s="392"/>
      <c r="NFS7" s="392"/>
      <c r="NFT7" s="392"/>
      <c r="NFU7" s="392"/>
      <c r="NFV7" s="392"/>
      <c r="NFW7" s="392"/>
      <c r="NFX7" s="392"/>
      <c r="NFY7" s="392"/>
      <c r="NFZ7" s="392"/>
      <c r="NGA7" s="392"/>
      <c r="NGB7" s="392"/>
      <c r="NGC7" s="392"/>
      <c r="NGD7" s="392"/>
      <c r="NGE7" s="392"/>
      <c r="NGF7" s="392"/>
      <c r="NGG7" s="392"/>
      <c r="NGH7" s="392"/>
      <c r="NGI7" s="392"/>
      <c r="NGJ7" s="392"/>
      <c r="NGK7" s="392"/>
      <c r="NGL7" s="392"/>
      <c r="NGM7" s="392"/>
      <c r="NGN7" s="392"/>
      <c r="NGO7" s="392"/>
      <c r="NGP7" s="392"/>
      <c r="NGQ7" s="392"/>
      <c r="NGR7" s="392"/>
      <c r="NGS7" s="392"/>
      <c r="NGT7" s="392"/>
      <c r="NGU7" s="392"/>
      <c r="NGV7" s="392"/>
      <c r="NGW7" s="392"/>
      <c r="NGX7" s="392"/>
      <c r="NGY7" s="392"/>
      <c r="NGZ7" s="392"/>
      <c r="NHA7" s="392"/>
      <c r="NHB7" s="392"/>
      <c r="NHC7" s="392"/>
      <c r="NHD7" s="392"/>
      <c r="NHE7" s="392"/>
      <c r="NHF7" s="392"/>
      <c r="NHG7" s="392"/>
      <c r="NHH7" s="392"/>
      <c r="NHI7" s="392"/>
      <c r="NHJ7" s="392"/>
      <c r="NHK7" s="392"/>
      <c r="NHL7" s="392"/>
      <c r="NHM7" s="392"/>
      <c r="NHN7" s="392"/>
      <c r="NHO7" s="392"/>
      <c r="NHP7" s="392"/>
      <c r="NHQ7" s="392"/>
      <c r="NHR7" s="392"/>
      <c r="NHS7" s="392"/>
      <c r="NHT7" s="392"/>
      <c r="NHU7" s="392"/>
      <c r="NHV7" s="392"/>
      <c r="NHW7" s="392"/>
      <c r="NHX7" s="392"/>
      <c r="NHY7" s="392"/>
      <c r="NHZ7" s="392"/>
      <c r="NIA7" s="392"/>
      <c r="NIB7" s="392"/>
      <c r="NIC7" s="392"/>
      <c r="NID7" s="392"/>
      <c r="NIE7" s="392"/>
      <c r="NIF7" s="392"/>
      <c r="NIG7" s="392"/>
      <c r="NIH7" s="392"/>
      <c r="NII7" s="392"/>
      <c r="NIJ7" s="392"/>
      <c r="NIK7" s="392"/>
      <c r="NIL7" s="392"/>
      <c r="NIM7" s="392"/>
      <c r="NIN7" s="392"/>
      <c r="NIO7" s="392"/>
      <c r="NIP7" s="392"/>
      <c r="NIQ7" s="392"/>
      <c r="NIR7" s="392"/>
      <c r="NIS7" s="392"/>
      <c r="NIT7" s="392"/>
      <c r="NIU7" s="392"/>
      <c r="NIV7" s="392"/>
      <c r="NIW7" s="392"/>
      <c r="NIX7" s="392"/>
      <c r="NIY7" s="392"/>
      <c r="NIZ7" s="392"/>
      <c r="NJA7" s="392"/>
      <c r="NJB7" s="392"/>
      <c r="NJC7" s="392"/>
      <c r="NJD7" s="392"/>
      <c r="NJE7" s="392"/>
      <c r="NJF7" s="392"/>
      <c r="NJG7" s="392"/>
      <c r="NJH7" s="392"/>
      <c r="NJI7" s="392"/>
      <c r="NJJ7" s="392"/>
      <c r="NJK7" s="392"/>
      <c r="NJL7" s="392"/>
      <c r="NJM7" s="392"/>
      <c r="NJN7" s="392"/>
      <c r="NJO7" s="392"/>
      <c r="NJP7" s="392"/>
      <c r="NJQ7" s="392"/>
      <c r="NJR7" s="392"/>
      <c r="NJS7" s="392"/>
      <c r="NJT7" s="392"/>
      <c r="NJU7" s="392"/>
      <c r="NJV7" s="392"/>
      <c r="NJW7" s="392"/>
      <c r="NJX7" s="392"/>
      <c r="NJY7" s="392"/>
      <c r="NJZ7" s="392"/>
      <c r="NKA7" s="392"/>
      <c r="NKB7" s="392"/>
      <c r="NKC7" s="392"/>
      <c r="NKD7" s="392"/>
      <c r="NKE7" s="392"/>
      <c r="NKF7" s="392"/>
      <c r="NKG7" s="392"/>
      <c r="NKH7" s="392"/>
      <c r="NKI7" s="392"/>
      <c r="NKJ7" s="392"/>
      <c r="NKK7" s="392"/>
      <c r="NKL7" s="392"/>
      <c r="NKM7" s="392"/>
      <c r="NKN7" s="392"/>
      <c r="NKO7" s="392"/>
      <c r="NKP7" s="392"/>
      <c r="NKQ7" s="392"/>
      <c r="NKR7" s="392"/>
      <c r="NKS7" s="392"/>
      <c r="NKT7" s="392"/>
      <c r="NKU7" s="392"/>
      <c r="NKV7" s="392"/>
      <c r="NKW7" s="392"/>
      <c r="NKX7" s="392"/>
      <c r="NKY7" s="392"/>
      <c r="NKZ7" s="392"/>
      <c r="NLA7" s="392"/>
      <c r="NLB7" s="392"/>
      <c r="NLC7" s="392"/>
      <c r="NLD7" s="392"/>
      <c r="NLE7" s="392"/>
      <c r="NLF7" s="392"/>
      <c r="NLG7" s="392"/>
      <c r="NLH7" s="392"/>
      <c r="NLI7" s="392"/>
      <c r="NLJ7" s="392"/>
      <c r="NLK7" s="392"/>
      <c r="NLL7" s="392"/>
      <c r="NLM7" s="392"/>
      <c r="NLN7" s="392"/>
      <c r="NLO7" s="392"/>
      <c r="NLP7" s="392"/>
      <c r="NLQ7" s="392"/>
      <c r="NLR7" s="392"/>
      <c r="NLS7" s="392"/>
      <c r="NLT7" s="392"/>
      <c r="NLU7" s="392"/>
      <c r="NLV7" s="392"/>
      <c r="NLW7" s="392"/>
      <c r="NLX7" s="392"/>
      <c r="NLY7" s="392"/>
      <c r="NLZ7" s="392"/>
      <c r="NMA7" s="392"/>
      <c r="NMB7" s="392"/>
      <c r="NMC7" s="392"/>
      <c r="NMD7" s="392"/>
      <c r="NME7" s="392"/>
      <c r="NMF7" s="392"/>
      <c r="NMG7" s="392"/>
      <c r="NMH7" s="392"/>
      <c r="NMI7" s="392"/>
      <c r="NMJ7" s="392"/>
      <c r="NMK7" s="392"/>
      <c r="NML7" s="392"/>
      <c r="NMM7" s="392"/>
      <c r="NMN7" s="392"/>
      <c r="NMO7" s="392"/>
      <c r="NMP7" s="392"/>
      <c r="NMQ7" s="392"/>
      <c r="NMR7" s="392"/>
      <c r="NMS7" s="392"/>
      <c r="NMT7" s="392"/>
      <c r="NMU7" s="392"/>
      <c r="NMV7" s="392"/>
      <c r="NMW7" s="392"/>
      <c r="NMX7" s="392"/>
      <c r="NMY7" s="392"/>
      <c r="NMZ7" s="392"/>
      <c r="NNA7" s="392"/>
      <c r="NNB7" s="392"/>
      <c r="NNC7" s="392"/>
      <c r="NND7" s="392"/>
      <c r="NNE7" s="392"/>
      <c r="NNF7" s="392"/>
      <c r="NNG7" s="392"/>
      <c r="NNH7" s="392"/>
      <c r="NNI7" s="392"/>
      <c r="NNJ7" s="392"/>
      <c r="NNK7" s="392"/>
      <c r="NNL7" s="392"/>
      <c r="NNM7" s="392"/>
      <c r="NNN7" s="392"/>
      <c r="NNO7" s="392"/>
      <c r="NNP7" s="392"/>
      <c r="NNQ7" s="392"/>
      <c r="NNR7" s="392"/>
      <c r="NNS7" s="392"/>
      <c r="NNT7" s="392"/>
      <c r="NNU7" s="392"/>
      <c r="NNV7" s="392"/>
      <c r="NNW7" s="392"/>
      <c r="NNX7" s="392"/>
      <c r="NNY7" s="392"/>
      <c r="NNZ7" s="392"/>
      <c r="NOA7" s="392"/>
      <c r="NOB7" s="392"/>
      <c r="NOC7" s="392"/>
      <c r="NOD7" s="392"/>
      <c r="NOE7" s="392"/>
      <c r="NOF7" s="392"/>
      <c r="NOG7" s="392"/>
      <c r="NOH7" s="392"/>
      <c r="NOI7" s="392"/>
      <c r="NOJ7" s="392"/>
      <c r="NOK7" s="392"/>
      <c r="NOL7" s="392"/>
      <c r="NOM7" s="392"/>
      <c r="NON7" s="392"/>
      <c r="NOO7" s="392"/>
      <c r="NOP7" s="392"/>
      <c r="NOQ7" s="392"/>
      <c r="NOR7" s="392"/>
      <c r="NOS7" s="392"/>
      <c r="NOT7" s="392"/>
      <c r="NOU7" s="392"/>
      <c r="NOV7" s="392"/>
      <c r="NOW7" s="392"/>
      <c r="NOX7" s="392"/>
      <c r="NOY7" s="392"/>
      <c r="NOZ7" s="392"/>
      <c r="NPA7" s="392"/>
      <c r="NPB7" s="392"/>
      <c r="NPC7" s="392"/>
      <c r="NPD7" s="392"/>
      <c r="NPE7" s="392"/>
      <c r="NPF7" s="392"/>
      <c r="NPG7" s="392"/>
      <c r="NPH7" s="392"/>
      <c r="NPI7" s="392"/>
      <c r="NPJ7" s="392"/>
      <c r="NPK7" s="392"/>
      <c r="NPL7" s="392"/>
      <c r="NPM7" s="392"/>
      <c r="NPN7" s="392"/>
      <c r="NPO7" s="392"/>
      <c r="NPP7" s="392"/>
      <c r="NPQ7" s="392"/>
      <c r="NPR7" s="392"/>
      <c r="NPS7" s="392"/>
      <c r="NPT7" s="392"/>
      <c r="NPU7" s="392"/>
      <c r="NPV7" s="392"/>
      <c r="NPW7" s="392"/>
      <c r="NPX7" s="392"/>
      <c r="NPY7" s="392"/>
      <c r="NPZ7" s="392"/>
      <c r="NQA7" s="392"/>
      <c r="NQB7" s="392"/>
      <c r="NQC7" s="392"/>
      <c r="NQD7" s="392"/>
      <c r="NQE7" s="392"/>
      <c r="NQF7" s="392"/>
      <c r="NQG7" s="392"/>
      <c r="NQH7" s="392"/>
      <c r="NQI7" s="392"/>
      <c r="NQJ7" s="392"/>
      <c r="NQK7" s="392"/>
      <c r="NQL7" s="392"/>
      <c r="NQM7" s="392"/>
      <c r="NQN7" s="392"/>
      <c r="NQO7" s="392"/>
      <c r="NQP7" s="392"/>
      <c r="NQQ7" s="392"/>
      <c r="NQR7" s="392"/>
      <c r="NQS7" s="392"/>
      <c r="NQT7" s="392"/>
      <c r="NQU7" s="392"/>
      <c r="NQV7" s="392"/>
      <c r="NQW7" s="392"/>
      <c r="NQX7" s="392"/>
      <c r="NQY7" s="392"/>
      <c r="NQZ7" s="392"/>
      <c r="NRA7" s="392"/>
      <c r="NRB7" s="392"/>
      <c r="NRC7" s="392"/>
      <c r="NRD7" s="392"/>
      <c r="NRE7" s="392"/>
      <c r="NRF7" s="392"/>
      <c r="NRG7" s="392"/>
      <c r="NRH7" s="392"/>
      <c r="NRI7" s="392"/>
      <c r="NRJ7" s="392"/>
      <c r="NRK7" s="392"/>
      <c r="NRL7" s="392"/>
      <c r="NRM7" s="392"/>
      <c r="NRN7" s="392"/>
      <c r="NRO7" s="392"/>
      <c r="NRP7" s="392"/>
      <c r="NRQ7" s="392"/>
      <c r="NRR7" s="392"/>
      <c r="NRS7" s="392"/>
      <c r="NRT7" s="392"/>
      <c r="NRU7" s="392"/>
      <c r="NRV7" s="392"/>
      <c r="NRW7" s="392"/>
      <c r="NRX7" s="392"/>
      <c r="NRY7" s="392"/>
      <c r="NRZ7" s="392"/>
      <c r="NSA7" s="392"/>
      <c r="NSB7" s="392"/>
      <c r="NSC7" s="392"/>
      <c r="NSD7" s="392"/>
      <c r="NSE7" s="392"/>
      <c r="NSF7" s="392"/>
      <c r="NSG7" s="392"/>
      <c r="NSH7" s="392"/>
      <c r="NSI7" s="392"/>
      <c r="NSJ7" s="392"/>
      <c r="NSK7" s="392"/>
      <c r="NSL7" s="392"/>
      <c r="NSM7" s="392"/>
      <c r="NSN7" s="392"/>
      <c r="NSO7" s="392"/>
      <c r="NSP7" s="392"/>
      <c r="NSQ7" s="392"/>
      <c r="NSR7" s="392"/>
      <c r="NSS7" s="392"/>
      <c r="NST7" s="392"/>
      <c r="NSU7" s="392"/>
      <c r="NSV7" s="392"/>
      <c r="NSW7" s="392"/>
      <c r="NSX7" s="392"/>
      <c r="NSY7" s="392"/>
      <c r="NSZ7" s="392"/>
      <c r="NTA7" s="392"/>
      <c r="NTB7" s="392"/>
      <c r="NTC7" s="392"/>
      <c r="NTD7" s="392"/>
      <c r="NTE7" s="392"/>
      <c r="NTF7" s="392"/>
      <c r="NTG7" s="392"/>
      <c r="NTH7" s="392"/>
      <c r="NTI7" s="392"/>
      <c r="NTJ7" s="392"/>
      <c r="NTK7" s="392"/>
      <c r="NTL7" s="392"/>
      <c r="NTM7" s="392"/>
      <c r="NTN7" s="392"/>
      <c r="NTO7" s="392"/>
      <c r="NTP7" s="392"/>
      <c r="NTQ7" s="392"/>
      <c r="NTR7" s="392"/>
      <c r="NTS7" s="392"/>
      <c r="NTT7" s="392"/>
      <c r="NTU7" s="392"/>
      <c r="NTV7" s="392"/>
      <c r="NTW7" s="392"/>
      <c r="NTX7" s="392"/>
      <c r="NTY7" s="392"/>
      <c r="NTZ7" s="392"/>
      <c r="NUA7" s="392"/>
      <c r="NUB7" s="392"/>
      <c r="NUC7" s="392"/>
      <c r="NUD7" s="392"/>
      <c r="NUE7" s="392"/>
      <c r="NUF7" s="392"/>
      <c r="NUG7" s="392"/>
      <c r="NUH7" s="392"/>
      <c r="NUI7" s="392"/>
      <c r="NUJ7" s="392"/>
      <c r="NUK7" s="392"/>
      <c r="NUL7" s="392"/>
      <c r="NUM7" s="392"/>
      <c r="NUN7" s="392"/>
      <c r="NUO7" s="392"/>
      <c r="NUP7" s="392"/>
      <c r="NUQ7" s="392"/>
      <c r="NUR7" s="392"/>
      <c r="NUS7" s="392"/>
      <c r="NUT7" s="392"/>
      <c r="NUU7" s="392"/>
      <c r="NUV7" s="392"/>
      <c r="NUW7" s="392"/>
      <c r="NUX7" s="392"/>
      <c r="NUY7" s="392"/>
      <c r="NUZ7" s="392"/>
      <c r="NVA7" s="392"/>
      <c r="NVB7" s="392"/>
      <c r="NVC7" s="392"/>
      <c r="NVD7" s="392"/>
      <c r="NVE7" s="392"/>
      <c r="NVF7" s="392"/>
      <c r="NVG7" s="392"/>
      <c r="NVH7" s="392"/>
      <c r="NVI7" s="392"/>
      <c r="NVJ7" s="392"/>
      <c r="NVK7" s="392"/>
      <c r="NVL7" s="392"/>
      <c r="NVM7" s="392"/>
      <c r="NVN7" s="392"/>
      <c r="NVO7" s="392"/>
      <c r="NVP7" s="392"/>
      <c r="NVQ7" s="392"/>
      <c r="NVR7" s="392"/>
      <c r="NVS7" s="392"/>
      <c r="NVT7" s="392"/>
      <c r="NVU7" s="392"/>
      <c r="NVV7" s="392"/>
      <c r="NVW7" s="392"/>
      <c r="NVX7" s="392"/>
      <c r="NVY7" s="392"/>
      <c r="NVZ7" s="392"/>
      <c r="NWA7" s="392"/>
      <c r="NWB7" s="392"/>
      <c r="NWC7" s="392"/>
      <c r="NWD7" s="392"/>
      <c r="NWE7" s="392"/>
      <c r="NWF7" s="392"/>
      <c r="NWG7" s="392"/>
      <c r="NWH7" s="392"/>
      <c r="NWI7" s="392"/>
      <c r="NWJ7" s="392"/>
      <c r="NWK7" s="392"/>
      <c r="NWL7" s="392"/>
      <c r="NWM7" s="392"/>
      <c r="NWN7" s="392"/>
      <c r="NWO7" s="392"/>
      <c r="NWP7" s="392"/>
      <c r="NWQ7" s="392"/>
      <c r="NWR7" s="392"/>
      <c r="NWS7" s="392"/>
      <c r="NWT7" s="392"/>
      <c r="NWU7" s="392"/>
      <c r="NWV7" s="392"/>
      <c r="NWW7" s="392"/>
      <c r="NWX7" s="392"/>
      <c r="NWY7" s="392"/>
      <c r="NWZ7" s="392"/>
      <c r="NXA7" s="392"/>
      <c r="NXB7" s="392"/>
      <c r="NXC7" s="392"/>
      <c r="NXD7" s="392"/>
      <c r="NXE7" s="392"/>
      <c r="NXF7" s="392"/>
      <c r="NXG7" s="392"/>
      <c r="NXH7" s="392"/>
      <c r="NXI7" s="392"/>
      <c r="NXJ7" s="392"/>
      <c r="NXK7" s="392"/>
      <c r="NXL7" s="392"/>
      <c r="NXM7" s="392"/>
      <c r="NXN7" s="392"/>
      <c r="NXO7" s="392"/>
      <c r="NXP7" s="392"/>
      <c r="NXQ7" s="392"/>
      <c r="NXR7" s="392"/>
      <c r="NXS7" s="392"/>
      <c r="NXT7" s="392"/>
      <c r="NXU7" s="392"/>
      <c r="NXV7" s="392"/>
      <c r="NXW7" s="392"/>
      <c r="NXX7" s="392"/>
      <c r="NXY7" s="392"/>
      <c r="NXZ7" s="392"/>
      <c r="NYA7" s="392"/>
      <c r="NYB7" s="392"/>
      <c r="NYC7" s="392"/>
      <c r="NYD7" s="392"/>
      <c r="NYE7" s="392"/>
      <c r="NYF7" s="392"/>
      <c r="NYG7" s="392"/>
      <c r="NYH7" s="392"/>
      <c r="NYI7" s="392"/>
      <c r="NYJ7" s="392"/>
      <c r="NYK7" s="392"/>
      <c r="NYL7" s="392"/>
      <c r="NYM7" s="392"/>
      <c r="NYN7" s="392"/>
      <c r="NYO7" s="392"/>
      <c r="NYP7" s="392"/>
      <c r="NYQ7" s="392"/>
      <c r="NYR7" s="392"/>
      <c r="NYS7" s="392"/>
      <c r="NYT7" s="392"/>
      <c r="NYU7" s="392"/>
      <c r="NYV7" s="392"/>
      <c r="NYW7" s="392"/>
      <c r="NYX7" s="392"/>
      <c r="NYY7" s="392"/>
      <c r="NYZ7" s="392"/>
      <c r="NZA7" s="392"/>
      <c r="NZB7" s="392"/>
      <c r="NZC7" s="392"/>
      <c r="NZD7" s="392"/>
      <c r="NZE7" s="392"/>
      <c r="NZF7" s="392"/>
      <c r="NZG7" s="392"/>
      <c r="NZH7" s="392"/>
      <c r="NZI7" s="392"/>
      <c r="NZJ7" s="392"/>
      <c r="NZK7" s="392"/>
      <c r="NZL7" s="392"/>
      <c r="NZM7" s="392"/>
      <c r="NZN7" s="392"/>
      <c r="NZO7" s="392"/>
      <c r="NZP7" s="392"/>
      <c r="NZQ7" s="392"/>
      <c r="NZR7" s="392"/>
      <c r="NZS7" s="392"/>
      <c r="NZT7" s="392"/>
      <c r="NZU7" s="392"/>
      <c r="NZV7" s="392"/>
      <c r="NZW7" s="392"/>
      <c r="NZX7" s="392"/>
      <c r="NZY7" s="392"/>
      <c r="NZZ7" s="392"/>
      <c r="OAA7" s="392"/>
      <c r="OAB7" s="392"/>
      <c r="OAC7" s="392"/>
      <c r="OAD7" s="392"/>
      <c r="OAE7" s="392"/>
      <c r="OAF7" s="392"/>
      <c r="OAG7" s="392"/>
      <c r="OAH7" s="392"/>
      <c r="OAI7" s="392"/>
      <c r="OAJ7" s="392"/>
      <c r="OAK7" s="392"/>
      <c r="OAL7" s="392"/>
      <c r="OAM7" s="392"/>
      <c r="OAN7" s="392"/>
      <c r="OAO7" s="392"/>
      <c r="OAP7" s="392"/>
      <c r="OAQ7" s="392"/>
      <c r="OAR7" s="392"/>
      <c r="OAS7" s="392"/>
      <c r="OAT7" s="392"/>
      <c r="OAU7" s="392"/>
      <c r="OAV7" s="392"/>
      <c r="OAW7" s="392"/>
      <c r="OAX7" s="392"/>
      <c r="OAY7" s="392"/>
      <c r="OAZ7" s="392"/>
      <c r="OBA7" s="392"/>
      <c r="OBB7" s="392"/>
      <c r="OBC7" s="392"/>
      <c r="OBD7" s="392"/>
      <c r="OBE7" s="392"/>
      <c r="OBF7" s="392"/>
      <c r="OBG7" s="392"/>
      <c r="OBH7" s="392"/>
      <c r="OBI7" s="392"/>
      <c r="OBJ7" s="392"/>
      <c r="OBK7" s="392"/>
      <c r="OBL7" s="392"/>
      <c r="OBM7" s="392"/>
      <c r="OBN7" s="392"/>
      <c r="OBO7" s="392"/>
      <c r="OBP7" s="392"/>
      <c r="OBQ7" s="392"/>
      <c r="OBR7" s="392"/>
      <c r="OBS7" s="392"/>
      <c r="OBT7" s="392"/>
      <c r="OBU7" s="392"/>
      <c r="OBV7" s="392"/>
      <c r="OBW7" s="392"/>
      <c r="OBX7" s="392"/>
      <c r="OBY7" s="392"/>
      <c r="OBZ7" s="392"/>
      <c r="OCA7" s="392"/>
      <c r="OCB7" s="392"/>
      <c r="OCC7" s="392"/>
      <c r="OCD7" s="392"/>
      <c r="OCE7" s="392"/>
      <c r="OCF7" s="392"/>
      <c r="OCG7" s="392"/>
      <c r="OCH7" s="392"/>
      <c r="OCI7" s="392"/>
      <c r="OCJ7" s="392"/>
      <c r="OCK7" s="392"/>
      <c r="OCL7" s="392"/>
      <c r="OCM7" s="392"/>
      <c r="OCN7" s="392"/>
      <c r="OCO7" s="392"/>
      <c r="OCP7" s="392"/>
      <c r="OCQ7" s="392"/>
      <c r="OCR7" s="392"/>
      <c r="OCS7" s="392"/>
      <c r="OCT7" s="392"/>
      <c r="OCU7" s="392"/>
      <c r="OCV7" s="392"/>
      <c r="OCW7" s="392"/>
      <c r="OCX7" s="392"/>
      <c r="OCY7" s="392"/>
      <c r="OCZ7" s="392"/>
      <c r="ODA7" s="392"/>
      <c r="ODB7" s="392"/>
      <c r="ODC7" s="392"/>
      <c r="ODD7" s="392"/>
      <c r="ODE7" s="392"/>
      <c r="ODF7" s="392"/>
      <c r="ODG7" s="392"/>
      <c r="ODH7" s="392"/>
      <c r="ODI7" s="392"/>
      <c r="ODJ7" s="392"/>
      <c r="ODK7" s="392"/>
      <c r="ODL7" s="392"/>
      <c r="ODM7" s="392"/>
      <c r="ODN7" s="392"/>
      <c r="ODO7" s="392"/>
      <c r="ODP7" s="392"/>
      <c r="ODQ7" s="392"/>
      <c r="ODR7" s="392"/>
      <c r="ODS7" s="392"/>
      <c r="ODT7" s="392"/>
      <c r="ODU7" s="392"/>
      <c r="ODV7" s="392"/>
      <c r="ODW7" s="392"/>
      <c r="ODX7" s="392"/>
      <c r="ODY7" s="392"/>
      <c r="ODZ7" s="392"/>
      <c r="OEA7" s="392"/>
      <c r="OEB7" s="392"/>
      <c r="OEC7" s="392"/>
      <c r="OED7" s="392"/>
      <c r="OEE7" s="392"/>
      <c r="OEF7" s="392"/>
      <c r="OEG7" s="392"/>
      <c r="OEH7" s="392"/>
      <c r="OEI7" s="392"/>
      <c r="OEJ7" s="392"/>
      <c r="OEK7" s="392"/>
      <c r="OEL7" s="392"/>
      <c r="OEM7" s="392"/>
      <c r="OEN7" s="392"/>
      <c r="OEO7" s="392"/>
      <c r="OEP7" s="392"/>
      <c r="OEQ7" s="392"/>
      <c r="OER7" s="392"/>
      <c r="OES7" s="392"/>
      <c r="OET7" s="392"/>
      <c r="OEU7" s="392"/>
      <c r="OEV7" s="392"/>
      <c r="OEW7" s="392"/>
      <c r="OEX7" s="392"/>
      <c r="OEY7" s="392"/>
      <c r="OEZ7" s="392"/>
      <c r="OFA7" s="392"/>
      <c r="OFB7" s="392"/>
      <c r="OFC7" s="392"/>
      <c r="OFD7" s="392"/>
      <c r="OFE7" s="392"/>
      <c r="OFF7" s="392"/>
      <c r="OFG7" s="392"/>
      <c r="OFH7" s="392"/>
      <c r="OFI7" s="392"/>
      <c r="OFJ7" s="392"/>
      <c r="OFK7" s="392"/>
      <c r="OFL7" s="392"/>
      <c r="OFM7" s="392"/>
      <c r="OFN7" s="392"/>
      <c r="OFO7" s="392"/>
      <c r="OFP7" s="392"/>
      <c r="OFQ7" s="392"/>
      <c r="OFR7" s="392"/>
      <c r="OFS7" s="392"/>
      <c r="OFT7" s="392"/>
      <c r="OFU7" s="392"/>
      <c r="OFV7" s="392"/>
      <c r="OFW7" s="392"/>
      <c r="OFX7" s="392"/>
      <c r="OFY7" s="392"/>
      <c r="OFZ7" s="392"/>
      <c r="OGA7" s="392"/>
      <c r="OGB7" s="392"/>
      <c r="OGC7" s="392"/>
      <c r="OGD7" s="392"/>
      <c r="OGE7" s="392"/>
      <c r="OGF7" s="392"/>
      <c r="OGG7" s="392"/>
      <c r="OGH7" s="392"/>
      <c r="OGI7" s="392"/>
      <c r="OGJ7" s="392"/>
      <c r="OGK7" s="392"/>
      <c r="OGL7" s="392"/>
      <c r="OGM7" s="392"/>
      <c r="OGN7" s="392"/>
      <c r="OGO7" s="392"/>
      <c r="OGP7" s="392"/>
      <c r="OGQ7" s="392"/>
      <c r="OGR7" s="392"/>
      <c r="OGS7" s="392"/>
      <c r="OGT7" s="392"/>
      <c r="OGU7" s="392"/>
      <c r="OGV7" s="392"/>
      <c r="OGW7" s="392"/>
      <c r="OGX7" s="392"/>
      <c r="OGY7" s="392"/>
      <c r="OGZ7" s="392"/>
      <c r="OHA7" s="392"/>
      <c r="OHB7" s="392"/>
      <c r="OHC7" s="392"/>
      <c r="OHD7" s="392"/>
      <c r="OHE7" s="392"/>
      <c r="OHF7" s="392"/>
      <c r="OHG7" s="392"/>
      <c r="OHH7" s="392"/>
      <c r="OHI7" s="392"/>
      <c r="OHJ7" s="392"/>
      <c r="OHK7" s="392"/>
      <c r="OHL7" s="392"/>
      <c r="OHM7" s="392"/>
      <c r="OHN7" s="392"/>
      <c r="OHO7" s="392"/>
      <c r="OHP7" s="392"/>
      <c r="OHQ7" s="392"/>
      <c r="OHR7" s="392"/>
      <c r="OHS7" s="392"/>
      <c r="OHT7" s="392"/>
      <c r="OHU7" s="392"/>
      <c r="OHV7" s="392"/>
      <c r="OHW7" s="392"/>
      <c r="OHX7" s="392"/>
      <c r="OHY7" s="392"/>
      <c r="OHZ7" s="392"/>
      <c r="OIA7" s="392"/>
      <c r="OIB7" s="392"/>
      <c r="OIC7" s="392"/>
      <c r="OID7" s="392"/>
      <c r="OIE7" s="392"/>
      <c r="OIF7" s="392"/>
      <c r="OIG7" s="392"/>
      <c r="OIH7" s="392"/>
      <c r="OII7" s="392"/>
      <c r="OIJ7" s="392"/>
      <c r="OIK7" s="392"/>
      <c r="OIL7" s="392"/>
      <c r="OIM7" s="392"/>
      <c r="OIN7" s="392"/>
      <c r="OIO7" s="392"/>
      <c r="OIP7" s="392"/>
      <c r="OIQ7" s="392"/>
      <c r="OIR7" s="392"/>
      <c r="OIS7" s="392"/>
      <c r="OIT7" s="392"/>
      <c r="OIU7" s="392"/>
      <c r="OIV7" s="392"/>
      <c r="OIW7" s="392"/>
      <c r="OIX7" s="392"/>
      <c r="OIY7" s="392"/>
      <c r="OIZ7" s="392"/>
      <c r="OJA7" s="392"/>
      <c r="OJB7" s="392"/>
      <c r="OJC7" s="392"/>
      <c r="OJD7" s="392"/>
      <c r="OJE7" s="392"/>
      <c r="OJF7" s="392"/>
      <c r="OJG7" s="392"/>
      <c r="OJH7" s="392"/>
      <c r="OJI7" s="392"/>
      <c r="OJJ7" s="392"/>
      <c r="OJK7" s="392"/>
      <c r="OJL7" s="392"/>
      <c r="OJM7" s="392"/>
      <c r="OJN7" s="392"/>
      <c r="OJO7" s="392"/>
      <c r="OJP7" s="392"/>
      <c r="OJQ7" s="392"/>
      <c r="OJR7" s="392"/>
      <c r="OJS7" s="392"/>
      <c r="OJT7" s="392"/>
      <c r="OJU7" s="392"/>
      <c r="OJV7" s="392"/>
      <c r="OJW7" s="392"/>
      <c r="OJX7" s="392"/>
      <c r="OJY7" s="392"/>
      <c r="OJZ7" s="392"/>
      <c r="OKA7" s="392"/>
      <c r="OKB7" s="392"/>
      <c r="OKC7" s="392"/>
      <c r="OKD7" s="392"/>
      <c r="OKE7" s="392"/>
      <c r="OKF7" s="392"/>
      <c r="OKG7" s="392"/>
      <c r="OKH7" s="392"/>
      <c r="OKI7" s="392"/>
      <c r="OKJ7" s="392"/>
      <c r="OKK7" s="392"/>
      <c r="OKL7" s="392"/>
      <c r="OKM7" s="392"/>
      <c r="OKN7" s="392"/>
      <c r="OKO7" s="392"/>
      <c r="OKP7" s="392"/>
      <c r="OKQ7" s="392"/>
      <c r="OKR7" s="392"/>
      <c r="OKS7" s="392"/>
      <c r="OKT7" s="392"/>
      <c r="OKU7" s="392"/>
      <c r="OKV7" s="392"/>
      <c r="OKW7" s="392"/>
      <c r="OKX7" s="392"/>
      <c r="OKY7" s="392"/>
      <c r="OKZ7" s="392"/>
      <c r="OLA7" s="392"/>
      <c r="OLB7" s="392"/>
      <c r="OLC7" s="392"/>
      <c r="OLD7" s="392"/>
      <c r="OLE7" s="392"/>
      <c r="OLF7" s="392"/>
      <c r="OLG7" s="392"/>
      <c r="OLH7" s="392"/>
      <c r="OLI7" s="392"/>
      <c r="OLJ7" s="392"/>
      <c r="OLK7" s="392"/>
      <c r="OLL7" s="392"/>
      <c r="OLM7" s="392"/>
      <c r="OLN7" s="392"/>
      <c r="OLO7" s="392"/>
      <c r="OLP7" s="392"/>
      <c r="OLQ7" s="392"/>
      <c r="OLR7" s="392"/>
      <c r="OLS7" s="392"/>
      <c r="OLT7" s="392"/>
      <c r="OLU7" s="392"/>
      <c r="OLV7" s="392"/>
      <c r="OLW7" s="392"/>
      <c r="OLX7" s="392"/>
      <c r="OLY7" s="392"/>
      <c r="OLZ7" s="392"/>
      <c r="OMA7" s="392"/>
      <c r="OMB7" s="392"/>
      <c r="OMC7" s="392"/>
      <c r="OMD7" s="392"/>
      <c r="OME7" s="392"/>
      <c r="OMF7" s="392"/>
      <c r="OMG7" s="392"/>
      <c r="OMH7" s="392"/>
      <c r="OMI7" s="392"/>
      <c r="OMJ7" s="392"/>
      <c r="OMK7" s="392"/>
      <c r="OML7" s="392"/>
      <c r="OMM7" s="392"/>
      <c r="OMN7" s="392"/>
      <c r="OMO7" s="392"/>
      <c r="OMP7" s="392"/>
      <c r="OMQ7" s="392"/>
      <c r="OMR7" s="392"/>
      <c r="OMS7" s="392"/>
      <c r="OMT7" s="392"/>
      <c r="OMU7" s="392"/>
      <c r="OMV7" s="392"/>
      <c r="OMW7" s="392"/>
      <c r="OMX7" s="392"/>
      <c r="OMY7" s="392"/>
      <c r="OMZ7" s="392"/>
      <c r="ONA7" s="392"/>
      <c r="ONB7" s="392"/>
      <c r="ONC7" s="392"/>
      <c r="OND7" s="392"/>
      <c r="ONE7" s="392"/>
      <c r="ONF7" s="392"/>
      <c r="ONG7" s="392"/>
      <c r="ONH7" s="392"/>
      <c r="ONI7" s="392"/>
      <c r="ONJ7" s="392"/>
      <c r="ONK7" s="392"/>
      <c r="ONL7" s="392"/>
      <c r="ONM7" s="392"/>
      <c r="ONN7" s="392"/>
      <c r="ONO7" s="392"/>
      <c r="ONP7" s="392"/>
      <c r="ONQ7" s="392"/>
      <c r="ONR7" s="392"/>
      <c r="ONS7" s="392"/>
      <c r="ONT7" s="392"/>
      <c r="ONU7" s="392"/>
      <c r="ONV7" s="392"/>
      <c r="ONW7" s="392"/>
      <c r="ONX7" s="392"/>
      <c r="ONY7" s="392"/>
      <c r="ONZ7" s="392"/>
      <c r="OOA7" s="392"/>
      <c r="OOB7" s="392"/>
      <c r="OOC7" s="392"/>
      <c r="OOD7" s="392"/>
      <c r="OOE7" s="392"/>
      <c r="OOF7" s="392"/>
      <c r="OOG7" s="392"/>
      <c r="OOH7" s="392"/>
      <c r="OOI7" s="392"/>
      <c r="OOJ7" s="392"/>
      <c r="OOK7" s="392"/>
      <c r="OOL7" s="392"/>
      <c r="OOM7" s="392"/>
      <c r="OON7" s="392"/>
      <c r="OOO7" s="392"/>
      <c r="OOP7" s="392"/>
      <c r="OOQ7" s="392"/>
      <c r="OOR7" s="392"/>
      <c r="OOS7" s="392"/>
      <c r="OOT7" s="392"/>
      <c r="OOU7" s="392"/>
      <c r="OOV7" s="392"/>
      <c r="OOW7" s="392"/>
      <c r="OOX7" s="392"/>
      <c r="OOY7" s="392"/>
      <c r="OOZ7" s="392"/>
      <c r="OPA7" s="392"/>
      <c r="OPB7" s="392"/>
      <c r="OPC7" s="392"/>
      <c r="OPD7" s="392"/>
      <c r="OPE7" s="392"/>
      <c r="OPF7" s="392"/>
      <c r="OPG7" s="392"/>
      <c r="OPH7" s="392"/>
      <c r="OPI7" s="392"/>
      <c r="OPJ7" s="392"/>
      <c r="OPK7" s="392"/>
      <c r="OPL7" s="392"/>
      <c r="OPM7" s="392"/>
      <c r="OPN7" s="392"/>
      <c r="OPO7" s="392"/>
      <c r="OPP7" s="392"/>
      <c r="OPQ7" s="392"/>
      <c r="OPR7" s="392"/>
      <c r="OPS7" s="392"/>
      <c r="OPT7" s="392"/>
      <c r="OPU7" s="392"/>
      <c r="OPV7" s="392"/>
      <c r="OPW7" s="392"/>
      <c r="OPX7" s="392"/>
      <c r="OPY7" s="392"/>
      <c r="OPZ7" s="392"/>
      <c r="OQA7" s="392"/>
      <c r="OQB7" s="392"/>
      <c r="OQC7" s="392"/>
      <c r="OQD7" s="392"/>
      <c r="OQE7" s="392"/>
      <c r="OQF7" s="392"/>
      <c r="OQG7" s="392"/>
      <c r="OQH7" s="392"/>
      <c r="OQI7" s="392"/>
      <c r="OQJ7" s="392"/>
      <c r="OQK7" s="392"/>
      <c r="OQL7" s="392"/>
      <c r="OQM7" s="392"/>
      <c r="OQN7" s="392"/>
      <c r="OQO7" s="392"/>
      <c r="OQP7" s="392"/>
      <c r="OQQ7" s="392"/>
      <c r="OQR7" s="392"/>
      <c r="OQS7" s="392"/>
      <c r="OQT7" s="392"/>
      <c r="OQU7" s="392"/>
      <c r="OQV7" s="392"/>
      <c r="OQW7" s="392"/>
      <c r="OQX7" s="392"/>
      <c r="OQY7" s="392"/>
      <c r="OQZ7" s="392"/>
      <c r="ORA7" s="392"/>
      <c r="ORB7" s="392"/>
      <c r="ORC7" s="392"/>
      <c r="ORD7" s="392"/>
      <c r="ORE7" s="392"/>
      <c r="ORF7" s="392"/>
      <c r="ORG7" s="392"/>
      <c r="ORH7" s="392"/>
      <c r="ORI7" s="392"/>
      <c r="ORJ7" s="392"/>
      <c r="ORK7" s="392"/>
      <c r="ORL7" s="392"/>
      <c r="ORM7" s="392"/>
      <c r="ORN7" s="392"/>
      <c r="ORO7" s="392"/>
      <c r="ORP7" s="392"/>
      <c r="ORQ7" s="392"/>
      <c r="ORR7" s="392"/>
      <c r="ORS7" s="392"/>
      <c r="ORT7" s="392"/>
      <c r="ORU7" s="392"/>
      <c r="ORV7" s="392"/>
      <c r="ORW7" s="392"/>
      <c r="ORX7" s="392"/>
      <c r="ORY7" s="392"/>
      <c r="ORZ7" s="392"/>
      <c r="OSA7" s="392"/>
      <c r="OSB7" s="392"/>
      <c r="OSC7" s="392"/>
      <c r="OSD7" s="392"/>
      <c r="OSE7" s="392"/>
      <c r="OSF7" s="392"/>
      <c r="OSG7" s="392"/>
      <c r="OSH7" s="392"/>
      <c r="OSI7" s="392"/>
      <c r="OSJ7" s="392"/>
      <c r="OSK7" s="392"/>
      <c r="OSL7" s="392"/>
      <c r="OSM7" s="392"/>
      <c r="OSN7" s="392"/>
      <c r="OSO7" s="392"/>
      <c r="OSP7" s="392"/>
      <c r="OSQ7" s="392"/>
      <c r="OSR7" s="392"/>
      <c r="OSS7" s="392"/>
      <c r="OST7" s="392"/>
      <c r="OSU7" s="392"/>
      <c r="OSV7" s="392"/>
      <c r="OSW7" s="392"/>
      <c r="OSX7" s="392"/>
      <c r="OSY7" s="392"/>
      <c r="OSZ7" s="392"/>
      <c r="OTA7" s="392"/>
      <c r="OTB7" s="392"/>
      <c r="OTC7" s="392"/>
      <c r="OTD7" s="392"/>
      <c r="OTE7" s="392"/>
      <c r="OTF7" s="392"/>
      <c r="OTG7" s="392"/>
      <c r="OTH7" s="392"/>
      <c r="OTI7" s="392"/>
      <c r="OTJ7" s="392"/>
      <c r="OTK7" s="392"/>
      <c r="OTL7" s="392"/>
      <c r="OTM7" s="392"/>
      <c r="OTN7" s="392"/>
      <c r="OTO7" s="392"/>
      <c r="OTP7" s="392"/>
      <c r="OTQ7" s="392"/>
      <c r="OTR7" s="392"/>
      <c r="OTS7" s="392"/>
      <c r="OTT7" s="392"/>
      <c r="OTU7" s="392"/>
      <c r="OTV7" s="392"/>
      <c r="OTW7" s="392"/>
      <c r="OTX7" s="392"/>
      <c r="OTY7" s="392"/>
      <c r="OTZ7" s="392"/>
      <c r="OUA7" s="392"/>
      <c r="OUB7" s="392"/>
      <c r="OUC7" s="392"/>
      <c r="OUD7" s="392"/>
      <c r="OUE7" s="392"/>
      <c r="OUF7" s="392"/>
      <c r="OUG7" s="392"/>
      <c r="OUH7" s="392"/>
      <c r="OUI7" s="392"/>
      <c r="OUJ7" s="392"/>
      <c r="OUK7" s="392"/>
      <c r="OUL7" s="392"/>
      <c r="OUM7" s="392"/>
      <c r="OUN7" s="392"/>
      <c r="OUO7" s="392"/>
      <c r="OUP7" s="392"/>
      <c r="OUQ7" s="392"/>
      <c r="OUR7" s="392"/>
      <c r="OUS7" s="392"/>
      <c r="OUT7" s="392"/>
      <c r="OUU7" s="392"/>
      <c r="OUV7" s="392"/>
      <c r="OUW7" s="392"/>
      <c r="OUX7" s="392"/>
      <c r="OUY7" s="392"/>
      <c r="OUZ7" s="392"/>
      <c r="OVA7" s="392"/>
      <c r="OVB7" s="392"/>
      <c r="OVC7" s="392"/>
      <c r="OVD7" s="392"/>
      <c r="OVE7" s="392"/>
      <c r="OVF7" s="392"/>
      <c r="OVG7" s="392"/>
      <c r="OVH7" s="392"/>
      <c r="OVI7" s="392"/>
      <c r="OVJ7" s="392"/>
      <c r="OVK7" s="392"/>
      <c r="OVL7" s="392"/>
      <c r="OVM7" s="392"/>
      <c r="OVN7" s="392"/>
      <c r="OVO7" s="392"/>
      <c r="OVP7" s="392"/>
      <c r="OVQ7" s="392"/>
      <c r="OVR7" s="392"/>
      <c r="OVS7" s="392"/>
      <c r="OVT7" s="392"/>
      <c r="OVU7" s="392"/>
      <c r="OVV7" s="392"/>
      <c r="OVW7" s="392"/>
      <c r="OVX7" s="392"/>
      <c r="OVY7" s="392"/>
      <c r="OVZ7" s="392"/>
      <c r="OWA7" s="392"/>
      <c r="OWB7" s="392"/>
      <c r="OWC7" s="392"/>
      <c r="OWD7" s="392"/>
      <c r="OWE7" s="392"/>
      <c r="OWF7" s="392"/>
      <c r="OWG7" s="392"/>
      <c r="OWH7" s="392"/>
      <c r="OWI7" s="392"/>
      <c r="OWJ7" s="392"/>
      <c r="OWK7" s="392"/>
      <c r="OWL7" s="392"/>
      <c r="OWM7" s="392"/>
      <c r="OWN7" s="392"/>
      <c r="OWO7" s="392"/>
      <c r="OWP7" s="392"/>
      <c r="OWQ7" s="392"/>
      <c r="OWR7" s="392"/>
      <c r="OWS7" s="392"/>
      <c r="OWT7" s="392"/>
      <c r="OWU7" s="392"/>
      <c r="OWV7" s="392"/>
      <c r="OWW7" s="392"/>
      <c r="OWX7" s="392"/>
      <c r="OWY7" s="392"/>
      <c r="OWZ7" s="392"/>
      <c r="OXA7" s="392"/>
      <c r="OXB7" s="392"/>
      <c r="OXC7" s="392"/>
      <c r="OXD7" s="392"/>
      <c r="OXE7" s="392"/>
      <c r="OXF7" s="392"/>
      <c r="OXG7" s="392"/>
      <c r="OXH7" s="392"/>
      <c r="OXI7" s="392"/>
      <c r="OXJ7" s="392"/>
      <c r="OXK7" s="392"/>
      <c r="OXL7" s="392"/>
      <c r="OXM7" s="392"/>
      <c r="OXN7" s="392"/>
      <c r="OXO7" s="392"/>
      <c r="OXP7" s="392"/>
      <c r="OXQ7" s="392"/>
      <c r="OXR7" s="392"/>
      <c r="OXS7" s="392"/>
      <c r="OXT7" s="392"/>
      <c r="OXU7" s="392"/>
      <c r="OXV7" s="392"/>
      <c r="OXW7" s="392"/>
      <c r="OXX7" s="392"/>
      <c r="OXY7" s="392"/>
      <c r="OXZ7" s="392"/>
      <c r="OYA7" s="392"/>
      <c r="OYB7" s="392"/>
      <c r="OYC7" s="392"/>
      <c r="OYD7" s="392"/>
      <c r="OYE7" s="392"/>
      <c r="OYF7" s="392"/>
      <c r="OYG7" s="392"/>
      <c r="OYH7" s="392"/>
      <c r="OYI7" s="392"/>
      <c r="OYJ7" s="392"/>
      <c r="OYK7" s="392"/>
      <c r="OYL7" s="392"/>
      <c r="OYM7" s="392"/>
      <c r="OYN7" s="392"/>
      <c r="OYO7" s="392"/>
      <c r="OYP7" s="392"/>
      <c r="OYQ7" s="392"/>
      <c r="OYR7" s="392"/>
      <c r="OYS7" s="392"/>
      <c r="OYT7" s="392"/>
      <c r="OYU7" s="392"/>
      <c r="OYV7" s="392"/>
      <c r="OYW7" s="392"/>
      <c r="OYX7" s="392"/>
      <c r="OYY7" s="392"/>
      <c r="OYZ7" s="392"/>
      <c r="OZA7" s="392"/>
      <c r="OZB7" s="392"/>
      <c r="OZC7" s="392"/>
      <c r="OZD7" s="392"/>
      <c r="OZE7" s="392"/>
      <c r="OZF7" s="392"/>
      <c r="OZG7" s="392"/>
      <c r="OZH7" s="392"/>
      <c r="OZI7" s="392"/>
      <c r="OZJ7" s="392"/>
      <c r="OZK7" s="392"/>
      <c r="OZL7" s="392"/>
      <c r="OZM7" s="392"/>
      <c r="OZN7" s="392"/>
      <c r="OZO7" s="392"/>
      <c r="OZP7" s="392"/>
      <c r="OZQ7" s="392"/>
      <c r="OZR7" s="392"/>
      <c r="OZS7" s="392"/>
      <c r="OZT7" s="392"/>
      <c r="OZU7" s="392"/>
      <c r="OZV7" s="392"/>
      <c r="OZW7" s="392"/>
      <c r="OZX7" s="392"/>
      <c r="OZY7" s="392"/>
      <c r="OZZ7" s="392"/>
      <c r="PAA7" s="392"/>
      <c r="PAB7" s="392"/>
      <c r="PAC7" s="392"/>
      <c r="PAD7" s="392"/>
      <c r="PAE7" s="392"/>
      <c r="PAF7" s="392"/>
      <c r="PAG7" s="392"/>
      <c r="PAH7" s="392"/>
      <c r="PAI7" s="392"/>
      <c r="PAJ7" s="392"/>
      <c r="PAK7" s="392"/>
      <c r="PAL7" s="392"/>
      <c r="PAM7" s="392"/>
      <c r="PAN7" s="392"/>
      <c r="PAO7" s="392"/>
      <c r="PAP7" s="392"/>
      <c r="PAQ7" s="392"/>
      <c r="PAR7" s="392"/>
      <c r="PAS7" s="392"/>
      <c r="PAT7" s="392"/>
      <c r="PAU7" s="392"/>
      <c r="PAV7" s="392"/>
      <c r="PAW7" s="392"/>
      <c r="PAX7" s="392"/>
      <c r="PAY7" s="392"/>
      <c r="PAZ7" s="392"/>
      <c r="PBA7" s="392"/>
      <c r="PBB7" s="392"/>
      <c r="PBC7" s="392"/>
      <c r="PBD7" s="392"/>
      <c r="PBE7" s="392"/>
      <c r="PBF7" s="392"/>
      <c r="PBG7" s="392"/>
      <c r="PBH7" s="392"/>
      <c r="PBI7" s="392"/>
      <c r="PBJ7" s="392"/>
      <c r="PBK7" s="392"/>
      <c r="PBL7" s="392"/>
      <c r="PBM7" s="392"/>
      <c r="PBN7" s="392"/>
      <c r="PBO7" s="392"/>
      <c r="PBP7" s="392"/>
      <c r="PBQ7" s="392"/>
      <c r="PBR7" s="392"/>
      <c r="PBS7" s="392"/>
      <c r="PBT7" s="392"/>
      <c r="PBU7" s="392"/>
      <c r="PBV7" s="392"/>
      <c r="PBW7" s="392"/>
      <c r="PBX7" s="392"/>
      <c r="PBY7" s="392"/>
      <c r="PBZ7" s="392"/>
      <c r="PCA7" s="392"/>
      <c r="PCB7" s="392"/>
      <c r="PCC7" s="392"/>
      <c r="PCD7" s="392"/>
      <c r="PCE7" s="392"/>
      <c r="PCF7" s="392"/>
      <c r="PCG7" s="392"/>
      <c r="PCH7" s="392"/>
      <c r="PCI7" s="392"/>
      <c r="PCJ7" s="392"/>
      <c r="PCK7" s="392"/>
      <c r="PCL7" s="392"/>
      <c r="PCM7" s="392"/>
      <c r="PCN7" s="392"/>
      <c r="PCO7" s="392"/>
      <c r="PCP7" s="392"/>
      <c r="PCQ7" s="392"/>
      <c r="PCR7" s="392"/>
      <c r="PCS7" s="392"/>
      <c r="PCT7" s="392"/>
      <c r="PCU7" s="392"/>
      <c r="PCV7" s="392"/>
      <c r="PCW7" s="392"/>
      <c r="PCX7" s="392"/>
      <c r="PCY7" s="392"/>
      <c r="PCZ7" s="392"/>
      <c r="PDA7" s="392"/>
      <c r="PDB7" s="392"/>
      <c r="PDC7" s="392"/>
      <c r="PDD7" s="392"/>
      <c r="PDE7" s="392"/>
      <c r="PDF7" s="392"/>
      <c r="PDG7" s="392"/>
      <c r="PDH7" s="392"/>
      <c r="PDI7" s="392"/>
      <c r="PDJ7" s="392"/>
      <c r="PDK7" s="392"/>
      <c r="PDL7" s="392"/>
      <c r="PDM7" s="392"/>
      <c r="PDN7" s="392"/>
      <c r="PDO7" s="392"/>
      <c r="PDP7" s="392"/>
      <c r="PDQ7" s="392"/>
      <c r="PDR7" s="392"/>
      <c r="PDS7" s="392"/>
      <c r="PDT7" s="392"/>
      <c r="PDU7" s="392"/>
      <c r="PDV7" s="392"/>
      <c r="PDW7" s="392"/>
      <c r="PDX7" s="392"/>
      <c r="PDY7" s="392"/>
      <c r="PDZ7" s="392"/>
      <c r="PEA7" s="392"/>
      <c r="PEB7" s="392"/>
      <c r="PEC7" s="392"/>
      <c r="PED7" s="392"/>
      <c r="PEE7" s="392"/>
      <c r="PEF7" s="392"/>
      <c r="PEG7" s="392"/>
      <c r="PEH7" s="392"/>
      <c r="PEI7" s="392"/>
      <c r="PEJ7" s="392"/>
      <c r="PEK7" s="392"/>
      <c r="PEL7" s="392"/>
      <c r="PEM7" s="392"/>
      <c r="PEN7" s="392"/>
      <c r="PEO7" s="392"/>
      <c r="PEP7" s="392"/>
      <c r="PEQ7" s="392"/>
      <c r="PER7" s="392"/>
      <c r="PES7" s="392"/>
      <c r="PET7" s="392"/>
      <c r="PEU7" s="392"/>
      <c r="PEV7" s="392"/>
      <c r="PEW7" s="392"/>
      <c r="PEX7" s="392"/>
      <c r="PEY7" s="392"/>
      <c r="PEZ7" s="392"/>
      <c r="PFA7" s="392"/>
      <c r="PFB7" s="392"/>
      <c r="PFC7" s="392"/>
      <c r="PFD7" s="392"/>
      <c r="PFE7" s="392"/>
      <c r="PFF7" s="392"/>
      <c r="PFG7" s="392"/>
      <c r="PFH7" s="392"/>
      <c r="PFI7" s="392"/>
      <c r="PFJ7" s="392"/>
      <c r="PFK7" s="392"/>
      <c r="PFL7" s="392"/>
      <c r="PFM7" s="392"/>
      <c r="PFN7" s="392"/>
      <c r="PFO7" s="392"/>
      <c r="PFP7" s="392"/>
      <c r="PFQ7" s="392"/>
      <c r="PFR7" s="392"/>
      <c r="PFS7" s="392"/>
      <c r="PFT7" s="392"/>
      <c r="PFU7" s="392"/>
      <c r="PFV7" s="392"/>
      <c r="PFW7" s="392"/>
      <c r="PFX7" s="392"/>
      <c r="PFY7" s="392"/>
      <c r="PFZ7" s="392"/>
      <c r="PGA7" s="392"/>
      <c r="PGB7" s="392"/>
      <c r="PGC7" s="392"/>
      <c r="PGD7" s="392"/>
      <c r="PGE7" s="392"/>
      <c r="PGF7" s="392"/>
      <c r="PGG7" s="392"/>
      <c r="PGH7" s="392"/>
      <c r="PGI7" s="392"/>
      <c r="PGJ7" s="392"/>
      <c r="PGK7" s="392"/>
      <c r="PGL7" s="392"/>
      <c r="PGM7" s="392"/>
      <c r="PGN7" s="392"/>
      <c r="PGO7" s="392"/>
      <c r="PGP7" s="392"/>
      <c r="PGQ7" s="392"/>
      <c r="PGR7" s="392"/>
      <c r="PGS7" s="392"/>
      <c r="PGT7" s="392"/>
      <c r="PGU7" s="392"/>
      <c r="PGV7" s="392"/>
      <c r="PGW7" s="392"/>
      <c r="PGX7" s="392"/>
      <c r="PGY7" s="392"/>
      <c r="PGZ7" s="392"/>
      <c r="PHA7" s="392"/>
      <c r="PHB7" s="392"/>
      <c r="PHC7" s="392"/>
      <c r="PHD7" s="392"/>
      <c r="PHE7" s="392"/>
      <c r="PHF7" s="392"/>
      <c r="PHG7" s="392"/>
      <c r="PHH7" s="392"/>
      <c r="PHI7" s="392"/>
      <c r="PHJ7" s="392"/>
      <c r="PHK7" s="392"/>
      <c r="PHL7" s="392"/>
      <c r="PHM7" s="392"/>
      <c r="PHN7" s="392"/>
      <c r="PHO7" s="392"/>
      <c r="PHP7" s="392"/>
      <c r="PHQ7" s="392"/>
      <c r="PHR7" s="392"/>
      <c r="PHS7" s="392"/>
      <c r="PHT7" s="392"/>
      <c r="PHU7" s="392"/>
      <c r="PHV7" s="392"/>
      <c r="PHW7" s="392"/>
      <c r="PHX7" s="392"/>
      <c r="PHY7" s="392"/>
      <c r="PHZ7" s="392"/>
      <c r="PIA7" s="392"/>
      <c r="PIB7" s="392"/>
      <c r="PIC7" s="392"/>
      <c r="PID7" s="392"/>
      <c r="PIE7" s="392"/>
      <c r="PIF7" s="392"/>
      <c r="PIG7" s="392"/>
      <c r="PIH7" s="392"/>
      <c r="PII7" s="392"/>
      <c r="PIJ7" s="392"/>
      <c r="PIK7" s="392"/>
      <c r="PIL7" s="392"/>
      <c r="PIM7" s="392"/>
      <c r="PIN7" s="392"/>
      <c r="PIO7" s="392"/>
      <c r="PIP7" s="392"/>
      <c r="PIQ7" s="392"/>
      <c r="PIR7" s="392"/>
      <c r="PIS7" s="392"/>
      <c r="PIT7" s="392"/>
      <c r="PIU7" s="392"/>
      <c r="PIV7" s="392"/>
      <c r="PIW7" s="392"/>
      <c r="PIX7" s="392"/>
      <c r="PIY7" s="392"/>
      <c r="PIZ7" s="392"/>
      <c r="PJA7" s="392"/>
      <c r="PJB7" s="392"/>
      <c r="PJC7" s="392"/>
      <c r="PJD7" s="392"/>
      <c r="PJE7" s="392"/>
      <c r="PJF7" s="392"/>
      <c r="PJG7" s="392"/>
      <c r="PJH7" s="392"/>
      <c r="PJI7" s="392"/>
      <c r="PJJ7" s="392"/>
      <c r="PJK7" s="392"/>
      <c r="PJL7" s="392"/>
      <c r="PJM7" s="392"/>
      <c r="PJN7" s="392"/>
      <c r="PJO7" s="392"/>
      <c r="PJP7" s="392"/>
      <c r="PJQ7" s="392"/>
      <c r="PJR7" s="392"/>
      <c r="PJS7" s="392"/>
      <c r="PJT7" s="392"/>
      <c r="PJU7" s="392"/>
      <c r="PJV7" s="392"/>
      <c r="PJW7" s="392"/>
      <c r="PJX7" s="392"/>
      <c r="PJY7" s="392"/>
      <c r="PJZ7" s="392"/>
      <c r="PKA7" s="392"/>
      <c r="PKB7" s="392"/>
      <c r="PKC7" s="392"/>
      <c r="PKD7" s="392"/>
      <c r="PKE7" s="392"/>
      <c r="PKF7" s="392"/>
      <c r="PKG7" s="392"/>
      <c r="PKH7" s="392"/>
      <c r="PKI7" s="392"/>
      <c r="PKJ7" s="392"/>
      <c r="PKK7" s="392"/>
      <c r="PKL7" s="392"/>
      <c r="PKM7" s="392"/>
      <c r="PKN7" s="392"/>
      <c r="PKO7" s="392"/>
      <c r="PKP7" s="392"/>
      <c r="PKQ7" s="392"/>
      <c r="PKR7" s="392"/>
      <c r="PKS7" s="392"/>
      <c r="PKT7" s="392"/>
      <c r="PKU7" s="392"/>
      <c r="PKV7" s="392"/>
      <c r="PKW7" s="392"/>
      <c r="PKX7" s="392"/>
      <c r="PKY7" s="392"/>
      <c r="PKZ7" s="392"/>
      <c r="PLA7" s="392"/>
      <c r="PLB7" s="392"/>
      <c r="PLC7" s="392"/>
      <c r="PLD7" s="392"/>
      <c r="PLE7" s="392"/>
      <c r="PLF7" s="392"/>
      <c r="PLG7" s="392"/>
      <c r="PLH7" s="392"/>
      <c r="PLI7" s="392"/>
      <c r="PLJ7" s="392"/>
      <c r="PLK7" s="392"/>
      <c r="PLL7" s="392"/>
      <c r="PLM7" s="392"/>
      <c r="PLN7" s="392"/>
      <c r="PLO7" s="392"/>
      <c r="PLP7" s="392"/>
      <c r="PLQ7" s="392"/>
      <c r="PLR7" s="392"/>
      <c r="PLS7" s="392"/>
      <c r="PLT7" s="392"/>
      <c r="PLU7" s="392"/>
      <c r="PLV7" s="392"/>
      <c r="PLW7" s="392"/>
      <c r="PLX7" s="392"/>
      <c r="PLY7" s="392"/>
      <c r="PLZ7" s="392"/>
      <c r="PMA7" s="392"/>
      <c r="PMB7" s="392"/>
      <c r="PMC7" s="392"/>
      <c r="PMD7" s="392"/>
      <c r="PME7" s="392"/>
      <c r="PMF7" s="392"/>
      <c r="PMG7" s="392"/>
      <c r="PMH7" s="392"/>
      <c r="PMI7" s="392"/>
      <c r="PMJ7" s="392"/>
      <c r="PMK7" s="392"/>
      <c r="PML7" s="392"/>
      <c r="PMM7" s="392"/>
      <c r="PMN7" s="392"/>
      <c r="PMO7" s="392"/>
      <c r="PMP7" s="392"/>
      <c r="PMQ7" s="392"/>
      <c r="PMR7" s="392"/>
      <c r="PMS7" s="392"/>
      <c r="PMT7" s="392"/>
      <c r="PMU7" s="392"/>
      <c r="PMV7" s="392"/>
      <c r="PMW7" s="392"/>
      <c r="PMX7" s="392"/>
      <c r="PMY7" s="392"/>
      <c r="PMZ7" s="392"/>
      <c r="PNA7" s="392"/>
      <c r="PNB7" s="392"/>
      <c r="PNC7" s="392"/>
      <c r="PND7" s="392"/>
      <c r="PNE7" s="392"/>
      <c r="PNF7" s="392"/>
      <c r="PNG7" s="392"/>
      <c r="PNH7" s="392"/>
      <c r="PNI7" s="392"/>
      <c r="PNJ7" s="392"/>
      <c r="PNK7" s="392"/>
      <c r="PNL7" s="392"/>
      <c r="PNM7" s="392"/>
      <c r="PNN7" s="392"/>
      <c r="PNO7" s="392"/>
      <c r="PNP7" s="392"/>
      <c r="PNQ7" s="392"/>
      <c r="PNR7" s="392"/>
      <c r="PNS7" s="392"/>
      <c r="PNT7" s="392"/>
      <c r="PNU7" s="392"/>
      <c r="PNV7" s="392"/>
      <c r="PNW7" s="392"/>
      <c r="PNX7" s="392"/>
      <c r="PNY7" s="392"/>
      <c r="PNZ7" s="392"/>
      <c r="POA7" s="392"/>
      <c r="POB7" s="392"/>
      <c r="POC7" s="392"/>
      <c r="POD7" s="392"/>
      <c r="POE7" s="392"/>
      <c r="POF7" s="392"/>
      <c r="POG7" s="392"/>
      <c r="POH7" s="392"/>
      <c r="POI7" s="392"/>
      <c r="POJ7" s="392"/>
      <c r="POK7" s="392"/>
      <c r="POL7" s="392"/>
      <c r="POM7" s="392"/>
      <c r="PON7" s="392"/>
      <c r="POO7" s="392"/>
      <c r="POP7" s="392"/>
      <c r="POQ7" s="392"/>
      <c r="POR7" s="392"/>
      <c r="POS7" s="392"/>
      <c r="POT7" s="392"/>
      <c r="POU7" s="392"/>
      <c r="POV7" s="392"/>
      <c r="POW7" s="392"/>
      <c r="POX7" s="392"/>
      <c r="POY7" s="392"/>
      <c r="POZ7" s="392"/>
      <c r="PPA7" s="392"/>
      <c r="PPB7" s="392"/>
      <c r="PPC7" s="392"/>
      <c r="PPD7" s="392"/>
      <c r="PPE7" s="392"/>
      <c r="PPF7" s="392"/>
      <c r="PPG7" s="392"/>
      <c r="PPH7" s="392"/>
      <c r="PPI7" s="392"/>
      <c r="PPJ7" s="392"/>
      <c r="PPK7" s="392"/>
      <c r="PPL7" s="392"/>
      <c r="PPM7" s="392"/>
      <c r="PPN7" s="392"/>
      <c r="PPO7" s="392"/>
      <c r="PPP7" s="392"/>
      <c r="PPQ7" s="392"/>
      <c r="PPR7" s="392"/>
      <c r="PPS7" s="392"/>
      <c r="PPT7" s="392"/>
      <c r="PPU7" s="392"/>
      <c r="PPV7" s="392"/>
      <c r="PPW7" s="392"/>
      <c r="PPX7" s="392"/>
      <c r="PPY7" s="392"/>
      <c r="PPZ7" s="392"/>
      <c r="PQA7" s="392"/>
      <c r="PQB7" s="392"/>
      <c r="PQC7" s="392"/>
      <c r="PQD7" s="392"/>
      <c r="PQE7" s="392"/>
      <c r="PQF7" s="392"/>
      <c r="PQG7" s="392"/>
      <c r="PQH7" s="392"/>
      <c r="PQI7" s="392"/>
      <c r="PQJ7" s="392"/>
      <c r="PQK7" s="392"/>
      <c r="PQL7" s="392"/>
      <c r="PQM7" s="392"/>
      <c r="PQN7" s="392"/>
      <c r="PQO7" s="392"/>
      <c r="PQP7" s="392"/>
      <c r="PQQ7" s="392"/>
      <c r="PQR7" s="392"/>
      <c r="PQS7" s="392"/>
      <c r="PQT7" s="392"/>
      <c r="PQU7" s="392"/>
      <c r="PQV7" s="392"/>
      <c r="PQW7" s="392"/>
      <c r="PQX7" s="392"/>
      <c r="PQY7" s="392"/>
      <c r="PQZ7" s="392"/>
      <c r="PRA7" s="392"/>
      <c r="PRB7" s="392"/>
      <c r="PRC7" s="392"/>
      <c r="PRD7" s="392"/>
      <c r="PRE7" s="392"/>
      <c r="PRF7" s="392"/>
      <c r="PRG7" s="392"/>
      <c r="PRH7" s="392"/>
      <c r="PRI7" s="392"/>
      <c r="PRJ7" s="392"/>
      <c r="PRK7" s="392"/>
      <c r="PRL7" s="392"/>
      <c r="PRM7" s="392"/>
      <c r="PRN7" s="392"/>
      <c r="PRO7" s="392"/>
      <c r="PRP7" s="392"/>
      <c r="PRQ7" s="392"/>
      <c r="PRR7" s="392"/>
      <c r="PRS7" s="392"/>
      <c r="PRT7" s="392"/>
      <c r="PRU7" s="392"/>
      <c r="PRV7" s="392"/>
      <c r="PRW7" s="392"/>
      <c r="PRX7" s="392"/>
      <c r="PRY7" s="392"/>
      <c r="PRZ7" s="392"/>
      <c r="PSA7" s="392"/>
      <c r="PSB7" s="392"/>
      <c r="PSC7" s="392"/>
      <c r="PSD7" s="392"/>
      <c r="PSE7" s="392"/>
      <c r="PSF7" s="392"/>
      <c r="PSG7" s="392"/>
      <c r="PSH7" s="392"/>
      <c r="PSI7" s="392"/>
      <c r="PSJ7" s="392"/>
      <c r="PSK7" s="392"/>
      <c r="PSL7" s="392"/>
      <c r="PSM7" s="392"/>
      <c r="PSN7" s="392"/>
      <c r="PSO7" s="392"/>
      <c r="PSP7" s="392"/>
      <c r="PSQ7" s="392"/>
      <c r="PSR7" s="392"/>
      <c r="PSS7" s="392"/>
      <c r="PST7" s="392"/>
      <c r="PSU7" s="392"/>
      <c r="PSV7" s="392"/>
      <c r="PSW7" s="392"/>
      <c r="PSX7" s="392"/>
      <c r="PSY7" s="392"/>
      <c r="PSZ7" s="392"/>
      <c r="PTA7" s="392"/>
      <c r="PTB7" s="392"/>
      <c r="PTC7" s="392"/>
      <c r="PTD7" s="392"/>
      <c r="PTE7" s="392"/>
      <c r="PTF7" s="392"/>
      <c r="PTG7" s="392"/>
      <c r="PTH7" s="392"/>
      <c r="PTI7" s="392"/>
      <c r="PTJ7" s="392"/>
      <c r="PTK7" s="392"/>
      <c r="PTL7" s="392"/>
      <c r="PTM7" s="392"/>
      <c r="PTN7" s="392"/>
      <c r="PTO7" s="392"/>
      <c r="PTP7" s="392"/>
      <c r="PTQ7" s="392"/>
      <c r="PTR7" s="392"/>
      <c r="PTS7" s="392"/>
      <c r="PTT7" s="392"/>
      <c r="PTU7" s="392"/>
      <c r="PTV7" s="392"/>
      <c r="PTW7" s="392"/>
      <c r="PTX7" s="392"/>
      <c r="PTY7" s="392"/>
      <c r="PTZ7" s="392"/>
      <c r="PUA7" s="392"/>
      <c r="PUB7" s="392"/>
      <c r="PUC7" s="392"/>
      <c r="PUD7" s="392"/>
      <c r="PUE7" s="392"/>
      <c r="PUF7" s="392"/>
      <c r="PUG7" s="392"/>
      <c r="PUH7" s="392"/>
      <c r="PUI7" s="392"/>
      <c r="PUJ7" s="392"/>
      <c r="PUK7" s="392"/>
      <c r="PUL7" s="392"/>
      <c r="PUM7" s="392"/>
      <c r="PUN7" s="392"/>
      <c r="PUO7" s="392"/>
      <c r="PUP7" s="392"/>
      <c r="PUQ7" s="392"/>
      <c r="PUR7" s="392"/>
      <c r="PUS7" s="392"/>
      <c r="PUT7" s="392"/>
      <c r="PUU7" s="392"/>
      <c r="PUV7" s="392"/>
      <c r="PUW7" s="392"/>
      <c r="PUX7" s="392"/>
      <c r="PUY7" s="392"/>
      <c r="PUZ7" s="392"/>
      <c r="PVA7" s="392"/>
      <c r="PVB7" s="392"/>
      <c r="PVC7" s="392"/>
      <c r="PVD7" s="392"/>
      <c r="PVE7" s="392"/>
      <c r="PVF7" s="392"/>
      <c r="PVG7" s="392"/>
      <c r="PVH7" s="392"/>
      <c r="PVI7" s="392"/>
      <c r="PVJ7" s="392"/>
      <c r="PVK7" s="392"/>
      <c r="PVL7" s="392"/>
      <c r="PVM7" s="392"/>
      <c r="PVN7" s="392"/>
      <c r="PVO7" s="392"/>
      <c r="PVP7" s="392"/>
      <c r="PVQ7" s="392"/>
      <c r="PVR7" s="392"/>
      <c r="PVS7" s="392"/>
      <c r="PVT7" s="392"/>
      <c r="PVU7" s="392"/>
      <c r="PVV7" s="392"/>
      <c r="PVW7" s="392"/>
      <c r="PVX7" s="392"/>
      <c r="PVY7" s="392"/>
      <c r="PVZ7" s="392"/>
      <c r="PWA7" s="392"/>
      <c r="PWB7" s="392"/>
      <c r="PWC7" s="392"/>
      <c r="PWD7" s="392"/>
      <c r="PWE7" s="392"/>
      <c r="PWF7" s="392"/>
      <c r="PWG7" s="392"/>
      <c r="PWH7" s="392"/>
      <c r="PWI7" s="392"/>
      <c r="PWJ7" s="392"/>
      <c r="PWK7" s="392"/>
      <c r="PWL7" s="392"/>
      <c r="PWM7" s="392"/>
      <c r="PWN7" s="392"/>
      <c r="PWO7" s="392"/>
      <c r="PWP7" s="392"/>
      <c r="PWQ7" s="392"/>
      <c r="PWR7" s="392"/>
      <c r="PWS7" s="392"/>
      <c r="PWT7" s="392"/>
      <c r="PWU7" s="392"/>
      <c r="PWV7" s="392"/>
      <c r="PWW7" s="392"/>
      <c r="PWX7" s="392"/>
      <c r="PWY7" s="392"/>
      <c r="PWZ7" s="392"/>
      <c r="PXA7" s="392"/>
      <c r="PXB7" s="392"/>
      <c r="PXC7" s="392"/>
      <c r="PXD7" s="392"/>
      <c r="PXE7" s="392"/>
      <c r="PXF7" s="392"/>
      <c r="PXG7" s="392"/>
      <c r="PXH7" s="392"/>
      <c r="PXI7" s="392"/>
      <c r="PXJ7" s="392"/>
      <c r="PXK7" s="392"/>
      <c r="PXL7" s="392"/>
      <c r="PXM7" s="392"/>
      <c r="PXN7" s="392"/>
      <c r="PXO7" s="392"/>
      <c r="PXP7" s="392"/>
      <c r="PXQ7" s="392"/>
      <c r="PXR7" s="392"/>
      <c r="PXS7" s="392"/>
      <c r="PXT7" s="392"/>
      <c r="PXU7" s="392"/>
      <c r="PXV7" s="392"/>
      <c r="PXW7" s="392"/>
      <c r="PXX7" s="392"/>
      <c r="PXY7" s="392"/>
      <c r="PXZ7" s="392"/>
      <c r="PYA7" s="392"/>
      <c r="PYB7" s="392"/>
      <c r="PYC7" s="392"/>
      <c r="PYD7" s="392"/>
      <c r="PYE7" s="392"/>
      <c r="PYF7" s="392"/>
      <c r="PYG7" s="392"/>
      <c r="PYH7" s="392"/>
      <c r="PYI7" s="392"/>
      <c r="PYJ7" s="392"/>
      <c r="PYK7" s="392"/>
      <c r="PYL7" s="392"/>
      <c r="PYM7" s="392"/>
      <c r="PYN7" s="392"/>
      <c r="PYO7" s="392"/>
      <c r="PYP7" s="392"/>
      <c r="PYQ7" s="392"/>
      <c r="PYR7" s="392"/>
      <c r="PYS7" s="392"/>
      <c r="PYT7" s="392"/>
      <c r="PYU7" s="392"/>
      <c r="PYV7" s="392"/>
      <c r="PYW7" s="392"/>
      <c r="PYX7" s="392"/>
      <c r="PYY7" s="392"/>
      <c r="PYZ7" s="392"/>
      <c r="PZA7" s="392"/>
      <c r="PZB7" s="392"/>
      <c r="PZC7" s="392"/>
      <c r="PZD7" s="392"/>
      <c r="PZE7" s="392"/>
      <c r="PZF7" s="392"/>
      <c r="PZG7" s="392"/>
      <c r="PZH7" s="392"/>
      <c r="PZI7" s="392"/>
      <c r="PZJ7" s="392"/>
      <c r="PZK7" s="392"/>
      <c r="PZL7" s="392"/>
      <c r="PZM7" s="392"/>
      <c r="PZN7" s="392"/>
      <c r="PZO7" s="392"/>
      <c r="PZP7" s="392"/>
      <c r="PZQ7" s="392"/>
      <c r="PZR7" s="392"/>
      <c r="PZS7" s="392"/>
      <c r="PZT7" s="392"/>
      <c r="PZU7" s="392"/>
      <c r="PZV7" s="392"/>
      <c r="PZW7" s="392"/>
      <c r="PZX7" s="392"/>
      <c r="PZY7" s="392"/>
      <c r="PZZ7" s="392"/>
      <c r="QAA7" s="392"/>
      <c r="QAB7" s="392"/>
      <c r="QAC7" s="392"/>
      <c r="QAD7" s="392"/>
      <c r="QAE7" s="392"/>
      <c r="QAF7" s="392"/>
      <c r="QAG7" s="392"/>
      <c r="QAH7" s="392"/>
      <c r="QAI7" s="392"/>
      <c r="QAJ7" s="392"/>
      <c r="QAK7" s="392"/>
      <c r="QAL7" s="392"/>
      <c r="QAM7" s="392"/>
      <c r="QAN7" s="392"/>
      <c r="QAO7" s="392"/>
      <c r="QAP7" s="392"/>
      <c r="QAQ7" s="392"/>
      <c r="QAR7" s="392"/>
      <c r="QAS7" s="392"/>
      <c r="QAT7" s="392"/>
      <c r="QAU7" s="392"/>
      <c r="QAV7" s="392"/>
      <c r="QAW7" s="392"/>
      <c r="QAX7" s="392"/>
      <c r="QAY7" s="392"/>
      <c r="QAZ7" s="392"/>
      <c r="QBA7" s="392"/>
      <c r="QBB7" s="392"/>
      <c r="QBC7" s="392"/>
      <c r="QBD7" s="392"/>
      <c r="QBE7" s="392"/>
      <c r="QBF7" s="392"/>
      <c r="QBG7" s="392"/>
      <c r="QBH7" s="392"/>
      <c r="QBI7" s="392"/>
      <c r="QBJ7" s="392"/>
      <c r="QBK7" s="392"/>
      <c r="QBL7" s="392"/>
      <c r="QBM7" s="392"/>
      <c r="QBN7" s="392"/>
      <c r="QBO7" s="392"/>
      <c r="QBP7" s="392"/>
      <c r="QBQ7" s="392"/>
      <c r="QBR7" s="392"/>
      <c r="QBS7" s="392"/>
      <c r="QBT7" s="392"/>
      <c r="QBU7" s="392"/>
      <c r="QBV7" s="392"/>
      <c r="QBW7" s="392"/>
      <c r="QBX7" s="392"/>
      <c r="QBY7" s="392"/>
      <c r="QBZ7" s="392"/>
      <c r="QCA7" s="392"/>
      <c r="QCB7" s="392"/>
      <c r="QCC7" s="392"/>
      <c r="QCD7" s="392"/>
      <c r="QCE7" s="392"/>
      <c r="QCF7" s="392"/>
      <c r="QCG7" s="392"/>
      <c r="QCH7" s="392"/>
      <c r="QCI7" s="392"/>
      <c r="QCJ7" s="392"/>
      <c r="QCK7" s="392"/>
      <c r="QCL7" s="392"/>
      <c r="QCM7" s="392"/>
      <c r="QCN7" s="392"/>
      <c r="QCO7" s="392"/>
      <c r="QCP7" s="392"/>
      <c r="QCQ7" s="392"/>
      <c r="QCR7" s="392"/>
      <c r="QCS7" s="392"/>
      <c r="QCT7" s="392"/>
      <c r="QCU7" s="392"/>
      <c r="QCV7" s="392"/>
      <c r="QCW7" s="392"/>
      <c r="QCX7" s="392"/>
      <c r="QCY7" s="392"/>
      <c r="QCZ7" s="392"/>
      <c r="QDA7" s="392"/>
      <c r="QDB7" s="392"/>
      <c r="QDC7" s="392"/>
      <c r="QDD7" s="392"/>
      <c r="QDE7" s="392"/>
      <c r="QDF7" s="392"/>
      <c r="QDG7" s="392"/>
      <c r="QDH7" s="392"/>
      <c r="QDI7" s="392"/>
      <c r="QDJ7" s="392"/>
      <c r="QDK7" s="392"/>
      <c r="QDL7" s="392"/>
      <c r="QDM7" s="392"/>
      <c r="QDN7" s="392"/>
      <c r="QDO7" s="392"/>
      <c r="QDP7" s="392"/>
      <c r="QDQ7" s="392"/>
      <c r="QDR7" s="392"/>
      <c r="QDS7" s="392"/>
      <c r="QDT7" s="392"/>
      <c r="QDU7" s="392"/>
      <c r="QDV7" s="392"/>
      <c r="QDW7" s="392"/>
      <c r="QDX7" s="392"/>
      <c r="QDY7" s="392"/>
      <c r="QDZ7" s="392"/>
      <c r="QEA7" s="392"/>
      <c r="QEB7" s="392"/>
      <c r="QEC7" s="392"/>
      <c r="QED7" s="392"/>
      <c r="QEE7" s="392"/>
      <c r="QEF7" s="392"/>
      <c r="QEG7" s="392"/>
      <c r="QEH7" s="392"/>
      <c r="QEI7" s="392"/>
      <c r="QEJ7" s="392"/>
      <c r="QEK7" s="392"/>
      <c r="QEL7" s="392"/>
      <c r="QEM7" s="392"/>
      <c r="QEN7" s="392"/>
      <c r="QEO7" s="392"/>
      <c r="QEP7" s="392"/>
      <c r="QEQ7" s="392"/>
      <c r="QER7" s="392"/>
      <c r="QES7" s="392"/>
      <c r="QET7" s="392"/>
      <c r="QEU7" s="392"/>
      <c r="QEV7" s="392"/>
      <c r="QEW7" s="392"/>
      <c r="QEX7" s="392"/>
      <c r="QEY7" s="392"/>
      <c r="QEZ7" s="392"/>
      <c r="QFA7" s="392"/>
      <c r="QFB7" s="392"/>
      <c r="QFC7" s="392"/>
      <c r="QFD7" s="392"/>
      <c r="QFE7" s="392"/>
      <c r="QFF7" s="392"/>
      <c r="QFG7" s="392"/>
      <c r="QFH7" s="392"/>
      <c r="QFI7" s="392"/>
      <c r="QFJ7" s="392"/>
      <c r="QFK7" s="392"/>
      <c r="QFL7" s="392"/>
      <c r="QFM7" s="392"/>
      <c r="QFN7" s="392"/>
      <c r="QFO7" s="392"/>
      <c r="QFP7" s="392"/>
      <c r="QFQ7" s="392"/>
      <c r="QFR7" s="392"/>
      <c r="QFS7" s="392"/>
      <c r="QFT7" s="392"/>
      <c r="QFU7" s="392"/>
      <c r="QFV7" s="392"/>
      <c r="QFW7" s="392"/>
      <c r="QFX7" s="392"/>
      <c r="QFY7" s="392"/>
      <c r="QFZ7" s="392"/>
      <c r="QGA7" s="392"/>
      <c r="QGB7" s="392"/>
      <c r="QGC7" s="392"/>
      <c r="QGD7" s="392"/>
      <c r="QGE7" s="392"/>
      <c r="QGF7" s="392"/>
      <c r="QGG7" s="392"/>
      <c r="QGH7" s="392"/>
      <c r="QGI7" s="392"/>
      <c r="QGJ7" s="392"/>
      <c r="QGK7" s="392"/>
      <c r="QGL7" s="392"/>
      <c r="QGM7" s="392"/>
      <c r="QGN7" s="392"/>
      <c r="QGO7" s="392"/>
      <c r="QGP7" s="392"/>
      <c r="QGQ7" s="392"/>
      <c r="QGR7" s="392"/>
      <c r="QGS7" s="392"/>
      <c r="QGT7" s="392"/>
      <c r="QGU7" s="392"/>
      <c r="QGV7" s="392"/>
      <c r="QGW7" s="392"/>
      <c r="QGX7" s="392"/>
      <c r="QGY7" s="392"/>
      <c r="QGZ7" s="392"/>
      <c r="QHA7" s="392"/>
      <c r="QHB7" s="392"/>
      <c r="QHC7" s="392"/>
      <c r="QHD7" s="392"/>
      <c r="QHE7" s="392"/>
      <c r="QHF7" s="392"/>
      <c r="QHG7" s="392"/>
      <c r="QHH7" s="392"/>
      <c r="QHI7" s="392"/>
      <c r="QHJ7" s="392"/>
      <c r="QHK7" s="392"/>
      <c r="QHL7" s="392"/>
      <c r="QHM7" s="392"/>
      <c r="QHN7" s="392"/>
      <c r="QHO7" s="392"/>
      <c r="QHP7" s="392"/>
      <c r="QHQ7" s="392"/>
      <c r="QHR7" s="392"/>
      <c r="QHS7" s="392"/>
      <c r="QHT7" s="392"/>
      <c r="QHU7" s="392"/>
      <c r="QHV7" s="392"/>
      <c r="QHW7" s="392"/>
      <c r="QHX7" s="392"/>
      <c r="QHY7" s="392"/>
      <c r="QHZ7" s="392"/>
      <c r="QIA7" s="392"/>
      <c r="QIB7" s="392"/>
      <c r="QIC7" s="392"/>
      <c r="QID7" s="392"/>
      <c r="QIE7" s="392"/>
      <c r="QIF7" s="392"/>
      <c r="QIG7" s="392"/>
      <c r="QIH7" s="392"/>
      <c r="QII7" s="392"/>
      <c r="QIJ7" s="392"/>
      <c r="QIK7" s="392"/>
      <c r="QIL7" s="392"/>
      <c r="QIM7" s="392"/>
      <c r="QIN7" s="392"/>
      <c r="QIO7" s="392"/>
      <c r="QIP7" s="392"/>
      <c r="QIQ7" s="392"/>
      <c r="QIR7" s="392"/>
      <c r="QIS7" s="392"/>
      <c r="QIT7" s="392"/>
      <c r="QIU7" s="392"/>
      <c r="QIV7" s="392"/>
      <c r="QIW7" s="392"/>
      <c r="QIX7" s="392"/>
      <c r="QIY7" s="392"/>
      <c r="QIZ7" s="392"/>
      <c r="QJA7" s="392"/>
      <c r="QJB7" s="392"/>
      <c r="QJC7" s="392"/>
      <c r="QJD7" s="392"/>
      <c r="QJE7" s="392"/>
      <c r="QJF7" s="392"/>
      <c r="QJG7" s="392"/>
      <c r="QJH7" s="392"/>
      <c r="QJI7" s="392"/>
      <c r="QJJ7" s="392"/>
      <c r="QJK7" s="392"/>
      <c r="QJL7" s="392"/>
      <c r="QJM7" s="392"/>
      <c r="QJN7" s="392"/>
      <c r="QJO7" s="392"/>
      <c r="QJP7" s="392"/>
      <c r="QJQ7" s="392"/>
      <c r="QJR7" s="392"/>
      <c r="QJS7" s="392"/>
      <c r="QJT7" s="392"/>
      <c r="QJU7" s="392"/>
      <c r="QJV7" s="392"/>
      <c r="QJW7" s="392"/>
      <c r="QJX7" s="392"/>
      <c r="QJY7" s="392"/>
      <c r="QJZ7" s="392"/>
      <c r="QKA7" s="392"/>
      <c r="QKB7" s="392"/>
      <c r="QKC7" s="392"/>
      <c r="QKD7" s="392"/>
      <c r="QKE7" s="392"/>
      <c r="QKF7" s="392"/>
      <c r="QKG7" s="392"/>
      <c r="QKH7" s="392"/>
      <c r="QKI7" s="392"/>
      <c r="QKJ7" s="392"/>
      <c r="QKK7" s="392"/>
      <c r="QKL7" s="392"/>
      <c r="QKM7" s="392"/>
      <c r="QKN7" s="392"/>
      <c r="QKO7" s="392"/>
      <c r="QKP7" s="392"/>
      <c r="QKQ7" s="392"/>
      <c r="QKR7" s="392"/>
      <c r="QKS7" s="392"/>
      <c r="QKT7" s="392"/>
      <c r="QKU7" s="392"/>
      <c r="QKV7" s="392"/>
      <c r="QKW7" s="392"/>
      <c r="QKX7" s="392"/>
      <c r="QKY7" s="392"/>
      <c r="QKZ7" s="392"/>
      <c r="QLA7" s="392"/>
      <c r="QLB7" s="392"/>
      <c r="QLC7" s="392"/>
      <c r="QLD7" s="392"/>
      <c r="QLE7" s="392"/>
      <c r="QLF7" s="392"/>
      <c r="QLG7" s="392"/>
      <c r="QLH7" s="392"/>
      <c r="QLI7" s="392"/>
      <c r="QLJ7" s="392"/>
      <c r="QLK7" s="392"/>
      <c r="QLL7" s="392"/>
      <c r="QLM7" s="392"/>
      <c r="QLN7" s="392"/>
      <c r="QLO7" s="392"/>
      <c r="QLP7" s="392"/>
      <c r="QLQ7" s="392"/>
      <c r="QLR7" s="392"/>
      <c r="QLS7" s="392"/>
      <c r="QLT7" s="392"/>
      <c r="QLU7" s="392"/>
      <c r="QLV7" s="392"/>
      <c r="QLW7" s="392"/>
      <c r="QLX7" s="392"/>
      <c r="QLY7" s="392"/>
      <c r="QLZ7" s="392"/>
      <c r="QMA7" s="392"/>
      <c r="QMB7" s="392"/>
      <c r="QMC7" s="392"/>
      <c r="QMD7" s="392"/>
      <c r="QME7" s="392"/>
      <c r="QMF7" s="392"/>
      <c r="QMG7" s="392"/>
      <c r="QMH7" s="392"/>
      <c r="QMI7" s="392"/>
      <c r="QMJ7" s="392"/>
      <c r="QMK7" s="392"/>
      <c r="QML7" s="392"/>
      <c r="QMM7" s="392"/>
      <c r="QMN7" s="392"/>
      <c r="QMO7" s="392"/>
      <c r="QMP7" s="392"/>
      <c r="QMQ7" s="392"/>
      <c r="QMR7" s="392"/>
      <c r="QMS7" s="392"/>
      <c r="QMT7" s="392"/>
      <c r="QMU7" s="392"/>
      <c r="QMV7" s="392"/>
      <c r="QMW7" s="392"/>
      <c r="QMX7" s="392"/>
      <c r="QMY7" s="392"/>
      <c r="QMZ7" s="392"/>
      <c r="QNA7" s="392"/>
      <c r="QNB7" s="392"/>
      <c r="QNC7" s="392"/>
      <c r="QND7" s="392"/>
      <c r="QNE7" s="392"/>
      <c r="QNF7" s="392"/>
      <c r="QNG7" s="392"/>
      <c r="QNH7" s="392"/>
      <c r="QNI7" s="392"/>
      <c r="QNJ7" s="392"/>
      <c r="QNK7" s="392"/>
      <c r="QNL7" s="392"/>
      <c r="QNM7" s="392"/>
      <c r="QNN7" s="392"/>
      <c r="QNO7" s="392"/>
      <c r="QNP7" s="392"/>
      <c r="QNQ7" s="392"/>
      <c r="QNR7" s="392"/>
      <c r="QNS7" s="392"/>
      <c r="QNT7" s="392"/>
      <c r="QNU7" s="392"/>
      <c r="QNV7" s="392"/>
      <c r="QNW7" s="392"/>
      <c r="QNX7" s="392"/>
      <c r="QNY7" s="392"/>
      <c r="QNZ7" s="392"/>
      <c r="QOA7" s="392"/>
      <c r="QOB7" s="392"/>
      <c r="QOC7" s="392"/>
      <c r="QOD7" s="392"/>
      <c r="QOE7" s="392"/>
      <c r="QOF7" s="392"/>
      <c r="QOG7" s="392"/>
      <c r="QOH7" s="392"/>
      <c r="QOI7" s="392"/>
      <c r="QOJ7" s="392"/>
      <c r="QOK7" s="392"/>
      <c r="QOL7" s="392"/>
      <c r="QOM7" s="392"/>
      <c r="QON7" s="392"/>
      <c r="QOO7" s="392"/>
      <c r="QOP7" s="392"/>
      <c r="QOQ7" s="392"/>
      <c r="QOR7" s="392"/>
      <c r="QOS7" s="392"/>
      <c r="QOT7" s="392"/>
      <c r="QOU7" s="392"/>
      <c r="QOV7" s="392"/>
      <c r="QOW7" s="392"/>
      <c r="QOX7" s="392"/>
      <c r="QOY7" s="392"/>
      <c r="QOZ7" s="392"/>
      <c r="QPA7" s="392"/>
      <c r="QPB7" s="392"/>
      <c r="QPC7" s="392"/>
      <c r="QPD7" s="392"/>
      <c r="QPE7" s="392"/>
      <c r="QPF7" s="392"/>
      <c r="QPG7" s="392"/>
      <c r="QPH7" s="392"/>
      <c r="QPI7" s="392"/>
      <c r="QPJ7" s="392"/>
      <c r="QPK7" s="392"/>
      <c r="QPL7" s="392"/>
      <c r="QPM7" s="392"/>
      <c r="QPN7" s="392"/>
      <c r="QPO7" s="392"/>
      <c r="QPP7" s="392"/>
      <c r="QPQ7" s="392"/>
      <c r="QPR7" s="392"/>
      <c r="QPS7" s="392"/>
      <c r="QPT7" s="392"/>
      <c r="QPU7" s="392"/>
      <c r="QPV7" s="392"/>
      <c r="QPW7" s="392"/>
      <c r="QPX7" s="392"/>
      <c r="QPY7" s="392"/>
      <c r="QPZ7" s="392"/>
      <c r="QQA7" s="392"/>
      <c r="QQB7" s="392"/>
      <c r="QQC7" s="392"/>
      <c r="QQD7" s="392"/>
      <c r="QQE7" s="392"/>
      <c r="QQF7" s="392"/>
      <c r="QQG7" s="392"/>
      <c r="QQH7" s="392"/>
      <c r="QQI7" s="392"/>
      <c r="QQJ7" s="392"/>
      <c r="QQK7" s="392"/>
      <c r="QQL7" s="392"/>
      <c r="QQM7" s="392"/>
      <c r="QQN7" s="392"/>
      <c r="QQO7" s="392"/>
      <c r="QQP7" s="392"/>
      <c r="QQQ7" s="392"/>
      <c r="QQR7" s="392"/>
      <c r="QQS7" s="392"/>
      <c r="QQT7" s="392"/>
      <c r="QQU7" s="392"/>
      <c r="QQV7" s="392"/>
      <c r="QQW7" s="392"/>
      <c r="QQX7" s="392"/>
      <c r="QQY7" s="392"/>
      <c r="QQZ7" s="392"/>
      <c r="QRA7" s="392"/>
      <c r="QRB7" s="392"/>
      <c r="QRC7" s="392"/>
      <c r="QRD7" s="392"/>
      <c r="QRE7" s="392"/>
      <c r="QRF7" s="392"/>
      <c r="QRG7" s="392"/>
      <c r="QRH7" s="392"/>
      <c r="QRI7" s="392"/>
      <c r="QRJ7" s="392"/>
      <c r="QRK7" s="392"/>
      <c r="QRL7" s="392"/>
      <c r="QRM7" s="392"/>
      <c r="QRN7" s="392"/>
      <c r="QRO7" s="392"/>
      <c r="QRP7" s="392"/>
      <c r="QRQ7" s="392"/>
      <c r="QRR7" s="392"/>
      <c r="QRS7" s="392"/>
      <c r="QRT7" s="392"/>
      <c r="QRU7" s="392"/>
      <c r="QRV7" s="392"/>
      <c r="QRW7" s="392"/>
      <c r="QRX7" s="392"/>
      <c r="QRY7" s="392"/>
      <c r="QRZ7" s="392"/>
      <c r="QSA7" s="392"/>
      <c r="QSB7" s="392"/>
      <c r="QSC7" s="392"/>
      <c r="QSD7" s="392"/>
      <c r="QSE7" s="392"/>
      <c r="QSF7" s="392"/>
      <c r="QSG7" s="392"/>
      <c r="QSH7" s="392"/>
      <c r="QSI7" s="392"/>
      <c r="QSJ7" s="392"/>
      <c r="QSK7" s="392"/>
      <c r="QSL7" s="392"/>
      <c r="QSM7" s="392"/>
      <c r="QSN7" s="392"/>
      <c r="QSO7" s="392"/>
      <c r="QSP7" s="392"/>
      <c r="QSQ7" s="392"/>
      <c r="QSR7" s="392"/>
      <c r="QSS7" s="392"/>
      <c r="QST7" s="392"/>
      <c r="QSU7" s="392"/>
      <c r="QSV7" s="392"/>
      <c r="QSW7" s="392"/>
      <c r="QSX7" s="392"/>
      <c r="QSY7" s="392"/>
      <c r="QSZ7" s="392"/>
      <c r="QTA7" s="392"/>
      <c r="QTB7" s="392"/>
      <c r="QTC7" s="392"/>
      <c r="QTD7" s="392"/>
      <c r="QTE7" s="392"/>
      <c r="QTF7" s="392"/>
      <c r="QTG7" s="392"/>
      <c r="QTH7" s="392"/>
      <c r="QTI7" s="392"/>
      <c r="QTJ7" s="392"/>
      <c r="QTK7" s="392"/>
      <c r="QTL7" s="392"/>
      <c r="QTM7" s="392"/>
      <c r="QTN7" s="392"/>
      <c r="QTO7" s="392"/>
      <c r="QTP7" s="392"/>
      <c r="QTQ7" s="392"/>
      <c r="QTR7" s="392"/>
      <c r="QTS7" s="392"/>
      <c r="QTT7" s="392"/>
      <c r="QTU7" s="392"/>
      <c r="QTV7" s="392"/>
      <c r="QTW7" s="392"/>
      <c r="QTX7" s="392"/>
      <c r="QTY7" s="392"/>
      <c r="QTZ7" s="392"/>
      <c r="QUA7" s="392"/>
      <c r="QUB7" s="392"/>
      <c r="QUC7" s="392"/>
      <c r="QUD7" s="392"/>
      <c r="QUE7" s="392"/>
      <c r="QUF7" s="392"/>
      <c r="QUG7" s="392"/>
      <c r="QUH7" s="392"/>
      <c r="QUI7" s="392"/>
      <c r="QUJ7" s="392"/>
      <c r="QUK7" s="392"/>
      <c r="QUL7" s="392"/>
      <c r="QUM7" s="392"/>
      <c r="QUN7" s="392"/>
      <c r="QUO7" s="392"/>
      <c r="QUP7" s="392"/>
      <c r="QUQ7" s="392"/>
      <c r="QUR7" s="392"/>
      <c r="QUS7" s="392"/>
      <c r="QUT7" s="392"/>
      <c r="QUU7" s="392"/>
      <c r="QUV7" s="392"/>
      <c r="QUW7" s="392"/>
      <c r="QUX7" s="392"/>
      <c r="QUY7" s="392"/>
      <c r="QUZ7" s="392"/>
      <c r="QVA7" s="392"/>
      <c r="QVB7" s="392"/>
      <c r="QVC7" s="392"/>
      <c r="QVD7" s="392"/>
      <c r="QVE7" s="392"/>
      <c r="QVF7" s="392"/>
      <c r="QVG7" s="392"/>
      <c r="QVH7" s="392"/>
      <c r="QVI7" s="392"/>
      <c r="QVJ7" s="392"/>
      <c r="QVK7" s="392"/>
      <c r="QVL7" s="392"/>
      <c r="QVM7" s="392"/>
      <c r="QVN7" s="392"/>
      <c r="QVO7" s="392"/>
      <c r="QVP7" s="392"/>
      <c r="QVQ7" s="392"/>
      <c r="QVR7" s="392"/>
      <c r="QVS7" s="392"/>
      <c r="QVT7" s="392"/>
      <c r="QVU7" s="392"/>
      <c r="QVV7" s="392"/>
      <c r="QVW7" s="392"/>
      <c r="QVX7" s="392"/>
      <c r="QVY7" s="392"/>
      <c r="QVZ7" s="392"/>
      <c r="QWA7" s="392"/>
      <c r="QWB7" s="392"/>
      <c r="QWC7" s="392"/>
      <c r="QWD7" s="392"/>
      <c r="QWE7" s="392"/>
      <c r="QWF7" s="392"/>
      <c r="QWG7" s="392"/>
      <c r="QWH7" s="392"/>
      <c r="QWI7" s="392"/>
      <c r="QWJ7" s="392"/>
      <c r="QWK7" s="392"/>
      <c r="QWL7" s="392"/>
      <c r="QWM7" s="392"/>
      <c r="QWN7" s="392"/>
      <c r="QWO7" s="392"/>
      <c r="QWP7" s="392"/>
      <c r="QWQ7" s="392"/>
      <c r="QWR7" s="392"/>
      <c r="QWS7" s="392"/>
      <c r="QWT7" s="392"/>
      <c r="QWU7" s="392"/>
      <c r="QWV7" s="392"/>
      <c r="QWW7" s="392"/>
      <c r="QWX7" s="392"/>
      <c r="QWY7" s="392"/>
      <c r="QWZ7" s="392"/>
      <c r="QXA7" s="392"/>
      <c r="QXB7" s="392"/>
      <c r="QXC7" s="392"/>
      <c r="QXD7" s="392"/>
      <c r="QXE7" s="392"/>
      <c r="QXF7" s="392"/>
      <c r="QXG7" s="392"/>
      <c r="QXH7" s="392"/>
      <c r="QXI7" s="392"/>
      <c r="QXJ7" s="392"/>
      <c r="QXK7" s="392"/>
      <c r="QXL7" s="392"/>
      <c r="QXM7" s="392"/>
      <c r="QXN7" s="392"/>
      <c r="QXO7" s="392"/>
      <c r="QXP7" s="392"/>
      <c r="QXQ7" s="392"/>
      <c r="QXR7" s="392"/>
      <c r="QXS7" s="392"/>
      <c r="QXT7" s="392"/>
      <c r="QXU7" s="392"/>
      <c r="QXV7" s="392"/>
      <c r="QXW7" s="392"/>
      <c r="QXX7" s="392"/>
      <c r="QXY7" s="392"/>
      <c r="QXZ7" s="392"/>
      <c r="QYA7" s="392"/>
      <c r="QYB7" s="392"/>
      <c r="QYC7" s="392"/>
      <c r="QYD7" s="392"/>
      <c r="QYE7" s="392"/>
      <c r="QYF7" s="392"/>
      <c r="QYG7" s="392"/>
      <c r="QYH7" s="392"/>
      <c r="QYI7" s="392"/>
      <c r="QYJ7" s="392"/>
      <c r="QYK7" s="392"/>
      <c r="QYL7" s="392"/>
      <c r="QYM7" s="392"/>
      <c r="QYN7" s="392"/>
      <c r="QYO7" s="392"/>
      <c r="QYP7" s="392"/>
      <c r="QYQ7" s="392"/>
      <c r="QYR7" s="392"/>
      <c r="QYS7" s="392"/>
      <c r="QYT7" s="392"/>
      <c r="QYU7" s="392"/>
      <c r="QYV7" s="392"/>
      <c r="QYW7" s="392"/>
      <c r="QYX7" s="392"/>
      <c r="QYY7" s="392"/>
      <c r="QYZ7" s="392"/>
      <c r="QZA7" s="392"/>
      <c r="QZB7" s="392"/>
      <c r="QZC7" s="392"/>
      <c r="QZD7" s="392"/>
      <c r="QZE7" s="392"/>
      <c r="QZF7" s="392"/>
      <c r="QZG7" s="392"/>
      <c r="QZH7" s="392"/>
      <c r="QZI7" s="392"/>
      <c r="QZJ7" s="392"/>
      <c r="QZK7" s="392"/>
      <c r="QZL7" s="392"/>
      <c r="QZM7" s="392"/>
      <c r="QZN7" s="392"/>
      <c r="QZO7" s="392"/>
      <c r="QZP7" s="392"/>
      <c r="QZQ7" s="392"/>
      <c r="QZR7" s="392"/>
      <c r="QZS7" s="392"/>
      <c r="QZT7" s="392"/>
      <c r="QZU7" s="392"/>
      <c r="QZV7" s="392"/>
      <c r="QZW7" s="392"/>
      <c r="QZX7" s="392"/>
      <c r="QZY7" s="392"/>
      <c r="QZZ7" s="392"/>
      <c r="RAA7" s="392"/>
      <c r="RAB7" s="392"/>
      <c r="RAC7" s="392"/>
      <c r="RAD7" s="392"/>
      <c r="RAE7" s="392"/>
      <c r="RAF7" s="392"/>
      <c r="RAG7" s="392"/>
      <c r="RAH7" s="392"/>
      <c r="RAI7" s="392"/>
      <c r="RAJ7" s="392"/>
      <c r="RAK7" s="392"/>
      <c r="RAL7" s="392"/>
      <c r="RAM7" s="392"/>
      <c r="RAN7" s="392"/>
      <c r="RAO7" s="392"/>
      <c r="RAP7" s="392"/>
      <c r="RAQ7" s="392"/>
      <c r="RAR7" s="392"/>
      <c r="RAS7" s="392"/>
      <c r="RAT7" s="392"/>
      <c r="RAU7" s="392"/>
      <c r="RAV7" s="392"/>
      <c r="RAW7" s="392"/>
      <c r="RAX7" s="392"/>
      <c r="RAY7" s="392"/>
      <c r="RAZ7" s="392"/>
      <c r="RBA7" s="392"/>
      <c r="RBB7" s="392"/>
      <c r="RBC7" s="392"/>
      <c r="RBD7" s="392"/>
      <c r="RBE7" s="392"/>
      <c r="RBF7" s="392"/>
      <c r="RBG7" s="392"/>
      <c r="RBH7" s="392"/>
      <c r="RBI7" s="392"/>
      <c r="RBJ7" s="392"/>
      <c r="RBK7" s="392"/>
      <c r="RBL7" s="392"/>
      <c r="RBM7" s="392"/>
      <c r="RBN7" s="392"/>
      <c r="RBO7" s="392"/>
      <c r="RBP7" s="392"/>
      <c r="RBQ7" s="392"/>
      <c r="RBR7" s="392"/>
      <c r="RBS7" s="392"/>
      <c r="RBT7" s="392"/>
      <c r="RBU7" s="392"/>
      <c r="RBV7" s="392"/>
      <c r="RBW7" s="392"/>
      <c r="RBX7" s="392"/>
      <c r="RBY7" s="392"/>
      <c r="RBZ7" s="392"/>
      <c r="RCA7" s="392"/>
      <c r="RCB7" s="392"/>
      <c r="RCC7" s="392"/>
      <c r="RCD7" s="392"/>
      <c r="RCE7" s="392"/>
      <c r="RCF7" s="392"/>
      <c r="RCG7" s="392"/>
      <c r="RCH7" s="392"/>
      <c r="RCI7" s="392"/>
      <c r="RCJ7" s="392"/>
      <c r="RCK7" s="392"/>
      <c r="RCL7" s="392"/>
      <c r="RCM7" s="392"/>
      <c r="RCN7" s="392"/>
      <c r="RCO7" s="392"/>
      <c r="RCP7" s="392"/>
      <c r="RCQ7" s="392"/>
      <c r="RCR7" s="392"/>
      <c r="RCS7" s="392"/>
      <c r="RCT7" s="392"/>
      <c r="RCU7" s="392"/>
      <c r="RCV7" s="392"/>
      <c r="RCW7" s="392"/>
      <c r="RCX7" s="392"/>
      <c r="RCY7" s="392"/>
      <c r="RCZ7" s="392"/>
      <c r="RDA7" s="392"/>
      <c r="RDB7" s="392"/>
      <c r="RDC7" s="392"/>
      <c r="RDD7" s="392"/>
      <c r="RDE7" s="392"/>
      <c r="RDF7" s="392"/>
      <c r="RDG7" s="392"/>
      <c r="RDH7" s="392"/>
      <c r="RDI7" s="392"/>
      <c r="RDJ7" s="392"/>
      <c r="RDK7" s="392"/>
      <c r="RDL7" s="392"/>
      <c r="RDM7" s="392"/>
      <c r="RDN7" s="392"/>
      <c r="RDO7" s="392"/>
      <c r="RDP7" s="392"/>
      <c r="RDQ7" s="392"/>
      <c r="RDR7" s="392"/>
      <c r="RDS7" s="392"/>
      <c r="RDT7" s="392"/>
      <c r="RDU7" s="392"/>
      <c r="RDV7" s="392"/>
      <c r="RDW7" s="392"/>
      <c r="RDX7" s="392"/>
      <c r="RDY7" s="392"/>
      <c r="RDZ7" s="392"/>
      <c r="REA7" s="392"/>
      <c r="REB7" s="392"/>
      <c r="REC7" s="392"/>
      <c r="RED7" s="392"/>
      <c r="REE7" s="392"/>
      <c r="REF7" s="392"/>
      <c r="REG7" s="392"/>
      <c r="REH7" s="392"/>
      <c r="REI7" s="392"/>
      <c r="REJ7" s="392"/>
      <c r="REK7" s="392"/>
      <c r="REL7" s="392"/>
      <c r="REM7" s="392"/>
      <c r="REN7" s="392"/>
      <c r="REO7" s="392"/>
      <c r="REP7" s="392"/>
      <c r="REQ7" s="392"/>
      <c r="RER7" s="392"/>
      <c r="RES7" s="392"/>
      <c r="RET7" s="392"/>
      <c r="REU7" s="392"/>
      <c r="REV7" s="392"/>
      <c r="REW7" s="392"/>
      <c r="REX7" s="392"/>
      <c r="REY7" s="392"/>
      <c r="REZ7" s="392"/>
      <c r="RFA7" s="392"/>
      <c r="RFB7" s="392"/>
      <c r="RFC7" s="392"/>
      <c r="RFD7" s="392"/>
      <c r="RFE7" s="392"/>
      <c r="RFF7" s="392"/>
      <c r="RFG7" s="392"/>
      <c r="RFH7" s="392"/>
      <c r="RFI7" s="392"/>
      <c r="RFJ7" s="392"/>
      <c r="RFK7" s="392"/>
      <c r="RFL7" s="392"/>
      <c r="RFM7" s="392"/>
      <c r="RFN7" s="392"/>
      <c r="RFO7" s="392"/>
      <c r="RFP7" s="392"/>
      <c r="RFQ7" s="392"/>
      <c r="RFR7" s="392"/>
      <c r="RFS7" s="392"/>
      <c r="RFT7" s="392"/>
      <c r="RFU7" s="392"/>
      <c r="RFV7" s="392"/>
      <c r="RFW7" s="392"/>
      <c r="RFX7" s="392"/>
      <c r="RFY7" s="392"/>
      <c r="RFZ7" s="392"/>
      <c r="RGA7" s="392"/>
      <c r="RGB7" s="392"/>
      <c r="RGC7" s="392"/>
      <c r="RGD7" s="392"/>
      <c r="RGE7" s="392"/>
      <c r="RGF7" s="392"/>
      <c r="RGG7" s="392"/>
      <c r="RGH7" s="392"/>
      <c r="RGI7" s="392"/>
      <c r="RGJ7" s="392"/>
      <c r="RGK7" s="392"/>
      <c r="RGL7" s="392"/>
      <c r="RGM7" s="392"/>
      <c r="RGN7" s="392"/>
      <c r="RGO7" s="392"/>
      <c r="RGP7" s="392"/>
      <c r="RGQ7" s="392"/>
      <c r="RGR7" s="392"/>
      <c r="RGS7" s="392"/>
      <c r="RGT7" s="392"/>
      <c r="RGU7" s="392"/>
      <c r="RGV7" s="392"/>
      <c r="RGW7" s="392"/>
      <c r="RGX7" s="392"/>
      <c r="RGY7" s="392"/>
      <c r="RGZ7" s="392"/>
      <c r="RHA7" s="392"/>
      <c r="RHB7" s="392"/>
      <c r="RHC7" s="392"/>
      <c r="RHD7" s="392"/>
      <c r="RHE7" s="392"/>
      <c r="RHF7" s="392"/>
      <c r="RHG7" s="392"/>
      <c r="RHH7" s="392"/>
      <c r="RHI7" s="392"/>
      <c r="RHJ7" s="392"/>
      <c r="RHK7" s="392"/>
      <c r="RHL7" s="392"/>
      <c r="RHM7" s="392"/>
      <c r="RHN7" s="392"/>
      <c r="RHO7" s="392"/>
      <c r="RHP7" s="392"/>
      <c r="RHQ7" s="392"/>
      <c r="RHR7" s="392"/>
      <c r="RHS7" s="392"/>
      <c r="RHT7" s="392"/>
      <c r="RHU7" s="392"/>
      <c r="RHV7" s="392"/>
      <c r="RHW7" s="392"/>
      <c r="RHX7" s="392"/>
      <c r="RHY7" s="392"/>
      <c r="RHZ7" s="392"/>
      <c r="RIA7" s="392"/>
      <c r="RIB7" s="392"/>
      <c r="RIC7" s="392"/>
      <c r="RID7" s="392"/>
      <c r="RIE7" s="392"/>
      <c r="RIF7" s="392"/>
      <c r="RIG7" s="392"/>
      <c r="RIH7" s="392"/>
      <c r="RII7" s="392"/>
      <c r="RIJ7" s="392"/>
      <c r="RIK7" s="392"/>
      <c r="RIL7" s="392"/>
      <c r="RIM7" s="392"/>
      <c r="RIN7" s="392"/>
      <c r="RIO7" s="392"/>
      <c r="RIP7" s="392"/>
      <c r="RIQ7" s="392"/>
      <c r="RIR7" s="392"/>
      <c r="RIS7" s="392"/>
      <c r="RIT7" s="392"/>
      <c r="RIU7" s="392"/>
      <c r="RIV7" s="392"/>
      <c r="RIW7" s="392"/>
      <c r="RIX7" s="392"/>
      <c r="RIY7" s="392"/>
      <c r="RIZ7" s="392"/>
      <c r="RJA7" s="392"/>
      <c r="RJB7" s="392"/>
      <c r="RJC7" s="392"/>
      <c r="RJD7" s="392"/>
      <c r="RJE7" s="392"/>
      <c r="RJF7" s="392"/>
      <c r="RJG7" s="392"/>
      <c r="RJH7" s="392"/>
      <c r="RJI7" s="392"/>
      <c r="RJJ7" s="392"/>
      <c r="RJK7" s="392"/>
      <c r="RJL7" s="392"/>
      <c r="RJM7" s="392"/>
      <c r="RJN7" s="392"/>
      <c r="RJO7" s="392"/>
      <c r="RJP7" s="392"/>
      <c r="RJQ7" s="392"/>
      <c r="RJR7" s="392"/>
      <c r="RJS7" s="392"/>
      <c r="RJT7" s="392"/>
      <c r="RJU7" s="392"/>
      <c r="RJV7" s="392"/>
      <c r="RJW7" s="392"/>
      <c r="RJX7" s="392"/>
      <c r="RJY7" s="392"/>
      <c r="RJZ7" s="392"/>
      <c r="RKA7" s="392"/>
      <c r="RKB7" s="392"/>
      <c r="RKC7" s="392"/>
      <c r="RKD7" s="392"/>
      <c r="RKE7" s="392"/>
      <c r="RKF7" s="392"/>
      <c r="RKG7" s="392"/>
      <c r="RKH7" s="392"/>
      <c r="RKI7" s="392"/>
      <c r="RKJ7" s="392"/>
      <c r="RKK7" s="392"/>
      <c r="RKL7" s="392"/>
      <c r="RKM7" s="392"/>
      <c r="RKN7" s="392"/>
      <c r="RKO7" s="392"/>
      <c r="RKP7" s="392"/>
      <c r="RKQ7" s="392"/>
      <c r="RKR7" s="392"/>
      <c r="RKS7" s="392"/>
      <c r="RKT7" s="392"/>
      <c r="RKU7" s="392"/>
      <c r="RKV7" s="392"/>
      <c r="RKW7" s="392"/>
      <c r="RKX7" s="392"/>
      <c r="RKY7" s="392"/>
      <c r="RKZ7" s="392"/>
      <c r="RLA7" s="392"/>
      <c r="RLB7" s="392"/>
      <c r="RLC7" s="392"/>
      <c r="RLD7" s="392"/>
      <c r="RLE7" s="392"/>
      <c r="RLF7" s="392"/>
      <c r="RLG7" s="392"/>
      <c r="RLH7" s="392"/>
      <c r="RLI7" s="392"/>
      <c r="RLJ7" s="392"/>
      <c r="RLK7" s="392"/>
      <c r="RLL7" s="392"/>
      <c r="RLM7" s="392"/>
      <c r="RLN7" s="392"/>
      <c r="RLO7" s="392"/>
      <c r="RLP7" s="392"/>
      <c r="RLQ7" s="392"/>
      <c r="RLR7" s="392"/>
      <c r="RLS7" s="392"/>
      <c r="RLT7" s="392"/>
      <c r="RLU7" s="392"/>
      <c r="RLV7" s="392"/>
      <c r="RLW7" s="392"/>
      <c r="RLX7" s="392"/>
      <c r="RLY7" s="392"/>
      <c r="RLZ7" s="392"/>
      <c r="RMA7" s="392"/>
      <c r="RMB7" s="392"/>
      <c r="RMC7" s="392"/>
      <c r="RMD7" s="392"/>
      <c r="RME7" s="392"/>
      <c r="RMF7" s="392"/>
      <c r="RMG7" s="392"/>
      <c r="RMH7" s="392"/>
      <c r="RMI7" s="392"/>
      <c r="RMJ7" s="392"/>
      <c r="RMK7" s="392"/>
      <c r="RML7" s="392"/>
      <c r="RMM7" s="392"/>
      <c r="RMN7" s="392"/>
      <c r="RMO7" s="392"/>
      <c r="RMP7" s="392"/>
      <c r="RMQ7" s="392"/>
      <c r="RMR7" s="392"/>
      <c r="RMS7" s="392"/>
      <c r="RMT7" s="392"/>
      <c r="RMU7" s="392"/>
      <c r="RMV7" s="392"/>
      <c r="RMW7" s="392"/>
      <c r="RMX7" s="392"/>
      <c r="RMY7" s="392"/>
      <c r="RMZ7" s="392"/>
      <c r="RNA7" s="392"/>
      <c r="RNB7" s="392"/>
      <c r="RNC7" s="392"/>
      <c r="RND7" s="392"/>
      <c r="RNE7" s="392"/>
      <c r="RNF7" s="392"/>
      <c r="RNG7" s="392"/>
      <c r="RNH7" s="392"/>
      <c r="RNI7" s="392"/>
      <c r="RNJ7" s="392"/>
      <c r="RNK7" s="392"/>
      <c r="RNL7" s="392"/>
      <c r="RNM7" s="392"/>
      <c r="RNN7" s="392"/>
      <c r="RNO7" s="392"/>
      <c r="RNP7" s="392"/>
      <c r="RNQ7" s="392"/>
      <c r="RNR7" s="392"/>
      <c r="RNS7" s="392"/>
      <c r="RNT7" s="392"/>
      <c r="RNU7" s="392"/>
      <c r="RNV7" s="392"/>
      <c r="RNW7" s="392"/>
      <c r="RNX7" s="392"/>
      <c r="RNY7" s="392"/>
      <c r="RNZ7" s="392"/>
      <c r="ROA7" s="392"/>
      <c r="ROB7" s="392"/>
      <c r="ROC7" s="392"/>
      <c r="ROD7" s="392"/>
      <c r="ROE7" s="392"/>
      <c r="ROF7" s="392"/>
      <c r="ROG7" s="392"/>
      <c r="ROH7" s="392"/>
      <c r="ROI7" s="392"/>
      <c r="ROJ7" s="392"/>
      <c r="ROK7" s="392"/>
      <c r="ROL7" s="392"/>
      <c r="ROM7" s="392"/>
      <c r="RON7" s="392"/>
      <c r="ROO7" s="392"/>
      <c r="ROP7" s="392"/>
      <c r="ROQ7" s="392"/>
      <c r="ROR7" s="392"/>
      <c r="ROS7" s="392"/>
      <c r="ROT7" s="392"/>
      <c r="ROU7" s="392"/>
      <c r="ROV7" s="392"/>
      <c r="ROW7" s="392"/>
      <c r="ROX7" s="392"/>
      <c r="ROY7" s="392"/>
      <c r="ROZ7" s="392"/>
      <c r="RPA7" s="392"/>
      <c r="RPB7" s="392"/>
      <c r="RPC7" s="392"/>
      <c r="RPD7" s="392"/>
      <c r="RPE7" s="392"/>
      <c r="RPF7" s="392"/>
      <c r="RPG7" s="392"/>
      <c r="RPH7" s="392"/>
      <c r="RPI7" s="392"/>
      <c r="RPJ7" s="392"/>
      <c r="RPK7" s="392"/>
      <c r="RPL7" s="392"/>
      <c r="RPM7" s="392"/>
      <c r="RPN7" s="392"/>
      <c r="RPO7" s="392"/>
      <c r="RPP7" s="392"/>
      <c r="RPQ7" s="392"/>
      <c r="RPR7" s="392"/>
      <c r="RPS7" s="392"/>
      <c r="RPT7" s="392"/>
      <c r="RPU7" s="392"/>
      <c r="RPV7" s="392"/>
      <c r="RPW7" s="392"/>
      <c r="RPX7" s="392"/>
      <c r="RPY7" s="392"/>
      <c r="RPZ7" s="392"/>
      <c r="RQA7" s="392"/>
      <c r="RQB7" s="392"/>
      <c r="RQC7" s="392"/>
      <c r="RQD7" s="392"/>
      <c r="RQE7" s="392"/>
      <c r="RQF7" s="392"/>
      <c r="RQG7" s="392"/>
      <c r="RQH7" s="392"/>
      <c r="RQI7" s="392"/>
      <c r="RQJ7" s="392"/>
      <c r="RQK7" s="392"/>
      <c r="RQL7" s="392"/>
      <c r="RQM7" s="392"/>
      <c r="RQN7" s="392"/>
      <c r="RQO7" s="392"/>
      <c r="RQP7" s="392"/>
      <c r="RQQ7" s="392"/>
      <c r="RQR7" s="392"/>
      <c r="RQS7" s="392"/>
      <c r="RQT7" s="392"/>
      <c r="RQU7" s="392"/>
      <c r="RQV7" s="392"/>
      <c r="RQW7" s="392"/>
      <c r="RQX7" s="392"/>
      <c r="RQY7" s="392"/>
      <c r="RQZ7" s="392"/>
      <c r="RRA7" s="392"/>
      <c r="RRB7" s="392"/>
      <c r="RRC7" s="392"/>
      <c r="RRD7" s="392"/>
      <c r="RRE7" s="392"/>
      <c r="RRF7" s="392"/>
      <c r="RRG7" s="392"/>
      <c r="RRH7" s="392"/>
      <c r="RRI7" s="392"/>
      <c r="RRJ7" s="392"/>
      <c r="RRK7" s="392"/>
      <c r="RRL7" s="392"/>
      <c r="RRM7" s="392"/>
      <c r="RRN7" s="392"/>
      <c r="RRO7" s="392"/>
      <c r="RRP7" s="392"/>
      <c r="RRQ7" s="392"/>
      <c r="RRR7" s="392"/>
      <c r="RRS7" s="392"/>
      <c r="RRT7" s="392"/>
      <c r="RRU7" s="392"/>
      <c r="RRV7" s="392"/>
      <c r="RRW7" s="392"/>
      <c r="RRX7" s="392"/>
      <c r="RRY7" s="392"/>
      <c r="RRZ7" s="392"/>
      <c r="RSA7" s="392"/>
      <c r="RSB7" s="392"/>
      <c r="RSC7" s="392"/>
      <c r="RSD7" s="392"/>
      <c r="RSE7" s="392"/>
      <c r="RSF7" s="392"/>
      <c r="RSG7" s="392"/>
      <c r="RSH7" s="392"/>
      <c r="RSI7" s="392"/>
      <c r="RSJ7" s="392"/>
      <c r="RSK7" s="392"/>
      <c r="RSL7" s="392"/>
      <c r="RSM7" s="392"/>
      <c r="RSN7" s="392"/>
      <c r="RSO7" s="392"/>
      <c r="RSP7" s="392"/>
      <c r="RSQ7" s="392"/>
      <c r="RSR7" s="392"/>
      <c r="RSS7" s="392"/>
      <c r="RST7" s="392"/>
      <c r="RSU7" s="392"/>
      <c r="RSV7" s="392"/>
      <c r="RSW7" s="392"/>
      <c r="RSX7" s="392"/>
      <c r="RSY7" s="392"/>
      <c r="RSZ7" s="392"/>
      <c r="RTA7" s="392"/>
      <c r="RTB7" s="392"/>
      <c r="RTC7" s="392"/>
      <c r="RTD7" s="392"/>
      <c r="RTE7" s="392"/>
      <c r="RTF7" s="392"/>
      <c r="RTG7" s="392"/>
      <c r="RTH7" s="392"/>
      <c r="RTI7" s="392"/>
      <c r="RTJ7" s="392"/>
      <c r="RTK7" s="392"/>
      <c r="RTL7" s="392"/>
      <c r="RTM7" s="392"/>
      <c r="RTN7" s="392"/>
      <c r="RTO7" s="392"/>
      <c r="RTP7" s="392"/>
      <c r="RTQ7" s="392"/>
      <c r="RTR7" s="392"/>
      <c r="RTS7" s="392"/>
      <c r="RTT7" s="392"/>
      <c r="RTU7" s="392"/>
      <c r="RTV7" s="392"/>
      <c r="RTW7" s="392"/>
      <c r="RTX7" s="392"/>
      <c r="RTY7" s="392"/>
      <c r="RTZ7" s="392"/>
      <c r="RUA7" s="392"/>
      <c r="RUB7" s="392"/>
      <c r="RUC7" s="392"/>
      <c r="RUD7" s="392"/>
      <c r="RUE7" s="392"/>
      <c r="RUF7" s="392"/>
      <c r="RUG7" s="392"/>
      <c r="RUH7" s="392"/>
      <c r="RUI7" s="392"/>
      <c r="RUJ7" s="392"/>
      <c r="RUK7" s="392"/>
      <c r="RUL7" s="392"/>
      <c r="RUM7" s="392"/>
      <c r="RUN7" s="392"/>
      <c r="RUO7" s="392"/>
      <c r="RUP7" s="392"/>
      <c r="RUQ7" s="392"/>
      <c r="RUR7" s="392"/>
      <c r="RUS7" s="392"/>
      <c r="RUT7" s="392"/>
      <c r="RUU7" s="392"/>
      <c r="RUV7" s="392"/>
      <c r="RUW7" s="392"/>
      <c r="RUX7" s="392"/>
      <c r="RUY7" s="392"/>
      <c r="RUZ7" s="392"/>
      <c r="RVA7" s="392"/>
      <c r="RVB7" s="392"/>
      <c r="RVC7" s="392"/>
      <c r="RVD7" s="392"/>
      <c r="RVE7" s="392"/>
      <c r="RVF7" s="392"/>
      <c r="RVG7" s="392"/>
      <c r="RVH7" s="392"/>
      <c r="RVI7" s="392"/>
      <c r="RVJ7" s="392"/>
      <c r="RVK7" s="392"/>
      <c r="RVL7" s="392"/>
      <c r="RVM7" s="392"/>
      <c r="RVN7" s="392"/>
      <c r="RVO7" s="392"/>
      <c r="RVP7" s="392"/>
      <c r="RVQ7" s="392"/>
      <c r="RVR7" s="392"/>
      <c r="RVS7" s="392"/>
      <c r="RVT7" s="392"/>
      <c r="RVU7" s="392"/>
      <c r="RVV7" s="392"/>
      <c r="RVW7" s="392"/>
      <c r="RVX7" s="392"/>
      <c r="RVY7" s="392"/>
      <c r="RVZ7" s="392"/>
      <c r="RWA7" s="392"/>
      <c r="RWB7" s="392"/>
      <c r="RWC7" s="392"/>
      <c r="RWD7" s="392"/>
      <c r="RWE7" s="392"/>
      <c r="RWF7" s="392"/>
      <c r="RWG7" s="392"/>
      <c r="RWH7" s="392"/>
      <c r="RWI7" s="392"/>
      <c r="RWJ7" s="392"/>
      <c r="RWK7" s="392"/>
      <c r="RWL7" s="392"/>
      <c r="RWM7" s="392"/>
      <c r="RWN7" s="392"/>
      <c r="RWO7" s="392"/>
      <c r="RWP7" s="392"/>
      <c r="RWQ7" s="392"/>
      <c r="RWR7" s="392"/>
      <c r="RWS7" s="392"/>
      <c r="RWT7" s="392"/>
      <c r="RWU7" s="392"/>
      <c r="RWV7" s="392"/>
      <c r="RWW7" s="392"/>
      <c r="RWX7" s="392"/>
      <c r="RWY7" s="392"/>
      <c r="RWZ7" s="392"/>
      <c r="RXA7" s="392"/>
      <c r="RXB7" s="392"/>
      <c r="RXC7" s="392"/>
      <c r="RXD7" s="392"/>
      <c r="RXE7" s="392"/>
      <c r="RXF7" s="392"/>
      <c r="RXG7" s="392"/>
      <c r="RXH7" s="392"/>
      <c r="RXI7" s="392"/>
      <c r="RXJ7" s="392"/>
      <c r="RXK7" s="392"/>
      <c r="RXL7" s="392"/>
      <c r="RXM7" s="392"/>
      <c r="RXN7" s="392"/>
      <c r="RXO7" s="392"/>
      <c r="RXP7" s="392"/>
      <c r="RXQ7" s="392"/>
      <c r="RXR7" s="392"/>
      <c r="RXS7" s="392"/>
      <c r="RXT7" s="392"/>
      <c r="RXU7" s="392"/>
      <c r="RXV7" s="392"/>
      <c r="RXW7" s="392"/>
      <c r="RXX7" s="392"/>
      <c r="RXY7" s="392"/>
      <c r="RXZ7" s="392"/>
      <c r="RYA7" s="392"/>
      <c r="RYB7" s="392"/>
      <c r="RYC7" s="392"/>
      <c r="RYD7" s="392"/>
      <c r="RYE7" s="392"/>
      <c r="RYF7" s="392"/>
      <c r="RYG7" s="392"/>
      <c r="RYH7" s="392"/>
      <c r="RYI7" s="392"/>
      <c r="RYJ7" s="392"/>
      <c r="RYK7" s="392"/>
      <c r="RYL7" s="392"/>
      <c r="RYM7" s="392"/>
      <c r="RYN7" s="392"/>
      <c r="RYO7" s="392"/>
      <c r="RYP7" s="392"/>
      <c r="RYQ7" s="392"/>
      <c r="RYR7" s="392"/>
      <c r="RYS7" s="392"/>
      <c r="RYT7" s="392"/>
      <c r="RYU7" s="392"/>
      <c r="RYV7" s="392"/>
      <c r="RYW7" s="392"/>
      <c r="RYX7" s="392"/>
      <c r="RYY7" s="392"/>
      <c r="RYZ7" s="392"/>
      <c r="RZA7" s="392"/>
      <c r="RZB7" s="392"/>
      <c r="RZC7" s="392"/>
      <c r="RZD7" s="392"/>
      <c r="RZE7" s="392"/>
      <c r="RZF7" s="392"/>
      <c r="RZG7" s="392"/>
      <c r="RZH7" s="392"/>
      <c r="RZI7" s="392"/>
      <c r="RZJ7" s="392"/>
      <c r="RZK7" s="392"/>
      <c r="RZL7" s="392"/>
      <c r="RZM7" s="392"/>
      <c r="RZN7" s="392"/>
      <c r="RZO7" s="392"/>
      <c r="RZP7" s="392"/>
      <c r="RZQ7" s="392"/>
      <c r="RZR7" s="392"/>
      <c r="RZS7" s="392"/>
      <c r="RZT7" s="392"/>
      <c r="RZU7" s="392"/>
      <c r="RZV7" s="392"/>
      <c r="RZW7" s="392"/>
      <c r="RZX7" s="392"/>
      <c r="RZY7" s="392"/>
      <c r="RZZ7" s="392"/>
      <c r="SAA7" s="392"/>
      <c r="SAB7" s="392"/>
      <c r="SAC7" s="392"/>
      <c r="SAD7" s="392"/>
      <c r="SAE7" s="392"/>
      <c r="SAF7" s="392"/>
      <c r="SAG7" s="392"/>
      <c r="SAH7" s="392"/>
      <c r="SAI7" s="392"/>
      <c r="SAJ7" s="392"/>
      <c r="SAK7" s="392"/>
      <c r="SAL7" s="392"/>
      <c r="SAM7" s="392"/>
      <c r="SAN7" s="392"/>
      <c r="SAO7" s="392"/>
      <c r="SAP7" s="392"/>
      <c r="SAQ7" s="392"/>
      <c r="SAR7" s="392"/>
      <c r="SAS7" s="392"/>
      <c r="SAT7" s="392"/>
      <c r="SAU7" s="392"/>
      <c r="SAV7" s="392"/>
      <c r="SAW7" s="392"/>
      <c r="SAX7" s="392"/>
      <c r="SAY7" s="392"/>
      <c r="SAZ7" s="392"/>
      <c r="SBA7" s="392"/>
      <c r="SBB7" s="392"/>
      <c r="SBC7" s="392"/>
      <c r="SBD7" s="392"/>
      <c r="SBE7" s="392"/>
      <c r="SBF7" s="392"/>
      <c r="SBG7" s="392"/>
      <c r="SBH7" s="392"/>
      <c r="SBI7" s="392"/>
      <c r="SBJ7" s="392"/>
      <c r="SBK7" s="392"/>
      <c r="SBL7" s="392"/>
      <c r="SBM7" s="392"/>
      <c r="SBN7" s="392"/>
      <c r="SBO7" s="392"/>
      <c r="SBP7" s="392"/>
      <c r="SBQ7" s="392"/>
      <c r="SBR7" s="392"/>
      <c r="SBS7" s="392"/>
      <c r="SBT7" s="392"/>
      <c r="SBU7" s="392"/>
      <c r="SBV7" s="392"/>
      <c r="SBW7" s="392"/>
      <c r="SBX7" s="392"/>
      <c r="SBY7" s="392"/>
      <c r="SBZ7" s="392"/>
      <c r="SCA7" s="392"/>
      <c r="SCB7" s="392"/>
      <c r="SCC7" s="392"/>
      <c r="SCD7" s="392"/>
      <c r="SCE7" s="392"/>
      <c r="SCF7" s="392"/>
      <c r="SCG7" s="392"/>
      <c r="SCH7" s="392"/>
      <c r="SCI7" s="392"/>
      <c r="SCJ7" s="392"/>
      <c r="SCK7" s="392"/>
      <c r="SCL7" s="392"/>
      <c r="SCM7" s="392"/>
      <c r="SCN7" s="392"/>
      <c r="SCO7" s="392"/>
      <c r="SCP7" s="392"/>
      <c r="SCQ7" s="392"/>
      <c r="SCR7" s="392"/>
      <c r="SCS7" s="392"/>
      <c r="SCT7" s="392"/>
      <c r="SCU7" s="392"/>
      <c r="SCV7" s="392"/>
      <c r="SCW7" s="392"/>
      <c r="SCX7" s="392"/>
      <c r="SCY7" s="392"/>
      <c r="SCZ7" s="392"/>
      <c r="SDA7" s="392"/>
      <c r="SDB7" s="392"/>
      <c r="SDC7" s="392"/>
      <c r="SDD7" s="392"/>
      <c r="SDE7" s="392"/>
      <c r="SDF7" s="392"/>
      <c r="SDG7" s="392"/>
      <c r="SDH7" s="392"/>
      <c r="SDI7" s="392"/>
      <c r="SDJ7" s="392"/>
      <c r="SDK7" s="392"/>
      <c r="SDL7" s="392"/>
      <c r="SDM7" s="392"/>
      <c r="SDN7" s="392"/>
      <c r="SDO7" s="392"/>
      <c r="SDP7" s="392"/>
      <c r="SDQ7" s="392"/>
      <c r="SDR7" s="392"/>
      <c r="SDS7" s="392"/>
      <c r="SDT7" s="392"/>
      <c r="SDU7" s="392"/>
      <c r="SDV7" s="392"/>
      <c r="SDW7" s="392"/>
      <c r="SDX7" s="392"/>
      <c r="SDY7" s="392"/>
      <c r="SDZ7" s="392"/>
      <c r="SEA7" s="392"/>
      <c r="SEB7" s="392"/>
      <c r="SEC7" s="392"/>
      <c r="SED7" s="392"/>
      <c r="SEE7" s="392"/>
      <c r="SEF7" s="392"/>
      <c r="SEG7" s="392"/>
      <c r="SEH7" s="392"/>
      <c r="SEI7" s="392"/>
      <c r="SEJ7" s="392"/>
      <c r="SEK7" s="392"/>
      <c r="SEL7" s="392"/>
      <c r="SEM7" s="392"/>
      <c r="SEN7" s="392"/>
      <c r="SEO7" s="392"/>
      <c r="SEP7" s="392"/>
      <c r="SEQ7" s="392"/>
      <c r="SER7" s="392"/>
      <c r="SES7" s="392"/>
      <c r="SET7" s="392"/>
      <c r="SEU7" s="392"/>
      <c r="SEV7" s="392"/>
      <c r="SEW7" s="392"/>
      <c r="SEX7" s="392"/>
      <c r="SEY7" s="392"/>
      <c r="SEZ7" s="392"/>
      <c r="SFA7" s="392"/>
      <c r="SFB7" s="392"/>
      <c r="SFC7" s="392"/>
      <c r="SFD7" s="392"/>
      <c r="SFE7" s="392"/>
      <c r="SFF7" s="392"/>
      <c r="SFG7" s="392"/>
      <c r="SFH7" s="392"/>
      <c r="SFI7" s="392"/>
      <c r="SFJ7" s="392"/>
      <c r="SFK7" s="392"/>
      <c r="SFL7" s="392"/>
      <c r="SFM7" s="392"/>
      <c r="SFN7" s="392"/>
      <c r="SFO7" s="392"/>
      <c r="SFP7" s="392"/>
      <c r="SFQ7" s="392"/>
      <c r="SFR7" s="392"/>
      <c r="SFS7" s="392"/>
      <c r="SFT7" s="392"/>
      <c r="SFU7" s="392"/>
      <c r="SFV7" s="392"/>
      <c r="SFW7" s="392"/>
      <c r="SFX7" s="392"/>
      <c r="SFY7" s="392"/>
      <c r="SFZ7" s="392"/>
      <c r="SGA7" s="392"/>
      <c r="SGB7" s="392"/>
      <c r="SGC7" s="392"/>
      <c r="SGD7" s="392"/>
      <c r="SGE7" s="392"/>
      <c r="SGF7" s="392"/>
      <c r="SGG7" s="392"/>
      <c r="SGH7" s="392"/>
      <c r="SGI7" s="392"/>
      <c r="SGJ7" s="392"/>
      <c r="SGK7" s="392"/>
      <c r="SGL7" s="392"/>
      <c r="SGM7" s="392"/>
      <c r="SGN7" s="392"/>
      <c r="SGO7" s="392"/>
      <c r="SGP7" s="392"/>
      <c r="SGQ7" s="392"/>
      <c r="SGR7" s="392"/>
      <c r="SGS7" s="392"/>
      <c r="SGT7" s="392"/>
      <c r="SGU7" s="392"/>
      <c r="SGV7" s="392"/>
      <c r="SGW7" s="392"/>
      <c r="SGX7" s="392"/>
      <c r="SGY7" s="392"/>
      <c r="SGZ7" s="392"/>
      <c r="SHA7" s="392"/>
      <c r="SHB7" s="392"/>
      <c r="SHC7" s="392"/>
      <c r="SHD7" s="392"/>
      <c r="SHE7" s="392"/>
      <c r="SHF7" s="392"/>
      <c r="SHG7" s="392"/>
      <c r="SHH7" s="392"/>
      <c r="SHI7" s="392"/>
      <c r="SHJ7" s="392"/>
      <c r="SHK7" s="392"/>
      <c r="SHL7" s="392"/>
      <c r="SHM7" s="392"/>
      <c r="SHN7" s="392"/>
      <c r="SHO7" s="392"/>
      <c r="SHP7" s="392"/>
      <c r="SHQ7" s="392"/>
      <c r="SHR7" s="392"/>
      <c r="SHS7" s="392"/>
      <c r="SHT7" s="392"/>
      <c r="SHU7" s="392"/>
      <c r="SHV7" s="392"/>
      <c r="SHW7" s="392"/>
      <c r="SHX7" s="392"/>
      <c r="SHY7" s="392"/>
      <c r="SHZ7" s="392"/>
      <c r="SIA7" s="392"/>
      <c r="SIB7" s="392"/>
      <c r="SIC7" s="392"/>
      <c r="SID7" s="392"/>
      <c r="SIE7" s="392"/>
      <c r="SIF7" s="392"/>
      <c r="SIG7" s="392"/>
      <c r="SIH7" s="392"/>
      <c r="SII7" s="392"/>
      <c r="SIJ7" s="392"/>
      <c r="SIK7" s="392"/>
      <c r="SIL7" s="392"/>
      <c r="SIM7" s="392"/>
      <c r="SIN7" s="392"/>
      <c r="SIO7" s="392"/>
      <c r="SIP7" s="392"/>
      <c r="SIQ7" s="392"/>
      <c r="SIR7" s="392"/>
      <c r="SIS7" s="392"/>
      <c r="SIT7" s="392"/>
      <c r="SIU7" s="392"/>
      <c r="SIV7" s="392"/>
      <c r="SIW7" s="392"/>
      <c r="SIX7" s="392"/>
      <c r="SIY7" s="392"/>
      <c r="SIZ7" s="392"/>
      <c r="SJA7" s="392"/>
      <c r="SJB7" s="392"/>
      <c r="SJC7" s="392"/>
      <c r="SJD7" s="392"/>
      <c r="SJE7" s="392"/>
      <c r="SJF7" s="392"/>
      <c r="SJG7" s="392"/>
      <c r="SJH7" s="392"/>
      <c r="SJI7" s="392"/>
      <c r="SJJ7" s="392"/>
      <c r="SJK7" s="392"/>
      <c r="SJL7" s="392"/>
      <c r="SJM7" s="392"/>
      <c r="SJN7" s="392"/>
      <c r="SJO7" s="392"/>
      <c r="SJP7" s="392"/>
      <c r="SJQ7" s="392"/>
      <c r="SJR7" s="392"/>
      <c r="SJS7" s="392"/>
      <c r="SJT7" s="392"/>
      <c r="SJU7" s="392"/>
      <c r="SJV7" s="392"/>
      <c r="SJW7" s="392"/>
      <c r="SJX7" s="392"/>
      <c r="SJY7" s="392"/>
      <c r="SJZ7" s="392"/>
      <c r="SKA7" s="392"/>
      <c r="SKB7" s="392"/>
      <c r="SKC7" s="392"/>
      <c r="SKD7" s="392"/>
      <c r="SKE7" s="392"/>
      <c r="SKF7" s="392"/>
      <c r="SKG7" s="392"/>
      <c r="SKH7" s="392"/>
      <c r="SKI7" s="392"/>
      <c r="SKJ7" s="392"/>
      <c r="SKK7" s="392"/>
      <c r="SKL7" s="392"/>
      <c r="SKM7" s="392"/>
      <c r="SKN7" s="392"/>
      <c r="SKO7" s="392"/>
      <c r="SKP7" s="392"/>
      <c r="SKQ7" s="392"/>
      <c r="SKR7" s="392"/>
      <c r="SKS7" s="392"/>
      <c r="SKT7" s="392"/>
      <c r="SKU7" s="392"/>
      <c r="SKV7" s="392"/>
      <c r="SKW7" s="392"/>
      <c r="SKX7" s="392"/>
      <c r="SKY7" s="392"/>
      <c r="SKZ7" s="392"/>
      <c r="SLA7" s="392"/>
      <c r="SLB7" s="392"/>
      <c r="SLC7" s="392"/>
      <c r="SLD7" s="392"/>
      <c r="SLE7" s="392"/>
      <c r="SLF7" s="392"/>
      <c r="SLG7" s="392"/>
      <c r="SLH7" s="392"/>
      <c r="SLI7" s="392"/>
      <c r="SLJ7" s="392"/>
      <c r="SLK7" s="392"/>
      <c r="SLL7" s="392"/>
      <c r="SLM7" s="392"/>
      <c r="SLN7" s="392"/>
      <c r="SLO7" s="392"/>
      <c r="SLP7" s="392"/>
      <c r="SLQ7" s="392"/>
      <c r="SLR7" s="392"/>
      <c r="SLS7" s="392"/>
      <c r="SLT7" s="392"/>
      <c r="SLU7" s="392"/>
      <c r="SLV7" s="392"/>
      <c r="SLW7" s="392"/>
      <c r="SLX7" s="392"/>
      <c r="SLY7" s="392"/>
      <c r="SLZ7" s="392"/>
      <c r="SMA7" s="392"/>
      <c r="SMB7" s="392"/>
      <c r="SMC7" s="392"/>
      <c r="SMD7" s="392"/>
      <c r="SME7" s="392"/>
      <c r="SMF7" s="392"/>
      <c r="SMG7" s="392"/>
      <c r="SMH7" s="392"/>
      <c r="SMI7" s="392"/>
      <c r="SMJ7" s="392"/>
      <c r="SMK7" s="392"/>
      <c r="SML7" s="392"/>
      <c r="SMM7" s="392"/>
      <c r="SMN7" s="392"/>
      <c r="SMO7" s="392"/>
      <c r="SMP7" s="392"/>
      <c r="SMQ7" s="392"/>
      <c r="SMR7" s="392"/>
      <c r="SMS7" s="392"/>
      <c r="SMT7" s="392"/>
      <c r="SMU7" s="392"/>
      <c r="SMV7" s="392"/>
      <c r="SMW7" s="392"/>
      <c r="SMX7" s="392"/>
      <c r="SMY7" s="392"/>
      <c r="SMZ7" s="392"/>
      <c r="SNA7" s="392"/>
      <c r="SNB7" s="392"/>
      <c r="SNC7" s="392"/>
      <c r="SND7" s="392"/>
      <c r="SNE7" s="392"/>
      <c r="SNF7" s="392"/>
      <c r="SNG7" s="392"/>
      <c r="SNH7" s="392"/>
      <c r="SNI7" s="392"/>
      <c r="SNJ7" s="392"/>
      <c r="SNK7" s="392"/>
      <c r="SNL7" s="392"/>
      <c r="SNM7" s="392"/>
      <c r="SNN7" s="392"/>
      <c r="SNO7" s="392"/>
      <c r="SNP7" s="392"/>
      <c r="SNQ7" s="392"/>
      <c r="SNR7" s="392"/>
      <c r="SNS7" s="392"/>
      <c r="SNT7" s="392"/>
      <c r="SNU7" s="392"/>
      <c r="SNV7" s="392"/>
      <c r="SNW7" s="392"/>
      <c r="SNX7" s="392"/>
      <c r="SNY7" s="392"/>
      <c r="SNZ7" s="392"/>
      <c r="SOA7" s="392"/>
      <c r="SOB7" s="392"/>
      <c r="SOC7" s="392"/>
      <c r="SOD7" s="392"/>
      <c r="SOE7" s="392"/>
      <c r="SOF7" s="392"/>
      <c r="SOG7" s="392"/>
      <c r="SOH7" s="392"/>
      <c r="SOI7" s="392"/>
      <c r="SOJ7" s="392"/>
      <c r="SOK7" s="392"/>
      <c r="SOL7" s="392"/>
      <c r="SOM7" s="392"/>
      <c r="SON7" s="392"/>
      <c r="SOO7" s="392"/>
      <c r="SOP7" s="392"/>
      <c r="SOQ7" s="392"/>
      <c r="SOR7" s="392"/>
      <c r="SOS7" s="392"/>
      <c r="SOT7" s="392"/>
      <c r="SOU7" s="392"/>
      <c r="SOV7" s="392"/>
      <c r="SOW7" s="392"/>
      <c r="SOX7" s="392"/>
      <c r="SOY7" s="392"/>
      <c r="SOZ7" s="392"/>
      <c r="SPA7" s="392"/>
      <c r="SPB7" s="392"/>
      <c r="SPC7" s="392"/>
      <c r="SPD7" s="392"/>
      <c r="SPE7" s="392"/>
      <c r="SPF7" s="392"/>
      <c r="SPG7" s="392"/>
      <c r="SPH7" s="392"/>
      <c r="SPI7" s="392"/>
      <c r="SPJ7" s="392"/>
      <c r="SPK7" s="392"/>
      <c r="SPL7" s="392"/>
      <c r="SPM7" s="392"/>
      <c r="SPN7" s="392"/>
      <c r="SPO7" s="392"/>
      <c r="SPP7" s="392"/>
      <c r="SPQ7" s="392"/>
      <c r="SPR7" s="392"/>
      <c r="SPS7" s="392"/>
      <c r="SPT7" s="392"/>
      <c r="SPU7" s="392"/>
      <c r="SPV7" s="392"/>
      <c r="SPW7" s="392"/>
      <c r="SPX7" s="392"/>
      <c r="SPY7" s="392"/>
      <c r="SPZ7" s="392"/>
      <c r="SQA7" s="392"/>
      <c r="SQB7" s="392"/>
      <c r="SQC7" s="392"/>
      <c r="SQD7" s="392"/>
      <c r="SQE7" s="392"/>
      <c r="SQF7" s="392"/>
      <c r="SQG7" s="392"/>
      <c r="SQH7" s="392"/>
      <c r="SQI7" s="392"/>
      <c r="SQJ7" s="392"/>
      <c r="SQK7" s="392"/>
      <c r="SQL7" s="392"/>
      <c r="SQM7" s="392"/>
      <c r="SQN7" s="392"/>
      <c r="SQO7" s="392"/>
      <c r="SQP7" s="392"/>
      <c r="SQQ7" s="392"/>
      <c r="SQR7" s="392"/>
      <c r="SQS7" s="392"/>
      <c r="SQT7" s="392"/>
      <c r="SQU7" s="392"/>
      <c r="SQV7" s="392"/>
      <c r="SQW7" s="392"/>
      <c r="SQX7" s="392"/>
      <c r="SQY7" s="392"/>
      <c r="SQZ7" s="392"/>
      <c r="SRA7" s="392"/>
      <c r="SRB7" s="392"/>
      <c r="SRC7" s="392"/>
      <c r="SRD7" s="392"/>
      <c r="SRE7" s="392"/>
      <c r="SRF7" s="392"/>
      <c r="SRG7" s="392"/>
      <c r="SRH7" s="392"/>
      <c r="SRI7" s="392"/>
      <c r="SRJ7" s="392"/>
      <c r="SRK7" s="392"/>
      <c r="SRL7" s="392"/>
      <c r="SRM7" s="392"/>
      <c r="SRN7" s="392"/>
      <c r="SRO7" s="392"/>
      <c r="SRP7" s="392"/>
      <c r="SRQ7" s="392"/>
      <c r="SRR7" s="392"/>
      <c r="SRS7" s="392"/>
      <c r="SRT7" s="392"/>
      <c r="SRU7" s="392"/>
      <c r="SRV7" s="392"/>
      <c r="SRW7" s="392"/>
      <c r="SRX7" s="392"/>
      <c r="SRY7" s="392"/>
      <c r="SRZ7" s="392"/>
      <c r="SSA7" s="392"/>
      <c r="SSB7" s="392"/>
      <c r="SSC7" s="392"/>
      <c r="SSD7" s="392"/>
      <c r="SSE7" s="392"/>
      <c r="SSF7" s="392"/>
      <c r="SSG7" s="392"/>
      <c r="SSH7" s="392"/>
      <c r="SSI7" s="392"/>
      <c r="SSJ7" s="392"/>
      <c r="SSK7" s="392"/>
      <c r="SSL7" s="392"/>
      <c r="SSM7" s="392"/>
      <c r="SSN7" s="392"/>
      <c r="SSO7" s="392"/>
      <c r="SSP7" s="392"/>
      <c r="SSQ7" s="392"/>
      <c r="SSR7" s="392"/>
      <c r="SSS7" s="392"/>
      <c r="SST7" s="392"/>
      <c r="SSU7" s="392"/>
      <c r="SSV7" s="392"/>
      <c r="SSW7" s="392"/>
      <c r="SSX7" s="392"/>
      <c r="SSY7" s="392"/>
      <c r="SSZ7" s="392"/>
      <c r="STA7" s="392"/>
      <c r="STB7" s="392"/>
      <c r="STC7" s="392"/>
      <c r="STD7" s="392"/>
      <c r="STE7" s="392"/>
      <c r="STF7" s="392"/>
      <c r="STG7" s="392"/>
      <c r="STH7" s="392"/>
      <c r="STI7" s="392"/>
      <c r="STJ7" s="392"/>
      <c r="STK7" s="392"/>
      <c r="STL7" s="392"/>
      <c r="STM7" s="392"/>
      <c r="STN7" s="392"/>
      <c r="STO7" s="392"/>
      <c r="STP7" s="392"/>
      <c r="STQ7" s="392"/>
      <c r="STR7" s="392"/>
      <c r="STS7" s="392"/>
      <c r="STT7" s="392"/>
      <c r="STU7" s="392"/>
      <c r="STV7" s="392"/>
      <c r="STW7" s="392"/>
      <c r="STX7" s="392"/>
      <c r="STY7" s="392"/>
      <c r="STZ7" s="392"/>
      <c r="SUA7" s="392"/>
      <c r="SUB7" s="392"/>
      <c r="SUC7" s="392"/>
      <c r="SUD7" s="392"/>
      <c r="SUE7" s="392"/>
      <c r="SUF7" s="392"/>
      <c r="SUG7" s="392"/>
      <c r="SUH7" s="392"/>
      <c r="SUI7" s="392"/>
      <c r="SUJ7" s="392"/>
      <c r="SUK7" s="392"/>
      <c r="SUL7" s="392"/>
      <c r="SUM7" s="392"/>
      <c r="SUN7" s="392"/>
      <c r="SUO7" s="392"/>
      <c r="SUP7" s="392"/>
      <c r="SUQ7" s="392"/>
      <c r="SUR7" s="392"/>
      <c r="SUS7" s="392"/>
      <c r="SUT7" s="392"/>
      <c r="SUU7" s="392"/>
      <c r="SUV7" s="392"/>
      <c r="SUW7" s="392"/>
      <c r="SUX7" s="392"/>
      <c r="SUY7" s="392"/>
      <c r="SUZ7" s="392"/>
      <c r="SVA7" s="392"/>
      <c r="SVB7" s="392"/>
      <c r="SVC7" s="392"/>
      <c r="SVD7" s="392"/>
      <c r="SVE7" s="392"/>
      <c r="SVF7" s="392"/>
      <c r="SVG7" s="392"/>
      <c r="SVH7" s="392"/>
      <c r="SVI7" s="392"/>
      <c r="SVJ7" s="392"/>
      <c r="SVK7" s="392"/>
      <c r="SVL7" s="392"/>
      <c r="SVM7" s="392"/>
      <c r="SVN7" s="392"/>
      <c r="SVO7" s="392"/>
      <c r="SVP7" s="392"/>
      <c r="SVQ7" s="392"/>
      <c r="SVR7" s="392"/>
      <c r="SVS7" s="392"/>
      <c r="SVT7" s="392"/>
      <c r="SVU7" s="392"/>
      <c r="SVV7" s="392"/>
      <c r="SVW7" s="392"/>
      <c r="SVX7" s="392"/>
      <c r="SVY7" s="392"/>
      <c r="SVZ7" s="392"/>
      <c r="SWA7" s="392"/>
      <c r="SWB7" s="392"/>
      <c r="SWC7" s="392"/>
      <c r="SWD7" s="392"/>
      <c r="SWE7" s="392"/>
      <c r="SWF7" s="392"/>
      <c r="SWG7" s="392"/>
      <c r="SWH7" s="392"/>
      <c r="SWI7" s="392"/>
      <c r="SWJ7" s="392"/>
      <c r="SWK7" s="392"/>
      <c r="SWL7" s="392"/>
      <c r="SWM7" s="392"/>
      <c r="SWN7" s="392"/>
      <c r="SWO7" s="392"/>
      <c r="SWP7" s="392"/>
      <c r="SWQ7" s="392"/>
      <c r="SWR7" s="392"/>
      <c r="SWS7" s="392"/>
      <c r="SWT7" s="392"/>
      <c r="SWU7" s="392"/>
      <c r="SWV7" s="392"/>
      <c r="SWW7" s="392"/>
      <c r="SWX7" s="392"/>
      <c r="SWY7" s="392"/>
      <c r="SWZ7" s="392"/>
      <c r="SXA7" s="392"/>
      <c r="SXB7" s="392"/>
      <c r="SXC7" s="392"/>
      <c r="SXD7" s="392"/>
      <c r="SXE7" s="392"/>
      <c r="SXF7" s="392"/>
      <c r="SXG7" s="392"/>
      <c r="SXH7" s="392"/>
      <c r="SXI7" s="392"/>
      <c r="SXJ7" s="392"/>
      <c r="SXK7" s="392"/>
      <c r="SXL7" s="392"/>
      <c r="SXM7" s="392"/>
      <c r="SXN7" s="392"/>
      <c r="SXO7" s="392"/>
      <c r="SXP7" s="392"/>
      <c r="SXQ7" s="392"/>
      <c r="SXR7" s="392"/>
      <c r="SXS7" s="392"/>
      <c r="SXT7" s="392"/>
      <c r="SXU7" s="392"/>
      <c r="SXV7" s="392"/>
      <c r="SXW7" s="392"/>
      <c r="SXX7" s="392"/>
      <c r="SXY7" s="392"/>
      <c r="SXZ7" s="392"/>
      <c r="SYA7" s="392"/>
      <c r="SYB7" s="392"/>
      <c r="SYC7" s="392"/>
      <c r="SYD7" s="392"/>
      <c r="SYE7" s="392"/>
      <c r="SYF7" s="392"/>
      <c r="SYG7" s="392"/>
      <c r="SYH7" s="392"/>
      <c r="SYI7" s="392"/>
      <c r="SYJ7" s="392"/>
      <c r="SYK7" s="392"/>
      <c r="SYL7" s="392"/>
      <c r="SYM7" s="392"/>
      <c r="SYN7" s="392"/>
      <c r="SYO7" s="392"/>
      <c r="SYP7" s="392"/>
      <c r="SYQ7" s="392"/>
      <c r="SYR7" s="392"/>
      <c r="SYS7" s="392"/>
      <c r="SYT7" s="392"/>
      <c r="SYU7" s="392"/>
      <c r="SYV7" s="392"/>
      <c r="SYW7" s="392"/>
      <c r="SYX7" s="392"/>
      <c r="SYY7" s="392"/>
      <c r="SYZ7" s="392"/>
      <c r="SZA7" s="392"/>
      <c r="SZB7" s="392"/>
      <c r="SZC7" s="392"/>
      <c r="SZD7" s="392"/>
      <c r="SZE7" s="392"/>
      <c r="SZF7" s="392"/>
      <c r="SZG7" s="392"/>
      <c r="SZH7" s="392"/>
      <c r="SZI7" s="392"/>
      <c r="SZJ7" s="392"/>
      <c r="SZK7" s="392"/>
      <c r="SZL7" s="392"/>
      <c r="SZM7" s="392"/>
      <c r="SZN7" s="392"/>
      <c r="SZO7" s="392"/>
      <c r="SZP7" s="392"/>
      <c r="SZQ7" s="392"/>
      <c r="SZR7" s="392"/>
      <c r="SZS7" s="392"/>
      <c r="SZT7" s="392"/>
      <c r="SZU7" s="392"/>
      <c r="SZV7" s="392"/>
      <c r="SZW7" s="392"/>
      <c r="SZX7" s="392"/>
      <c r="SZY7" s="392"/>
      <c r="SZZ7" s="392"/>
      <c r="TAA7" s="392"/>
      <c r="TAB7" s="392"/>
      <c r="TAC7" s="392"/>
      <c r="TAD7" s="392"/>
      <c r="TAE7" s="392"/>
      <c r="TAF7" s="392"/>
      <c r="TAG7" s="392"/>
      <c r="TAH7" s="392"/>
      <c r="TAI7" s="392"/>
      <c r="TAJ7" s="392"/>
      <c r="TAK7" s="392"/>
      <c r="TAL7" s="392"/>
      <c r="TAM7" s="392"/>
      <c r="TAN7" s="392"/>
      <c r="TAO7" s="392"/>
      <c r="TAP7" s="392"/>
      <c r="TAQ7" s="392"/>
      <c r="TAR7" s="392"/>
      <c r="TAS7" s="392"/>
      <c r="TAT7" s="392"/>
      <c r="TAU7" s="392"/>
      <c r="TAV7" s="392"/>
      <c r="TAW7" s="392"/>
      <c r="TAX7" s="392"/>
      <c r="TAY7" s="392"/>
      <c r="TAZ7" s="392"/>
      <c r="TBA7" s="392"/>
      <c r="TBB7" s="392"/>
      <c r="TBC7" s="392"/>
      <c r="TBD7" s="392"/>
      <c r="TBE7" s="392"/>
      <c r="TBF7" s="392"/>
      <c r="TBG7" s="392"/>
      <c r="TBH7" s="392"/>
      <c r="TBI7" s="392"/>
      <c r="TBJ7" s="392"/>
      <c r="TBK7" s="392"/>
      <c r="TBL7" s="392"/>
      <c r="TBM7" s="392"/>
      <c r="TBN7" s="392"/>
      <c r="TBO7" s="392"/>
      <c r="TBP7" s="392"/>
      <c r="TBQ7" s="392"/>
      <c r="TBR7" s="392"/>
      <c r="TBS7" s="392"/>
      <c r="TBT7" s="392"/>
      <c r="TBU7" s="392"/>
      <c r="TBV7" s="392"/>
      <c r="TBW7" s="392"/>
      <c r="TBX7" s="392"/>
      <c r="TBY7" s="392"/>
      <c r="TBZ7" s="392"/>
      <c r="TCA7" s="392"/>
      <c r="TCB7" s="392"/>
      <c r="TCC7" s="392"/>
      <c r="TCD7" s="392"/>
      <c r="TCE7" s="392"/>
      <c r="TCF7" s="392"/>
      <c r="TCG7" s="392"/>
      <c r="TCH7" s="392"/>
      <c r="TCI7" s="392"/>
      <c r="TCJ7" s="392"/>
      <c r="TCK7" s="392"/>
      <c r="TCL7" s="392"/>
      <c r="TCM7" s="392"/>
      <c r="TCN7" s="392"/>
      <c r="TCO7" s="392"/>
      <c r="TCP7" s="392"/>
      <c r="TCQ7" s="392"/>
      <c r="TCR7" s="392"/>
      <c r="TCS7" s="392"/>
      <c r="TCT7" s="392"/>
      <c r="TCU7" s="392"/>
      <c r="TCV7" s="392"/>
      <c r="TCW7" s="392"/>
      <c r="TCX7" s="392"/>
      <c r="TCY7" s="392"/>
      <c r="TCZ7" s="392"/>
      <c r="TDA7" s="392"/>
      <c r="TDB7" s="392"/>
      <c r="TDC7" s="392"/>
      <c r="TDD7" s="392"/>
      <c r="TDE7" s="392"/>
      <c r="TDF7" s="392"/>
      <c r="TDG7" s="392"/>
      <c r="TDH7" s="392"/>
      <c r="TDI7" s="392"/>
      <c r="TDJ7" s="392"/>
      <c r="TDK7" s="392"/>
      <c r="TDL7" s="392"/>
      <c r="TDM7" s="392"/>
      <c r="TDN7" s="392"/>
      <c r="TDO7" s="392"/>
      <c r="TDP7" s="392"/>
      <c r="TDQ7" s="392"/>
      <c r="TDR7" s="392"/>
      <c r="TDS7" s="392"/>
      <c r="TDT7" s="392"/>
      <c r="TDU7" s="392"/>
      <c r="TDV7" s="392"/>
      <c r="TDW7" s="392"/>
      <c r="TDX7" s="392"/>
      <c r="TDY7" s="392"/>
      <c r="TDZ7" s="392"/>
      <c r="TEA7" s="392"/>
      <c r="TEB7" s="392"/>
      <c r="TEC7" s="392"/>
      <c r="TED7" s="392"/>
      <c r="TEE7" s="392"/>
      <c r="TEF7" s="392"/>
      <c r="TEG7" s="392"/>
      <c r="TEH7" s="392"/>
      <c r="TEI7" s="392"/>
      <c r="TEJ7" s="392"/>
      <c r="TEK7" s="392"/>
      <c r="TEL7" s="392"/>
      <c r="TEM7" s="392"/>
      <c r="TEN7" s="392"/>
      <c r="TEO7" s="392"/>
      <c r="TEP7" s="392"/>
      <c r="TEQ7" s="392"/>
      <c r="TER7" s="392"/>
      <c r="TES7" s="392"/>
      <c r="TET7" s="392"/>
      <c r="TEU7" s="392"/>
      <c r="TEV7" s="392"/>
      <c r="TEW7" s="392"/>
      <c r="TEX7" s="392"/>
      <c r="TEY7" s="392"/>
      <c r="TEZ7" s="392"/>
      <c r="TFA7" s="392"/>
      <c r="TFB7" s="392"/>
      <c r="TFC7" s="392"/>
      <c r="TFD7" s="392"/>
      <c r="TFE7" s="392"/>
      <c r="TFF7" s="392"/>
      <c r="TFG7" s="392"/>
      <c r="TFH7" s="392"/>
      <c r="TFI7" s="392"/>
      <c r="TFJ7" s="392"/>
      <c r="TFK7" s="392"/>
      <c r="TFL7" s="392"/>
      <c r="TFM7" s="392"/>
      <c r="TFN7" s="392"/>
      <c r="TFO7" s="392"/>
      <c r="TFP7" s="392"/>
      <c r="TFQ7" s="392"/>
      <c r="TFR7" s="392"/>
      <c r="TFS7" s="392"/>
      <c r="TFT7" s="392"/>
      <c r="TFU7" s="392"/>
      <c r="TFV7" s="392"/>
      <c r="TFW7" s="392"/>
      <c r="TFX7" s="392"/>
      <c r="TFY7" s="392"/>
      <c r="TFZ7" s="392"/>
      <c r="TGA7" s="392"/>
      <c r="TGB7" s="392"/>
      <c r="TGC7" s="392"/>
      <c r="TGD7" s="392"/>
      <c r="TGE7" s="392"/>
      <c r="TGF7" s="392"/>
      <c r="TGG7" s="392"/>
      <c r="TGH7" s="392"/>
      <c r="TGI7" s="392"/>
      <c r="TGJ7" s="392"/>
      <c r="TGK7" s="392"/>
      <c r="TGL7" s="392"/>
      <c r="TGM7" s="392"/>
      <c r="TGN7" s="392"/>
      <c r="TGO7" s="392"/>
      <c r="TGP7" s="392"/>
      <c r="TGQ7" s="392"/>
      <c r="TGR7" s="392"/>
      <c r="TGS7" s="392"/>
      <c r="TGT7" s="392"/>
      <c r="TGU7" s="392"/>
      <c r="TGV7" s="392"/>
      <c r="TGW7" s="392"/>
      <c r="TGX7" s="392"/>
      <c r="TGY7" s="392"/>
      <c r="TGZ7" s="392"/>
      <c r="THA7" s="392"/>
      <c r="THB7" s="392"/>
      <c r="THC7" s="392"/>
      <c r="THD7" s="392"/>
      <c r="THE7" s="392"/>
      <c r="THF7" s="392"/>
      <c r="THG7" s="392"/>
      <c r="THH7" s="392"/>
      <c r="THI7" s="392"/>
      <c r="THJ7" s="392"/>
      <c r="THK7" s="392"/>
      <c r="THL7" s="392"/>
      <c r="THM7" s="392"/>
      <c r="THN7" s="392"/>
      <c r="THO7" s="392"/>
      <c r="THP7" s="392"/>
      <c r="THQ7" s="392"/>
      <c r="THR7" s="392"/>
      <c r="THS7" s="392"/>
      <c r="THT7" s="392"/>
      <c r="THU7" s="392"/>
      <c r="THV7" s="392"/>
      <c r="THW7" s="392"/>
      <c r="THX7" s="392"/>
      <c r="THY7" s="392"/>
      <c r="THZ7" s="392"/>
      <c r="TIA7" s="392"/>
      <c r="TIB7" s="392"/>
      <c r="TIC7" s="392"/>
      <c r="TID7" s="392"/>
      <c r="TIE7" s="392"/>
      <c r="TIF7" s="392"/>
      <c r="TIG7" s="392"/>
      <c r="TIH7" s="392"/>
      <c r="TII7" s="392"/>
      <c r="TIJ7" s="392"/>
      <c r="TIK7" s="392"/>
      <c r="TIL7" s="392"/>
      <c r="TIM7" s="392"/>
      <c r="TIN7" s="392"/>
      <c r="TIO7" s="392"/>
      <c r="TIP7" s="392"/>
      <c r="TIQ7" s="392"/>
      <c r="TIR7" s="392"/>
      <c r="TIS7" s="392"/>
      <c r="TIT7" s="392"/>
      <c r="TIU7" s="392"/>
      <c r="TIV7" s="392"/>
      <c r="TIW7" s="392"/>
      <c r="TIX7" s="392"/>
      <c r="TIY7" s="392"/>
      <c r="TIZ7" s="392"/>
      <c r="TJA7" s="392"/>
      <c r="TJB7" s="392"/>
      <c r="TJC7" s="392"/>
      <c r="TJD7" s="392"/>
      <c r="TJE7" s="392"/>
      <c r="TJF7" s="392"/>
      <c r="TJG7" s="392"/>
      <c r="TJH7" s="392"/>
      <c r="TJI7" s="392"/>
      <c r="TJJ7" s="392"/>
      <c r="TJK7" s="392"/>
      <c r="TJL7" s="392"/>
      <c r="TJM7" s="392"/>
      <c r="TJN7" s="392"/>
      <c r="TJO7" s="392"/>
      <c r="TJP7" s="392"/>
      <c r="TJQ7" s="392"/>
      <c r="TJR7" s="392"/>
      <c r="TJS7" s="392"/>
      <c r="TJT7" s="392"/>
      <c r="TJU7" s="392"/>
      <c r="TJV7" s="392"/>
      <c r="TJW7" s="392"/>
      <c r="TJX7" s="392"/>
      <c r="TJY7" s="392"/>
      <c r="TJZ7" s="392"/>
      <c r="TKA7" s="392"/>
      <c r="TKB7" s="392"/>
      <c r="TKC7" s="392"/>
      <c r="TKD7" s="392"/>
      <c r="TKE7" s="392"/>
      <c r="TKF7" s="392"/>
      <c r="TKG7" s="392"/>
      <c r="TKH7" s="392"/>
      <c r="TKI7" s="392"/>
      <c r="TKJ7" s="392"/>
      <c r="TKK7" s="392"/>
      <c r="TKL7" s="392"/>
      <c r="TKM7" s="392"/>
      <c r="TKN7" s="392"/>
      <c r="TKO7" s="392"/>
      <c r="TKP7" s="392"/>
      <c r="TKQ7" s="392"/>
      <c r="TKR7" s="392"/>
      <c r="TKS7" s="392"/>
      <c r="TKT7" s="392"/>
      <c r="TKU7" s="392"/>
      <c r="TKV7" s="392"/>
      <c r="TKW7" s="392"/>
      <c r="TKX7" s="392"/>
      <c r="TKY7" s="392"/>
      <c r="TKZ7" s="392"/>
      <c r="TLA7" s="392"/>
      <c r="TLB7" s="392"/>
      <c r="TLC7" s="392"/>
      <c r="TLD7" s="392"/>
      <c r="TLE7" s="392"/>
      <c r="TLF7" s="392"/>
      <c r="TLG7" s="392"/>
      <c r="TLH7" s="392"/>
      <c r="TLI7" s="392"/>
      <c r="TLJ7" s="392"/>
      <c r="TLK7" s="392"/>
      <c r="TLL7" s="392"/>
      <c r="TLM7" s="392"/>
      <c r="TLN7" s="392"/>
      <c r="TLO7" s="392"/>
      <c r="TLP7" s="392"/>
      <c r="TLQ7" s="392"/>
      <c r="TLR7" s="392"/>
      <c r="TLS7" s="392"/>
      <c r="TLT7" s="392"/>
      <c r="TLU7" s="392"/>
      <c r="TLV7" s="392"/>
      <c r="TLW7" s="392"/>
      <c r="TLX7" s="392"/>
      <c r="TLY7" s="392"/>
      <c r="TLZ7" s="392"/>
      <c r="TMA7" s="392"/>
      <c r="TMB7" s="392"/>
      <c r="TMC7" s="392"/>
      <c r="TMD7" s="392"/>
      <c r="TME7" s="392"/>
      <c r="TMF7" s="392"/>
      <c r="TMG7" s="392"/>
      <c r="TMH7" s="392"/>
      <c r="TMI7" s="392"/>
      <c r="TMJ7" s="392"/>
      <c r="TMK7" s="392"/>
      <c r="TML7" s="392"/>
      <c r="TMM7" s="392"/>
      <c r="TMN7" s="392"/>
      <c r="TMO7" s="392"/>
      <c r="TMP7" s="392"/>
      <c r="TMQ7" s="392"/>
      <c r="TMR7" s="392"/>
      <c r="TMS7" s="392"/>
      <c r="TMT7" s="392"/>
      <c r="TMU7" s="392"/>
      <c r="TMV7" s="392"/>
      <c r="TMW7" s="392"/>
      <c r="TMX7" s="392"/>
      <c r="TMY7" s="392"/>
      <c r="TMZ7" s="392"/>
      <c r="TNA7" s="392"/>
      <c r="TNB7" s="392"/>
      <c r="TNC7" s="392"/>
      <c r="TND7" s="392"/>
      <c r="TNE7" s="392"/>
      <c r="TNF7" s="392"/>
      <c r="TNG7" s="392"/>
      <c r="TNH7" s="392"/>
      <c r="TNI7" s="392"/>
      <c r="TNJ7" s="392"/>
      <c r="TNK7" s="392"/>
      <c r="TNL7" s="392"/>
      <c r="TNM7" s="392"/>
      <c r="TNN7" s="392"/>
      <c r="TNO7" s="392"/>
      <c r="TNP7" s="392"/>
      <c r="TNQ7" s="392"/>
      <c r="TNR7" s="392"/>
      <c r="TNS7" s="392"/>
      <c r="TNT7" s="392"/>
      <c r="TNU7" s="392"/>
      <c r="TNV7" s="392"/>
      <c r="TNW7" s="392"/>
      <c r="TNX7" s="392"/>
      <c r="TNY7" s="392"/>
      <c r="TNZ7" s="392"/>
      <c r="TOA7" s="392"/>
      <c r="TOB7" s="392"/>
      <c r="TOC7" s="392"/>
      <c r="TOD7" s="392"/>
      <c r="TOE7" s="392"/>
      <c r="TOF7" s="392"/>
      <c r="TOG7" s="392"/>
      <c r="TOH7" s="392"/>
      <c r="TOI7" s="392"/>
      <c r="TOJ7" s="392"/>
      <c r="TOK7" s="392"/>
      <c r="TOL7" s="392"/>
      <c r="TOM7" s="392"/>
      <c r="TON7" s="392"/>
      <c r="TOO7" s="392"/>
      <c r="TOP7" s="392"/>
      <c r="TOQ7" s="392"/>
      <c r="TOR7" s="392"/>
      <c r="TOS7" s="392"/>
      <c r="TOT7" s="392"/>
      <c r="TOU7" s="392"/>
      <c r="TOV7" s="392"/>
      <c r="TOW7" s="392"/>
      <c r="TOX7" s="392"/>
      <c r="TOY7" s="392"/>
      <c r="TOZ7" s="392"/>
      <c r="TPA7" s="392"/>
      <c r="TPB7" s="392"/>
      <c r="TPC7" s="392"/>
      <c r="TPD7" s="392"/>
      <c r="TPE7" s="392"/>
      <c r="TPF7" s="392"/>
      <c r="TPG7" s="392"/>
      <c r="TPH7" s="392"/>
      <c r="TPI7" s="392"/>
      <c r="TPJ7" s="392"/>
      <c r="TPK7" s="392"/>
      <c r="TPL7" s="392"/>
      <c r="TPM7" s="392"/>
      <c r="TPN7" s="392"/>
      <c r="TPO7" s="392"/>
      <c r="TPP7" s="392"/>
      <c r="TPQ7" s="392"/>
      <c r="TPR7" s="392"/>
      <c r="TPS7" s="392"/>
      <c r="TPT7" s="392"/>
      <c r="TPU7" s="392"/>
      <c r="TPV7" s="392"/>
      <c r="TPW7" s="392"/>
      <c r="TPX7" s="392"/>
      <c r="TPY7" s="392"/>
      <c r="TPZ7" s="392"/>
      <c r="TQA7" s="392"/>
      <c r="TQB7" s="392"/>
      <c r="TQC7" s="392"/>
      <c r="TQD7" s="392"/>
      <c r="TQE7" s="392"/>
      <c r="TQF7" s="392"/>
      <c r="TQG7" s="392"/>
      <c r="TQH7" s="392"/>
      <c r="TQI7" s="392"/>
      <c r="TQJ7" s="392"/>
      <c r="TQK7" s="392"/>
      <c r="TQL7" s="392"/>
      <c r="TQM7" s="392"/>
      <c r="TQN7" s="392"/>
      <c r="TQO7" s="392"/>
      <c r="TQP7" s="392"/>
      <c r="TQQ7" s="392"/>
      <c r="TQR7" s="392"/>
      <c r="TQS7" s="392"/>
      <c r="TQT7" s="392"/>
      <c r="TQU7" s="392"/>
      <c r="TQV7" s="392"/>
      <c r="TQW7" s="392"/>
      <c r="TQX7" s="392"/>
      <c r="TQY7" s="392"/>
      <c r="TQZ7" s="392"/>
      <c r="TRA7" s="392"/>
      <c r="TRB7" s="392"/>
      <c r="TRC7" s="392"/>
      <c r="TRD7" s="392"/>
      <c r="TRE7" s="392"/>
      <c r="TRF7" s="392"/>
      <c r="TRG7" s="392"/>
      <c r="TRH7" s="392"/>
      <c r="TRI7" s="392"/>
      <c r="TRJ7" s="392"/>
      <c r="TRK7" s="392"/>
      <c r="TRL7" s="392"/>
      <c r="TRM7" s="392"/>
      <c r="TRN7" s="392"/>
      <c r="TRO7" s="392"/>
      <c r="TRP7" s="392"/>
      <c r="TRQ7" s="392"/>
      <c r="TRR7" s="392"/>
      <c r="TRS7" s="392"/>
      <c r="TRT7" s="392"/>
      <c r="TRU7" s="392"/>
      <c r="TRV7" s="392"/>
      <c r="TRW7" s="392"/>
      <c r="TRX7" s="392"/>
      <c r="TRY7" s="392"/>
      <c r="TRZ7" s="392"/>
      <c r="TSA7" s="392"/>
      <c r="TSB7" s="392"/>
      <c r="TSC7" s="392"/>
      <c r="TSD7" s="392"/>
      <c r="TSE7" s="392"/>
      <c r="TSF7" s="392"/>
      <c r="TSG7" s="392"/>
      <c r="TSH7" s="392"/>
      <c r="TSI7" s="392"/>
      <c r="TSJ7" s="392"/>
      <c r="TSK7" s="392"/>
      <c r="TSL7" s="392"/>
      <c r="TSM7" s="392"/>
      <c r="TSN7" s="392"/>
      <c r="TSO7" s="392"/>
      <c r="TSP7" s="392"/>
      <c r="TSQ7" s="392"/>
      <c r="TSR7" s="392"/>
      <c r="TSS7" s="392"/>
      <c r="TST7" s="392"/>
      <c r="TSU7" s="392"/>
      <c r="TSV7" s="392"/>
      <c r="TSW7" s="392"/>
      <c r="TSX7" s="392"/>
      <c r="TSY7" s="392"/>
      <c r="TSZ7" s="392"/>
      <c r="TTA7" s="392"/>
      <c r="TTB7" s="392"/>
      <c r="TTC7" s="392"/>
      <c r="TTD7" s="392"/>
      <c r="TTE7" s="392"/>
      <c r="TTF7" s="392"/>
      <c r="TTG7" s="392"/>
      <c r="TTH7" s="392"/>
      <c r="TTI7" s="392"/>
      <c r="TTJ7" s="392"/>
      <c r="TTK7" s="392"/>
      <c r="TTL7" s="392"/>
      <c r="TTM7" s="392"/>
      <c r="TTN7" s="392"/>
      <c r="TTO7" s="392"/>
      <c r="TTP7" s="392"/>
      <c r="TTQ7" s="392"/>
      <c r="TTR7" s="392"/>
      <c r="TTS7" s="392"/>
      <c r="TTT7" s="392"/>
      <c r="TTU7" s="392"/>
      <c r="TTV7" s="392"/>
      <c r="TTW7" s="392"/>
      <c r="TTX7" s="392"/>
      <c r="TTY7" s="392"/>
      <c r="TTZ7" s="392"/>
      <c r="TUA7" s="392"/>
      <c r="TUB7" s="392"/>
      <c r="TUC7" s="392"/>
      <c r="TUD7" s="392"/>
      <c r="TUE7" s="392"/>
      <c r="TUF7" s="392"/>
      <c r="TUG7" s="392"/>
      <c r="TUH7" s="392"/>
      <c r="TUI7" s="392"/>
      <c r="TUJ7" s="392"/>
      <c r="TUK7" s="392"/>
      <c r="TUL7" s="392"/>
      <c r="TUM7" s="392"/>
      <c r="TUN7" s="392"/>
      <c r="TUO7" s="392"/>
      <c r="TUP7" s="392"/>
      <c r="TUQ7" s="392"/>
      <c r="TUR7" s="392"/>
      <c r="TUS7" s="392"/>
      <c r="TUT7" s="392"/>
      <c r="TUU7" s="392"/>
      <c r="TUV7" s="392"/>
      <c r="TUW7" s="392"/>
      <c r="TUX7" s="392"/>
      <c r="TUY7" s="392"/>
      <c r="TUZ7" s="392"/>
      <c r="TVA7" s="392"/>
      <c r="TVB7" s="392"/>
      <c r="TVC7" s="392"/>
      <c r="TVD7" s="392"/>
      <c r="TVE7" s="392"/>
      <c r="TVF7" s="392"/>
      <c r="TVG7" s="392"/>
      <c r="TVH7" s="392"/>
      <c r="TVI7" s="392"/>
      <c r="TVJ7" s="392"/>
      <c r="TVK7" s="392"/>
      <c r="TVL7" s="392"/>
      <c r="TVM7" s="392"/>
      <c r="TVN7" s="392"/>
      <c r="TVO7" s="392"/>
      <c r="TVP7" s="392"/>
      <c r="TVQ7" s="392"/>
      <c r="TVR7" s="392"/>
      <c r="TVS7" s="392"/>
      <c r="TVT7" s="392"/>
      <c r="TVU7" s="392"/>
      <c r="TVV7" s="392"/>
      <c r="TVW7" s="392"/>
      <c r="TVX7" s="392"/>
      <c r="TVY7" s="392"/>
      <c r="TVZ7" s="392"/>
      <c r="TWA7" s="392"/>
      <c r="TWB7" s="392"/>
      <c r="TWC7" s="392"/>
      <c r="TWD7" s="392"/>
      <c r="TWE7" s="392"/>
      <c r="TWF7" s="392"/>
      <c r="TWG7" s="392"/>
      <c r="TWH7" s="392"/>
      <c r="TWI7" s="392"/>
      <c r="TWJ7" s="392"/>
      <c r="TWK7" s="392"/>
      <c r="TWL7" s="392"/>
      <c r="TWM7" s="392"/>
      <c r="TWN7" s="392"/>
      <c r="TWO7" s="392"/>
      <c r="TWP7" s="392"/>
      <c r="TWQ7" s="392"/>
      <c r="TWR7" s="392"/>
      <c r="TWS7" s="392"/>
      <c r="TWT7" s="392"/>
      <c r="TWU7" s="392"/>
      <c r="TWV7" s="392"/>
      <c r="TWW7" s="392"/>
      <c r="TWX7" s="392"/>
      <c r="TWY7" s="392"/>
      <c r="TWZ7" s="392"/>
      <c r="TXA7" s="392"/>
      <c r="TXB7" s="392"/>
      <c r="TXC7" s="392"/>
      <c r="TXD7" s="392"/>
      <c r="TXE7" s="392"/>
      <c r="TXF7" s="392"/>
      <c r="TXG7" s="392"/>
      <c r="TXH7" s="392"/>
      <c r="TXI7" s="392"/>
      <c r="TXJ7" s="392"/>
      <c r="TXK7" s="392"/>
      <c r="TXL7" s="392"/>
      <c r="TXM7" s="392"/>
      <c r="TXN7" s="392"/>
      <c r="TXO7" s="392"/>
      <c r="TXP7" s="392"/>
      <c r="TXQ7" s="392"/>
      <c r="TXR7" s="392"/>
      <c r="TXS7" s="392"/>
      <c r="TXT7" s="392"/>
      <c r="TXU7" s="392"/>
      <c r="TXV7" s="392"/>
      <c r="TXW7" s="392"/>
      <c r="TXX7" s="392"/>
      <c r="TXY7" s="392"/>
      <c r="TXZ7" s="392"/>
      <c r="TYA7" s="392"/>
      <c r="TYB7" s="392"/>
      <c r="TYC7" s="392"/>
      <c r="TYD7" s="392"/>
      <c r="TYE7" s="392"/>
      <c r="TYF7" s="392"/>
      <c r="TYG7" s="392"/>
      <c r="TYH7" s="392"/>
      <c r="TYI7" s="392"/>
      <c r="TYJ7" s="392"/>
      <c r="TYK7" s="392"/>
      <c r="TYL7" s="392"/>
      <c r="TYM7" s="392"/>
      <c r="TYN7" s="392"/>
      <c r="TYO7" s="392"/>
      <c r="TYP7" s="392"/>
      <c r="TYQ7" s="392"/>
      <c r="TYR7" s="392"/>
      <c r="TYS7" s="392"/>
      <c r="TYT7" s="392"/>
      <c r="TYU7" s="392"/>
      <c r="TYV7" s="392"/>
      <c r="TYW7" s="392"/>
      <c r="TYX7" s="392"/>
      <c r="TYY7" s="392"/>
      <c r="TYZ7" s="392"/>
      <c r="TZA7" s="392"/>
      <c r="TZB7" s="392"/>
      <c r="TZC7" s="392"/>
      <c r="TZD7" s="392"/>
      <c r="TZE7" s="392"/>
      <c r="TZF7" s="392"/>
      <c r="TZG7" s="392"/>
      <c r="TZH7" s="392"/>
      <c r="TZI7" s="392"/>
      <c r="TZJ7" s="392"/>
      <c r="TZK7" s="392"/>
      <c r="TZL7" s="392"/>
      <c r="TZM7" s="392"/>
      <c r="TZN7" s="392"/>
      <c r="TZO7" s="392"/>
      <c r="TZP7" s="392"/>
      <c r="TZQ7" s="392"/>
      <c r="TZR7" s="392"/>
      <c r="TZS7" s="392"/>
      <c r="TZT7" s="392"/>
      <c r="TZU7" s="392"/>
      <c r="TZV7" s="392"/>
      <c r="TZW7" s="392"/>
      <c r="TZX7" s="392"/>
      <c r="TZY7" s="392"/>
      <c r="TZZ7" s="392"/>
      <c r="UAA7" s="392"/>
      <c r="UAB7" s="392"/>
      <c r="UAC7" s="392"/>
      <c r="UAD7" s="392"/>
      <c r="UAE7" s="392"/>
      <c r="UAF7" s="392"/>
      <c r="UAG7" s="392"/>
      <c r="UAH7" s="392"/>
      <c r="UAI7" s="392"/>
      <c r="UAJ7" s="392"/>
      <c r="UAK7" s="392"/>
      <c r="UAL7" s="392"/>
      <c r="UAM7" s="392"/>
      <c r="UAN7" s="392"/>
      <c r="UAO7" s="392"/>
      <c r="UAP7" s="392"/>
      <c r="UAQ7" s="392"/>
      <c r="UAR7" s="392"/>
      <c r="UAS7" s="392"/>
      <c r="UAT7" s="392"/>
      <c r="UAU7" s="392"/>
      <c r="UAV7" s="392"/>
      <c r="UAW7" s="392"/>
      <c r="UAX7" s="392"/>
      <c r="UAY7" s="392"/>
      <c r="UAZ7" s="392"/>
      <c r="UBA7" s="392"/>
      <c r="UBB7" s="392"/>
      <c r="UBC7" s="392"/>
      <c r="UBD7" s="392"/>
      <c r="UBE7" s="392"/>
      <c r="UBF7" s="392"/>
      <c r="UBG7" s="392"/>
      <c r="UBH7" s="392"/>
      <c r="UBI7" s="392"/>
      <c r="UBJ7" s="392"/>
      <c r="UBK7" s="392"/>
      <c r="UBL7" s="392"/>
      <c r="UBM7" s="392"/>
      <c r="UBN7" s="392"/>
      <c r="UBO7" s="392"/>
      <c r="UBP7" s="392"/>
      <c r="UBQ7" s="392"/>
      <c r="UBR7" s="392"/>
      <c r="UBS7" s="392"/>
      <c r="UBT7" s="392"/>
      <c r="UBU7" s="392"/>
      <c r="UBV7" s="392"/>
      <c r="UBW7" s="392"/>
      <c r="UBX7" s="392"/>
      <c r="UBY7" s="392"/>
      <c r="UBZ7" s="392"/>
      <c r="UCA7" s="392"/>
      <c r="UCB7" s="392"/>
      <c r="UCC7" s="392"/>
      <c r="UCD7" s="392"/>
      <c r="UCE7" s="392"/>
      <c r="UCF7" s="392"/>
      <c r="UCG7" s="392"/>
      <c r="UCH7" s="392"/>
      <c r="UCI7" s="392"/>
      <c r="UCJ7" s="392"/>
      <c r="UCK7" s="392"/>
      <c r="UCL7" s="392"/>
      <c r="UCM7" s="392"/>
      <c r="UCN7" s="392"/>
      <c r="UCO7" s="392"/>
      <c r="UCP7" s="392"/>
      <c r="UCQ7" s="392"/>
      <c r="UCR7" s="392"/>
      <c r="UCS7" s="392"/>
      <c r="UCT7" s="392"/>
      <c r="UCU7" s="392"/>
      <c r="UCV7" s="392"/>
      <c r="UCW7" s="392"/>
      <c r="UCX7" s="392"/>
      <c r="UCY7" s="392"/>
      <c r="UCZ7" s="392"/>
      <c r="UDA7" s="392"/>
      <c r="UDB7" s="392"/>
      <c r="UDC7" s="392"/>
      <c r="UDD7" s="392"/>
      <c r="UDE7" s="392"/>
      <c r="UDF7" s="392"/>
      <c r="UDG7" s="392"/>
      <c r="UDH7" s="392"/>
      <c r="UDI7" s="392"/>
      <c r="UDJ7" s="392"/>
      <c r="UDK7" s="392"/>
      <c r="UDL7" s="392"/>
      <c r="UDM7" s="392"/>
      <c r="UDN7" s="392"/>
      <c r="UDO7" s="392"/>
      <c r="UDP7" s="392"/>
      <c r="UDQ7" s="392"/>
      <c r="UDR7" s="392"/>
      <c r="UDS7" s="392"/>
      <c r="UDT7" s="392"/>
      <c r="UDU7" s="392"/>
      <c r="UDV7" s="392"/>
      <c r="UDW7" s="392"/>
      <c r="UDX7" s="392"/>
      <c r="UDY7" s="392"/>
      <c r="UDZ7" s="392"/>
      <c r="UEA7" s="392"/>
      <c r="UEB7" s="392"/>
      <c r="UEC7" s="392"/>
      <c r="UED7" s="392"/>
      <c r="UEE7" s="392"/>
      <c r="UEF7" s="392"/>
      <c r="UEG7" s="392"/>
      <c r="UEH7" s="392"/>
      <c r="UEI7" s="392"/>
      <c r="UEJ7" s="392"/>
      <c r="UEK7" s="392"/>
      <c r="UEL7" s="392"/>
      <c r="UEM7" s="392"/>
      <c r="UEN7" s="392"/>
      <c r="UEO7" s="392"/>
      <c r="UEP7" s="392"/>
      <c r="UEQ7" s="392"/>
      <c r="UER7" s="392"/>
      <c r="UES7" s="392"/>
      <c r="UET7" s="392"/>
      <c r="UEU7" s="392"/>
      <c r="UEV7" s="392"/>
      <c r="UEW7" s="392"/>
      <c r="UEX7" s="392"/>
      <c r="UEY7" s="392"/>
      <c r="UEZ7" s="392"/>
      <c r="UFA7" s="392"/>
      <c r="UFB7" s="392"/>
      <c r="UFC7" s="392"/>
      <c r="UFD7" s="392"/>
      <c r="UFE7" s="392"/>
      <c r="UFF7" s="392"/>
      <c r="UFG7" s="392"/>
      <c r="UFH7" s="392"/>
      <c r="UFI7" s="392"/>
      <c r="UFJ7" s="392"/>
      <c r="UFK7" s="392"/>
      <c r="UFL7" s="392"/>
      <c r="UFM7" s="392"/>
      <c r="UFN7" s="392"/>
      <c r="UFO7" s="392"/>
      <c r="UFP7" s="392"/>
      <c r="UFQ7" s="392"/>
      <c r="UFR7" s="392"/>
      <c r="UFS7" s="392"/>
      <c r="UFT7" s="392"/>
      <c r="UFU7" s="392"/>
      <c r="UFV7" s="392"/>
      <c r="UFW7" s="392"/>
      <c r="UFX7" s="392"/>
      <c r="UFY7" s="392"/>
      <c r="UFZ7" s="392"/>
      <c r="UGA7" s="392"/>
      <c r="UGB7" s="392"/>
      <c r="UGC7" s="392"/>
      <c r="UGD7" s="392"/>
      <c r="UGE7" s="392"/>
      <c r="UGF7" s="392"/>
      <c r="UGG7" s="392"/>
      <c r="UGH7" s="392"/>
      <c r="UGI7" s="392"/>
      <c r="UGJ7" s="392"/>
      <c r="UGK7" s="392"/>
      <c r="UGL7" s="392"/>
      <c r="UGM7" s="392"/>
      <c r="UGN7" s="392"/>
      <c r="UGO7" s="392"/>
      <c r="UGP7" s="392"/>
      <c r="UGQ7" s="392"/>
      <c r="UGR7" s="392"/>
      <c r="UGS7" s="392"/>
      <c r="UGT7" s="392"/>
      <c r="UGU7" s="392"/>
      <c r="UGV7" s="392"/>
      <c r="UGW7" s="392"/>
      <c r="UGX7" s="392"/>
      <c r="UGY7" s="392"/>
      <c r="UGZ7" s="392"/>
      <c r="UHA7" s="392"/>
      <c r="UHB7" s="392"/>
      <c r="UHC7" s="392"/>
      <c r="UHD7" s="392"/>
      <c r="UHE7" s="392"/>
      <c r="UHF7" s="392"/>
      <c r="UHG7" s="392"/>
      <c r="UHH7" s="392"/>
      <c r="UHI7" s="392"/>
      <c r="UHJ7" s="392"/>
      <c r="UHK7" s="392"/>
      <c r="UHL7" s="392"/>
      <c r="UHM7" s="392"/>
      <c r="UHN7" s="392"/>
      <c r="UHO7" s="392"/>
      <c r="UHP7" s="392"/>
      <c r="UHQ7" s="392"/>
      <c r="UHR7" s="392"/>
      <c r="UHS7" s="392"/>
      <c r="UHT7" s="392"/>
      <c r="UHU7" s="392"/>
      <c r="UHV7" s="392"/>
      <c r="UHW7" s="392"/>
      <c r="UHX7" s="392"/>
      <c r="UHY7" s="392"/>
      <c r="UHZ7" s="392"/>
      <c r="UIA7" s="392"/>
      <c r="UIB7" s="392"/>
      <c r="UIC7" s="392"/>
      <c r="UID7" s="392"/>
      <c r="UIE7" s="392"/>
      <c r="UIF7" s="392"/>
      <c r="UIG7" s="392"/>
      <c r="UIH7" s="392"/>
      <c r="UII7" s="392"/>
      <c r="UIJ7" s="392"/>
      <c r="UIK7" s="392"/>
      <c r="UIL7" s="392"/>
      <c r="UIM7" s="392"/>
      <c r="UIN7" s="392"/>
      <c r="UIO7" s="392"/>
      <c r="UIP7" s="392"/>
      <c r="UIQ7" s="392"/>
      <c r="UIR7" s="392"/>
      <c r="UIS7" s="392"/>
      <c r="UIT7" s="392"/>
      <c r="UIU7" s="392"/>
      <c r="UIV7" s="392"/>
      <c r="UIW7" s="392"/>
      <c r="UIX7" s="392"/>
      <c r="UIY7" s="392"/>
      <c r="UIZ7" s="392"/>
      <c r="UJA7" s="392"/>
      <c r="UJB7" s="392"/>
      <c r="UJC7" s="392"/>
      <c r="UJD7" s="392"/>
      <c r="UJE7" s="392"/>
      <c r="UJF7" s="392"/>
      <c r="UJG7" s="392"/>
      <c r="UJH7" s="392"/>
      <c r="UJI7" s="392"/>
      <c r="UJJ7" s="392"/>
      <c r="UJK7" s="392"/>
      <c r="UJL7" s="392"/>
      <c r="UJM7" s="392"/>
      <c r="UJN7" s="392"/>
      <c r="UJO7" s="392"/>
      <c r="UJP7" s="392"/>
      <c r="UJQ7" s="392"/>
      <c r="UJR7" s="392"/>
      <c r="UJS7" s="392"/>
      <c r="UJT7" s="392"/>
      <c r="UJU7" s="392"/>
      <c r="UJV7" s="392"/>
      <c r="UJW7" s="392"/>
      <c r="UJX7" s="392"/>
      <c r="UJY7" s="392"/>
      <c r="UJZ7" s="392"/>
      <c r="UKA7" s="392"/>
      <c r="UKB7" s="392"/>
      <c r="UKC7" s="392"/>
      <c r="UKD7" s="392"/>
      <c r="UKE7" s="392"/>
      <c r="UKF7" s="392"/>
      <c r="UKG7" s="392"/>
      <c r="UKH7" s="392"/>
      <c r="UKI7" s="392"/>
      <c r="UKJ7" s="392"/>
      <c r="UKK7" s="392"/>
      <c r="UKL7" s="392"/>
      <c r="UKM7" s="392"/>
      <c r="UKN7" s="392"/>
      <c r="UKO7" s="392"/>
      <c r="UKP7" s="392"/>
      <c r="UKQ7" s="392"/>
      <c r="UKR7" s="392"/>
      <c r="UKS7" s="392"/>
      <c r="UKT7" s="392"/>
      <c r="UKU7" s="392"/>
      <c r="UKV7" s="392"/>
      <c r="UKW7" s="392"/>
      <c r="UKX7" s="392"/>
      <c r="UKY7" s="392"/>
      <c r="UKZ7" s="392"/>
      <c r="ULA7" s="392"/>
      <c r="ULB7" s="392"/>
      <c r="ULC7" s="392"/>
      <c r="ULD7" s="392"/>
      <c r="ULE7" s="392"/>
      <c r="ULF7" s="392"/>
      <c r="ULG7" s="392"/>
      <c r="ULH7" s="392"/>
      <c r="ULI7" s="392"/>
      <c r="ULJ7" s="392"/>
      <c r="ULK7" s="392"/>
      <c r="ULL7" s="392"/>
      <c r="ULM7" s="392"/>
      <c r="ULN7" s="392"/>
      <c r="ULO7" s="392"/>
      <c r="ULP7" s="392"/>
      <c r="ULQ7" s="392"/>
      <c r="ULR7" s="392"/>
      <c r="ULS7" s="392"/>
      <c r="ULT7" s="392"/>
      <c r="ULU7" s="392"/>
      <c r="ULV7" s="392"/>
      <c r="ULW7" s="392"/>
      <c r="ULX7" s="392"/>
      <c r="ULY7" s="392"/>
      <c r="ULZ7" s="392"/>
      <c r="UMA7" s="392"/>
      <c r="UMB7" s="392"/>
      <c r="UMC7" s="392"/>
      <c r="UMD7" s="392"/>
      <c r="UME7" s="392"/>
      <c r="UMF7" s="392"/>
      <c r="UMG7" s="392"/>
      <c r="UMH7" s="392"/>
      <c r="UMI7" s="392"/>
      <c r="UMJ7" s="392"/>
      <c r="UMK7" s="392"/>
      <c r="UML7" s="392"/>
      <c r="UMM7" s="392"/>
      <c r="UMN7" s="392"/>
      <c r="UMO7" s="392"/>
      <c r="UMP7" s="392"/>
      <c r="UMQ7" s="392"/>
      <c r="UMR7" s="392"/>
      <c r="UMS7" s="392"/>
      <c r="UMT7" s="392"/>
      <c r="UMU7" s="392"/>
      <c r="UMV7" s="392"/>
      <c r="UMW7" s="392"/>
      <c r="UMX7" s="392"/>
      <c r="UMY7" s="392"/>
      <c r="UMZ7" s="392"/>
      <c r="UNA7" s="392"/>
      <c r="UNB7" s="392"/>
      <c r="UNC7" s="392"/>
      <c r="UND7" s="392"/>
      <c r="UNE7" s="392"/>
      <c r="UNF7" s="392"/>
      <c r="UNG7" s="392"/>
      <c r="UNH7" s="392"/>
      <c r="UNI7" s="392"/>
      <c r="UNJ7" s="392"/>
      <c r="UNK7" s="392"/>
      <c r="UNL7" s="392"/>
      <c r="UNM7" s="392"/>
      <c r="UNN7" s="392"/>
      <c r="UNO7" s="392"/>
      <c r="UNP7" s="392"/>
      <c r="UNQ7" s="392"/>
      <c r="UNR7" s="392"/>
      <c r="UNS7" s="392"/>
      <c r="UNT7" s="392"/>
      <c r="UNU7" s="392"/>
      <c r="UNV7" s="392"/>
      <c r="UNW7" s="392"/>
      <c r="UNX7" s="392"/>
      <c r="UNY7" s="392"/>
      <c r="UNZ7" s="392"/>
      <c r="UOA7" s="392"/>
      <c r="UOB7" s="392"/>
      <c r="UOC7" s="392"/>
      <c r="UOD7" s="392"/>
      <c r="UOE7" s="392"/>
      <c r="UOF7" s="392"/>
      <c r="UOG7" s="392"/>
      <c r="UOH7" s="392"/>
      <c r="UOI7" s="392"/>
      <c r="UOJ7" s="392"/>
      <c r="UOK7" s="392"/>
      <c r="UOL7" s="392"/>
      <c r="UOM7" s="392"/>
      <c r="UON7" s="392"/>
      <c r="UOO7" s="392"/>
      <c r="UOP7" s="392"/>
      <c r="UOQ7" s="392"/>
      <c r="UOR7" s="392"/>
      <c r="UOS7" s="392"/>
      <c r="UOT7" s="392"/>
      <c r="UOU7" s="392"/>
      <c r="UOV7" s="392"/>
      <c r="UOW7" s="392"/>
      <c r="UOX7" s="392"/>
      <c r="UOY7" s="392"/>
      <c r="UOZ7" s="392"/>
      <c r="UPA7" s="392"/>
      <c r="UPB7" s="392"/>
      <c r="UPC7" s="392"/>
      <c r="UPD7" s="392"/>
      <c r="UPE7" s="392"/>
      <c r="UPF7" s="392"/>
      <c r="UPG7" s="392"/>
      <c r="UPH7" s="392"/>
      <c r="UPI7" s="392"/>
      <c r="UPJ7" s="392"/>
      <c r="UPK7" s="392"/>
      <c r="UPL7" s="392"/>
      <c r="UPM7" s="392"/>
      <c r="UPN7" s="392"/>
      <c r="UPO7" s="392"/>
      <c r="UPP7" s="392"/>
      <c r="UPQ7" s="392"/>
      <c r="UPR7" s="392"/>
      <c r="UPS7" s="392"/>
      <c r="UPT7" s="392"/>
      <c r="UPU7" s="392"/>
      <c r="UPV7" s="392"/>
      <c r="UPW7" s="392"/>
      <c r="UPX7" s="392"/>
      <c r="UPY7" s="392"/>
      <c r="UPZ7" s="392"/>
      <c r="UQA7" s="392"/>
      <c r="UQB7" s="392"/>
      <c r="UQC7" s="392"/>
      <c r="UQD7" s="392"/>
      <c r="UQE7" s="392"/>
      <c r="UQF7" s="392"/>
      <c r="UQG7" s="392"/>
      <c r="UQH7" s="392"/>
      <c r="UQI7" s="392"/>
      <c r="UQJ7" s="392"/>
      <c r="UQK7" s="392"/>
      <c r="UQL7" s="392"/>
      <c r="UQM7" s="392"/>
      <c r="UQN7" s="392"/>
      <c r="UQO7" s="392"/>
      <c r="UQP7" s="392"/>
      <c r="UQQ7" s="392"/>
      <c r="UQR7" s="392"/>
      <c r="UQS7" s="392"/>
      <c r="UQT7" s="392"/>
      <c r="UQU7" s="392"/>
      <c r="UQV7" s="392"/>
      <c r="UQW7" s="392"/>
      <c r="UQX7" s="392"/>
      <c r="UQY7" s="392"/>
      <c r="UQZ7" s="392"/>
      <c r="URA7" s="392"/>
      <c r="URB7" s="392"/>
      <c r="URC7" s="392"/>
      <c r="URD7" s="392"/>
      <c r="URE7" s="392"/>
      <c r="URF7" s="392"/>
      <c r="URG7" s="392"/>
      <c r="URH7" s="392"/>
      <c r="URI7" s="392"/>
      <c r="URJ7" s="392"/>
      <c r="URK7" s="392"/>
      <c r="URL7" s="392"/>
      <c r="URM7" s="392"/>
      <c r="URN7" s="392"/>
      <c r="URO7" s="392"/>
      <c r="URP7" s="392"/>
      <c r="URQ7" s="392"/>
      <c r="URR7" s="392"/>
      <c r="URS7" s="392"/>
      <c r="URT7" s="392"/>
      <c r="URU7" s="392"/>
      <c r="URV7" s="392"/>
      <c r="URW7" s="392"/>
      <c r="URX7" s="392"/>
      <c r="URY7" s="392"/>
      <c r="URZ7" s="392"/>
      <c r="USA7" s="392"/>
      <c r="USB7" s="392"/>
      <c r="USC7" s="392"/>
      <c r="USD7" s="392"/>
      <c r="USE7" s="392"/>
      <c r="USF7" s="392"/>
      <c r="USG7" s="392"/>
      <c r="USH7" s="392"/>
      <c r="USI7" s="392"/>
      <c r="USJ7" s="392"/>
      <c r="USK7" s="392"/>
      <c r="USL7" s="392"/>
      <c r="USM7" s="392"/>
      <c r="USN7" s="392"/>
      <c r="USO7" s="392"/>
      <c r="USP7" s="392"/>
      <c r="USQ7" s="392"/>
      <c r="USR7" s="392"/>
      <c r="USS7" s="392"/>
      <c r="UST7" s="392"/>
      <c r="USU7" s="392"/>
      <c r="USV7" s="392"/>
      <c r="USW7" s="392"/>
      <c r="USX7" s="392"/>
      <c r="USY7" s="392"/>
      <c r="USZ7" s="392"/>
      <c r="UTA7" s="392"/>
      <c r="UTB7" s="392"/>
      <c r="UTC7" s="392"/>
      <c r="UTD7" s="392"/>
      <c r="UTE7" s="392"/>
      <c r="UTF7" s="392"/>
      <c r="UTG7" s="392"/>
      <c r="UTH7" s="392"/>
      <c r="UTI7" s="392"/>
      <c r="UTJ7" s="392"/>
      <c r="UTK7" s="392"/>
      <c r="UTL7" s="392"/>
      <c r="UTM7" s="392"/>
      <c r="UTN7" s="392"/>
      <c r="UTO7" s="392"/>
      <c r="UTP7" s="392"/>
      <c r="UTQ7" s="392"/>
      <c r="UTR7" s="392"/>
      <c r="UTS7" s="392"/>
      <c r="UTT7" s="392"/>
      <c r="UTU7" s="392"/>
      <c r="UTV7" s="392"/>
      <c r="UTW7" s="392"/>
      <c r="UTX7" s="392"/>
      <c r="UTY7" s="392"/>
      <c r="UTZ7" s="392"/>
      <c r="UUA7" s="392"/>
      <c r="UUB7" s="392"/>
      <c r="UUC7" s="392"/>
      <c r="UUD7" s="392"/>
      <c r="UUE7" s="392"/>
      <c r="UUF7" s="392"/>
      <c r="UUG7" s="392"/>
      <c r="UUH7" s="392"/>
      <c r="UUI7" s="392"/>
      <c r="UUJ7" s="392"/>
      <c r="UUK7" s="392"/>
      <c r="UUL7" s="392"/>
      <c r="UUM7" s="392"/>
      <c r="UUN7" s="392"/>
      <c r="UUO7" s="392"/>
      <c r="UUP7" s="392"/>
      <c r="UUQ7" s="392"/>
      <c r="UUR7" s="392"/>
      <c r="UUS7" s="392"/>
      <c r="UUT7" s="392"/>
      <c r="UUU7" s="392"/>
      <c r="UUV7" s="392"/>
      <c r="UUW7" s="392"/>
      <c r="UUX7" s="392"/>
      <c r="UUY7" s="392"/>
      <c r="UUZ7" s="392"/>
      <c r="UVA7" s="392"/>
      <c r="UVB7" s="392"/>
      <c r="UVC7" s="392"/>
      <c r="UVD7" s="392"/>
      <c r="UVE7" s="392"/>
      <c r="UVF7" s="392"/>
      <c r="UVG7" s="392"/>
      <c r="UVH7" s="392"/>
      <c r="UVI7" s="392"/>
      <c r="UVJ7" s="392"/>
      <c r="UVK7" s="392"/>
      <c r="UVL7" s="392"/>
      <c r="UVM7" s="392"/>
      <c r="UVN7" s="392"/>
      <c r="UVO7" s="392"/>
      <c r="UVP7" s="392"/>
      <c r="UVQ7" s="392"/>
      <c r="UVR7" s="392"/>
      <c r="UVS7" s="392"/>
      <c r="UVT7" s="392"/>
      <c r="UVU7" s="392"/>
      <c r="UVV7" s="392"/>
      <c r="UVW7" s="392"/>
      <c r="UVX7" s="392"/>
      <c r="UVY7" s="392"/>
      <c r="UVZ7" s="392"/>
      <c r="UWA7" s="392"/>
      <c r="UWB7" s="392"/>
      <c r="UWC7" s="392"/>
      <c r="UWD7" s="392"/>
      <c r="UWE7" s="392"/>
      <c r="UWF7" s="392"/>
      <c r="UWG7" s="392"/>
      <c r="UWH7" s="392"/>
      <c r="UWI7" s="392"/>
      <c r="UWJ7" s="392"/>
      <c r="UWK7" s="392"/>
      <c r="UWL7" s="392"/>
      <c r="UWM7" s="392"/>
      <c r="UWN7" s="392"/>
      <c r="UWO7" s="392"/>
      <c r="UWP7" s="392"/>
      <c r="UWQ7" s="392"/>
      <c r="UWR7" s="392"/>
      <c r="UWS7" s="392"/>
      <c r="UWT7" s="392"/>
      <c r="UWU7" s="392"/>
      <c r="UWV7" s="392"/>
      <c r="UWW7" s="392"/>
      <c r="UWX7" s="392"/>
      <c r="UWY7" s="392"/>
      <c r="UWZ7" s="392"/>
      <c r="UXA7" s="392"/>
      <c r="UXB7" s="392"/>
      <c r="UXC7" s="392"/>
      <c r="UXD7" s="392"/>
      <c r="UXE7" s="392"/>
      <c r="UXF7" s="392"/>
      <c r="UXG7" s="392"/>
      <c r="UXH7" s="392"/>
      <c r="UXI7" s="392"/>
      <c r="UXJ7" s="392"/>
      <c r="UXK7" s="392"/>
      <c r="UXL7" s="392"/>
      <c r="UXM7" s="392"/>
      <c r="UXN7" s="392"/>
      <c r="UXO7" s="392"/>
      <c r="UXP7" s="392"/>
      <c r="UXQ7" s="392"/>
      <c r="UXR7" s="392"/>
      <c r="UXS7" s="392"/>
      <c r="UXT7" s="392"/>
      <c r="UXU7" s="392"/>
      <c r="UXV7" s="392"/>
      <c r="UXW7" s="392"/>
      <c r="UXX7" s="392"/>
      <c r="UXY7" s="392"/>
      <c r="UXZ7" s="392"/>
      <c r="UYA7" s="392"/>
      <c r="UYB7" s="392"/>
      <c r="UYC7" s="392"/>
      <c r="UYD7" s="392"/>
      <c r="UYE7" s="392"/>
      <c r="UYF7" s="392"/>
      <c r="UYG7" s="392"/>
      <c r="UYH7" s="392"/>
      <c r="UYI7" s="392"/>
      <c r="UYJ7" s="392"/>
      <c r="UYK7" s="392"/>
      <c r="UYL7" s="392"/>
      <c r="UYM7" s="392"/>
      <c r="UYN7" s="392"/>
      <c r="UYO7" s="392"/>
      <c r="UYP7" s="392"/>
      <c r="UYQ7" s="392"/>
      <c r="UYR7" s="392"/>
      <c r="UYS7" s="392"/>
      <c r="UYT7" s="392"/>
      <c r="UYU7" s="392"/>
      <c r="UYV7" s="392"/>
      <c r="UYW7" s="392"/>
      <c r="UYX7" s="392"/>
      <c r="UYY7" s="392"/>
      <c r="UYZ7" s="392"/>
      <c r="UZA7" s="392"/>
      <c r="UZB7" s="392"/>
      <c r="UZC7" s="392"/>
      <c r="UZD7" s="392"/>
      <c r="UZE7" s="392"/>
      <c r="UZF7" s="392"/>
      <c r="UZG7" s="392"/>
      <c r="UZH7" s="392"/>
      <c r="UZI7" s="392"/>
      <c r="UZJ7" s="392"/>
      <c r="UZK7" s="392"/>
      <c r="UZL7" s="392"/>
      <c r="UZM7" s="392"/>
      <c r="UZN7" s="392"/>
      <c r="UZO7" s="392"/>
      <c r="UZP7" s="392"/>
      <c r="UZQ7" s="392"/>
      <c r="UZR7" s="392"/>
      <c r="UZS7" s="392"/>
      <c r="UZT7" s="392"/>
      <c r="UZU7" s="392"/>
      <c r="UZV7" s="392"/>
      <c r="UZW7" s="392"/>
      <c r="UZX7" s="392"/>
      <c r="UZY7" s="392"/>
      <c r="UZZ7" s="392"/>
      <c r="VAA7" s="392"/>
      <c r="VAB7" s="392"/>
      <c r="VAC7" s="392"/>
      <c r="VAD7" s="392"/>
      <c r="VAE7" s="392"/>
      <c r="VAF7" s="392"/>
      <c r="VAG7" s="392"/>
      <c r="VAH7" s="392"/>
      <c r="VAI7" s="392"/>
      <c r="VAJ7" s="392"/>
      <c r="VAK7" s="392"/>
      <c r="VAL7" s="392"/>
      <c r="VAM7" s="392"/>
      <c r="VAN7" s="392"/>
      <c r="VAO7" s="392"/>
      <c r="VAP7" s="392"/>
      <c r="VAQ7" s="392"/>
      <c r="VAR7" s="392"/>
      <c r="VAS7" s="392"/>
      <c r="VAT7" s="392"/>
      <c r="VAU7" s="392"/>
      <c r="VAV7" s="392"/>
      <c r="VAW7" s="392"/>
      <c r="VAX7" s="392"/>
      <c r="VAY7" s="392"/>
      <c r="VAZ7" s="392"/>
      <c r="VBA7" s="392"/>
      <c r="VBB7" s="392"/>
      <c r="VBC7" s="392"/>
      <c r="VBD7" s="392"/>
      <c r="VBE7" s="392"/>
      <c r="VBF7" s="392"/>
      <c r="VBG7" s="392"/>
      <c r="VBH7" s="392"/>
      <c r="VBI7" s="392"/>
      <c r="VBJ7" s="392"/>
      <c r="VBK7" s="392"/>
      <c r="VBL7" s="392"/>
      <c r="VBM7" s="392"/>
      <c r="VBN7" s="392"/>
      <c r="VBO7" s="392"/>
      <c r="VBP7" s="392"/>
      <c r="VBQ7" s="392"/>
      <c r="VBR7" s="392"/>
      <c r="VBS7" s="392"/>
      <c r="VBT7" s="392"/>
      <c r="VBU7" s="392"/>
      <c r="VBV7" s="392"/>
      <c r="VBW7" s="392"/>
      <c r="VBX7" s="392"/>
      <c r="VBY7" s="392"/>
      <c r="VBZ7" s="392"/>
      <c r="VCA7" s="392"/>
      <c r="VCB7" s="392"/>
      <c r="VCC7" s="392"/>
      <c r="VCD7" s="392"/>
      <c r="VCE7" s="392"/>
      <c r="VCF7" s="392"/>
      <c r="VCG7" s="392"/>
      <c r="VCH7" s="392"/>
      <c r="VCI7" s="392"/>
      <c r="VCJ7" s="392"/>
      <c r="VCK7" s="392"/>
      <c r="VCL7" s="392"/>
      <c r="VCM7" s="392"/>
      <c r="VCN7" s="392"/>
      <c r="VCO7" s="392"/>
      <c r="VCP7" s="392"/>
      <c r="VCQ7" s="392"/>
      <c r="VCR7" s="392"/>
      <c r="VCS7" s="392"/>
      <c r="VCT7" s="392"/>
      <c r="VCU7" s="392"/>
      <c r="VCV7" s="392"/>
      <c r="VCW7" s="392"/>
      <c r="VCX7" s="392"/>
      <c r="VCY7" s="392"/>
      <c r="VCZ7" s="392"/>
      <c r="VDA7" s="392"/>
      <c r="VDB7" s="392"/>
      <c r="VDC7" s="392"/>
      <c r="VDD7" s="392"/>
      <c r="VDE7" s="392"/>
      <c r="VDF7" s="392"/>
      <c r="VDG7" s="392"/>
      <c r="VDH7" s="392"/>
      <c r="VDI7" s="392"/>
      <c r="VDJ7" s="392"/>
      <c r="VDK7" s="392"/>
      <c r="VDL7" s="392"/>
      <c r="VDM7" s="392"/>
      <c r="VDN7" s="392"/>
      <c r="VDO7" s="392"/>
      <c r="VDP7" s="392"/>
      <c r="VDQ7" s="392"/>
      <c r="VDR7" s="392"/>
      <c r="VDS7" s="392"/>
      <c r="VDT7" s="392"/>
      <c r="VDU7" s="392"/>
      <c r="VDV7" s="392"/>
      <c r="VDW7" s="392"/>
      <c r="VDX7" s="392"/>
      <c r="VDY7" s="392"/>
      <c r="VDZ7" s="392"/>
      <c r="VEA7" s="392"/>
      <c r="VEB7" s="392"/>
      <c r="VEC7" s="392"/>
      <c r="VED7" s="392"/>
      <c r="VEE7" s="392"/>
      <c r="VEF7" s="392"/>
      <c r="VEG7" s="392"/>
      <c r="VEH7" s="392"/>
      <c r="VEI7" s="392"/>
      <c r="VEJ7" s="392"/>
      <c r="VEK7" s="392"/>
      <c r="VEL7" s="392"/>
      <c r="VEM7" s="392"/>
      <c r="VEN7" s="392"/>
      <c r="VEO7" s="392"/>
      <c r="VEP7" s="392"/>
      <c r="VEQ7" s="392"/>
      <c r="VER7" s="392"/>
      <c r="VES7" s="392"/>
      <c r="VET7" s="392"/>
      <c r="VEU7" s="392"/>
      <c r="VEV7" s="392"/>
      <c r="VEW7" s="392"/>
      <c r="VEX7" s="392"/>
      <c r="VEY7" s="392"/>
      <c r="VEZ7" s="392"/>
      <c r="VFA7" s="392"/>
      <c r="VFB7" s="392"/>
      <c r="VFC7" s="392"/>
      <c r="VFD7" s="392"/>
      <c r="VFE7" s="392"/>
      <c r="VFF7" s="392"/>
      <c r="VFG7" s="392"/>
      <c r="VFH7" s="392"/>
      <c r="VFI7" s="392"/>
      <c r="VFJ7" s="392"/>
      <c r="VFK7" s="392"/>
      <c r="VFL7" s="392"/>
      <c r="VFM7" s="392"/>
      <c r="VFN7" s="392"/>
      <c r="VFO7" s="392"/>
      <c r="VFP7" s="392"/>
      <c r="VFQ7" s="392"/>
      <c r="VFR7" s="392"/>
      <c r="VFS7" s="392"/>
      <c r="VFT7" s="392"/>
      <c r="VFU7" s="392"/>
      <c r="VFV7" s="392"/>
      <c r="VFW7" s="392"/>
      <c r="VFX7" s="392"/>
      <c r="VFY7" s="392"/>
      <c r="VFZ7" s="392"/>
      <c r="VGA7" s="392"/>
      <c r="VGB7" s="392"/>
      <c r="VGC7" s="392"/>
      <c r="VGD7" s="392"/>
      <c r="VGE7" s="392"/>
      <c r="VGF7" s="392"/>
      <c r="VGG7" s="392"/>
      <c r="VGH7" s="392"/>
      <c r="VGI7" s="392"/>
      <c r="VGJ7" s="392"/>
      <c r="VGK7" s="392"/>
      <c r="VGL7" s="392"/>
      <c r="VGM7" s="392"/>
      <c r="VGN7" s="392"/>
      <c r="VGO7" s="392"/>
      <c r="VGP7" s="392"/>
      <c r="VGQ7" s="392"/>
      <c r="VGR7" s="392"/>
      <c r="VGS7" s="392"/>
      <c r="VGT7" s="392"/>
      <c r="VGU7" s="392"/>
      <c r="VGV7" s="392"/>
      <c r="VGW7" s="392"/>
      <c r="VGX7" s="392"/>
      <c r="VGY7" s="392"/>
      <c r="VGZ7" s="392"/>
      <c r="VHA7" s="392"/>
      <c r="VHB7" s="392"/>
      <c r="VHC7" s="392"/>
      <c r="VHD7" s="392"/>
      <c r="VHE7" s="392"/>
      <c r="VHF7" s="392"/>
      <c r="VHG7" s="392"/>
      <c r="VHH7" s="392"/>
      <c r="VHI7" s="392"/>
      <c r="VHJ7" s="392"/>
      <c r="VHK7" s="392"/>
      <c r="VHL7" s="392"/>
      <c r="VHM7" s="392"/>
      <c r="VHN7" s="392"/>
      <c r="VHO7" s="392"/>
      <c r="VHP7" s="392"/>
      <c r="VHQ7" s="392"/>
      <c r="VHR7" s="392"/>
      <c r="VHS7" s="392"/>
      <c r="VHT7" s="392"/>
      <c r="VHU7" s="392"/>
      <c r="VHV7" s="392"/>
      <c r="VHW7" s="392"/>
      <c r="VHX7" s="392"/>
      <c r="VHY7" s="392"/>
      <c r="VHZ7" s="392"/>
      <c r="VIA7" s="392"/>
      <c r="VIB7" s="392"/>
      <c r="VIC7" s="392"/>
      <c r="VID7" s="392"/>
      <c r="VIE7" s="392"/>
      <c r="VIF7" s="392"/>
      <c r="VIG7" s="392"/>
      <c r="VIH7" s="392"/>
      <c r="VII7" s="392"/>
      <c r="VIJ7" s="392"/>
      <c r="VIK7" s="392"/>
      <c r="VIL7" s="392"/>
      <c r="VIM7" s="392"/>
      <c r="VIN7" s="392"/>
      <c r="VIO7" s="392"/>
      <c r="VIP7" s="392"/>
      <c r="VIQ7" s="392"/>
      <c r="VIR7" s="392"/>
      <c r="VIS7" s="392"/>
      <c r="VIT7" s="392"/>
      <c r="VIU7" s="392"/>
      <c r="VIV7" s="392"/>
      <c r="VIW7" s="392"/>
      <c r="VIX7" s="392"/>
      <c r="VIY7" s="392"/>
      <c r="VIZ7" s="392"/>
      <c r="VJA7" s="392"/>
      <c r="VJB7" s="392"/>
      <c r="VJC7" s="392"/>
      <c r="VJD7" s="392"/>
      <c r="VJE7" s="392"/>
      <c r="VJF7" s="392"/>
      <c r="VJG7" s="392"/>
      <c r="VJH7" s="392"/>
      <c r="VJI7" s="392"/>
      <c r="VJJ7" s="392"/>
      <c r="VJK7" s="392"/>
      <c r="VJL7" s="392"/>
      <c r="VJM7" s="392"/>
      <c r="VJN7" s="392"/>
      <c r="VJO7" s="392"/>
      <c r="VJP7" s="392"/>
      <c r="VJQ7" s="392"/>
      <c r="VJR7" s="392"/>
      <c r="VJS7" s="392"/>
      <c r="VJT7" s="392"/>
      <c r="VJU7" s="392"/>
      <c r="VJV7" s="392"/>
      <c r="VJW7" s="392"/>
      <c r="VJX7" s="392"/>
      <c r="VJY7" s="392"/>
      <c r="VJZ7" s="392"/>
      <c r="VKA7" s="392"/>
      <c r="VKB7" s="392"/>
      <c r="VKC7" s="392"/>
      <c r="VKD7" s="392"/>
      <c r="VKE7" s="392"/>
      <c r="VKF7" s="392"/>
      <c r="VKG7" s="392"/>
      <c r="VKH7" s="392"/>
      <c r="VKI7" s="392"/>
      <c r="VKJ7" s="392"/>
      <c r="VKK7" s="392"/>
      <c r="VKL7" s="392"/>
      <c r="VKM7" s="392"/>
      <c r="VKN7" s="392"/>
      <c r="VKO7" s="392"/>
      <c r="VKP7" s="392"/>
      <c r="VKQ7" s="392"/>
      <c r="VKR7" s="392"/>
      <c r="VKS7" s="392"/>
      <c r="VKT7" s="392"/>
      <c r="VKU7" s="392"/>
      <c r="VKV7" s="392"/>
      <c r="VKW7" s="392"/>
      <c r="VKX7" s="392"/>
      <c r="VKY7" s="392"/>
      <c r="VKZ7" s="392"/>
      <c r="VLA7" s="392"/>
      <c r="VLB7" s="392"/>
      <c r="VLC7" s="392"/>
      <c r="VLD7" s="392"/>
      <c r="VLE7" s="392"/>
      <c r="VLF7" s="392"/>
      <c r="VLG7" s="392"/>
      <c r="VLH7" s="392"/>
      <c r="VLI7" s="392"/>
      <c r="VLJ7" s="392"/>
      <c r="VLK7" s="392"/>
      <c r="VLL7" s="392"/>
      <c r="VLM7" s="392"/>
      <c r="VLN7" s="392"/>
      <c r="VLO7" s="392"/>
      <c r="VLP7" s="392"/>
      <c r="VLQ7" s="392"/>
      <c r="VLR7" s="392"/>
      <c r="VLS7" s="392"/>
      <c r="VLT7" s="392"/>
      <c r="VLU7" s="392"/>
      <c r="VLV7" s="392"/>
      <c r="VLW7" s="392"/>
      <c r="VLX7" s="392"/>
      <c r="VLY7" s="392"/>
      <c r="VLZ7" s="392"/>
      <c r="VMA7" s="392"/>
      <c r="VMB7" s="392"/>
      <c r="VMC7" s="392"/>
      <c r="VMD7" s="392"/>
      <c r="VME7" s="392"/>
      <c r="VMF7" s="392"/>
      <c r="VMG7" s="392"/>
      <c r="VMH7" s="392"/>
      <c r="VMI7" s="392"/>
      <c r="VMJ7" s="392"/>
      <c r="VMK7" s="392"/>
      <c r="VML7" s="392"/>
      <c r="VMM7" s="392"/>
      <c r="VMN7" s="392"/>
      <c r="VMO7" s="392"/>
      <c r="VMP7" s="392"/>
      <c r="VMQ7" s="392"/>
      <c r="VMR7" s="392"/>
      <c r="VMS7" s="392"/>
      <c r="VMT7" s="392"/>
      <c r="VMU7" s="392"/>
      <c r="VMV7" s="392"/>
      <c r="VMW7" s="392"/>
      <c r="VMX7" s="392"/>
      <c r="VMY7" s="392"/>
      <c r="VMZ7" s="392"/>
      <c r="VNA7" s="392"/>
      <c r="VNB7" s="392"/>
      <c r="VNC7" s="392"/>
      <c r="VND7" s="392"/>
      <c r="VNE7" s="392"/>
      <c r="VNF7" s="392"/>
      <c r="VNG7" s="392"/>
      <c r="VNH7" s="392"/>
      <c r="VNI7" s="392"/>
      <c r="VNJ7" s="392"/>
      <c r="VNK7" s="392"/>
      <c r="VNL7" s="392"/>
      <c r="VNM7" s="392"/>
      <c r="VNN7" s="392"/>
      <c r="VNO7" s="392"/>
      <c r="VNP7" s="392"/>
      <c r="VNQ7" s="392"/>
      <c r="VNR7" s="392"/>
      <c r="VNS7" s="392"/>
      <c r="VNT7" s="392"/>
      <c r="VNU7" s="392"/>
      <c r="VNV7" s="392"/>
      <c r="VNW7" s="392"/>
      <c r="VNX7" s="392"/>
      <c r="VNY7" s="392"/>
      <c r="VNZ7" s="392"/>
      <c r="VOA7" s="392"/>
      <c r="VOB7" s="392"/>
      <c r="VOC7" s="392"/>
      <c r="VOD7" s="392"/>
      <c r="VOE7" s="392"/>
      <c r="VOF7" s="392"/>
      <c r="VOG7" s="392"/>
      <c r="VOH7" s="392"/>
      <c r="VOI7" s="392"/>
      <c r="VOJ7" s="392"/>
      <c r="VOK7" s="392"/>
      <c r="VOL7" s="392"/>
      <c r="VOM7" s="392"/>
      <c r="VON7" s="392"/>
      <c r="VOO7" s="392"/>
      <c r="VOP7" s="392"/>
      <c r="VOQ7" s="392"/>
      <c r="VOR7" s="392"/>
      <c r="VOS7" s="392"/>
      <c r="VOT7" s="392"/>
      <c r="VOU7" s="392"/>
      <c r="VOV7" s="392"/>
      <c r="VOW7" s="392"/>
      <c r="VOX7" s="392"/>
      <c r="VOY7" s="392"/>
      <c r="VOZ7" s="392"/>
      <c r="VPA7" s="392"/>
      <c r="VPB7" s="392"/>
      <c r="VPC7" s="392"/>
      <c r="VPD7" s="392"/>
      <c r="VPE7" s="392"/>
      <c r="VPF7" s="392"/>
      <c r="VPG7" s="392"/>
      <c r="VPH7" s="392"/>
      <c r="VPI7" s="392"/>
      <c r="VPJ7" s="392"/>
      <c r="VPK7" s="392"/>
      <c r="VPL7" s="392"/>
      <c r="VPM7" s="392"/>
      <c r="VPN7" s="392"/>
      <c r="VPO7" s="392"/>
      <c r="VPP7" s="392"/>
      <c r="VPQ7" s="392"/>
      <c r="VPR7" s="392"/>
      <c r="VPS7" s="392"/>
      <c r="VPT7" s="392"/>
      <c r="VPU7" s="392"/>
      <c r="VPV7" s="392"/>
      <c r="VPW7" s="392"/>
      <c r="VPX7" s="392"/>
      <c r="VPY7" s="392"/>
      <c r="VPZ7" s="392"/>
      <c r="VQA7" s="392"/>
      <c r="VQB7" s="392"/>
      <c r="VQC7" s="392"/>
      <c r="VQD7" s="392"/>
      <c r="VQE7" s="392"/>
      <c r="VQF7" s="392"/>
      <c r="VQG7" s="392"/>
      <c r="VQH7" s="392"/>
      <c r="VQI7" s="392"/>
      <c r="VQJ7" s="392"/>
      <c r="VQK7" s="392"/>
      <c r="VQL7" s="392"/>
      <c r="VQM7" s="392"/>
      <c r="VQN7" s="392"/>
      <c r="VQO7" s="392"/>
      <c r="VQP7" s="392"/>
      <c r="VQQ7" s="392"/>
      <c r="VQR7" s="392"/>
      <c r="VQS7" s="392"/>
      <c r="VQT7" s="392"/>
      <c r="VQU7" s="392"/>
      <c r="VQV7" s="392"/>
      <c r="VQW7" s="392"/>
      <c r="VQX7" s="392"/>
      <c r="VQY7" s="392"/>
      <c r="VQZ7" s="392"/>
      <c r="VRA7" s="392"/>
      <c r="VRB7" s="392"/>
      <c r="VRC7" s="392"/>
      <c r="VRD7" s="392"/>
      <c r="VRE7" s="392"/>
      <c r="VRF7" s="392"/>
      <c r="VRG7" s="392"/>
      <c r="VRH7" s="392"/>
      <c r="VRI7" s="392"/>
      <c r="VRJ7" s="392"/>
      <c r="VRK7" s="392"/>
      <c r="VRL7" s="392"/>
      <c r="VRM7" s="392"/>
      <c r="VRN7" s="392"/>
      <c r="VRO7" s="392"/>
      <c r="VRP7" s="392"/>
      <c r="VRQ7" s="392"/>
      <c r="VRR7" s="392"/>
      <c r="VRS7" s="392"/>
      <c r="VRT7" s="392"/>
      <c r="VRU7" s="392"/>
      <c r="VRV7" s="392"/>
      <c r="VRW7" s="392"/>
      <c r="VRX7" s="392"/>
      <c r="VRY7" s="392"/>
      <c r="VRZ7" s="392"/>
      <c r="VSA7" s="392"/>
      <c r="VSB7" s="392"/>
      <c r="VSC7" s="392"/>
      <c r="VSD7" s="392"/>
      <c r="VSE7" s="392"/>
      <c r="VSF7" s="392"/>
      <c r="VSG7" s="392"/>
      <c r="VSH7" s="392"/>
      <c r="VSI7" s="392"/>
      <c r="VSJ7" s="392"/>
      <c r="VSK7" s="392"/>
      <c r="VSL7" s="392"/>
      <c r="VSM7" s="392"/>
      <c r="VSN7" s="392"/>
      <c r="VSO7" s="392"/>
      <c r="VSP7" s="392"/>
      <c r="VSQ7" s="392"/>
      <c r="VSR7" s="392"/>
      <c r="VSS7" s="392"/>
      <c r="VST7" s="392"/>
      <c r="VSU7" s="392"/>
      <c r="VSV7" s="392"/>
      <c r="VSW7" s="392"/>
      <c r="VSX7" s="392"/>
      <c r="VSY7" s="392"/>
      <c r="VSZ7" s="392"/>
      <c r="VTA7" s="392"/>
      <c r="VTB7" s="392"/>
      <c r="VTC7" s="392"/>
      <c r="VTD7" s="392"/>
      <c r="VTE7" s="392"/>
      <c r="VTF7" s="392"/>
      <c r="VTG7" s="392"/>
      <c r="VTH7" s="392"/>
      <c r="VTI7" s="392"/>
      <c r="VTJ7" s="392"/>
      <c r="VTK7" s="392"/>
      <c r="VTL7" s="392"/>
      <c r="VTM7" s="392"/>
      <c r="VTN7" s="392"/>
      <c r="VTO7" s="392"/>
      <c r="VTP7" s="392"/>
      <c r="VTQ7" s="392"/>
      <c r="VTR7" s="392"/>
      <c r="VTS7" s="392"/>
      <c r="VTT7" s="392"/>
      <c r="VTU7" s="392"/>
      <c r="VTV7" s="392"/>
      <c r="VTW7" s="392"/>
      <c r="VTX7" s="392"/>
      <c r="VTY7" s="392"/>
      <c r="VTZ7" s="392"/>
      <c r="VUA7" s="392"/>
      <c r="VUB7" s="392"/>
      <c r="VUC7" s="392"/>
      <c r="VUD7" s="392"/>
      <c r="VUE7" s="392"/>
      <c r="VUF7" s="392"/>
      <c r="VUG7" s="392"/>
      <c r="VUH7" s="392"/>
      <c r="VUI7" s="392"/>
      <c r="VUJ7" s="392"/>
      <c r="VUK7" s="392"/>
      <c r="VUL7" s="392"/>
      <c r="VUM7" s="392"/>
      <c r="VUN7" s="392"/>
      <c r="VUO7" s="392"/>
      <c r="VUP7" s="392"/>
      <c r="VUQ7" s="392"/>
      <c r="VUR7" s="392"/>
      <c r="VUS7" s="392"/>
      <c r="VUT7" s="392"/>
      <c r="VUU7" s="392"/>
      <c r="VUV7" s="392"/>
      <c r="VUW7" s="392"/>
      <c r="VUX7" s="392"/>
      <c r="VUY7" s="392"/>
      <c r="VUZ7" s="392"/>
      <c r="VVA7" s="392"/>
      <c r="VVB7" s="392"/>
      <c r="VVC7" s="392"/>
      <c r="VVD7" s="392"/>
      <c r="VVE7" s="392"/>
      <c r="VVF7" s="392"/>
      <c r="VVG7" s="392"/>
      <c r="VVH7" s="392"/>
      <c r="VVI7" s="392"/>
      <c r="VVJ7" s="392"/>
      <c r="VVK7" s="392"/>
      <c r="VVL7" s="392"/>
      <c r="VVM7" s="392"/>
      <c r="VVN7" s="392"/>
      <c r="VVO7" s="392"/>
      <c r="VVP7" s="392"/>
      <c r="VVQ7" s="392"/>
      <c r="VVR7" s="392"/>
      <c r="VVS7" s="392"/>
      <c r="VVT7" s="392"/>
      <c r="VVU7" s="392"/>
      <c r="VVV7" s="392"/>
      <c r="VVW7" s="392"/>
      <c r="VVX7" s="392"/>
      <c r="VVY7" s="392"/>
      <c r="VVZ7" s="392"/>
      <c r="VWA7" s="392"/>
      <c r="VWB7" s="392"/>
      <c r="VWC7" s="392"/>
      <c r="VWD7" s="392"/>
      <c r="VWE7" s="392"/>
      <c r="VWF7" s="392"/>
      <c r="VWG7" s="392"/>
      <c r="VWH7" s="392"/>
      <c r="VWI7" s="392"/>
      <c r="VWJ7" s="392"/>
      <c r="VWK7" s="392"/>
      <c r="VWL7" s="392"/>
      <c r="VWM7" s="392"/>
      <c r="VWN7" s="392"/>
      <c r="VWO7" s="392"/>
      <c r="VWP7" s="392"/>
      <c r="VWQ7" s="392"/>
      <c r="VWR7" s="392"/>
      <c r="VWS7" s="392"/>
      <c r="VWT7" s="392"/>
      <c r="VWU7" s="392"/>
      <c r="VWV7" s="392"/>
      <c r="VWW7" s="392"/>
      <c r="VWX7" s="392"/>
      <c r="VWY7" s="392"/>
      <c r="VWZ7" s="392"/>
      <c r="VXA7" s="392"/>
      <c r="VXB7" s="392"/>
      <c r="VXC7" s="392"/>
      <c r="VXD7" s="392"/>
      <c r="VXE7" s="392"/>
      <c r="VXF7" s="392"/>
      <c r="VXG7" s="392"/>
      <c r="VXH7" s="392"/>
      <c r="VXI7" s="392"/>
      <c r="VXJ7" s="392"/>
      <c r="VXK7" s="392"/>
      <c r="VXL7" s="392"/>
      <c r="VXM7" s="392"/>
      <c r="VXN7" s="392"/>
      <c r="VXO7" s="392"/>
      <c r="VXP7" s="392"/>
      <c r="VXQ7" s="392"/>
      <c r="VXR7" s="392"/>
      <c r="VXS7" s="392"/>
      <c r="VXT7" s="392"/>
      <c r="VXU7" s="392"/>
      <c r="VXV7" s="392"/>
      <c r="VXW7" s="392"/>
      <c r="VXX7" s="392"/>
      <c r="VXY7" s="392"/>
      <c r="VXZ7" s="392"/>
      <c r="VYA7" s="392"/>
      <c r="VYB7" s="392"/>
      <c r="VYC7" s="392"/>
      <c r="VYD7" s="392"/>
      <c r="VYE7" s="392"/>
      <c r="VYF7" s="392"/>
      <c r="VYG7" s="392"/>
      <c r="VYH7" s="392"/>
      <c r="VYI7" s="392"/>
      <c r="VYJ7" s="392"/>
      <c r="VYK7" s="392"/>
      <c r="VYL7" s="392"/>
      <c r="VYM7" s="392"/>
      <c r="VYN7" s="392"/>
      <c r="VYO7" s="392"/>
      <c r="VYP7" s="392"/>
      <c r="VYQ7" s="392"/>
      <c r="VYR7" s="392"/>
      <c r="VYS7" s="392"/>
      <c r="VYT7" s="392"/>
      <c r="VYU7" s="392"/>
      <c r="VYV7" s="392"/>
      <c r="VYW7" s="392"/>
      <c r="VYX7" s="392"/>
      <c r="VYY7" s="392"/>
      <c r="VYZ7" s="392"/>
      <c r="VZA7" s="392"/>
      <c r="VZB7" s="392"/>
      <c r="VZC7" s="392"/>
      <c r="VZD7" s="392"/>
      <c r="VZE7" s="392"/>
      <c r="VZF7" s="392"/>
      <c r="VZG7" s="392"/>
      <c r="VZH7" s="392"/>
      <c r="VZI7" s="392"/>
      <c r="VZJ7" s="392"/>
      <c r="VZK7" s="392"/>
      <c r="VZL7" s="392"/>
      <c r="VZM7" s="392"/>
      <c r="VZN7" s="392"/>
      <c r="VZO7" s="392"/>
      <c r="VZP7" s="392"/>
      <c r="VZQ7" s="392"/>
      <c r="VZR7" s="392"/>
      <c r="VZS7" s="392"/>
      <c r="VZT7" s="392"/>
      <c r="VZU7" s="392"/>
      <c r="VZV7" s="392"/>
      <c r="VZW7" s="392"/>
      <c r="VZX7" s="392"/>
      <c r="VZY7" s="392"/>
      <c r="VZZ7" s="392"/>
      <c r="WAA7" s="392"/>
      <c r="WAB7" s="392"/>
      <c r="WAC7" s="392"/>
      <c r="WAD7" s="392"/>
      <c r="WAE7" s="392"/>
      <c r="WAF7" s="392"/>
      <c r="WAG7" s="392"/>
      <c r="WAH7" s="392"/>
      <c r="WAI7" s="392"/>
      <c r="WAJ7" s="392"/>
      <c r="WAK7" s="392"/>
      <c r="WAL7" s="392"/>
      <c r="WAM7" s="392"/>
      <c r="WAN7" s="392"/>
      <c r="WAO7" s="392"/>
      <c r="WAP7" s="392"/>
      <c r="WAQ7" s="392"/>
      <c r="WAR7" s="392"/>
      <c r="WAS7" s="392"/>
      <c r="WAT7" s="392"/>
      <c r="WAU7" s="392"/>
      <c r="WAV7" s="392"/>
      <c r="WAW7" s="392"/>
      <c r="WAX7" s="392"/>
      <c r="WAY7" s="392"/>
      <c r="WAZ7" s="392"/>
      <c r="WBA7" s="392"/>
      <c r="WBB7" s="392"/>
      <c r="WBC7" s="392"/>
      <c r="WBD7" s="392"/>
      <c r="WBE7" s="392"/>
      <c r="WBF7" s="392"/>
      <c r="WBG7" s="392"/>
      <c r="WBH7" s="392"/>
      <c r="WBI7" s="392"/>
      <c r="WBJ7" s="392"/>
      <c r="WBK7" s="392"/>
      <c r="WBL7" s="392"/>
      <c r="WBM7" s="392"/>
      <c r="WBN7" s="392"/>
      <c r="WBO7" s="392"/>
      <c r="WBP7" s="392"/>
      <c r="WBQ7" s="392"/>
      <c r="WBR7" s="392"/>
      <c r="WBS7" s="392"/>
      <c r="WBT7" s="392"/>
      <c r="WBU7" s="392"/>
      <c r="WBV7" s="392"/>
      <c r="WBW7" s="392"/>
      <c r="WBX7" s="392"/>
      <c r="WBY7" s="392"/>
      <c r="WBZ7" s="392"/>
      <c r="WCA7" s="392"/>
      <c r="WCB7" s="392"/>
      <c r="WCC7" s="392"/>
      <c r="WCD7" s="392"/>
      <c r="WCE7" s="392"/>
      <c r="WCF7" s="392"/>
      <c r="WCG7" s="392"/>
      <c r="WCH7" s="392"/>
      <c r="WCI7" s="392"/>
      <c r="WCJ7" s="392"/>
      <c r="WCK7" s="392"/>
      <c r="WCL7" s="392"/>
      <c r="WCM7" s="392"/>
      <c r="WCN7" s="392"/>
      <c r="WCO7" s="392"/>
      <c r="WCP7" s="392"/>
      <c r="WCQ7" s="392"/>
      <c r="WCR7" s="392"/>
      <c r="WCS7" s="392"/>
      <c r="WCT7" s="392"/>
      <c r="WCU7" s="392"/>
      <c r="WCV7" s="392"/>
      <c r="WCW7" s="392"/>
      <c r="WCX7" s="392"/>
      <c r="WCY7" s="392"/>
      <c r="WCZ7" s="392"/>
      <c r="WDA7" s="392"/>
      <c r="WDB7" s="392"/>
      <c r="WDC7" s="392"/>
      <c r="WDD7" s="392"/>
      <c r="WDE7" s="392"/>
      <c r="WDF7" s="392"/>
      <c r="WDG7" s="392"/>
      <c r="WDH7" s="392"/>
      <c r="WDI7" s="392"/>
      <c r="WDJ7" s="392"/>
      <c r="WDK7" s="392"/>
      <c r="WDL7" s="392"/>
      <c r="WDM7" s="392"/>
      <c r="WDN7" s="392"/>
      <c r="WDO7" s="392"/>
      <c r="WDP7" s="392"/>
      <c r="WDQ7" s="392"/>
      <c r="WDR7" s="392"/>
      <c r="WDS7" s="392"/>
      <c r="WDT7" s="392"/>
      <c r="WDU7" s="392"/>
      <c r="WDV7" s="392"/>
      <c r="WDW7" s="392"/>
      <c r="WDX7" s="392"/>
      <c r="WDY7" s="392"/>
      <c r="WDZ7" s="392"/>
      <c r="WEA7" s="392"/>
      <c r="WEB7" s="392"/>
      <c r="WEC7" s="392"/>
      <c r="WED7" s="392"/>
      <c r="WEE7" s="392"/>
      <c r="WEF7" s="392"/>
      <c r="WEG7" s="392"/>
      <c r="WEH7" s="392"/>
      <c r="WEI7" s="392"/>
      <c r="WEJ7" s="392"/>
      <c r="WEK7" s="392"/>
      <c r="WEL7" s="392"/>
      <c r="WEM7" s="392"/>
      <c r="WEN7" s="392"/>
      <c r="WEO7" s="392"/>
      <c r="WEP7" s="392"/>
      <c r="WEQ7" s="392"/>
      <c r="WER7" s="392"/>
      <c r="WES7" s="392"/>
      <c r="WET7" s="392"/>
      <c r="WEU7" s="392"/>
      <c r="WEV7" s="392"/>
      <c r="WEW7" s="392"/>
      <c r="WEX7" s="392"/>
      <c r="WEY7" s="392"/>
      <c r="WEZ7" s="392"/>
      <c r="WFA7" s="392"/>
      <c r="WFB7" s="392"/>
      <c r="WFC7" s="392"/>
      <c r="WFD7" s="392"/>
      <c r="WFE7" s="392"/>
      <c r="WFF7" s="392"/>
      <c r="WFG7" s="392"/>
      <c r="WFH7" s="392"/>
      <c r="WFI7" s="392"/>
      <c r="WFJ7" s="392"/>
      <c r="WFK7" s="392"/>
      <c r="WFL7" s="392"/>
      <c r="WFM7" s="392"/>
      <c r="WFN7" s="392"/>
      <c r="WFO7" s="392"/>
      <c r="WFP7" s="392"/>
      <c r="WFQ7" s="392"/>
      <c r="WFR7" s="392"/>
      <c r="WFS7" s="392"/>
      <c r="WFT7" s="392"/>
      <c r="WFU7" s="392"/>
      <c r="WFV7" s="392"/>
      <c r="WFW7" s="392"/>
      <c r="WFX7" s="392"/>
      <c r="WFY7" s="392"/>
      <c r="WFZ7" s="392"/>
      <c r="WGA7" s="392"/>
      <c r="WGB7" s="392"/>
      <c r="WGC7" s="392"/>
      <c r="WGD7" s="392"/>
      <c r="WGE7" s="392"/>
      <c r="WGF7" s="392"/>
      <c r="WGG7" s="392"/>
      <c r="WGH7" s="392"/>
      <c r="WGI7" s="392"/>
      <c r="WGJ7" s="392"/>
      <c r="WGK7" s="392"/>
      <c r="WGL7" s="392"/>
      <c r="WGM7" s="392"/>
      <c r="WGN7" s="392"/>
      <c r="WGO7" s="392"/>
      <c r="WGP7" s="392"/>
      <c r="WGQ7" s="392"/>
      <c r="WGR7" s="392"/>
      <c r="WGS7" s="392"/>
      <c r="WGT7" s="392"/>
      <c r="WGU7" s="392"/>
      <c r="WGV7" s="392"/>
      <c r="WGW7" s="392"/>
      <c r="WGX7" s="392"/>
      <c r="WGY7" s="392"/>
      <c r="WGZ7" s="392"/>
      <c r="WHA7" s="392"/>
      <c r="WHB7" s="392"/>
      <c r="WHC7" s="392"/>
      <c r="WHD7" s="392"/>
      <c r="WHE7" s="392"/>
      <c r="WHF7" s="392"/>
      <c r="WHG7" s="392"/>
      <c r="WHH7" s="392"/>
      <c r="WHI7" s="392"/>
      <c r="WHJ7" s="392"/>
      <c r="WHK7" s="392"/>
      <c r="WHL7" s="392"/>
      <c r="WHM7" s="392"/>
      <c r="WHN7" s="392"/>
      <c r="WHO7" s="392"/>
      <c r="WHP7" s="392"/>
      <c r="WHQ7" s="392"/>
      <c r="WHR7" s="392"/>
      <c r="WHS7" s="392"/>
      <c r="WHT7" s="392"/>
      <c r="WHU7" s="392"/>
      <c r="WHV7" s="392"/>
      <c r="WHW7" s="392"/>
      <c r="WHX7" s="392"/>
      <c r="WHY7" s="392"/>
      <c r="WHZ7" s="392"/>
      <c r="WIA7" s="392"/>
      <c r="WIB7" s="392"/>
      <c r="WIC7" s="392"/>
      <c r="WID7" s="392"/>
      <c r="WIE7" s="392"/>
      <c r="WIF7" s="392"/>
      <c r="WIG7" s="392"/>
      <c r="WIH7" s="392"/>
      <c r="WII7" s="392"/>
      <c r="WIJ7" s="392"/>
      <c r="WIK7" s="392"/>
      <c r="WIL7" s="392"/>
      <c r="WIM7" s="392"/>
      <c r="WIN7" s="392"/>
      <c r="WIO7" s="392"/>
      <c r="WIP7" s="392"/>
      <c r="WIQ7" s="392"/>
      <c r="WIR7" s="392"/>
      <c r="WIS7" s="392"/>
      <c r="WIT7" s="392"/>
      <c r="WIU7" s="392"/>
      <c r="WIV7" s="392"/>
      <c r="WIW7" s="392"/>
      <c r="WIX7" s="392"/>
      <c r="WIY7" s="392"/>
      <c r="WIZ7" s="392"/>
      <c r="WJA7" s="392"/>
      <c r="WJB7" s="392"/>
      <c r="WJC7" s="392"/>
      <c r="WJD7" s="392"/>
      <c r="WJE7" s="392"/>
      <c r="WJF7" s="392"/>
      <c r="WJG7" s="392"/>
      <c r="WJH7" s="392"/>
      <c r="WJI7" s="392"/>
      <c r="WJJ7" s="392"/>
      <c r="WJK7" s="392"/>
      <c r="WJL7" s="392"/>
      <c r="WJM7" s="392"/>
      <c r="WJN7" s="392"/>
      <c r="WJO7" s="392"/>
      <c r="WJP7" s="392"/>
      <c r="WJQ7" s="392"/>
      <c r="WJR7" s="392"/>
      <c r="WJS7" s="392"/>
      <c r="WJT7" s="392"/>
      <c r="WJU7" s="392"/>
      <c r="WJV7" s="392"/>
      <c r="WJW7" s="392"/>
      <c r="WJX7" s="392"/>
      <c r="WJY7" s="392"/>
      <c r="WJZ7" s="392"/>
      <c r="WKA7" s="392"/>
      <c r="WKB7" s="392"/>
      <c r="WKC7" s="392"/>
      <c r="WKD7" s="392"/>
      <c r="WKE7" s="392"/>
      <c r="WKF7" s="392"/>
      <c r="WKG7" s="392"/>
      <c r="WKH7" s="392"/>
      <c r="WKI7" s="392"/>
      <c r="WKJ7" s="392"/>
      <c r="WKK7" s="392"/>
      <c r="WKL7" s="392"/>
      <c r="WKM7" s="392"/>
      <c r="WKN7" s="392"/>
      <c r="WKO7" s="392"/>
      <c r="WKP7" s="392"/>
      <c r="WKQ7" s="392"/>
      <c r="WKR7" s="392"/>
      <c r="WKS7" s="392"/>
      <c r="WKT7" s="392"/>
      <c r="WKU7" s="392"/>
      <c r="WKV7" s="392"/>
      <c r="WKW7" s="392"/>
      <c r="WKX7" s="392"/>
      <c r="WKY7" s="392"/>
      <c r="WKZ7" s="392"/>
      <c r="WLA7" s="392"/>
      <c r="WLB7" s="392"/>
      <c r="WLC7" s="392"/>
      <c r="WLD7" s="392"/>
      <c r="WLE7" s="392"/>
      <c r="WLF7" s="392"/>
      <c r="WLG7" s="392"/>
      <c r="WLH7" s="392"/>
      <c r="WLI7" s="392"/>
      <c r="WLJ7" s="392"/>
      <c r="WLK7" s="392"/>
      <c r="WLL7" s="392"/>
      <c r="WLM7" s="392"/>
      <c r="WLN7" s="392"/>
      <c r="WLO7" s="392"/>
      <c r="WLP7" s="392"/>
      <c r="WLQ7" s="392"/>
      <c r="WLR7" s="392"/>
      <c r="WLS7" s="392"/>
      <c r="WLT7" s="392"/>
      <c r="WLU7" s="392"/>
      <c r="WLV7" s="392"/>
      <c r="WLW7" s="392"/>
      <c r="WLX7" s="392"/>
      <c r="WLY7" s="392"/>
      <c r="WLZ7" s="392"/>
      <c r="WMA7" s="392"/>
      <c r="WMB7" s="392"/>
      <c r="WMC7" s="392"/>
      <c r="WMD7" s="392"/>
      <c r="WME7" s="392"/>
      <c r="WMF7" s="392"/>
      <c r="WMG7" s="392"/>
      <c r="WMH7" s="392"/>
      <c r="WMI7" s="392"/>
      <c r="WMJ7" s="392"/>
      <c r="WMK7" s="392"/>
      <c r="WML7" s="392"/>
      <c r="WMM7" s="392"/>
      <c r="WMN7" s="392"/>
      <c r="WMO7" s="392"/>
      <c r="WMP7" s="392"/>
      <c r="WMQ7" s="392"/>
      <c r="WMR7" s="392"/>
      <c r="WMS7" s="392"/>
      <c r="WMT7" s="392"/>
      <c r="WMU7" s="392"/>
      <c r="WMV7" s="392"/>
      <c r="WMW7" s="392"/>
      <c r="WMX7" s="392"/>
      <c r="WMY7" s="392"/>
      <c r="WMZ7" s="392"/>
      <c r="WNA7" s="392"/>
      <c r="WNB7" s="392"/>
      <c r="WNC7" s="392"/>
      <c r="WND7" s="392"/>
      <c r="WNE7" s="392"/>
      <c r="WNF7" s="392"/>
      <c r="WNG7" s="392"/>
      <c r="WNH7" s="392"/>
      <c r="WNI7" s="392"/>
      <c r="WNJ7" s="392"/>
      <c r="WNK7" s="392"/>
      <c r="WNL7" s="392"/>
      <c r="WNM7" s="392"/>
      <c r="WNN7" s="392"/>
      <c r="WNO7" s="392"/>
      <c r="WNP7" s="392"/>
      <c r="WNQ7" s="392"/>
      <c r="WNR7" s="392"/>
      <c r="WNS7" s="392"/>
      <c r="WNT7" s="392"/>
      <c r="WNU7" s="392"/>
      <c r="WNV7" s="392"/>
      <c r="WNW7" s="392"/>
      <c r="WNX7" s="392"/>
      <c r="WNY7" s="392"/>
      <c r="WNZ7" s="392"/>
      <c r="WOA7" s="392"/>
      <c r="WOB7" s="392"/>
      <c r="WOC7" s="392"/>
      <c r="WOD7" s="392"/>
      <c r="WOE7" s="392"/>
      <c r="WOF7" s="392"/>
      <c r="WOG7" s="392"/>
      <c r="WOH7" s="392"/>
      <c r="WOI7" s="392"/>
      <c r="WOJ7" s="392"/>
      <c r="WOK7" s="392"/>
      <c r="WOL7" s="392"/>
      <c r="WOM7" s="392"/>
      <c r="WON7" s="392"/>
      <c r="WOO7" s="392"/>
      <c r="WOP7" s="392"/>
      <c r="WOQ7" s="392"/>
      <c r="WOR7" s="392"/>
      <c r="WOS7" s="392"/>
      <c r="WOT7" s="392"/>
      <c r="WOU7" s="392"/>
      <c r="WOV7" s="392"/>
      <c r="WOW7" s="392"/>
      <c r="WOX7" s="392"/>
      <c r="WOY7" s="392"/>
      <c r="WOZ7" s="392"/>
      <c r="WPA7" s="392"/>
      <c r="WPB7" s="392"/>
      <c r="WPC7" s="392"/>
      <c r="WPD7" s="392"/>
      <c r="WPE7" s="392"/>
      <c r="WPF7" s="392"/>
      <c r="WPG7" s="392"/>
      <c r="WPH7" s="392"/>
      <c r="WPI7" s="392"/>
      <c r="WPJ7" s="392"/>
      <c r="WPK7" s="392"/>
      <c r="WPL7" s="392"/>
      <c r="WPM7" s="392"/>
      <c r="WPN7" s="392"/>
      <c r="WPO7" s="392"/>
      <c r="WPP7" s="392"/>
      <c r="WPQ7" s="392"/>
      <c r="WPR7" s="392"/>
      <c r="WPS7" s="392"/>
      <c r="WPT7" s="392"/>
      <c r="WPU7" s="392"/>
      <c r="WPV7" s="392"/>
      <c r="WPW7" s="392"/>
      <c r="WPX7" s="392"/>
      <c r="WPY7" s="392"/>
      <c r="WPZ7" s="392"/>
      <c r="WQA7" s="392"/>
      <c r="WQB7" s="392"/>
      <c r="WQC7" s="392"/>
      <c r="WQD7" s="392"/>
      <c r="WQE7" s="392"/>
      <c r="WQF7" s="392"/>
      <c r="WQG7" s="392"/>
      <c r="WQH7" s="392"/>
      <c r="WQI7" s="392"/>
      <c r="WQJ7" s="392"/>
      <c r="WQK7" s="392"/>
      <c r="WQL7" s="392"/>
      <c r="WQM7" s="392"/>
      <c r="WQN7" s="392"/>
      <c r="WQO7" s="392"/>
      <c r="WQP7" s="392"/>
      <c r="WQQ7" s="392"/>
      <c r="WQR7" s="392"/>
      <c r="WQS7" s="392"/>
      <c r="WQT7" s="392"/>
      <c r="WQU7" s="392"/>
      <c r="WQV7" s="392"/>
      <c r="WQW7" s="392"/>
      <c r="WQX7" s="392"/>
      <c r="WQY7" s="392"/>
      <c r="WQZ7" s="392"/>
      <c r="WRA7" s="392"/>
      <c r="WRB7" s="392"/>
      <c r="WRC7" s="392"/>
      <c r="WRD7" s="392"/>
      <c r="WRE7" s="392"/>
      <c r="WRF7" s="392"/>
      <c r="WRG7" s="392"/>
      <c r="WRH7" s="392"/>
      <c r="WRI7" s="392"/>
      <c r="WRJ7" s="392"/>
      <c r="WRK7" s="392"/>
      <c r="WRL7" s="392"/>
      <c r="WRM7" s="392"/>
      <c r="WRN7" s="392"/>
      <c r="WRO7" s="392"/>
      <c r="WRP7" s="392"/>
      <c r="WRQ7" s="392"/>
      <c r="WRR7" s="392"/>
      <c r="WRS7" s="392"/>
      <c r="WRT7" s="392"/>
      <c r="WRU7" s="392"/>
      <c r="WRV7" s="392"/>
      <c r="WRW7" s="392"/>
      <c r="WRX7" s="392"/>
      <c r="WRY7" s="392"/>
      <c r="WRZ7" s="392"/>
      <c r="WSA7" s="392"/>
      <c r="WSB7" s="392"/>
      <c r="WSC7" s="392"/>
      <c r="WSD7" s="392"/>
      <c r="WSE7" s="392"/>
      <c r="WSF7" s="392"/>
      <c r="WSG7" s="392"/>
      <c r="WSH7" s="392"/>
      <c r="WSI7" s="392"/>
      <c r="WSJ7" s="392"/>
      <c r="WSK7" s="392"/>
      <c r="WSL7" s="392"/>
      <c r="WSM7" s="392"/>
      <c r="WSN7" s="392"/>
      <c r="WSO7" s="392"/>
      <c r="WSP7" s="392"/>
      <c r="WSQ7" s="392"/>
      <c r="WSR7" s="392"/>
      <c r="WSS7" s="392"/>
      <c r="WST7" s="392"/>
      <c r="WSU7" s="392"/>
      <c r="WSV7" s="392"/>
      <c r="WSW7" s="392"/>
      <c r="WSX7" s="392"/>
      <c r="WSY7" s="392"/>
      <c r="WSZ7" s="392"/>
      <c r="WTA7" s="392"/>
      <c r="WTB7" s="392"/>
      <c r="WTC7" s="392"/>
      <c r="WTD7" s="392"/>
      <c r="WTE7" s="392"/>
      <c r="WTF7" s="392"/>
      <c r="WTG7" s="392"/>
      <c r="WTH7" s="392"/>
      <c r="WTI7" s="392"/>
      <c r="WTJ7" s="392"/>
      <c r="WTK7" s="392"/>
      <c r="WTL7" s="392"/>
      <c r="WTM7" s="392"/>
      <c r="WTN7" s="392"/>
      <c r="WTO7" s="392"/>
      <c r="WTP7" s="392"/>
      <c r="WTQ7" s="392"/>
      <c r="WTR7" s="392"/>
      <c r="WTS7" s="392"/>
      <c r="WTT7" s="392"/>
      <c r="WTU7" s="392"/>
      <c r="WTV7" s="392"/>
      <c r="WTW7" s="392"/>
      <c r="WTX7" s="392"/>
      <c r="WTY7" s="392"/>
      <c r="WTZ7" s="392"/>
      <c r="WUA7" s="392"/>
      <c r="WUB7" s="392"/>
      <c r="WUC7" s="392"/>
      <c r="WUD7" s="392"/>
      <c r="WUE7" s="392"/>
      <c r="WUF7" s="392"/>
      <c r="WUG7" s="392"/>
      <c r="WUH7" s="392"/>
      <c r="WUI7" s="392"/>
      <c r="WUJ7" s="392"/>
      <c r="WUK7" s="392"/>
      <c r="WUL7" s="392"/>
      <c r="WUM7" s="392"/>
      <c r="WUN7" s="392"/>
      <c r="WUO7" s="392"/>
      <c r="WUP7" s="392"/>
      <c r="WUQ7" s="392"/>
      <c r="WUR7" s="392"/>
      <c r="WUS7" s="392"/>
      <c r="WUT7" s="392"/>
      <c r="WUU7" s="392"/>
      <c r="WUV7" s="392"/>
      <c r="WUW7" s="392"/>
      <c r="WUX7" s="392"/>
      <c r="WUY7" s="392"/>
      <c r="WUZ7" s="392"/>
      <c r="WVA7" s="392"/>
      <c r="WVB7" s="392"/>
      <c r="WVC7" s="392"/>
      <c r="WVD7" s="392"/>
      <c r="WVE7" s="392"/>
      <c r="WVF7" s="392"/>
      <c r="WVG7" s="392"/>
      <c r="WVH7" s="392"/>
      <c r="WVI7" s="392"/>
      <c r="WVJ7" s="392"/>
      <c r="WVK7" s="392"/>
      <c r="WVL7" s="392"/>
      <c r="WVM7" s="392"/>
      <c r="WVN7" s="392"/>
      <c r="WVO7" s="392"/>
      <c r="WVP7" s="392"/>
      <c r="WVQ7" s="392"/>
      <c r="WVR7" s="392"/>
      <c r="WVS7" s="392"/>
      <c r="WVT7" s="392"/>
      <c r="WVU7" s="392"/>
      <c r="WVV7" s="392"/>
      <c r="WVW7" s="392"/>
      <c r="WVX7" s="392"/>
      <c r="WVY7" s="392"/>
      <c r="WVZ7" s="392"/>
      <c r="WWA7" s="392"/>
      <c r="WWB7" s="392"/>
      <c r="WWC7" s="392"/>
      <c r="WWD7" s="392"/>
      <c r="WWE7" s="392"/>
      <c r="WWF7" s="392"/>
      <c r="WWG7" s="392"/>
      <c r="WWH7" s="392"/>
      <c r="WWI7" s="392"/>
      <c r="WWJ7" s="392"/>
      <c r="WWK7" s="392"/>
      <c r="WWL7" s="392"/>
      <c r="WWM7" s="392"/>
      <c r="WWN7" s="392"/>
      <c r="WWO7" s="392"/>
      <c r="WWP7" s="392"/>
      <c r="WWQ7" s="392"/>
      <c r="WWR7" s="392"/>
      <c r="WWS7" s="392"/>
      <c r="WWT7" s="392"/>
      <c r="WWU7" s="392"/>
      <c r="WWV7" s="392"/>
      <c r="WWW7" s="392"/>
      <c r="WWX7" s="392"/>
      <c r="WWY7" s="392"/>
      <c r="WWZ7" s="392"/>
      <c r="WXA7" s="392"/>
      <c r="WXB7" s="392"/>
      <c r="WXC7" s="392"/>
      <c r="WXD7" s="392"/>
      <c r="WXE7" s="392"/>
      <c r="WXF7" s="392"/>
      <c r="WXG7" s="392"/>
      <c r="WXH7" s="392"/>
      <c r="WXI7" s="392"/>
      <c r="WXJ7" s="392"/>
      <c r="WXK7" s="392"/>
      <c r="WXL7" s="392"/>
      <c r="WXM7" s="392"/>
      <c r="WXN7" s="392"/>
      <c r="WXO7" s="392"/>
      <c r="WXP7" s="392"/>
      <c r="WXQ7" s="392"/>
      <c r="WXR7" s="392"/>
      <c r="WXS7" s="392"/>
      <c r="WXT7" s="392"/>
      <c r="WXU7" s="392"/>
      <c r="WXV7" s="392"/>
      <c r="WXW7" s="392"/>
      <c r="WXX7" s="392"/>
      <c r="WXY7" s="392"/>
      <c r="WXZ7" s="392"/>
      <c r="WYA7" s="392"/>
      <c r="WYB7" s="392"/>
      <c r="WYC7" s="392"/>
      <c r="WYD7" s="392"/>
      <c r="WYE7" s="392"/>
      <c r="WYF7" s="392"/>
      <c r="WYG7" s="392"/>
      <c r="WYH7" s="392"/>
      <c r="WYI7" s="392"/>
      <c r="WYJ7" s="392"/>
      <c r="WYK7" s="392"/>
      <c r="WYL7" s="392"/>
      <c r="WYM7" s="392"/>
      <c r="WYN7" s="392"/>
      <c r="WYO7" s="392"/>
      <c r="WYP7" s="392"/>
      <c r="WYQ7" s="392"/>
      <c r="WYR7" s="392"/>
      <c r="WYS7" s="392"/>
      <c r="WYT7" s="392"/>
      <c r="WYU7" s="392"/>
      <c r="WYV7" s="392"/>
      <c r="WYW7" s="392"/>
      <c r="WYX7" s="392"/>
      <c r="WYY7" s="392"/>
      <c r="WYZ7" s="392"/>
      <c r="WZA7" s="392"/>
      <c r="WZB7" s="392"/>
      <c r="WZC7" s="392"/>
      <c r="WZD7" s="392"/>
      <c r="WZE7" s="392"/>
      <c r="WZF7" s="392"/>
      <c r="WZG7" s="392"/>
      <c r="WZH7" s="392"/>
      <c r="WZI7" s="392"/>
      <c r="WZJ7" s="392"/>
      <c r="WZK7" s="392"/>
      <c r="WZL7" s="392"/>
      <c r="WZM7" s="392"/>
      <c r="WZN7" s="392"/>
      <c r="WZO7" s="392"/>
      <c r="WZP7" s="392"/>
      <c r="WZQ7" s="392"/>
      <c r="WZR7" s="392"/>
      <c r="WZS7" s="392"/>
      <c r="WZT7" s="392"/>
      <c r="WZU7" s="392"/>
      <c r="WZV7" s="392"/>
      <c r="WZW7" s="392"/>
      <c r="WZX7" s="392"/>
      <c r="WZY7" s="392"/>
      <c r="WZZ7" s="392"/>
      <c r="XAA7" s="392"/>
      <c r="XAB7" s="392"/>
      <c r="XAC7" s="392"/>
      <c r="XAD7" s="392"/>
      <c r="XAE7" s="392"/>
      <c r="XAF7" s="392"/>
      <c r="XAG7" s="392"/>
      <c r="XAH7" s="392"/>
      <c r="XAI7" s="392"/>
      <c r="XAJ7" s="392"/>
      <c r="XAK7" s="392"/>
      <c r="XAL7" s="392"/>
      <c r="XAM7" s="392"/>
      <c r="XAN7" s="392"/>
      <c r="XAO7" s="392"/>
      <c r="XAP7" s="392"/>
      <c r="XAQ7" s="392"/>
      <c r="XAR7" s="392"/>
      <c r="XAS7" s="392"/>
      <c r="XAT7" s="392"/>
      <c r="XAU7" s="392"/>
      <c r="XAV7" s="392"/>
      <c r="XAW7" s="392"/>
      <c r="XAX7" s="392"/>
      <c r="XAY7" s="392"/>
      <c r="XAZ7" s="392"/>
      <c r="XBA7" s="392"/>
      <c r="XBB7" s="392"/>
      <c r="XBC7" s="392"/>
      <c r="XBD7" s="392"/>
      <c r="XBE7" s="392"/>
      <c r="XBF7" s="392"/>
      <c r="XBG7" s="392"/>
      <c r="XBH7" s="392"/>
      <c r="XBI7" s="392"/>
      <c r="XBJ7" s="392"/>
      <c r="XBK7" s="392"/>
      <c r="XBL7" s="392"/>
      <c r="XBM7" s="392"/>
      <c r="XBN7" s="392"/>
      <c r="XBO7" s="392"/>
      <c r="XBP7" s="392"/>
      <c r="XBQ7" s="392"/>
      <c r="XBR7" s="392"/>
      <c r="XBS7" s="392"/>
      <c r="XBT7" s="392"/>
      <c r="XBU7" s="392"/>
      <c r="XBV7" s="392"/>
      <c r="XBW7" s="392"/>
      <c r="XBX7" s="392"/>
      <c r="XBY7" s="392"/>
      <c r="XBZ7" s="392"/>
      <c r="XCA7" s="392"/>
      <c r="XCB7" s="392"/>
      <c r="XCC7" s="392"/>
      <c r="XCD7" s="392"/>
      <c r="XCE7" s="392"/>
      <c r="XCF7" s="392"/>
      <c r="XCG7" s="392"/>
      <c r="XCH7" s="392"/>
      <c r="XCI7" s="392"/>
      <c r="XCJ7" s="392"/>
      <c r="XCK7" s="392"/>
      <c r="XCL7" s="392"/>
      <c r="XCM7" s="392"/>
      <c r="XCN7" s="392"/>
      <c r="XCO7" s="392"/>
      <c r="XCP7" s="392"/>
      <c r="XCQ7" s="392"/>
      <c r="XCR7" s="392"/>
      <c r="XCS7" s="392"/>
      <c r="XCT7" s="392"/>
      <c r="XCU7" s="392"/>
      <c r="XCV7" s="392"/>
      <c r="XCW7" s="392"/>
      <c r="XCX7" s="392"/>
      <c r="XCY7" s="392"/>
      <c r="XCZ7" s="392"/>
      <c r="XDA7" s="392"/>
      <c r="XDB7" s="392"/>
      <c r="XDC7" s="392"/>
      <c r="XDD7" s="392"/>
      <c r="XDE7" s="392"/>
      <c r="XDF7" s="392"/>
      <c r="XDG7" s="392"/>
      <c r="XDH7" s="392"/>
      <c r="XDI7" s="392"/>
      <c r="XDJ7" s="392"/>
      <c r="XDK7" s="392"/>
      <c r="XDL7" s="392"/>
      <c r="XDM7" s="392"/>
      <c r="XDN7" s="392"/>
      <c r="XDO7" s="392"/>
      <c r="XDP7" s="392"/>
      <c r="XDQ7" s="392"/>
      <c r="XDR7" s="392"/>
      <c r="XDS7" s="392"/>
      <c r="XDT7" s="392"/>
      <c r="XDU7" s="392"/>
      <c r="XDV7" s="392"/>
      <c r="XDW7" s="392"/>
      <c r="XDX7" s="392"/>
      <c r="XDY7" s="392"/>
      <c r="XDZ7" s="392"/>
      <c r="XEA7" s="392"/>
      <c r="XEB7" s="392"/>
      <c r="XEC7" s="392"/>
      <c r="XED7" s="392"/>
      <c r="XEE7" s="392"/>
      <c r="XEF7" s="392"/>
      <c r="XEG7" s="392"/>
      <c r="XEH7" s="392"/>
      <c r="XEI7" s="392"/>
      <c r="XEJ7" s="392"/>
      <c r="XEK7" s="392"/>
      <c r="XEL7" s="392"/>
      <c r="XEM7" s="392"/>
      <c r="XEN7" s="392"/>
      <c r="XEO7" s="392"/>
      <c r="XEP7" s="392"/>
      <c r="XEQ7" s="392"/>
      <c r="XER7" s="392"/>
      <c r="XES7" s="392"/>
      <c r="XET7" s="392"/>
      <c r="XEU7" s="392"/>
      <c r="XEV7" s="392"/>
      <c r="XEW7" s="392"/>
      <c r="XEX7" s="392"/>
      <c r="XEY7" s="392"/>
      <c r="XEZ7" s="392"/>
      <c r="XFA7" s="392"/>
    </row>
    <row r="8" spans="1:16381" s="586" customFormat="1" ht="25.5">
      <c r="A8" s="586" t="str">
        <f t="shared" si="0"/>
        <v>Adler Modemaerkte Versorgungswerk e.V. v. 01.01.2019</v>
      </c>
      <c r="B8" s="586">
        <f>ROW()</f>
        <v>8</v>
      </c>
      <c r="C8" s="611" t="s">
        <v>1134</v>
      </c>
      <c r="D8" s="1120">
        <v>43466</v>
      </c>
      <c r="E8" s="612" t="s">
        <v>767</v>
      </c>
      <c r="F8" s="613" t="str">
        <f t="shared" si="1"/>
        <v/>
      </c>
      <c r="G8" s="610" t="str">
        <f t="shared" si="2"/>
        <v xml:space="preserve">TO ermöglicht: doppelten Kostenabzug; </v>
      </c>
      <c r="I8" s="610"/>
      <c r="J8" s="751"/>
      <c r="K8" s="1118"/>
      <c r="L8" s="1118">
        <v>2</v>
      </c>
      <c r="M8" s="1118"/>
      <c r="N8" s="1118"/>
      <c r="O8" s="756" t="s">
        <v>803</v>
      </c>
      <c r="P8" s="140">
        <f t="shared" si="3"/>
        <v>2</v>
      </c>
      <c r="S8" s="586">
        <f>IFERROR(SEARCH(MID(+Fallerfassung!D28,1,5),S$6),1)</f>
        <v>1</v>
      </c>
    </row>
    <row r="9" spans="1:16381" s="586" customFormat="1" ht="67.5">
      <c r="A9" s="586" t="str">
        <f t="shared" si="0"/>
        <v>Airbus v. 02.01.2024</v>
      </c>
      <c r="C9" s="611" t="s">
        <v>2015</v>
      </c>
      <c r="D9" s="1120">
        <v>45293</v>
      </c>
      <c r="E9" s="612" t="s">
        <v>2016</v>
      </c>
      <c r="F9" s="613"/>
      <c r="G9" s="610" t="str">
        <f t="shared" si="2"/>
        <v xml:space="preserve">TO ermöglicht:  Abweichungen vom gerichtl. festgelegten Ausgleichswert; </v>
      </c>
      <c r="I9" s="610" t="s">
        <v>2017</v>
      </c>
      <c r="J9" s="751"/>
      <c r="K9" s="1118"/>
      <c r="L9" s="1118"/>
      <c r="M9" s="1118">
        <v>3</v>
      </c>
      <c r="N9" s="1118"/>
      <c r="O9" s="756"/>
      <c r="P9" s="140"/>
    </row>
    <row r="10" spans="1:16381" s="586" customFormat="1" ht="25.5">
      <c r="A10" s="586" t="str">
        <f t="shared" si="0"/>
        <v>allfrisch Unterstuetzungskasse e.V v. 28.12.2017</v>
      </c>
      <c r="B10" s="586">
        <f>ROW()</f>
        <v>10</v>
      </c>
      <c r="C10" s="611" t="s">
        <v>1135</v>
      </c>
      <c r="D10" s="1120">
        <v>43097</v>
      </c>
      <c r="E10" s="612" t="s">
        <v>761</v>
      </c>
      <c r="F10" s="613" t="str">
        <f t="shared" si="1"/>
        <v/>
      </c>
      <c r="G10" s="610" t="str">
        <f t="shared" si="2"/>
        <v xml:space="preserve">TO ermöglicht: doppelten Kostenabzug; </v>
      </c>
      <c r="I10" s="610"/>
      <c r="J10" s="755"/>
      <c r="K10" s="1118"/>
      <c r="L10" s="1118">
        <v>2</v>
      </c>
      <c r="M10" s="1118"/>
      <c r="N10" s="1118"/>
      <c r="O10" s="756" t="s">
        <v>803</v>
      </c>
      <c r="P10" s="140">
        <f t="shared" si="3"/>
        <v>2</v>
      </c>
      <c r="S10" s="586">
        <f>IFERROR(SEARCH(MID(+Fallerfassung!D29,1,5),S$6),1)</f>
        <v>1</v>
      </c>
    </row>
    <row r="11" spans="1:16381" s="586" customFormat="1">
      <c r="A11" s="586" t="str">
        <f t="shared" si="0"/>
        <v>Allianz KBV Harmonisierung BPV v. 07.01.2010</v>
      </c>
      <c r="B11" s="586">
        <f>ROW()</f>
        <v>11</v>
      </c>
      <c r="C11" s="611" t="s">
        <v>1340</v>
      </c>
      <c r="D11" s="1120">
        <v>40185</v>
      </c>
      <c r="E11" s="612"/>
      <c r="F11" s="613" t="str">
        <f t="shared" si="1"/>
        <v/>
      </c>
      <c r="G11" s="610" t="str">
        <f t="shared" si="2"/>
        <v/>
      </c>
      <c r="I11" s="610"/>
      <c r="J11" s="751"/>
      <c r="K11" s="1118"/>
      <c r="L11" s="1118"/>
      <c r="M11" s="1118"/>
      <c r="N11" s="1118"/>
      <c r="O11" s="752"/>
      <c r="P11" s="140">
        <f t="shared" si="3"/>
        <v>0</v>
      </c>
      <c r="Q11" s="392"/>
      <c r="R11" s="392"/>
      <c r="S11" s="586">
        <f>IFERROR(SEARCH(MID(+Fallerfassung!D30,1,5),S$6),1)</f>
        <v>1</v>
      </c>
      <c r="T11" s="392"/>
      <c r="U11" s="392"/>
      <c r="V11" s="392"/>
      <c r="W11" s="392"/>
      <c r="X11" s="392"/>
      <c r="Y11" s="392"/>
      <c r="Z11" s="392"/>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c r="IW11" s="392"/>
      <c r="IX11" s="392"/>
      <c r="IY11" s="392"/>
      <c r="IZ11" s="392"/>
      <c r="JA11" s="392"/>
      <c r="JB11" s="392"/>
      <c r="JC11" s="392"/>
      <c r="JD11" s="392"/>
      <c r="JE11" s="392"/>
      <c r="JF11" s="392"/>
      <c r="JG11" s="392"/>
      <c r="JH11" s="392"/>
      <c r="JI11" s="392"/>
      <c r="JJ11" s="392"/>
      <c r="JK11" s="392"/>
      <c r="JL11" s="392"/>
      <c r="JM11" s="392"/>
      <c r="JN11" s="392"/>
      <c r="JO11" s="392"/>
      <c r="JP11" s="392"/>
      <c r="JQ11" s="392"/>
      <c r="JR11" s="392"/>
      <c r="JS11" s="392"/>
      <c r="JT11" s="392"/>
      <c r="JU11" s="392"/>
      <c r="JV11" s="392"/>
      <c r="JW11" s="392"/>
      <c r="JX11" s="392"/>
      <c r="JY11" s="392"/>
      <c r="JZ11" s="392"/>
      <c r="KA11" s="392"/>
      <c r="KB11" s="392"/>
      <c r="KC11" s="392"/>
      <c r="KD11" s="392"/>
      <c r="KE11" s="392"/>
      <c r="KF11" s="392"/>
      <c r="KG11" s="392"/>
      <c r="KH11" s="392"/>
      <c r="KI11" s="392"/>
      <c r="KJ11" s="392"/>
      <c r="KK11" s="392"/>
      <c r="KL11" s="392"/>
      <c r="KM11" s="392"/>
      <c r="KN11" s="392"/>
      <c r="KO11" s="392"/>
      <c r="KP11" s="392"/>
      <c r="KQ11" s="392"/>
      <c r="KR11" s="392"/>
      <c r="KS11" s="392"/>
      <c r="KT11" s="392"/>
      <c r="KU11" s="392"/>
      <c r="KV11" s="392"/>
      <c r="KW11" s="392"/>
      <c r="KX11" s="392"/>
      <c r="KY11" s="392"/>
      <c r="KZ11" s="392"/>
      <c r="LA11" s="392"/>
      <c r="LB11" s="392"/>
      <c r="LC11" s="392"/>
      <c r="LD11" s="392"/>
      <c r="LE11" s="392"/>
      <c r="LF11" s="392"/>
      <c r="LG11" s="392"/>
      <c r="LH11" s="392"/>
      <c r="LI11" s="392"/>
      <c r="LJ11" s="392"/>
      <c r="LK11" s="392"/>
      <c r="LL11" s="392"/>
      <c r="LM11" s="392"/>
      <c r="LN11" s="392"/>
      <c r="LO11" s="392"/>
      <c r="LP11" s="392"/>
      <c r="LQ11" s="392"/>
      <c r="LR11" s="392"/>
      <c r="LS11" s="392"/>
      <c r="LT11" s="392"/>
      <c r="LU11" s="392"/>
      <c r="LV11" s="392"/>
      <c r="LW11" s="392"/>
      <c r="LX11" s="392"/>
      <c r="LY11" s="392"/>
      <c r="LZ11" s="392"/>
      <c r="MA11" s="392"/>
      <c r="MB11" s="392"/>
      <c r="MC11" s="392"/>
      <c r="MD11" s="392"/>
      <c r="ME11" s="392"/>
      <c r="MF11" s="392"/>
      <c r="MG11" s="392"/>
      <c r="MH11" s="392"/>
      <c r="MI11" s="392"/>
      <c r="MJ11" s="392"/>
      <c r="MK11" s="392"/>
      <c r="ML11" s="392"/>
      <c r="MM11" s="392"/>
      <c r="MN11" s="392"/>
      <c r="MO11" s="392"/>
      <c r="MP11" s="392"/>
      <c r="MQ11" s="392"/>
      <c r="MR11" s="392"/>
      <c r="MS11" s="392"/>
      <c r="MT11" s="392"/>
      <c r="MU11" s="392"/>
      <c r="MV11" s="392"/>
      <c r="MW11" s="392"/>
      <c r="MX11" s="392"/>
      <c r="MY11" s="392"/>
      <c r="MZ11" s="392"/>
      <c r="NA11" s="392"/>
      <c r="NB11" s="392"/>
      <c r="NC11" s="392"/>
      <c r="ND11" s="392"/>
      <c r="NE11" s="392"/>
      <c r="NF11" s="392"/>
      <c r="NG11" s="392"/>
      <c r="NH11" s="392"/>
      <c r="NI11" s="392"/>
      <c r="NJ11" s="392"/>
      <c r="NK11" s="392"/>
      <c r="NL11" s="392"/>
      <c r="NM11" s="392"/>
      <c r="NN11" s="392"/>
      <c r="NO11" s="392"/>
      <c r="NP11" s="392"/>
      <c r="NQ11" s="392"/>
      <c r="NR11" s="392"/>
      <c r="NS11" s="392"/>
      <c r="NT11" s="392"/>
      <c r="NU11" s="392"/>
      <c r="NV11" s="392"/>
      <c r="NW11" s="392"/>
      <c r="NX11" s="392"/>
      <c r="NY11" s="392"/>
      <c r="NZ11" s="392"/>
      <c r="OA11" s="392"/>
      <c r="OB11" s="392"/>
      <c r="OC11" s="392"/>
      <c r="OD11" s="392"/>
      <c r="OE11" s="392"/>
      <c r="OF11" s="392"/>
      <c r="OG11" s="392"/>
      <c r="OH11" s="392"/>
      <c r="OI11" s="392"/>
      <c r="OJ11" s="392"/>
      <c r="OK11" s="392"/>
      <c r="OL11" s="392"/>
      <c r="OM11" s="392"/>
      <c r="ON11" s="392"/>
      <c r="OO11" s="392"/>
      <c r="OP11" s="392"/>
      <c r="OQ11" s="392"/>
      <c r="OR11" s="392"/>
      <c r="OS11" s="392"/>
      <c r="OT11" s="392"/>
      <c r="OU11" s="392"/>
      <c r="OV11" s="392"/>
      <c r="OW11" s="392"/>
      <c r="OX11" s="392"/>
      <c r="OY11" s="392"/>
      <c r="OZ11" s="392"/>
      <c r="PA11" s="392"/>
      <c r="PB11" s="392"/>
      <c r="PC11" s="392"/>
      <c r="PD11" s="392"/>
      <c r="PE11" s="392"/>
      <c r="PF11" s="392"/>
      <c r="PG11" s="392"/>
      <c r="PH11" s="392"/>
      <c r="PI11" s="392"/>
      <c r="PJ11" s="392"/>
      <c r="PK11" s="392"/>
      <c r="PL11" s="392"/>
      <c r="PM11" s="392"/>
      <c r="PN11" s="392"/>
      <c r="PO11" s="392"/>
      <c r="PP11" s="392"/>
      <c r="PQ11" s="392"/>
      <c r="PR11" s="392"/>
      <c r="PS11" s="392"/>
      <c r="PT11" s="392"/>
      <c r="PU11" s="392"/>
      <c r="PV11" s="392"/>
      <c r="PW11" s="392"/>
      <c r="PX11" s="392"/>
      <c r="PY11" s="392"/>
      <c r="PZ11" s="392"/>
      <c r="QA11" s="392"/>
      <c r="QB11" s="392"/>
      <c r="QC11" s="392"/>
      <c r="QD11" s="392"/>
      <c r="QE11" s="392"/>
      <c r="QF11" s="392"/>
      <c r="QG11" s="392"/>
      <c r="QH11" s="392"/>
      <c r="QI11" s="392"/>
      <c r="QJ11" s="392"/>
      <c r="QK11" s="392"/>
      <c r="QL11" s="392"/>
      <c r="QM11" s="392"/>
      <c r="QN11" s="392"/>
      <c r="QO11" s="392"/>
      <c r="QP11" s="392"/>
      <c r="QQ11" s="392"/>
      <c r="QR11" s="392"/>
      <c r="QS11" s="392"/>
      <c r="QT11" s="392"/>
      <c r="QU11" s="392"/>
      <c r="QV11" s="392"/>
      <c r="QW11" s="392"/>
      <c r="QX11" s="392"/>
      <c r="QY11" s="392"/>
      <c r="QZ11" s="392"/>
      <c r="RA11" s="392"/>
      <c r="RB11" s="392"/>
      <c r="RC11" s="392"/>
      <c r="RD11" s="392"/>
      <c r="RE11" s="392"/>
      <c r="RF11" s="392"/>
      <c r="RG11" s="392"/>
      <c r="RH11" s="392"/>
      <c r="RI11" s="392"/>
      <c r="RJ11" s="392"/>
      <c r="RK11" s="392"/>
      <c r="RL11" s="392"/>
      <c r="RM11" s="392"/>
      <c r="RN11" s="392"/>
      <c r="RO11" s="392"/>
      <c r="RP11" s="392"/>
      <c r="RQ11" s="392"/>
      <c r="RR11" s="392"/>
      <c r="RS11" s="392"/>
      <c r="RT11" s="392"/>
      <c r="RU11" s="392"/>
      <c r="RV11" s="392"/>
      <c r="RW11" s="392"/>
      <c r="RX11" s="392"/>
      <c r="RY11" s="392"/>
      <c r="RZ11" s="392"/>
      <c r="SA11" s="392"/>
      <c r="SB11" s="392"/>
      <c r="SC11" s="392"/>
      <c r="SD11" s="392"/>
      <c r="SE11" s="392"/>
      <c r="SF11" s="392"/>
      <c r="SG11" s="392"/>
      <c r="SH11" s="392"/>
      <c r="SI11" s="392"/>
      <c r="SJ11" s="392"/>
      <c r="SK11" s="392"/>
      <c r="SL11" s="392"/>
      <c r="SM11" s="392"/>
      <c r="SN11" s="392"/>
      <c r="SO11" s="392"/>
      <c r="SP11" s="392"/>
      <c r="SQ11" s="392"/>
      <c r="SR11" s="392"/>
      <c r="SS11" s="392"/>
      <c r="ST11" s="392"/>
      <c r="SU11" s="392"/>
      <c r="SV11" s="392"/>
      <c r="SW11" s="392"/>
      <c r="SX11" s="392"/>
      <c r="SY11" s="392"/>
      <c r="SZ11" s="392"/>
      <c r="TA11" s="392"/>
      <c r="TB11" s="392"/>
      <c r="TC11" s="392"/>
      <c r="TD11" s="392"/>
      <c r="TE11" s="392"/>
      <c r="TF11" s="392"/>
      <c r="TG11" s="392"/>
      <c r="TH11" s="392"/>
      <c r="TI11" s="392"/>
      <c r="TJ11" s="392"/>
      <c r="TK11" s="392"/>
      <c r="TL11" s="392"/>
      <c r="TM11" s="392"/>
      <c r="TN11" s="392"/>
      <c r="TO11" s="392"/>
      <c r="TP11" s="392"/>
      <c r="TQ11" s="392"/>
      <c r="TR11" s="392"/>
      <c r="TS11" s="392"/>
      <c r="TT11" s="392"/>
      <c r="TU11" s="392"/>
      <c r="TV11" s="392"/>
      <c r="TW11" s="392"/>
      <c r="TX11" s="392"/>
      <c r="TY11" s="392"/>
      <c r="TZ11" s="392"/>
      <c r="UA11" s="392"/>
      <c r="UB11" s="392"/>
      <c r="UC11" s="392"/>
      <c r="UD11" s="392"/>
      <c r="UE11" s="392"/>
      <c r="UF11" s="392"/>
      <c r="UG11" s="392"/>
      <c r="UH11" s="392"/>
      <c r="UI11" s="392"/>
      <c r="UJ11" s="392"/>
      <c r="UK11" s="392"/>
      <c r="UL11" s="392"/>
      <c r="UM11" s="392"/>
      <c r="UN11" s="392"/>
      <c r="UO11" s="392"/>
      <c r="UP11" s="392"/>
      <c r="UQ11" s="392"/>
      <c r="UR11" s="392"/>
      <c r="US11" s="392"/>
      <c r="UT11" s="392"/>
      <c r="UU11" s="392"/>
      <c r="UV11" s="392"/>
      <c r="UW11" s="392"/>
      <c r="UX11" s="392"/>
      <c r="UY11" s="392"/>
      <c r="UZ11" s="392"/>
      <c r="VA11" s="392"/>
      <c r="VB11" s="392"/>
      <c r="VC11" s="392"/>
      <c r="VD11" s="392"/>
      <c r="VE11" s="392"/>
      <c r="VF11" s="392"/>
      <c r="VG11" s="392"/>
      <c r="VH11" s="392"/>
      <c r="VI11" s="392"/>
      <c r="VJ11" s="392"/>
      <c r="VK11" s="392"/>
      <c r="VL11" s="392"/>
      <c r="VM11" s="392"/>
      <c r="VN11" s="392"/>
      <c r="VO11" s="392"/>
      <c r="VP11" s="392"/>
      <c r="VQ11" s="392"/>
      <c r="VR11" s="392"/>
      <c r="VS11" s="392"/>
      <c r="VT11" s="392"/>
      <c r="VU11" s="392"/>
      <c r="VV11" s="392"/>
      <c r="VW11" s="392"/>
      <c r="VX11" s="392"/>
      <c r="VY11" s="392"/>
      <c r="VZ11" s="392"/>
      <c r="WA11" s="392"/>
      <c r="WB11" s="392"/>
      <c r="WC11" s="392"/>
      <c r="WD11" s="392"/>
      <c r="WE11" s="392"/>
      <c r="WF11" s="392"/>
      <c r="WG11" s="392"/>
      <c r="WH11" s="392"/>
      <c r="WI11" s="392"/>
      <c r="WJ11" s="392"/>
      <c r="WK11" s="392"/>
      <c r="WL11" s="392"/>
      <c r="WM11" s="392"/>
      <c r="WN11" s="392"/>
      <c r="WO11" s="392"/>
      <c r="WP11" s="392"/>
      <c r="WQ11" s="392"/>
      <c r="WR11" s="392"/>
      <c r="WS11" s="392"/>
      <c r="WT11" s="392"/>
      <c r="WU11" s="392"/>
      <c r="WV11" s="392"/>
      <c r="WW11" s="392"/>
      <c r="WX11" s="392"/>
      <c r="WY11" s="392"/>
      <c r="WZ11" s="392"/>
      <c r="XA11" s="392"/>
      <c r="XB11" s="392"/>
      <c r="XC11" s="392"/>
      <c r="XD11" s="392"/>
      <c r="XE11" s="392"/>
      <c r="XF11" s="392"/>
      <c r="XG11" s="392"/>
      <c r="XH11" s="392"/>
      <c r="XI11" s="392"/>
      <c r="XJ11" s="392"/>
      <c r="XK11" s="392"/>
      <c r="XL11" s="392"/>
      <c r="XM11" s="392"/>
      <c r="XN11" s="392"/>
      <c r="XO11" s="392"/>
      <c r="XP11" s="392"/>
      <c r="XQ11" s="392"/>
      <c r="XR11" s="392"/>
      <c r="XS11" s="392"/>
      <c r="XT11" s="392"/>
      <c r="XU11" s="392"/>
      <c r="XV11" s="392"/>
      <c r="XW11" s="392"/>
      <c r="XX11" s="392"/>
      <c r="XY11" s="392"/>
      <c r="XZ11" s="392"/>
      <c r="YA11" s="392"/>
      <c r="YB11" s="392"/>
      <c r="YC11" s="392"/>
      <c r="YD11" s="392"/>
      <c r="YE11" s="392"/>
      <c r="YF11" s="392"/>
      <c r="YG11" s="392"/>
      <c r="YH11" s="392"/>
      <c r="YI11" s="392"/>
      <c r="YJ11" s="392"/>
      <c r="YK11" s="392"/>
      <c r="YL11" s="392"/>
      <c r="YM11" s="392"/>
      <c r="YN11" s="392"/>
      <c r="YO11" s="392"/>
      <c r="YP11" s="392"/>
      <c r="YQ11" s="392"/>
      <c r="YR11" s="392"/>
      <c r="YS11" s="392"/>
      <c r="YT11" s="392"/>
      <c r="YU11" s="392"/>
      <c r="YV11" s="392"/>
      <c r="YW11" s="392"/>
      <c r="YX11" s="392"/>
      <c r="YY11" s="392"/>
      <c r="YZ11" s="392"/>
      <c r="ZA11" s="392"/>
      <c r="ZB11" s="392"/>
      <c r="ZC11" s="392"/>
      <c r="ZD11" s="392"/>
      <c r="ZE11" s="392"/>
      <c r="ZF11" s="392"/>
      <c r="ZG11" s="392"/>
      <c r="ZH11" s="392"/>
      <c r="ZI11" s="392"/>
      <c r="ZJ11" s="392"/>
      <c r="ZK11" s="392"/>
      <c r="ZL11" s="392"/>
      <c r="ZM11" s="392"/>
      <c r="ZN11" s="392"/>
      <c r="ZO11" s="392"/>
      <c r="ZP11" s="392"/>
      <c r="ZQ11" s="392"/>
      <c r="ZR11" s="392"/>
      <c r="ZS11" s="392"/>
      <c r="ZT11" s="392"/>
      <c r="ZU11" s="392"/>
      <c r="ZV11" s="392"/>
      <c r="ZW11" s="392"/>
      <c r="ZX11" s="392"/>
      <c r="ZY11" s="392"/>
      <c r="ZZ11" s="392"/>
      <c r="AAA11" s="392"/>
      <c r="AAB11" s="392"/>
      <c r="AAC11" s="392"/>
      <c r="AAD11" s="392"/>
      <c r="AAE11" s="392"/>
      <c r="AAF11" s="392"/>
      <c r="AAG11" s="392"/>
      <c r="AAH11" s="392"/>
      <c r="AAI11" s="392"/>
      <c r="AAJ11" s="392"/>
      <c r="AAK11" s="392"/>
      <c r="AAL11" s="392"/>
      <c r="AAM11" s="392"/>
      <c r="AAN11" s="392"/>
      <c r="AAO11" s="392"/>
      <c r="AAP11" s="392"/>
      <c r="AAQ11" s="392"/>
      <c r="AAR11" s="392"/>
      <c r="AAS11" s="392"/>
      <c r="AAT11" s="392"/>
      <c r="AAU11" s="392"/>
      <c r="AAV11" s="392"/>
      <c r="AAW11" s="392"/>
      <c r="AAX11" s="392"/>
      <c r="AAY11" s="392"/>
      <c r="AAZ11" s="392"/>
      <c r="ABA11" s="392"/>
      <c r="ABB11" s="392"/>
      <c r="ABC11" s="392"/>
      <c r="ABD11" s="392"/>
      <c r="ABE11" s="392"/>
      <c r="ABF11" s="392"/>
      <c r="ABG11" s="392"/>
      <c r="ABH11" s="392"/>
      <c r="ABI11" s="392"/>
      <c r="ABJ11" s="392"/>
      <c r="ABK11" s="392"/>
      <c r="ABL11" s="392"/>
      <c r="ABM11" s="392"/>
      <c r="ABN11" s="392"/>
      <c r="ABO11" s="392"/>
      <c r="ABP11" s="392"/>
      <c r="ABQ11" s="392"/>
      <c r="ABR11" s="392"/>
      <c r="ABS11" s="392"/>
      <c r="ABT11" s="392"/>
      <c r="ABU11" s="392"/>
      <c r="ABV11" s="392"/>
      <c r="ABW11" s="392"/>
      <c r="ABX11" s="392"/>
      <c r="ABY11" s="392"/>
      <c r="ABZ11" s="392"/>
      <c r="ACA11" s="392"/>
      <c r="ACB11" s="392"/>
      <c r="ACC11" s="392"/>
      <c r="ACD11" s="392"/>
      <c r="ACE11" s="392"/>
      <c r="ACF11" s="392"/>
      <c r="ACG11" s="392"/>
      <c r="ACH11" s="392"/>
      <c r="ACI11" s="392"/>
      <c r="ACJ11" s="392"/>
      <c r="ACK11" s="392"/>
      <c r="ACL11" s="392"/>
      <c r="ACM11" s="392"/>
      <c r="ACN11" s="392"/>
      <c r="ACO11" s="392"/>
      <c r="ACP11" s="392"/>
      <c r="ACQ11" s="392"/>
      <c r="ACR11" s="392"/>
      <c r="ACS11" s="392"/>
      <c r="ACT11" s="392"/>
      <c r="ACU11" s="392"/>
      <c r="ACV11" s="392"/>
      <c r="ACW11" s="392"/>
      <c r="ACX11" s="392"/>
      <c r="ACY11" s="392"/>
      <c r="ACZ11" s="392"/>
      <c r="ADA11" s="392"/>
      <c r="ADB11" s="392"/>
      <c r="ADC11" s="392"/>
      <c r="ADD11" s="392"/>
      <c r="ADE11" s="392"/>
      <c r="ADF11" s="392"/>
      <c r="ADG11" s="392"/>
      <c r="ADH11" s="392"/>
      <c r="ADI11" s="392"/>
      <c r="ADJ11" s="392"/>
      <c r="ADK11" s="392"/>
      <c r="ADL11" s="392"/>
      <c r="ADM11" s="392"/>
      <c r="ADN11" s="392"/>
      <c r="ADO11" s="392"/>
      <c r="ADP11" s="392"/>
      <c r="ADQ11" s="392"/>
      <c r="ADR11" s="392"/>
      <c r="ADS11" s="392"/>
      <c r="ADT11" s="392"/>
      <c r="ADU11" s="392"/>
      <c r="ADV11" s="392"/>
      <c r="ADW11" s="392"/>
      <c r="ADX11" s="392"/>
      <c r="ADY11" s="392"/>
      <c r="ADZ11" s="392"/>
      <c r="AEA11" s="392"/>
      <c r="AEB11" s="392"/>
      <c r="AEC11" s="392"/>
      <c r="AED11" s="392"/>
      <c r="AEE11" s="392"/>
      <c r="AEF11" s="392"/>
      <c r="AEG11" s="392"/>
      <c r="AEH11" s="392"/>
      <c r="AEI11" s="392"/>
      <c r="AEJ11" s="392"/>
      <c r="AEK11" s="392"/>
      <c r="AEL11" s="392"/>
      <c r="AEM11" s="392"/>
      <c r="AEN11" s="392"/>
      <c r="AEO11" s="392"/>
      <c r="AEP11" s="392"/>
      <c r="AEQ11" s="392"/>
      <c r="AER11" s="392"/>
      <c r="AES11" s="392"/>
      <c r="AET11" s="392"/>
      <c r="AEU11" s="392"/>
      <c r="AEV11" s="392"/>
      <c r="AEW11" s="392"/>
      <c r="AEX11" s="392"/>
      <c r="AEY11" s="392"/>
      <c r="AEZ11" s="392"/>
      <c r="AFA11" s="392"/>
      <c r="AFB11" s="392"/>
      <c r="AFC11" s="392"/>
      <c r="AFD11" s="392"/>
      <c r="AFE11" s="392"/>
      <c r="AFF11" s="392"/>
      <c r="AFG11" s="392"/>
      <c r="AFH11" s="392"/>
      <c r="AFI11" s="392"/>
      <c r="AFJ11" s="392"/>
      <c r="AFK11" s="392"/>
      <c r="AFL11" s="392"/>
      <c r="AFM11" s="392"/>
      <c r="AFN11" s="392"/>
      <c r="AFO11" s="392"/>
      <c r="AFP11" s="392"/>
      <c r="AFQ11" s="392"/>
      <c r="AFR11" s="392"/>
      <c r="AFS11" s="392"/>
      <c r="AFT11" s="392"/>
      <c r="AFU11" s="392"/>
      <c r="AFV11" s="392"/>
      <c r="AFW11" s="392"/>
      <c r="AFX11" s="392"/>
      <c r="AFY11" s="392"/>
      <c r="AFZ11" s="392"/>
      <c r="AGA11" s="392"/>
      <c r="AGB11" s="392"/>
      <c r="AGC11" s="392"/>
      <c r="AGD11" s="392"/>
      <c r="AGE11" s="392"/>
      <c r="AGF11" s="392"/>
      <c r="AGG11" s="392"/>
      <c r="AGH11" s="392"/>
      <c r="AGI11" s="392"/>
      <c r="AGJ11" s="392"/>
      <c r="AGK11" s="392"/>
      <c r="AGL11" s="392"/>
      <c r="AGM11" s="392"/>
      <c r="AGN11" s="392"/>
      <c r="AGO11" s="392"/>
      <c r="AGP11" s="392"/>
      <c r="AGQ11" s="392"/>
      <c r="AGR11" s="392"/>
      <c r="AGS11" s="392"/>
      <c r="AGT11" s="392"/>
      <c r="AGU11" s="392"/>
      <c r="AGV11" s="392"/>
      <c r="AGW11" s="392"/>
      <c r="AGX11" s="392"/>
      <c r="AGY11" s="392"/>
      <c r="AGZ11" s="392"/>
      <c r="AHA11" s="392"/>
      <c r="AHB11" s="392"/>
      <c r="AHC11" s="392"/>
      <c r="AHD11" s="392"/>
      <c r="AHE11" s="392"/>
      <c r="AHF11" s="392"/>
      <c r="AHG11" s="392"/>
      <c r="AHH11" s="392"/>
      <c r="AHI11" s="392"/>
      <c r="AHJ11" s="392"/>
      <c r="AHK11" s="392"/>
      <c r="AHL11" s="392"/>
      <c r="AHM11" s="392"/>
      <c r="AHN11" s="392"/>
      <c r="AHO11" s="392"/>
      <c r="AHP11" s="392"/>
      <c r="AHQ11" s="392"/>
      <c r="AHR11" s="392"/>
      <c r="AHS11" s="392"/>
      <c r="AHT11" s="392"/>
      <c r="AHU11" s="392"/>
      <c r="AHV11" s="392"/>
      <c r="AHW11" s="392"/>
      <c r="AHX11" s="392"/>
      <c r="AHY11" s="392"/>
      <c r="AHZ11" s="392"/>
      <c r="AIA11" s="392"/>
      <c r="AIB11" s="392"/>
      <c r="AIC11" s="392"/>
      <c r="AID11" s="392"/>
      <c r="AIE11" s="392"/>
      <c r="AIF11" s="392"/>
      <c r="AIG11" s="392"/>
      <c r="AIH11" s="392"/>
      <c r="AII11" s="392"/>
      <c r="AIJ11" s="392"/>
      <c r="AIK11" s="392"/>
      <c r="AIL11" s="392"/>
      <c r="AIM11" s="392"/>
      <c r="AIN11" s="392"/>
      <c r="AIO11" s="392"/>
      <c r="AIP11" s="392"/>
      <c r="AIQ11" s="392"/>
      <c r="AIR11" s="392"/>
      <c r="AIS11" s="392"/>
      <c r="AIT11" s="392"/>
      <c r="AIU11" s="392"/>
      <c r="AIV11" s="392"/>
      <c r="AIW11" s="392"/>
      <c r="AIX11" s="392"/>
      <c r="AIY11" s="392"/>
      <c r="AIZ11" s="392"/>
      <c r="AJA11" s="392"/>
      <c r="AJB11" s="392"/>
      <c r="AJC11" s="392"/>
      <c r="AJD11" s="392"/>
      <c r="AJE11" s="392"/>
      <c r="AJF11" s="392"/>
      <c r="AJG11" s="392"/>
      <c r="AJH11" s="392"/>
      <c r="AJI11" s="392"/>
      <c r="AJJ11" s="392"/>
      <c r="AJK11" s="392"/>
      <c r="AJL11" s="392"/>
      <c r="AJM11" s="392"/>
      <c r="AJN11" s="392"/>
      <c r="AJO11" s="392"/>
      <c r="AJP11" s="392"/>
      <c r="AJQ11" s="392"/>
      <c r="AJR11" s="392"/>
      <c r="AJS11" s="392"/>
      <c r="AJT11" s="392"/>
      <c r="AJU11" s="392"/>
      <c r="AJV11" s="392"/>
      <c r="AJW11" s="392"/>
      <c r="AJX11" s="392"/>
      <c r="AJY11" s="392"/>
      <c r="AJZ11" s="392"/>
      <c r="AKA11" s="392"/>
      <c r="AKB11" s="392"/>
      <c r="AKC11" s="392"/>
      <c r="AKD11" s="392"/>
      <c r="AKE11" s="392"/>
      <c r="AKF11" s="392"/>
      <c r="AKG11" s="392"/>
      <c r="AKH11" s="392"/>
      <c r="AKI11" s="392"/>
      <c r="AKJ11" s="392"/>
      <c r="AKK11" s="392"/>
      <c r="AKL11" s="392"/>
      <c r="AKM11" s="392"/>
      <c r="AKN11" s="392"/>
      <c r="AKO11" s="392"/>
      <c r="AKP11" s="392"/>
      <c r="AKQ11" s="392"/>
      <c r="AKR11" s="392"/>
      <c r="AKS11" s="392"/>
      <c r="AKT11" s="392"/>
      <c r="AKU11" s="392"/>
      <c r="AKV11" s="392"/>
      <c r="AKW11" s="392"/>
      <c r="AKX11" s="392"/>
      <c r="AKY11" s="392"/>
      <c r="AKZ11" s="392"/>
      <c r="ALA11" s="392"/>
      <c r="ALB11" s="392"/>
      <c r="ALC11" s="392"/>
      <c r="ALD11" s="392"/>
      <c r="ALE11" s="392"/>
      <c r="ALF11" s="392"/>
      <c r="ALG11" s="392"/>
      <c r="ALH11" s="392"/>
      <c r="ALI11" s="392"/>
      <c r="ALJ11" s="392"/>
      <c r="ALK11" s="392"/>
      <c r="ALL11" s="392"/>
      <c r="ALM11" s="392"/>
      <c r="ALN11" s="392"/>
      <c r="ALO11" s="392"/>
      <c r="ALP11" s="392"/>
      <c r="ALQ11" s="392"/>
      <c r="ALR11" s="392"/>
      <c r="ALS11" s="392"/>
      <c r="ALT11" s="392"/>
      <c r="ALU11" s="392"/>
      <c r="ALV11" s="392"/>
      <c r="ALW11" s="392"/>
      <c r="ALX11" s="392"/>
      <c r="ALY11" s="392"/>
      <c r="ALZ11" s="392"/>
      <c r="AMA11" s="392"/>
      <c r="AMB11" s="392"/>
      <c r="AMC11" s="392"/>
      <c r="AMD11" s="392"/>
      <c r="AME11" s="392"/>
      <c r="AMF11" s="392"/>
      <c r="AMG11" s="392"/>
      <c r="AMH11" s="392"/>
      <c r="AMI11" s="392"/>
      <c r="AMJ11" s="392"/>
      <c r="AMK11" s="392"/>
      <c r="AML11" s="392"/>
      <c r="AMM11" s="392"/>
      <c r="AMN11" s="392"/>
      <c r="AMO11" s="392"/>
      <c r="AMP11" s="392"/>
      <c r="AMQ11" s="392"/>
      <c r="AMR11" s="392"/>
      <c r="AMS11" s="392"/>
      <c r="AMT11" s="392"/>
      <c r="AMU11" s="392"/>
      <c r="AMV11" s="392"/>
      <c r="AMW11" s="392"/>
      <c r="AMX11" s="392"/>
      <c r="AMY11" s="392"/>
      <c r="AMZ11" s="392"/>
      <c r="ANA11" s="392"/>
      <c r="ANB11" s="392"/>
      <c r="ANC11" s="392"/>
      <c r="AND11" s="392"/>
      <c r="ANE11" s="392"/>
      <c r="ANF11" s="392"/>
      <c r="ANG11" s="392"/>
      <c r="ANH11" s="392"/>
      <c r="ANI11" s="392"/>
      <c r="ANJ11" s="392"/>
      <c r="ANK11" s="392"/>
      <c r="ANL11" s="392"/>
      <c r="ANM11" s="392"/>
      <c r="ANN11" s="392"/>
      <c r="ANO11" s="392"/>
      <c r="ANP11" s="392"/>
      <c r="ANQ11" s="392"/>
      <c r="ANR11" s="392"/>
      <c r="ANS11" s="392"/>
      <c r="ANT11" s="392"/>
      <c r="ANU11" s="392"/>
      <c r="ANV11" s="392"/>
      <c r="ANW11" s="392"/>
      <c r="ANX11" s="392"/>
      <c r="ANY11" s="392"/>
      <c r="ANZ11" s="392"/>
      <c r="AOA11" s="392"/>
      <c r="AOB11" s="392"/>
      <c r="AOC11" s="392"/>
      <c r="AOD11" s="392"/>
      <c r="AOE11" s="392"/>
      <c r="AOF11" s="392"/>
      <c r="AOG11" s="392"/>
      <c r="AOH11" s="392"/>
      <c r="AOI11" s="392"/>
      <c r="AOJ11" s="392"/>
      <c r="AOK11" s="392"/>
      <c r="AOL11" s="392"/>
      <c r="AOM11" s="392"/>
      <c r="AON11" s="392"/>
      <c r="AOO11" s="392"/>
      <c r="AOP11" s="392"/>
      <c r="AOQ11" s="392"/>
      <c r="AOR11" s="392"/>
      <c r="AOS11" s="392"/>
      <c r="AOT11" s="392"/>
      <c r="AOU11" s="392"/>
      <c r="AOV11" s="392"/>
      <c r="AOW11" s="392"/>
      <c r="AOX11" s="392"/>
      <c r="AOY11" s="392"/>
      <c r="AOZ11" s="392"/>
      <c r="APA11" s="392"/>
      <c r="APB11" s="392"/>
      <c r="APC11" s="392"/>
      <c r="APD11" s="392"/>
      <c r="APE11" s="392"/>
      <c r="APF11" s="392"/>
      <c r="APG11" s="392"/>
      <c r="APH11" s="392"/>
      <c r="API11" s="392"/>
      <c r="APJ11" s="392"/>
      <c r="APK11" s="392"/>
      <c r="APL11" s="392"/>
      <c r="APM11" s="392"/>
      <c r="APN11" s="392"/>
      <c r="APO11" s="392"/>
      <c r="APP11" s="392"/>
      <c r="APQ11" s="392"/>
      <c r="APR11" s="392"/>
      <c r="APS11" s="392"/>
      <c r="APT11" s="392"/>
      <c r="APU11" s="392"/>
      <c r="APV11" s="392"/>
      <c r="APW11" s="392"/>
      <c r="APX11" s="392"/>
      <c r="APY11" s="392"/>
      <c r="APZ11" s="392"/>
      <c r="AQA11" s="392"/>
      <c r="AQB11" s="392"/>
      <c r="AQC11" s="392"/>
      <c r="AQD11" s="392"/>
      <c r="AQE11" s="392"/>
      <c r="AQF11" s="392"/>
      <c r="AQG11" s="392"/>
      <c r="AQH11" s="392"/>
      <c r="AQI11" s="392"/>
      <c r="AQJ11" s="392"/>
      <c r="AQK11" s="392"/>
      <c r="AQL11" s="392"/>
      <c r="AQM11" s="392"/>
      <c r="AQN11" s="392"/>
      <c r="AQO11" s="392"/>
      <c r="AQP11" s="392"/>
      <c r="AQQ11" s="392"/>
      <c r="AQR11" s="392"/>
      <c r="AQS11" s="392"/>
      <c r="AQT11" s="392"/>
      <c r="AQU11" s="392"/>
      <c r="AQV11" s="392"/>
      <c r="AQW11" s="392"/>
      <c r="AQX11" s="392"/>
      <c r="AQY11" s="392"/>
      <c r="AQZ11" s="392"/>
      <c r="ARA11" s="392"/>
      <c r="ARB11" s="392"/>
      <c r="ARC11" s="392"/>
      <c r="ARD11" s="392"/>
      <c r="ARE11" s="392"/>
      <c r="ARF11" s="392"/>
      <c r="ARG11" s="392"/>
      <c r="ARH11" s="392"/>
      <c r="ARI11" s="392"/>
      <c r="ARJ11" s="392"/>
      <c r="ARK11" s="392"/>
      <c r="ARL11" s="392"/>
      <c r="ARM11" s="392"/>
      <c r="ARN11" s="392"/>
      <c r="ARO11" s="392"/>
      <c r="ARP11" s="392"/>
      <c r="ARQ11" s="392"/>
      <c r="ARR11" s="392"/>
      <c r="ARS11" s="392"/>
      <c r="ART11" s="392"/>
      <c r="ARU11" s="392"/>
      <c r="ARV11" s="392"/>
      <c r="ARW11" s="392"/>
      <c r="ARX11" s="392"/>
      <c r="ARY11" s="392"/>
      <c r="ARZ11" s="392"/>
      <c r="ASA11" s="392"/>
      <c r="ASB11" s="392"/>
      <c r="ASC11" s="392"/>
      <c r="ASD11" s="392"/>
      <c r="ASE11" s="392"/>
      <c r="ASF11" s="392"/>
      <c r="ASG11" s="392"/>
      <c r="ASH11" s="392"/>
      <c r="ASI11" s="392"/>
      <c r="ASJ11" s="392"/>
      <c r="ASK11" s="392"/>
      <c r="ASL11" s="392"/>
      <c r="ASM11" s="392"/>
      <c r="ASN11" s="392"/>
      <c r="ASO11" s="392"/>
      <c r="ASP11" s="392"/>
      <c r="ASQ11" s="392"/>
      <c r="ASR11" s="392"/>
      <c r="ASS11" s="392"/>
      <c r="AST11" s="392"/>
      <c r="ASU11" s="392"/>
      <c r="ASV11" s="392"/>
      <c r="ASW11" s="392"/>
      <c r="ASX11" s="392"/>
      <c r="ASY11" s="392"/>
      <c r="ASZ11" s="392"/>
      <c r="ATA11" s="392"/>
      <c r="ATB11" s="392"/>
      <c r="ATC11" s="392"/>
      <c r="ATD11" s="392"/>
      <c r="ATE11" s="392"/>
      <c r="ATF11" s="392"/>
      <c r="ATG11" s="392"/>
      <c r="ATH11" s="392"/>
      <c r="ATI11" s="392"/>
      <c r="ATJ11" s="392"/>
      <c r="ATK11" s="392"/>
      <c r="ATL11" s="392"/>
      <c r="ATM11" s="392"/>
      <c r="ATN11" s="392"/>
      <c r="ATO11" s="392"/>
      <c r="ATP11" s="392"/>
      <c r="ATQ11" s="392"/>
      <c r="ATR11" s="392"/>
      <c r="ATS11" s="392"/>
      <c r="ATT11" s="392"/>
      <c r="ATU11" s="392"/>
      <c r="ATV11" s="392"/>
      <c r="ATW11" s="392"/>
      <c r="ATX11" s="392"/>
      <c r="ATY11" s="392"/>
      <c r="ATZ11" s="392"/>
      <c r="AUA11" s="392"/>
      <c r="AUB11" s="392"/>
      <c r="AUC11" s="392"/>
      <c r="AUD11" s="392"/>
      <c r="AUE11" s="392"/>
      <c r="AUF11" s="392"/>
      <c r="AUG11" s="392"/>
      <c r="AUH11" s="392"/>
      <c r="AUI11" s="392"/>
      <c r="AUJ11" s="392"/>
      <c r="AUK11" s="392"/>
      <c r="AUL11" s="392"/>
      <c r="AUM11" s="392"/>
      <c r="AUN11" s="392"/>
      <c r="AUO11" s="392"/>
      <c r="AUP11" s="392"/>
      <c r="AUQ11" s="392"/>
      <c r="AUR11" s="392"/>
      <c r="AUS11" s="392"/>
      <c r="AUT11" s="392"/>
      <c r="AUU11" s="392"/>
      <c r="AUV11" s="392"/>
      <c r="AUW11" s="392"/>
      <c r="AUX11" s="392"/>
      <c r="AUY11" s="392"/>
      <c r="AUZ11" s="392"/>
      <c r="AVA11" s="392"/>
      <c r="AVB11" s="392"/>
      <c r="AVC11" s="392"/>
      <c r="AVD11" s="392"/>
      <c r="AVE11" s="392"/>
      <c r="AVF11" s="392"/>
      <c r="AVG11" s="392"/>
      <c r="AVH11" s="392"/>
      <c r="AVI11" s="392"/>
      <c r="AVJ11" s="392"/>
      <c r="AVK11" s="392"/>
      <c r="AVL11" s="392"/>
      <c r="AVM11" s="392"/>
      <c r="AVN11" s="392"/>
      <c r="AVO11" s="392"/>
      <c r="AVP11" s="392"/>
      <c r="AVQ11" s="392"/>
      <c r="AVR11" s="392"/>
      <c r="AVS11" s="392"/>
      <c r="AVT11" s="392"/>
      <c r="AVU11" s="392"/>
      <c r="AVV11" s="392"/>
      <c r="AVW11" s="392"/>
      <c r="AVX11" s="392"/>
      <c r="AVY11" s="392"/>
      <c r="AVZ11" s="392"/>
      <c r="AWA11" s="392"/>
      <c r="AWB11" s="392"/>
      <c r="AWC11" s="392"/>
      <c r="AWD11" s="392"/>
      <c r="AWE11" s="392"/>
      <c r="AWF11" s="392"/>
      <c r="AWG11" s="392"/>
      <c r="AWH11" s="392"/>
      <c r="AWI11" s="392"/>
      <c r="AWJ11" s="392"/>
      <c r="AWK11" s="392"/>
      <c r="AWL11" s="392"/>
      <c r="AWM11" s="392"/>
      <c r="AWN11" s="392"/>
      <c r="AWO11" s="392"/>
      <c r="AWP11" s="392"/>
      <c r="AWQ11" s="392"/>
      <c r="AWR11" s="392"/>
      <c r="AWS11" s="392"/>
      <c r="AWT11" s="392"/>
      <c r="AWU11" s="392"/>
      <c r="AWV11" s="392"/>
      <c r="AWW11" s="392"/>
      <c r="AWX11" s="392"/>
      <c r="AWY11" s="392"/>
      <c r="AWZ11" s="392"/>
      <c r="AXA11" s="392"/>
      <c r="AXB11" s="392"/>
      <c r="AXC11" s="392"/>
      <c r="AXD11" s="392"/>
      <c r="AXE11" s="392"/>
      <c r="AXF11" s="392"/>
      <c r="AXG11" s="392"/>
      <c r="AXH11" s="392"/>
      <c r="AXI11" s="392"/>
      <c r="AXJ11" s="392"/>
      <c r="AXK11" s="392"/>
      <c r="AXL11" s="392"/>
      <c r="AXM11" s="392"/>
      <c r="AXN11" s="392"/>
      <c r="AXO11" s="392"/>
      <c r="AXP11" s="392"/>
      <c r="AXQ11" s="392"/>
      <c r="AXR11" s="392"/>
      <c r="AXS11" s="392"/>
      <c r="AXT11" s="392"/>
      <c r="AXU11" s="392"/>
      <c r="AXV11" s="392"/>
      <c r="AXW11" s="392"/>
      <c r="AXX11" s="392"/>
      <c r="AXY11" s="392"/>
      <c r="AXZ11" s="392"/>
      <c r="AYA11" s="392"/>
      <c r="AYB11" s="392"/>
      <c r="AYC11" s="392"/>
      <c r="AYD11" s="392"/>
      <c r="AYE11" s="392"/>
      <c r="AYF11" s="392"/>
      <c r="AYG11" s="392"/>
      <c r="AYH11" s="392"/>
      <c r="AYI11" s="392"/>
      <c r="AYJ11" s="392"/>
      <c r="AYK11" s="392"/>
      <c r="AYL11" s="392"/>
      <c r="AYM11" s="392"/>
      <c r="AYN11" s="392"/>
      <c r="AYO11" s="392"/>
      <c r="AYP11" s="392"/>
      <c r="AYQ11" s="392"/>
      <c r="AYR11" s="392"/>
      <c r="AYS11" s="392"/>
      <c r="AYT11" s="392"/>
      <c r="AYU11" s="392"/>
      <c r="AYV11" s="392"/>
      <c r="AYW11" s="392"/>
      <c r="AYX11" s="392"/>
      <c r="AYY11" s="392"/>
      <c r="AYZ11" s="392"/>
      <c r="AZA11" s="392"/>
      <c r="AZB11" s="392"/>
      <c r="AZC11" s="392"/>
      <c r="AZD11" s="392"/>
      <c r="AZE11" s="392"/>
      <c r="AZF11" s="392"/>
      <c r="AZG11" s="392"/>
      <c r="AZH11" s="392"/>
      <c r="AZI11" s="392"/>
      <c r="AZJ11" s="392"/>
      <c r="AZK11" s="392"/>
      <c r="AZL11" s="392"/>
      <c r="AZM11" s="392"/>
      <c r="AZN11" s="392"/>
      <c r="AZO11" s="392"/>
      <c r="AZP11" s="392"/>
      <c r="AZQ11" s="392"/>
      <c r="AZR11" s="392"/>
      <c r="AZS11" s="392"/>
      <c r="AZT11" s="392"/>
      <c r="AZU11" s="392"/>
      <c r="AZV11" s="392"/>
      <c r="AZW11" s="392"/>
      <c r="AZX11" s="392"/>
      <c r="AZY11" s="392"/>
      <c r="AZZ11" s="392"/>
      <c r="BAA11" s="392"/>
      <c r="BAB11" s="392"/>
      <c r="BAC11" s="392"/>
      <c r="BAD11" s="392"/>
      <c r="BAE11" s="392"/>
      <c r="BAF11" s="392"/>
      <c r="BAG11" s="392"/>
      <c r="BAH11" s="392"/>
      <c r="BAI11" s="392"/>
      <c r="BAJ11" s="392"/>
      <c r="BAK11" s="392"/>
      <c r="BAL11" s="392"/>
      <c r="BAM11" s="392"/>
      <c r="BAN11" s="392"/>
      <c r="BAO11" s="392"/>
      <c r="BAP11" s="392"/>
      <c r="BAQ11" s="392"/>
      <c r="BAR11" s="392"/>
      <c r="BAS11" s="392"/>
      <c r="BAT11" s="392"/>
      <c r="BAU11" s="392"/>
      <c r="BAV11" s="392"/>
      <c r="BAW11" s="392"/>
      <c r="BAX11" s="392"/>
      <c r="BAY11" s="392"/>
      <c r="BAZ11" s="392"/>
      <c r="BBA11" s="392"/>
      <c r="BBB11" s="392"/>
      <c r="BBC11" s="392"/>
      <c r="BBD11" s="392"/>
      <c r="BBE11" s="392"/>
      <c r="BBF11" s="392"/>
      <c r="BBG11" s="392"/>
      <c r="BBH11" s="392"/>
      <c r="BBI11" s="392"/>
      <c r="BBJ11" s="392"/>
      <c r="BBK11" s="392"/>
      <c r="BBL11" s="392"/>
      <c r="BBM11" s="392"/>
      <c r="BBN11" s="392"/>
      <c r="BBO11" s="392"/>
      <c r="BBP11" s="392"/>
      <c r="BBQ11" s="392"/>
      <c r="BBR11" s="392"/>
      <c r="BBS11" s="392"/>
      <c r="BBT11" s="392"/>
      <c r="BBU11" s="392"/>
      <c r="BBV11" s="392"/>
      <c r="BBW11" s="392"/>
      <c r="BBX11" s="392"/>
      <c r="BBY11" s="392"/>
      <c r="BBZ11" s="392"/>
      <c r="BCA11" s="392"/>
      <c r="BCB11" s="392"/>
      <c r="BCC11" s="392"/>
      <c r="BCD11" s="392"/>
      <c r="BCE11" s="392"/>
      <c r="BCF11" s="392"/>
      <c r="BCG11" s="392"/>
      <c r="BCH11" s="392"/>
      <c r="BCI11" s="392"/>
      <c r="BCJ11" s="392"/>
      <c r="BCK11" s="392"/>
      <c r="BCL11" s="392"/>
      <c r="BCM11" s="392"/>
      <c r="BCN11" s="392"/>
      <c r="BCO11" s="392"/>
      <c r="BCP11" s="392"/>
      <c r="BCQ11" s="392"/>
      <c r="BCR11" s="392"/>
      <c r="BCS11" s="392"/>
      <c r="BCT11" s="392"/>
      <c r="BCU11" s="392"/>
      <c r="BCV11" s="392"/>
      <c r="BCW11" s="392"/>
      <c r="BCX11" s="392"/>
      <c r="BCY11" s="392"/>
      <c r="BCZ11" s="392"/>
      <c r="BDA11" s="392"/>
      <c r="BDB11" s="392"/>
      <c r="BDC11" s="392"/>
      <c r="BDD11" s="392"/>
      <c r="BDE11" s="392"/>
      <c r="BDF11" s="392"/>
      <c r="BDG11" s="392"/>
      <c r="BDH11" s="392"/>
      <c r="BDI11" s="392"/>
      <c r="BDJ11" s="392"/>
      <c r="BDK11" s="392"/>
      <c r="BDL11" s="392"/>
      <c r="BDM11" s="392"/>
      <c r="BDN11" s="392"/>
      <c r="BDO11" s="392"/>
      <c r="BDP11" s="392"/>
      <c r="BDQ11" s="392"/>
      <c r="BDR11" s="392"/>
      <c r="BDS11" s="392"/>
      <c r="BDT11" s="392"/>
      <c r="BDU11" s="392"/>
      <c r="BDV11" s="392"/>
      <c r="BDW11" s="392"/>
      <c r="BDX11" s="392"/>
      <c r="BDY11" s="392"/>
      <c r="BDZ11" s="392"/>
      <c r="BEA11" s="392"/>
      <c r="BEB11" s="392"/>
      <c r="BEC11" s="392"/>
      <c r="BED11" s="392"/>
      <c r="BEE11" s="392"/>
      <c r="BEF11" s="392"/>
      <c r="BEG11" s="392"/>
      <c r="BEH11" s="392"/>
      <c r="BEI11" s="392"/>
      <c r="BEJ11" s="392"/>
      <c r="BEK11" s="392"/>
      <c r="BEL11" s="392"/>
      <c r="BEM11" s="392"/>
      <c r="BEN11" s="392"/>
      <c r="BEO11" s="392"/>
      <c r="BEP11" s="392"/>
      <c r="BEQ11" s="392"/>
      <c r="BER11" s="392"/>
      <c r="BES11" s="392"/>
      <c r="BET11" s="392"/>
      <c r="BEU11" s="392"/>
      <c r="BEV11" s="392"/>
      <c r="BEW11" s="392"/>
      <c r="BEX11" s="392"/>
      <c r="BEY11" s="392"/>
      <c r="BEZ11" s="392"/>
      <c r="BFA11" s="392"/>
      <c r="BFB11" s="392"/>
      <c r="BFC11" s="392"/>
      <c r="BFD11" s="392"/>
      <c r="BFE11" s="392"/>
      <c r="BFF11" s="392"/>
      <c r="BFG11" s="392"/>
      <c r="BFH11" s="392"/>
      <c r="BFI11" s="392"/>
      <c r="BFJ11" s="392"/>
      <c r="BFK11" s="392"/>
      <c r="BFL11" s="392"/>
      <c r="BFM11" s="392"/>
      <c r="BFN11" s="392"/>
      <c r="BFO11" s="392"/>
      <c r="BFP11" s="392"/>
      <c r="BFQ11" s="392"/>
      <c r="BFR11" s="392"/>
      <c r="BFS11" s="392"/>
      <c r="BFT11" s="392"/>
      <c r="BFU11" s="392"/>
      <c r="BFV11" s="392"/>
      <c r="BFW11" s="392"/>
      <c r="BFX11" s="392"/>
      <c r="BFY11" s="392"/>
      <c r="BFZ11" s="392"/>
      <c r="BGA11" s="392"/>
      <c r="BGB11" s="392"/>
      <c r="BGC11" s="392"/>
      <c r="BGD11" s="392"/>
      <c r="BGE11" s="392"/>
      <c r="BGF11" s="392"/>
      <c r="BGG11" s="392"/>
      <c r="BGH11" s="392"/>
      <c r="BGI11" s="392"/>
      <c r="BGJ11" s="392"/>
      <c r="BGK11" s="392"/>
      <c r="BGL11" s="392"/>
      <c r="BGM11" s="392"/>
      <c r="BGN11" s="392"/>
      <c r="BGO11" s="392"/>
      <c r="BGP11" s="392"/>
      <c r="BGQ11" s="392"/>
      <c r="BGR11" s="392"/>
      <c r="BGS11" s="392"/>
      <c r="BGT11" s="392"/>
      <c r="BGU11" s="392"/>
      <c r="BGV11" s="392"/>
      <c r="BGW11" s="392"/>
      <c r="BGX11" s="392"/>
      <c r="BGY11" s="392"/>
      <c r="BGZ11" s="392"/>
      <c r="BHA11" s="392"/>
      <c r="BHB11" s="392"/>
      <c r="BHC11" s="392"/>
      <c r="BHD11" s="392"/>
      <c r="BHE11" s="392"/>
      <c r="BHF11" s="392"/>
      <c r="BHG11" s="392"/>
      <c r="BHH11" s="392"/>
      <c r="BHI11" s="392"/>
      <c r="BHJ11" s="392"/>
      <c r="BHK11" s="392"/>
      <c r="BHL11" s="392"/>
      <c r="BHM11" s="392"/>
      <c r="BHN11" s="392"/>
      <c r="BHO11" s="392"/>
      <c r="BHP11" s="392"/>
      <c r="BHQ11" s="392"/>
      <c r="BHR11" s="392"/>
      <c r="BHS11" s="392"/>
      <c r="BHT11" s="392"/>
      <c r="BHU11" s="392"/>
      <c r="BHV11" s="392"/>
      <c r="BHW11" s="392"/>
      <c r="BHX11" s="392"/>
      <c r="BHY11" s="392"/>
      <c r="BHZ11" s="392"/>
      <c r="BIA11" s="392"/>
      <c r="BIB11" s="392"/>
      <c r="BIC11" s="392"/>
      <c r="BID11" s="392"/>
      <c r="BIE11" s="392"/>
      <c r="BIF11" s="392"/>
      <c r="BIG11" s="392"/>
      <c r="BIH11" s="392"/>
      <c r="BII11" s="392"/>
      <c r="BIJ11" s="392"/>
      <c r="BIK11" s="392"/>
      <c r="BIL11" s="392"/>
      <c r="BIM11" s="392"/>
      <c r="BIN11" s="392"/>
      <c r="BIO11" s="392"/>
      <c r="BIP11" s="392"/>
      <c r="BIQ11" s="392"/>
      <c r="BIR11" s="392"/>
      <c r="BIS11" s="392"/>
      <c r="BIT11" s="392"/>
      <c r="BIU11" s="392"/>
      <c r="BIV11" s="392"/>
      <c r="BIW11" s="392"/>
      <c r="BIX11" s="392"/>
      <c r="BIY11" s="392"/>
      <c r="BIZ11" s="392"/>
      <c r="BJA11" s="392"/>
      <c r="BJB11" s="392"/>
      <c r="BJC11" s="392"/>
      <c r="BJD11" s="392"/>
      <c r="BJE11" s="392"/>
      <c r="BJF11" s="392"/>
      <c r="BJG11" s="392"/>
      <c r="BJH11" s="392"/>
      <c r="BJI11" s="392"/>
      <c r="BJJ11" s="392"/>
      <c r="BJK11" s="392"/>
      <c r="BJL11" s="392"/>
      <c r="BJM11" s="392"/>
      <c r="BJN11" s="392"/>
      <c r="BJO11" s="392"/>
      <c r="BJP11" s="392"/>
      <c r="BJQ11" s="392"/>
      <c r="BJR11" s="392"/>
      <c r="BJS11" s="392"/>
      <c r="BJT11" s="392"/>
      <c r="BJU11" s="392"/>
      <c r="BJV11" s="392"/>
      <c r="BJW11" s="392"/>
      <c r="BJX11" s="392"/>
      <c r="BJY11" s="392"/>
      <c r="BJZ11" s="392"/>
      <c r="BKA11" s="392"/>
      <c r="BKB11" s="392"/>
      <c r="BKC11" s="392"/>
      <c r="BKD11" s="392"/>
      <c r="BKE11" s="392"/>
      <c r="BKF11" s="392"/>
      <c r="BKG11" s="392"/>
      <c r="BKH11" s="392"/>
      <c r="BKI11" s="392"/>
      <c r="BKJ11" s="392"/>
      <c r="BKK11" s="392"/>
      <c r="BKL11" s="392"/>
      <c r="BKM11" s="392"/>
      <c r="BKN11" s="392"/>
      <c r="BKO11" s="392"/>
      <c r="BKP11" s="392"/>
      <c r="BKQ11" s="392"/>
      <c r="BKR11" s="392"/>
      <c r="BKS11" s="392"/>
      <c r="BKT11" s="392"/>
      <c r="BKU11" s="392"/>
      <c r="BKV11" s="392"/>
      <c r="BKW11" s="392"/>
      <c r="BKX11" s="392"/>
      <c r="BKY11" s="392"/>
      <c r="BKZ11" s="392"/>
      <c r="BLA11" s="392"/>
      <c r="BLB11" s="392"/>
      <c r="BLC11" s="392"/>
      <c r="BLD11" s="392"/>
      <c r="BLE11" s="392"/>
      <c r="BLF11" s="392"/>
      <c r="BLG11" s="392"/>
      <c r="BLH11" s="392"/>
      <c r="BLI11" s="392"/>
      <c r="BLJ11" s="392"/>
      <c r="BLK11" s="392"/>
      <c r="BLL11" s="392"/>
      <c r="BLM11" s="392"/>
      <c r="BLN11" s="392"/>
      <c r="BLO11" s="392"/>
      <c r="BLP11" s="392"/>
      <c r="BLQ11" s="392"/>
      <c r="BLR11" s="392"/>
      <c r="BLS11" s="392"/>
      <c r="BLT11" s="392"/>
      <c r="BLU11" s="392"/>
      <c r="BLV11" s="392"/>
      <c r="BLW11" s="392"/>
      <c r="BLX11" s="392"/>
      <c r="BLY11" s="392"/>
      <c r="BLZ11" s="392"/>
      <c r="BMA11" s="392"/>
      <c r="BMB11" s="392"/>
      <c r="BMC11" s="392"/>
      <c r="BMD11" s="392"/>
      <c r="BME11" s="392"/>
      <c r="BMF11" s="392"/>
      <c r="BMG11" s="392"/>
      <c r="BMH11" s="392"/>
      <c r="BMI11" s="392"/>
      <c r="BMJ11" s="392"/>
      <c r="BMK11" s="392"/>
      <c r="BML11" s="392"/>
      <c r="BMM11" s="392"/>
      <c r="BMN11" s="392"/>
      <c r="BMO11" s="392"/>
      <c r="BMP11" s="392"/>
      <c r="BMQ11" s="392"/>
      <c r="BMR11" s="392"/>
      <c r="BMS11" s="392"/>
      <c r="BMT11" s="392"/>
      <c r="BMU11" s="392"/>
      <c r="BMV11" s="392"/>
      <c r="BMW11" s="392"/>
      <c r="BMX11" s="392"/>
      <c r="BMY11" s="392"/>
      <c r="BMZ11" s="392"/>
      <c r="BNA11" s="392"/>
      <c r="BNB11" s="392"/>
      <c r="BNC11" s="392"/>
      <c r="BND11" s="392"/>
      <c r="BNE11" s="392"/>
      <c r="BNF11" s="392"/>
      <c r="BNG11" s="392"/>
      <c r="BNH11" s="392"/>
      <c r="BNI11" s="392"/>
      <c r="BNJ11" s="392"/>
      <c r="BNK11" s="392"/>
      <c r="BNL11" s="392"/>
      <c r="BNM11" s="392"/>
      <c r="BNN11" s="392"/>
      <c r="BNO11" s="392"/>
      <c r="BNP11" s="392"/>
      <c r="BNQ11" s="392"/>
      <c r="BNR11" s="392"/>
      <c r="BNS11" s="392"/>
      <c r="BNT11" s="392"/>
      <c r="BNU11" s="392"/>
      <c r="BNV11" s="392"/>
      <c r="BNW11" s="392"/>
      <c r="BNX11" s="392"/>
      <c r="BNY11" s="392"/>
      <c r="BNZ11" s="392"/>
      <c r="BOA11" s="392"/>
      <c r="BOB11" s="392"/>
      <c r="BOC11" s="392"/>
      <c r="BOD11" s="392"/>
      <c r="BOE11" s="392"/>
      <c r="BOF11" s="392"/>
      <c r="BOG11" s="392"/>
      <c r="BOH11" s="392"/>
      <c r="BOI11" s="392"/>
      <c r="BOJ11" s="392"/>
      <c r="BOK11" s="392"/>
      <c r="BOL11" s="392"/>
      <c r="BOM11" s="392"/>
      <c r="BON11" s="392"/>
      <c r="BOO11" s="392"/>
      <c r="BOP11" s="392"/>
      <c r="BOQ11" s="392"/>
      <c r="BOR11" s="392"/>
      <c r="BOS11" s="392"/>
      <c r="BOT11" s="392"/>
      <c r="BOU11" s="392"/>
      <c r="BOV11" s="392"/>
      <c r="BOW11" s="392"/>
      <c r="BOX11" s="392"/>
      <c r="BOY11" s="392"/>
      <c r="BOZ11" s="392"/>
      <c r="BPA11" s="392"/>
      <c r="BPB11" s="392"/>
      <c r="BPC11" s="392"/>
      <c r="BPD11" s="392"/>
      <c r="BPE11" s="392"/>
      <c r="BPF11" s="392"/>
      <c r="BPG11" s="392"/>
      <c r="BPH11" s="392"/>
      <c r="BPI11" s="392"/>
      <c r="BPJ11" s="392"/>
      <c r="BPK11" s="392"/>
      <c r="BPL11" s="392"/>
      <c r="BPM11" s="392"/>
      <c r="BPN11" s="392"/>
      <c r="BPO11" s="392"/>
      <c r="BPP11" s="392"/>
      <c r="BPQ11" s="392"/>
      <c r="BPR11" s="392"/>
      <c r="BPS11" s="392"/>
      <c r="BPT11" s="392"/>
      <c r="BPU11" s="392"/>
      <c r="BPV11" s="392"/>
      <c r="BPW11" s="392"/>
      <c r="BPX11" s="392"/>
      <c r="BPY11" s="392"/>
      <c r="BPZ11" s="392"/>
      <c r="BQA11" s="392"/>
      <c r="BQB11" s="392"/>
      <c r="BQC11" s="392"/>
      <c r="BQD11" s="392"/>
      <c r="BQE11" s="392"/>
      <c r="BQF11" s="392"/>
      <c r="BQG11" s="392"/>
      <c r="BQH11" s="392"/>
      <c r="BQI11" s="392"/>
      <c r="BQJ11" s="392"/>
      <c r="BQK11" s="392"/>
      <c r="BQL11" s="392"/>
      <c r="BQM11" s="392"/>
      <c r="BQN11" s="392"/>
      <c r="BQO11" s="392"/>
      <c r="BQP11" s="392"/>
      <c r="BQQ11" s="392"/>
      <c r="BQR11" s="392"/>
      <c r="BQS11" s="392"/>
      <c r="BQT11" s="392"/>
      <c r="BQU11" s="392"/>
      <c r="BQV11" s="392"/>
      <c r="BQW11" s="392"/>
      <c r="BQX11" s="392"/>
      <c r="BQY11" s="392"/>
      <c r="BQZ11" s="392"/>
      <c r="BRA11" s="392"/>
      <c r="BRB11" s="392"/>
      <c r="BRC11" s="392"/>
      <c r="BRD11" s="392"/>
      <c r="BRE11" s="392"/>
      <c r="BRF11" s="392"/>
      <c r="BRG11" s="392"/>
      <c r="BRH11" s="392"/>
      <c r="BRI11" s="392"/>
      <c r="BRJ11" s="392"/>
      <c r="BRK11" s="392"/>
      <c r="BRL11" s="392"/>
      <c r="BRM11" s="392"/>
      <c r="BRN11" s="392"/>
      <c r="BRO11" s="392"/>
      <c r="BRP11" s="392"/>
      <c r="BRQ11" s="392"/>
      <c r="BRR11" s="392"/>
      <c r="BRS11" s="392"/>
      <c r="BRT11" s="392"/>
      <c r="BRU11" s="392"/>
      <c r="BRV11" s="392"/>
      <c r="BRW11" s="392"/>
      <c r="BRX11" s="392"/>
      <c r="BRY11" s="392"/>
      <c r="BRZ11" s="392"/>
      <c r="BSA11" s="392"/>
      <c r="BSB11" s="392"/>
      <c r="BSC11" s="392"/>
      <c r="BSD11" s="392"/>
      <c r="BSE11" s="392"/>
      <c r="BSF11" s="392"/>
      <c r="BSG11" s="392"/>
      <c r="BSH11" s="392"/>
      <c r="BSI11" s="392"/>
      <c r="BSJ11" s="392"/>
      <c r="BSK11" s="392"/>
      <c r="BSL11" s="392"/>
      <c r="BSM11" s="392"/>
      <c r="BSN11" s="392"/>
      <c r="BSO11" s="392"/>
      <c r="BSP11" s="392"/>
      <c r="BSQ11" s="392"/>
      <c r="BSR11" s="392"/>
      <c r="BSS11" s="392"/>
      <c r="BST11" s="392"/>
      <c r="BSU11" s="392"/>
      <c r="BSV11" s="392"/>
      <c r="BSW11" s="392"/>
      <c r="BSX11" s="392"/>
      <c r="BSY11" s="392"/>
      <c r="BSZ11" s="392"/>
      <c r="BTA11" s="392"/>
      <c r="BTB11" s="392"/>
      <c r="BTC11" s="392"/>
      <c r="BTD11" s="392"/>
      <c r="BTE11" s="392"/>
      <c r="BTF11" s="392"/>
      <c r="BTG11" s="392"/>
      <c r="BTH11" s="392"/>
      <c r="BTI11" s="392"/>
      <c r="BTJ11" s="392"/>
      <c r="BTK11" s="392"/>
      <c r="BTL11" s="392"/>
      <c r="BTM11" s="392"/>
      <c r="BTN11" s="392"/>
      <c r="BTO11" s="392"/>
      <c r="BTP11" s="392"/>
      <c r="BTQ11" s="392"/>
      <c r="BTR11" s="392"/>
      <c r="BTS11" s="392"/>
      <c r="BTT11" s="392"/>
      <c r="BTU11" s="392"/>
      <c r="BTV11" s="392"/>
      <c r="BTW11" s="392"/>
      <c r="BTX11" s="392"/>
      <c r="BTY11" s="392"/>
      <c r="BTZ11" s="392"/>
      <c r="BUA11" s="392"/>
      <c r="BUB11" s="392"/>
      <c r="BUC11" s="392"/>
      <c r="BUD11" s="392"/>
      <c r="BUE11" s="392"/>
      <c r="BUF11" s="392"/>
      <c r="BUG11" s="392"/>
      <c r="BUH11" s="392"/>
      <c r="BUI11" s="392"/>
      <c r="BUJ11" s="392"/>
      <c r="BUK11" s="392"/>
      <c r="BUL11" s="392"/>
      <c r="BUM11" s="392"/>
      <c r="BUN11" s="392"/>
      <c r="BUO11" s="392"/>
      <c r="BUP11" s="392"/>
      <c r="BUQ11" s="392"/>
      <c r="BUR11" s="392"/>
      <c r="BUS11" s="392"/>
      <c r="BUT11" s="392"/>
      <c r="BUU11" s="392"/>
      <c r="BUV11" s="392"/>
      <c r="BUW11" s="392"/>
      <c r="BUX11" s="392"/>
      <c r="BUY11" s="392"/>
      <c r="BUZ11" s="392"/>
      <c r="BVA11" s="392"/>
      <c r="BVB11" s="392"/>
      <c r="BVC11" s="392"/>
      <c r="BVD11" s="392"/>
      <c r="BVE11" s="392"/>
      <c r="BVF11" s="392"/>
      <c r="BVG11" s="392"/>
      <c r="BVH11" s="392"/>
      <c r="BVI11" s="392"/>
      <c r="BVJ11" s="392"/>
      <c r="BVK11" s="392"/>
      <c r="BVL11" s="392"/>
      <c r="BVM11" s="392"/>
      <c r="BVN11" s="392"/>
      <c r="BVO11" s="392"/>
      <c r="BVP11" s="392"/>
      <c r="BVQ11" s="392"/>
      <c r="BVR11" s="392"/>
      <c r="BVS11" s="392"/>
      <c r="BVT11" s="392"/>
      <c r="BVU11" s="392"/>
      <c r="BVV11" s="392"/>
      <c r="BVW11" s="392"/>
      <c r="BVX11" s="392"/>
      <c r="BVY11" s="392"/>
      <c r="BVZ11" s="392"/>
      <c r="BWA11" s="392"/>
      <c r="BWB11" s="392"/>
      <c r="BWC11" s="392"/>
      <c r="BWD11" s="392"/>
      <c r="BWE11" s="392"/>
      <c r="BWF11" s="392"/>
      <c r="BWG11" s="392"/>
      <c r="BWH11" s="392"/>
      <c r="BWI11" s="392"/>
      <c r="BWJ11" s="392"/>
      <c r="BWK11" s="392"/>
      <c r="BWL11" s="392"/>
      <c r="BWM11" s="392"/>
      <c r="BWN11" s="392"/>
      <c r="BWO11" s="392"/>
      <c r="BWP11" s="392"/>
      <c r="BWQ11" s="392"/>
      <c r="BWR11" s="392"/>
      <c r="BWS11" s="392"/>
      <c r="BWT11" s="392"/>
      <c r="BWU11" s="392"/>
      <c r="BWV11" s="392"/>
      <c r="BWW11" s="392"/>
      <c r="BWX11" s="392"/>
      <c r="BWY11" s="392"/>
      <c r="BWZ11" s="392"/>
      <c r="BXA11" s="392"/>
      <c r="BXB11" s="392"/>
      <c r="BXC11" s="392"/>
      <c r="BXD11" s="392"/>
      <c r="BXE11" s="392"/>
      <c r="BXF11" s="392"/>
      <c r="BXG11" s="392"/>
      <c r="BXH11" s="392"/>
      <c r="BXI11" s="392"/>
      <c r="BXJ11" s="392"/>
      <c r="BXK11" s="392"/>
      <c r="BXL11" s="392"/>
      <c r="BXM11" s="392"/>
      <c r="BXN11" s="392"/>
      <c r="BXO11" s="392"/>
      <c r="BXP11" s="392"/>
      <c r="BXQ11" s="392"/>
      <c r="BXR11" s="392"/>
      <c r="BXS11" s="392"/>
      <c r="BXT11" s="392"/>
      <c r="BXU11" s="392"/>
      <c r="BXV11" s="392"/>
      <c r="BXW11" s="392"/>
      <c r="BXX11" s="392"/>
      <c r="BXY11" s="392"/>
      <c r="BXZ11" s="392"/>
      <c r="BYA11" s="392"/>
      <c r="BYB11" s="392"/>
      <c r="BYC11" s="392"/>
      <c r="BYD11" s="392"/>
      <c r="BYE11" s="392"/>
      <c r="BYF11" s="392"/>
      <c r="BYG11" s="392"/>
      <c r="BYH11" s="392"/>
      <c r="BYI11" s="392"/>
      <c r="BYJ11" s="392"/>
      <c r="BYK11" s="392"/>
      <c r="BYL11" s="392"/>
      <c r="BYM11" s="392"/>
      <c r="BYN11" s="392"/>
      <c r="BYO11" s="392"/>
      <c r="BYP11" s="392"/>
      <c r="BYQ11" s="392"/>
      <c r="BYR11" s="392"/>
      <c r="BYS11" s="392"/>
      <c r="BYT11" s="392"/>
      <c r="BYU11" s="392"/>
      <c r="BYV11" s="392"/>
      <c r="BYW11" s="392"/>
      <c r="BYX11" s="392"/>
      <c r="BYY11" s="392"/>
      <c r="BYZ11" s="392"/>
      <c r="BZA11" s="392"/>
      <c r="BZB11" s="392"/>
      <c r="BZC11" s="392"/>
      <c r="BZD11" s="392"/>
      <c r="BZE11" s="392"/>
      <c r="BZF11" s="392"/>
      <c r="BZG11" s="392"/>
      <c r="BZH11" s="392"/>
      <c r="BZI11" s="392"/>
      <c r="BZJ11" s="392"/>
      <c r="BZK11" s="392"/>
      <c r="BZL11" s="392"/>
      <c r="BZM11" s="392"/>
      <c r="BZN11" s="392"/>
      <c r="BZO11" s="392"/>
      <c r="BZP11" s="392"/>
      <c r="BZQ11" s="392"/>
      <c r="BZR11" s="392"/>
      <c r="BZS11" s="392"/>
      <c r="BZT11" s="392"/>
      <c r="BZU11" s="392"/>
      <c r="BZV11" s="392"/>
      <c r="BZW11" s="392"/>
      <c r="BZX11" s="392"/>
      <c r="BZY11" s="392"/>
      <c r="BZZ11" s="392"/>
      <c r="CAA11" s="392"/>
      <c r="CAB11" s="392"/>
      <c r="CAC11" s="392"/>
      <c r="CAD11" s="392"/>
      <c r="CAE11" s="392"/>
      <c r="CAF11" s="392"/>
      <c r="CAG11" s="392"/>
      <c r="CAH11" s="392"/>
      <c r="CAI11" s="392"/>
      <c r="CAJ11" s="392"/>
      <c r="CAK11" s="392"/>
      <c r="CAL11" s="392"/>
      <c r="CAM11" s="392"/>
      <c r="CAN11" s="392"/>
      <c r="CAO11" s="392"/>
      <c r="CAP11" s="392"/>
      <c r="CAQ11" s="392"/>
      <c r="CAR11" s="392"/>
      <c r="CAS11" s="392"/>
      <c r="CAT11" s="392"/>
      <c r="CAU11" s="392"/>
      <c r="CAV11" s="392"/>
      <c r="CAW11" s="392"/>
      <c r="CAX11" s="392"/>
      <c r="CAY11" s="392"/>
      <c r="CAZ11" s="392"/>
      <c r="CBA11" s="392"/>
      <c r="CBB11" s="392"/>
      <c r="CBC11" s="392"/>
      <c r="CBD11" s="392"/>
      <c r="CBE11" s="392"/>
      <c r="CBF11" s="392"/>
      <c r="CBG11" s="392"/>
      <c r="CBH11" s="392"/>
      <c r="CBI11" s="392"/>
      <c r="CBJ11" s="392"/>
      <c r="CBK11" s="392"/>
      <c r="CBL11" s="392"/>
      <c r="CBM11" s="392"/>
      <c r="CBN11" s="392"/>
      <c r="CBO11" s="392"/>
      <c r="CBP11" s="392"/>
      <c r="CBQ11" s="392"/>
      <c r="CBR11" s="392"/>
      <c r="CBS11" s="392"/>
      <c r="CBT11" s="392"/>
      <c r="CBU11" s="392"/>
      <c r="CBV11" s="392"/>
      <c r="CBW11" s="392"/>
      <c r="CBX11" s="392"/>
      <c r="CBY11" s="392"/>
      <c r="CBZ11" s="392"/>
      <c r="CCA11" s="392"/>
      <c r="CCB11" s="392"/>
      <c r="CCC11" s="392"/>
      <c r="CCD11" s="392"/>
      <c r="CCE11" s="392"/>
      <c r="CCF11" s="392"/>
      <c r="CCG11" s="392"/>
      <c r="CCH11" s="392"/>
      <c r="CCI11" s="392"/>
      <c r="CCJ11" s="392"/>
      <c r="CCK11" s="392"/>
      <c r="CCL11" s="392"/>
      <c r="CCM11" s="392"/>
      <c r="CCN11" s="392"/>
      <c r="CCO11" s="392"/>
      <c r="CCP11" s="392"/>
      <c r="CCQ11" s="392"/>
      <c r="CCR11" s="392"/>
      <c r="CCS11" s="392"/>
      <c r="CCT11" s="392"/>
      <c r="CCU11" s="392"/>
      <c r="CCV11" s="392"/>
      <c r="CCW11" s="392"/>
      <c r="CCX11" s="392"/>
      <c r="CCY11" s="392"/>
      <c r="CCZ11" s="392"/>
      <c r="CDA11" s="392"/>
      <c r="CDB11" s="392"/>
      <c r="CDC11" s="392"/>
      <c r="CDD11" s="392"/>
      <c r="CDE11" s="392"/>
      <c r="CDF11" s="392"/>
      <c r="CDG11" s="392"/>
      <c r="CDH11" s="392"/>
      <c r="CDI11" s="392"/>
      <c r="CDJ11" s="392"/>
      <c r="CDK11" s="392"/>
      <c r="CDL11" s="392"/>
      <c r="CDM11" s="392"/>
      <c r="CDN11" s="392"/>
      <c r="CDO11" s="392"/>
      <c r="CDP11" s="392"/>
      <c r="CDQ11" s="392"/>
      <c r="CDR11" s="392"/>
      <c r="CDS11" s="392"/>
      <c r="CDT11" s="392"/>
      <c r="CDU11" s="392"/>
      <c r="CDV11" s="392"/>
      <c r="CDW11" s="392"/>
      <c r="CDX11" s="392"/>
      <c r="CDY11" s="392"/>
      <c r="CDZ11" s="392"/>
      <c r="CEA11" s="392"/>
      <c r="CEB11" s="392"/>
      <c r="CEC11" s="392"/>
      <c r="CED11" s="392"/>
      <c r="CEE11" s="392"/>
      <c r="CEF11" s="392"/>
      <c r="CEG11" s="392"/>
      <c r="CEH11" s="392"/>
      <c r="CEI11" s="392"/>
      <c r="CEJ11" s="392"/>
      <c r="CEK11" s="392"/>
      <c r="CEL11" s="392"/>
      <c r="CEM11" s="392"/>
      <c r="CEN11" s="392"/>
      <c r="CEO11" s="392"/>
      <c r="CEP11" s="392"/>
      <c r="CEQ11" s="392"/>
      <c r="CER11" s="392"/>
      <c r="CES11" s="392"/>
      <c r="CET11" s="392"/>
      <c r="CEU11" s="392"/>
      <c r="CEV11" s="392"/>
      <c r="CEW11" s="392"/>
      <c r="CEX11" s="392"/>
      <c r="CEY11" s="392"/>
      <c r="CEZ11" s="392"/>
      <c r="CFA11" s="392"/>
      <c r="CFB11" s="392"/>
      <c r="CFC11" s="392"/>
      <c r="CFD11" s="392"/>
      <c r="CFE11" s="392"/>
      <c r="CFF11" s="392"/>
      <c r="CFG11" s="392"/>
      <c r="CFH11" s="392"/>
      <c r="CFI11" s="392"/>
      <c r="CFJ11" s="392"/>
      <c r="CFK11" s="392"/>
      <c r="CFL11" s="392"/>
      <c r="CFM11" s="392"/>
      <c r="CFN11" s="392"/>
      <c r="CFO11" s="392"/>
      <c r="CFP11" s="392"/>
      <c r="CFQ11" s="392"/>
      <c r="CFR11" s="392"/>
      <c r="CFS11" s="392"/>
      <c r="CFT11" s="392"/>
      <c r="CFU11" s="392"/>
      <c r="CFV11" s="392"/>
      <c r="CFW11" s="392"/>
      <c r="CFX11" s="392"/>
      <c r="CFY11" s="392"/>
      <c r="CFZ11" s="392"/>
      <c r="CGA11" s="392"/>
      <c r="CGB11" s="392"/>
      <c r="CGC11" s="392"/>
      <c r="CGD11" s="392"/>
      <c r="CGE11" s="392"/>
      <c r="CGF11" s="392"/>
      <c r="CGG11" s="392"/>
      <c r="CGH11" s="392"/>
      <c r="CGI11" s="392"/>
      <c r="CGJ11" s="392"/>
      <c r="CGK11" s="392"/>
      <c r="CGL11" s="392"/>
      <c r="CGM11" s="392"/>
      <c r="CGN11" s="392"/>
      <c r="CGO11" s="392"/>
      <c r="CGP11" s="392"/>
      <c r="CGQ11" s="392"/>
      <c r="CGR11" s="392"/>
      <c r="CGS11" s="392"/>
      <c r="CGT11" s="392"/>
      <c r="CGU11" s="392"/>
      <c r="CGV11" s="392"/>
      <c r="CGW11" s="392"/>
      <c r="CGX11" s="392"/>
      <c r="CGY11" s="392"/>
      <c r="CGZ11" s="392"/>
      <c r="CHA11" s="392"/>
      <c r="CHB11" s="392"/>
      <c r="CHC11" s="392"/>
      <c r="CHD11" s="392"/>
      <c r="CHE11" s="392"/>
      <c r="CHF11" s="392"/>
      <c r="CHG11" s="392"/>
      <c r="CHH11" s="392"/>
      <c r="CHI11" s="392"/>
      <c r="CHJ11" s="392"/>
      <c r="CHK11" s="392"/>
      <c r="CHL11" s="392"/>
      <c r="CHM11" s="392"/>
      <c r="CHN11" s="392"/>
      <c r="CHO11" s="392"/>
      <c r="CHP11" s="392"/>
      <c r="CHQ11" s="392"/>
      <c r="CHR11" s="392"/>
      <c r="CHS11" s="392"/>
      <c r="CHT11" s="392"/>
      <c r="CHU11" s="392"/>
      <c r="CHV11" s="392"/>
      <c r="CHW11" s="392"/>
      <c r="CHX11" s="392"/>
      <c r="CHY11" s="392"/>
      <c r="CHZ11" s="392"/>
      <c r="CIA11" s="392"/>
      <c r="CIB11" s="392"/>
      <c r="CIC11" s="392"/>
      <c r="CID11" s="392"/>
      <c r="CIE11" s="392"/>
      <c r="CIF11" s="392"/>
      <c r="CIG11" s="392"/>
      <c r="CIH11" s="392"/>
      <c r="CII11" s="392"/>
      <c r="CIJ11" s="392"/>
      <c r="CIK11" s="392"/>
      <c r="CIL11" s="392"/>
      <c r="CIM11" s="392"/>
      <c r="CIN11" s="392"/>
      <c r="CIO11" s="392"/>
      <c r="CIP11" s="392"/>
      <c r="CIQ11" s="392"/>
      <c r="CIR11" s="392"/>
      <c r="CIS11" s="392"/>
      <c r="CIT11" s="392"/>
      <c r="CIU11" s="392"/>
      <c r="CIV11" s="392"/>
      <c r="CIW11" s="392"/>
      <c r="CIX11" s="392"/>
      <c r="CIY11" s="392"/>
      <c r="CIZ11" s="392"/>
      <c r="CJA11" s="392"/>
      <c r="CJB11" s="392"/>
      <c r="CJC11" s="392"/>
      <c r="CJD11" s="392"/>
      <c r="CJE11" s="392"/>
      <c r="CJF11" s="392"/>
      <c r="CJG11" s="392"/>
      <c r="CJH11" s="392"/>
      <c r="CJI11" s="392"/>
      <c r="CJJ11" s="392"/>
      <c r="CJK11" s="392"/>
      <c r="CJL11" s="392"/>
      <c r="CJM11" s="392"/>
      <c r="CJN11" s="392"/>
      <c r="CJO11" s="392"/>
      <c r="CJP11" s="392"/>
      <c r="CJQ11" s="392"/>
      <c r="CJR11" s="392"/>
      <c r="CJS11" s="392"/>
      <c r="CJT11" s="392"/>
      <c r="CJU11" s="392"/>
      <c r="CJV11" s="392"/>
      <c r="CJW11" s="392"/>
      <c r="CJX11" s="392"/>
      <c r="CJY11" s="392"/>
      <c r="CJZ11" s="392"/>
      <c r="CKA11" s="392"/>
      <c r="CKB11" s="392"/>
      <c r="CKC11" s="392"/>
      <c r="CKD11" s="392"/>
      <c r="CKE11" s="392"/>
      <c r="CKF11" s="392"/>
      <c r="CKG11" s="392"/>
      <c r="CKH11" s="392"/>
      <c r="CKI11" s="392"/>
      <c r="CKJ11" s="392"/>
      <c r="CKK11" s="392"/>
      <c r="CKL11" s="392"/>
      <c r="CKM11" s="392"/>
      <c r="CKN11" s="392"/>
      <c r="CKO11" s="392"/>
      <c r="CKP11" s="392"/>
      <c r="CKQ11" s="392"/>
      <c r="CKR11" s="392"/>
      <c r="CKS11" s="392"/>
      <c r="CKT11" s="392"/>
      <c r="CKU11" s="392"/>
      <c r="CKV11" s="392"/>
      <c r="CKW11" s="392"/>
      <c r="CKX11" s="392"/>
      <c r="CKY11" s="392"/>
      <c r="CKZ11" s="392"/>
      <c r="CLA11" s="392"/>
      <c r="CLB11" s="392"/>
      <c r="CLC11" s="392"/>
      <c r="CLD11" s="392"/>
      <c r="CLE11" s="392"/>
      <c r="CLF11" s="392"/>
      <c r="CLG11" s="392"/>
      <c r="CLH11" s="392"/>
      <c r="CLI11" s="392"/>
      <c r="CLJ11" s="392"/>
      <c r="CLK11" s="392"/>
      <c r="CLL11" s="392"/>
      <c r="CLM11" s="392"/>
      <c r="CLN11" s="392"/>
      <c r="CLO11" s="392"/>
      <c r="CLP11" s="392"/>
      <c r="CLQ11" s="392"/>
      <c r="CLR11" s="392"/>
      <c r="CLS11" s="392"/>
      <c r="CLT11" s="392"/>
      <c r="CLU11" s="392"/>
      <c r="CLV11" s="392"/>
      <c r="CLW11" s="392"/>
      <c r="CLX11" s="392"/>
      <c r="CLY11" s="392"/>
      <c r="CLZ11" s="392"/>
      <c r="CMA11" s="392"/>
      <c r="CMB11" s="392"/>
      <c r="CMC11" s="392"/>
      <c r="CMD11" s="392"/>
      <c r="CME11" s="392"/>
      <c r="CMF11" s="392"/>
      <c r="CMG11" s="392"/>
      <c r="CMH11" s="392"/>
      <c r="CMI11" s="392"/>
      <c r="CMJ11" s="392"/>
      <c r="CMK11" s="392"/>
      <c r="CML11" s="392"/>
      <c r="CMM11" s="392"/>
      <c r="CMN11" s="392"/>
      <c r="CMO11" s="392"/>
      <c r="CMP11" s="392"/>
      <c r="CMQ11" s="392"/>
      <c r="CMR11" s="392"/>
      <c r="CMS11" s="392"/>
      <c r="CMT11" s="392"/>
      <c r="CMU11" s="392"/>
      <c r="CMV11" s="392"/>
      <c r="CMW11" s="392"/>
      <c r="CMX11" s="392"/>
      <c r="CMY11" s="392"/>
      <c r="CMZ11" s="392"/>
      <c r="CNA11" s="392"/>
      <c r="CNB11" s="392"/>
      <c r="CNC11" s="392"/>
      <c r="CND11" s="392"/>
      <c r="CNE11" s="392"/>
      <c r="CNF11" s="392"/>
      <c r="CNG11" s="392"/>
      <c r="CNH11" s="392"/>
      <c r="CNI11" s="392"/>
      <c r="CNJ11" s="392"/>
      <c r="CNK11" s="392"/>
      <c r="CNL11" s="392"/>
      <c r="CNM11" s="392"/>
      <c r="CNN11" s="392"/>
      <c r="CNO11" s="392"/>
      <c r="CNP11" s="392"/>
      <c r="CNQ11" s="392"/>
      <c r="CNR11" s="392"/>
      <c r="CNS11" s="392"/>
      <c r="CNT11" s="392"/>
      <c r="CNU11" s="392"/>
      <c r="CNV11" s="392"/>
      <c r="CNW11" s="392"/>
      <c r="CNX11" s="392"/>
      <c r="CNY11" s="392"/>
      <c r="CNZ11" s="392"/>
      <c r="COA11" s="392"/>
      <c r="COB11" s="392"/>
      <c r="COC11" s="392"/>
      <c r="COD11" s="392"/>
      <c r="COE11" s="392"/>
      <c r="COF11" s="392"/>
      <c r="COG11" s="392"/>
      <c r="COH11" s="392"/>
      <c r="COI11" s="392"/>
      <c r="COJ11" s="392"/>
      <c r="COK11" s="392"/>
      <c r="COL11" s="392"/>
      <c r="COM11" s="392"/>
      <c r="CON11" s="392"/>
      <c r="COO11" s="392"/>
      <c r="COP11" s="392"/>
      <c r="COQ11" s="392"/>
      <c r="COR11" s="392"/>
      <c r="COS11" s="392"/>
      <c r="COT11" s="392"/>
      <c r="COU11" s="392"/>
      <c r="COV11" s="392"/>
      <c r="COW11" s="392"/>
      <c r="COX11" s="392"/>
      <c r="COY11" s="392"/>
      <c r="COZ11" s="392"/>
      <c r="CPA11" s="392"/>
      <c r="CPB11" s="392"/>
      <c r="CPC11" s="392"/>
      <c r="CPD11" s="392"/>
      <c r="CPE11" s="392"/>
      <c r="CPF11" s="392"/>
      <c r="CPG11" s="392"/>
      <c r="CPH11" s="392"/>
      <c r="CPI11" s="392"/>
      <c r="CPJ11" s="392"/>
      <c r="CPK11" s="392"/>
      <c r="CPL11" s="392"/>
      <c r="CPM11" s="392"/>
      <c r="CPN11" s="392"/>
      <c r="CPO11" s="392"/>
      <c r="CPP11" s="392"/>
      <c r="CPQ11" s="392"/>
      <c r="CPR11" s="392"/>
      <c r="CPS11" s="392"/>
      <c r="CPT11" s="392"/>
      <c r="CPU11" s="392"/>
      <c r="CPV11" s="392"/>
      <c r="CPW11" s="392"/>
      <c r="CPX11" s="392"/>
      <c r="CPY11" s="392"/>
      <c r="CPZ11" s="392"/>
      <c r="CQA11" s="392"/>
      <c r="CQB11" s="392"/>
      <c r="CQC11" s="392"/>
      <c r="CQD11" s="392"/>
      <c r="CQE11" s="392"/>
      <c r="CQF11" s="392"/>
      <c r="CQG11" s="392"/>
      <c r="CQH11" s="392"/>
      <c r="CQI11" s="392"/>
      <c r="CQJ11" s="392"/>
      <c r="CQK11" s="392"/>
      <c r="CQL11" s="392"/>
      <c r="CQM11" s="392"/>
      <c r="CQN11" s="392"/>
      <c r="CQO11" s="392"/>
      <c r="CQP11" s="392"/>
      <c r="CQQ11" s="392"/>
      <c r="CQR11" s="392"/>
      <c r="CQS11" s="392"/>
      <c r="CQT11" s="392"/>
      <c r="CQU11" s="392"/>
      <c r="CQV11" s="392"/>
      <c r="CQW11" s="392"/>
      <c r="CQX11" s="392"/>
      <c r="CQY11" s="392"/>
      <c r="CQZ11" s="392"/>
      <c r="CRA11" s="392"/>
      <c r="CRB11" s="392"/>
      <c r="CRC11" s="392"/>
      <c r="CRD11" s="392"/>
      <c r="CRE11" s="392"/>
      <c r="CRF11" s="392"/>
      <c r="CRG11" s="392"/>
      <c r="CRH11" s="392"/>
      <c r="CRI11" s="392"/>
      <c r="CRJ11" s="392"/>
      <c r="CRK11" s="392"/>
      <c r="CRL11" s="392"/>
      <c r="CRM11" s="392"/>
      <c r="CRN11" s="392"/>
      <c r="CRO11" s="392"/>
      <c r="CRP11" s="392"/>
      <c r="CRQ11" s="392"/>
      <c r="CRR11" s="392"/>
      <c r="CRS11" s="392"/>
      <c r="CRT11" s="392"/>
      <c r="CRU11" s="392"/>
      <c r="CRV11" s="392"/>
      <c r="CRW11" s="392"/>
      <c r="CRX11" s="392"/>
      <c r="CRY11" s="392"/>
      <c r="CRZ11" s="392"/>
      <c r="CSA11" s="392"/>
      <c r="CSB11" s="392"/>
      <c r="CSC11" s="392"/>
      <c r="CSD11" s="392"/>
      <c r="CSE11" s="392"/>
      <c r="CSF11" s="392"/>
      <c r="CSG11" s="392"/>
      <c r="CSH11" s="392"/>
      <c r="CSI11" s="392"/>
      <c r="CSJ11" s="392"/>
      <c r="CSK11" s="392"/>
      <c r="CSL11" s="392"/>
      <c r="CSM11" s="392"/>
      <c r="CSN11" s="392"/>
      <c r="CSO11" s="392"/>
      <c r="CSP11" s="392"/>
      <c r="CSQ11" s="392"/>
      <c r="CSR11" s="392"/>
      <c r="CSS11" s="392"/>
      <c r="CST11" s="392"/>
      <c r="CSU11" s="392"/>
      <c r="CSV11" s="392"/>
      <c r="CSW11" s="392"/>
      <c r="CSX11" s="392"/>
      <c r="CSY11" s="392"/>
      <c r="CSZ11" s="392"/>
      <c r="CTA11" s="392"/>
      <c r="CTB11" s="392"/>
      <c r="CTC11" s="392"/>
      <c r="CTD11" s="392"/>
      <c r="CTE11" s="392"/>
      <c r="CTF11" s="392"/>
      <c r="CTG11" s="392"/>
      <c r="CTH11" s="392"/>
      <c r="CTI11" s="392"/>
      <c r="CTJ11" s="392"/>
      <c r="CTK11" s="392"/>
      <c r="CTL11" s="392"/>
      <c r="CTM11" s="392"/>
      <c r="CTN11" s="392"/>
      <c r="CTO11" s="392"/>
      <c r="CTP11" s="392"/>
      <c r="CTQ11" s="392"/>
      <c r="CTR11" s="392"/>
      <c r="CTS11" s="392"/>
      <c r="CTT11" s="392"/>
      <c r="CTU11" s="392"/>
      <c r="CTV11" s="392"/>
      <c r="CTW11" s="392"/>
      <c r="CTX11" s="392"/>
      <c r="CTY11" s="392"/>
      <c r="CTZ11" s="392"/>
      <c r="CUA11" s="392"/>
      <c r="CUB11" s="392"/>
      <c r="CUC11" s="392"/>
      <c r="CUD11" s="392"/>
      <c r="CUE11" s="392"/>
      <c r="CUF11" s="392"/>
      <c r="CUG11" s="392"/>
      <c r="CUH11" s="392"/>
      <c r="CUI11" s="392"/>
      <c r="CUJ11" s="392"/>
      <c r="CUK11" s="392"/>
      <c r="CUL11" s="392"/>
      <c r="CUM11" s="392"/>
      <c r="CUN11" s="392"/>
      <c r="CUO11" s="392"/>
      <c r="CUP11" s="392"/>
      <c r="CUQ11" s="392"/>
      <c r="CUR11" s="392"/>
      <c r="CUS11" s="392"/>
      <c r="CUT11" s="392"/>
      <c r="CUU11" s="392"/>
      <c r="CUV11" s="392"/>
      <c r="CUW11" s="392"/>
      <c r="CUX11" s="392"/>
      <c r="CUY11" s="392"/>
      <c r="CUZ11" s="392"/>
      <c r="CVA11" s="392"/>
      <c r="CVB11" s="392"/>
      <c r="CVC11" s="392"/>
      <c r="CVD11" s="392"/>
      <c r="CVE11" s="392"/>
      <c r="CVF11" s="392"/>
      <c r="CVG11" s="392"/>
      <c r="CVH11" s="392"/>
      <c r="CVI11" s="392"/>
      <c r="CVJ11" s="392"/>
      <c r="CVK11" s="392"/>
      <c r="CVL11" s="392"/>
      <c r="CVM11" s="392"/>
      <c r="CVN11" s="392"/>
      <c r="CVO11" s="392"/>
      <c r="CVP11" s="392"/>
      <c r="CVQ11" s="392"/>
      <c r="CVR11" s="392"/>
      <c r="CVS11" s="392"/>
      <c r="CVT11" s="392"/>
      <c r="CVU11" s="392"/>
      <c r="CVV11" s="392"/>
      <c r="CVW11" s="392"/>
      <c r="CVX11" s="392"/>
      <c r="CVY11" s="392"/>
      <c r="CVZ11" s="392"/>
      <c r="CWA11" s="392"/>
      <c r="CWB11" s="392"/>
      <c r="CWC11" s="392"/>
      <c r="CWD11" s="392"/>
      <c r="CWE11" s="392"/>
      <c r="CWF11" s="392"/>
      <c r="CWG11" s="392"/>
      <c r="CWH11" s="392"/>
      <c r="CWI11" s="392"/>
      <c r="CWJ11" s="392"/>
      <c r="CWK11" s="392"/>
      <c r="CWL11" s="392"/>
      <c r="CWM11" s="392"/>
      <c r="CWN11" s="392"/>
      <c r="CWO11" s="392"/>
      <c r="CWP11" s="392"/>
      <c r="CWQ11" s="392"/>
      <c r="CWR11" s="392"/>
      <c r="CWS11" s="392"/>
      <c r="CWT11" s="392"/>
      <c r="CWU11" s="392"/>
      <c r="CWV11" s="392"/>
      <c r="CWW11" s="392"/>
      <c r="CWX11" s="392"/>
      <c r="CWY11" s="392"/>
      <c r="CWZ11" s="392"/>
      <c r="CXA11" s="392"/>
      <c r="CXB11" s="392"/>
      <c r="CXC11" s="392"/>
      <c r="CXD11" s="392"/>
      <c r="CXE11" s="392"/>
      <c r="CXF11" s="392"/>
      <c r="CXG11" s="392"/>
      <c r="CXH11" s="392"/>
      <c r="CXI11" s="392"/>
      <c r="CXJ11" s="392"/>
      <c r="CXK11" s="392"/>
      <c r="CXL11" s="392"/>
      <c r="CXM11" s="392"/>
      <c r="CXN11" s="392"/>
      <c r="CXO11" s="392"/>
      <c r="CXP11" s="392"/>
      <c r="CXQ11" s="392"/>
      <c r="CXR11" s="392"/>
      <c r="CXS11" s="392"/>
      <c r="CXT11" s="392"/>
      <c r="CXU11" s="392"/>
      <c r="CXV11" s="392"/>
      <c r="CXW11" s="392"/>
      <c r="CXX11" s="392"/>
      <c r="CXY11" s="392"/>
      <c r="CXZ11" s="392"/>
      <c r="CYA11" s="392"/>
      <c r="CYB11" s="392"/>
      <c r="CYC11" s="392"/>
      <c r="CYD11" s="392"/>
      <c r="CYE11" s="392"/>
      <c r="CYF11" s="392"/>
      <c r="CYG11" s="392"/>
      <c r="CYH11" s="392"/>
      <c r="CYI11" s="392"/>
      <c r="CYJ11" s="392"/>
      <c r="CYK11" s="392"/>
      <c r="CYL11" s="392"/>
      <c r="CYM11" s="392"/>
      <c r="CYN11" s="392"/>
      <c r="CYO11" s="392"/>
      <c r="CYP11" s="392"/>
      <c r="CYQ11" s="392"/>
      <c r="CYR11" s="392"/>
      <c r="CYS11" s="392"/>
      <c r="CYT11" s="392"/>
      <c r="CYU11" s="392"/>
      <c r="CYV11" s="392"/>
      <c r="CYW11" s="392"/>
      <c r="CYX11" s="392"/>
      <c r="CYY11" s="392"/>
      <c r="CYZ11" s="392"/>
      <c r="CZA11" s="392"/>
      <c r="CZB11" s="392"/>
      <c r="CZC11" s="392"/>
      <c r="CZD11" s="392"/>
      <c r="CZE11" s="392"/>
      <c r="CZF11" s="392"/>
      <c r="CZG11" s="392"/>
      <c r="CZH11" s="392"/>
      <c r="CZI11" s="392"/>
      <c r="CZJ11" s="392"/>
      <c r="CZK11" s="392"/>
      <c r="CZL11" s="392"/>
      <c r="CZM11" s="392"/>
      <c r="CZN11" s="392"/>
      <c r="CZO11" s="392"/>
      <c r="CZP11" s="392"/>
      <c r="CZQ11" s="392"/>
      <c r="CZR11" s="392"/>
      <c r="CZS11" s="392"/>
      <c r="CZT11" s="392"/>
      <c r="CZU11" s="392"/>
      <c r="CZV11" s="392"/>
      <c r="CZW11" s="392"/>
      <c r="CZX11" s="392"/>
      <c r="CZY11" s="392"/>
      <c r="CZZ11" s="392"/>
      <c r="DAA11" s="392"/>
      <c r="DAB11" s="392"/>
      <c r="DAC11" s="392"/>
      <c r="DAD11" s="392"/>
      <c r="DAE11" s="392"/>
      <c r="DAF11" s="392"/>
      <c r="DAG11" s="392"/>
      <c r="DAH11" s="392"/>
      <c r="DAI11" s="392"/>
      <c r="DAJ11" s="392"/>
      <c r="DAK11" s="392"/>
      <c r="DAL11" s="392"/>
      <c r="DAM11" s="392"/>
      <c r="DAN11" s="392"/>
      <c r="DAO11" s="392"/>
      <c r="DAP11" s="392"/>
      <c r="DAQ11" s="392"/>
      <c r="DAR11" s="392"/>
      <c r="DAS11" s="392"/>
      <c r="DAT11" s="392"/>
      <c r="DAU11" s="392"/>
      <c r="DAV11" s="392"/>
      <c r="DAW11" s="392"/>
      <c r="DAX11" s="392"/>
      <c r="DAY11" s="392"/>
      <c r="DAZ11" s="392"/>
      <c r="DBA11" s="392"/>
      <c r="DBB11" s="392"/>
      <c r="DBC11" s="392"/>
      <c r="DBD11" s="392"/>
      <c r="DBE11" s="392"/>
      <c r="DBF11" s="392"/>
      <c r="DBG11" s="392"/>
      <c r="DBH11" s="392"/>
      <c r="DBI11" s="392"/>
      <c r="DBJ11" s="392"/>
      <c r="DBK11" s="392"/>
      <c r="DBL11" s="392"/>
      <c r="DBM11" s="392"/>
      <c r="DBN11" s="392"/>
      <c r="DBO11" s="392"/>
      <c r="DBP11" s="392"/>
      <c r="DBQ11" s="392"/>
      <c r="DBR11" s="392"/>
      <c r="DBS11" s="392"/>
      <c r="DBT11" s="392"/>
      <c r="DBU11" s="392"/>
      <c r="DBV11" s="392"/>
      <c r="DBW11" s="392"/>
      <c r="DBX11" s="392"/>
      <c r="DBY11" s="392"/>
      <c r="DBZ11" s="392"/>
      <c r="DCA11" s="392"/>
      <c r="DCB11" s="392"/>
      <c r="DCC11" s="392"/>
      <c r="DCD11" s="392"/>
      <c r="DCE11" s="392"/>
      <c r="DCF11" s="392"/>
      <c r="DCG11" s="392"/>
      <c r="DCH11" s="392"/>
      <c r="DCI11" s="392"/>
      <c r="DCJ11" s="392"/>
      <c r="DCK11" s="392"/>
      <c r="DCL11" s="392"/>
      <c r="DCM11" s="392"/>
      <c r="DCN11" s="392"/>
      <c r="DCO11" s="392"/>
      <c r="DCP11" s="392"/>
      <c r="DCQ11" s="392"/>
      <c r="DCR11" s="392"/>
      <c r="DCS11" s="392"/>
      <c r="DCT11" s="392"/>
      <c r="DCU11" s="392"/>
      <c r="DCV11" s="392"/>
      <c r="DCW11" s="392"/>
      <c r="DCX11" s="392"/>
      <c r="DCY11" s="392"/>
      <c r="DCZ11" s="392"/>
      <c r="DDA11" s="392"/>
      <c r="DDB11" s="392"/>
      <c r="DDC11" s="392"/>
      <c r="DDD11" s="392"/>
      <c r="DDE11" s="392"/>
      <c r="DDF11" s="392"/>
      <c r="DDG11" s="392"/>
      <c r="DDH11" s="392"/>
      <c r="DDI11" s="392"/>
      <c r="DDJ11" s="392"/>
      <c r="DDK11" s="392"/>
      <c r="DDL11" s="392"/>
      <c r="DDM11" s="392"/>
      <c r="DDN11" s="392"/>
      <c r="DDO11" s="392"/>
      <c r="DDP11" s="392"/>
      <c r="DDQ11" s="392"/>
      <c r="DDR11" s="392"/>
      <c r="DDS11" s="392"/>
      <c r="DDT11" s="392"/>
      <c r="DDU11" s="392"/>
      <c r="DDV11" s="392"/>
      <c r="DDW11" s="392"/>
      <c r="DDX11" s="392"/>
      <c r="DDY11" s="392"/>
      <c r="DDZ11" s="392"/>
      <c r="DEA11" s="392"/>
      <c r="DEB11" s="392"/>
      <c r="DEC11" s="392"/>
      <c r="DED11" s="392"/>
      <c r="DEE11" s="392"/>
      <c r="DEF11" s="392"/>
      <c r="DEG11" s="392"/>
      <c r="DEH11" s="392"/>
      <c r="DEI11" s="392"/>
      <c r="DEJ11" s="392"/>
      <c r="DEK11" s="392"/>
      <c r="DEL11" s="392"/>
      <c r="DEM11" s="392"/>
      <c r="DEN11" s="392"/>
      <c r="DEO11" s="392"/>
      <c r="DEP11" s="392"/>
      <c r="DEQ11" s="392"/>
      <c r="DER11" s="392"/>
      <c r="DES11" s="392"/>
      <c r="DET11" s="392"/>
      <c r="DEU11" s="392"/>
      <c r="DEV11" s="392"/>
      <c r="DEW11" s="392"/>
      <c r="DEX11" s="392"/>
      <c r="DEY11" s="392"/>
      <c r="DEZ11" s="392"/>
      <c r="DFA11" s="392"/>
      <c r="DFB11" s="392"/>
      <c r="DFC11" s="392"/>
      <c r="DFD11" s="392"/>
      <c r="DFE11" s="392"/>
      <c r="DFF11" s="392"/>
      <c r="DFG11" s="392"/>
      <c r="DFH11" s="392"/>
      <c r="DFI11" s="392"/>
      <c r="DFJ11" s="392"/>
      <c r="DFK11" s="392"/>
      <c r="DFL11" s="392"/>
      <c r="DFM11" s="392"/>
      <c r="DFN11" s="392"/>
      <c r="DFO11" s="392"/>
      <c r="DFP11" s="392"/>
      <c r="DFQ11" s="392"/>
      <c r="DFR11" s="392"/>
      <c r="DFS11" s="392"/>
      <c r="DFT11" s="392"/>
      <c r="DFU11" s="392"/>
      <c r="DFV11" s="392"/>
      <c r="DFW11" s="392"/>
      <c r="DFX11" s="392"/>
      <c r="DFY11" s="392"/>
      <c r="DFZ11" s="392"/>
      <c r="DGA11" s="392"/>
      <c r="DGB11" s="392"/>
      <c r="DGC11" s="392"/>
      <c r="DGD11" s="392"/>
      <c r="DGE11" s="392"/>
      <c r="DGF11" s="392"/>
      <c r="DGG11" s="392"/>
      <c r="DGH11" s="392"/>
      <c r="DGI11" s="392"/>
      <c r="DGJ11" s="392"/>
      <c r="DGK11" s="392"/>
      <c r="DGL11" s="392"/>
      <c r="DGM11" s="392"/>
      <c r="DGN11" s="392"/>
      <c r="DGO11" s="392"/>
      <c r="DGP11" s="392"/>
      <c r="DGQ11" s="392"/>
      <c r="DGR11" s="392"/>
      <c r="DGS11" s="392"/>
      <c r="DGT11" s="392"/>
      <c r="DGU11" s="392"/>
      <c r="DGV11" s="392"/>
      <c r="DGW11" s="392"/>
      <c r="DGX11" s="392"/>
      <c r="DGY11" s="392"/>
      <c r="DGZ11" s="392"/>
      <c r="DHA11" s="392"/>
      <c r="DHB11" s="392"/>
      <c r="DHC11" s="392"/>
      <c r="DHD11" s="392"/>
      <c r="DHE11" s="392"/>
      <c r="DHF11" s="392"/>
      <c r="DHG11" s="392"/>
      <c r="DHH11" s="392"/>
      <c r="DHI11" s="392"/>
      <c r="DHJ11" s="392"/>
      <c r="DHK11" s="392"/>
      <c r="DHL11" s="392"/>
      <c r="DHM11" s="392"/>
      <c r="DHN11" s="392"/>
      <c r="DHO11" s="392"/>
      <c r="DHP11" s="392"/>
      <c r="DHQ11" s="392"/>
      <c r="DHR11" s="392"/>
      <c r="DHS11" s="392"/>
      <c r="DHT11" s="392"/>
      <c r="DHU11" s="392"/>
      <c r="DHV11" s="392"/>
      <c r="DHW11" s="392"/>
      <c r="DHX11" s="392"/>
      <c r="DHY11" s="392"/>
      <c r="DHZ11" s="392"/>
      <c r="DIA11" s="392"/>
      <c r="DIB11" s="392"/>
      <c r="DIC11" s="392"/>
      <c r="DID11" s="392"/>
      <c r="DIE11" s="392"/>
      <c r="DIF11" s="392"/>
      <c r="DIG11" s="392"/>
      <c r="DIH11" s="392"/>
      <c r="DII11" s="392"/>
      <c r="DIJ11" s="392"/>
      <c r="DIK11" s="392"/>
      <c r="DIL11" s="392"/>
      <c r="DIM11" s="392"/>
      <c r="DIN11" s="392"/>
      <c r="DIO11" s="392"/>
      <c r="DIP11" s="392"/>
      <c r="DIQ11" s="392"/>
      <c r="DIR11" s="392"/>
      <c r="DIS11" s="392"/>
      <c r="DIT11" s="392"/>
      <c r="DIU11" s="392"/>
      <c r="DIV11" s="392"/>
      <c r="DIW11" s="392"/>
      <c r="DIX11" s="392"/>
      <c r="DIY11" s="392"/>
      <c r="DIZ11" s="392"/>
      <c r="DJA11" s="392"/>
      <c r="DJB11" s="392"/>
      <c r="DJC11" s="392"/>
      <c r="DJD11" s="392"/>
      <c r="DJE11" s="392"/>
      <c r="DJF11" s="392"/>
      <c r="DJG11" s="392"/>
      <c r="DJH11" s="392"/>
      <c r="DJI11" s="392"/>
      <c r="DJJ11" s="392"/>
      <c r="DJK11" s="392"/>
      <c r="DJL11" s="392"/>
      <c r="DJM11" s="392"/>
      <c r="DJN11" s="392"/>
      <c r="DJO11" s="392"/>
      <c r="DJP11" s="392"/>
      <c r="DJQ11" s="392"/>
      <c r="DJR11" s="392"/>
      <c r="DJS11" s="392"/>
      <c r="DJT11" s="392"/>
      <c r="DJU11" s="392"/>
      <c r="DJV11" s="392"/>
      <c r="DJW11" s="392"/>
      <c r="DJX11" s="392"/>
      <c r="DJY11" s="392"/>
      <c r="DJZ11" s="392"/>
      <c r="DKA11" s="392"/>
      <c r="DKB11" s="392"/>
      <c r="DKC11" s="392"/>
      <c r="DKD11" s="392"/>
      <c r="DKE11" s="392"/>
      <c r="DKF11" s="392"/>
      <c r="DKG11" s="392"/>
      <c r="DKH11" s="392"/>
      <c r="DKI11" s="392"/>
      <c r="DKJ11" s="392"/>
      <c r="DKK11" s="392"/>
      <c r="DKL11" s="392"/>
      <c r="DKM11" s="392"/>
      <c r="DKN11" s="392"/>
      <c r="DKO11" s="392"/>
      <c r="DKP11" s="392"/>
      <c r="DKQ11" s="392"/>
      <c r="DKR11" s="392"/>
      <c r="DKS11" s="392"/>
      <c r="DKT11" s="392"/>
      <c r="DKU11" s="392"/>
      <c r="DKV11" s="392"/>
      <c r="DKW11" s="392"/>
      <c r="DKX11" s="392"/>
      <c r="DKY11" s="392"/>
      <c r="DKZ11" s="392"/>
      <c r="DLA11" s="392"/>
      <c r="DLB11" s="392"/>
      <c r="DLC11" s="392"/>
      <c r="DLD11" s="392"/>
      <c r="DLE11" s="392"/>
      <c r="DLF11" s="392"/>
      <c r="DLG11" s="392"/>
      <c r="DLH11" s="392"/>
      <c r="DLI11" s="392"/>
      <c r="DLJ11" s="392"/>
      <c r="DLK11" s="392"/>
      <c r="DLL11" s="392"/>
      <c r="DLM11" s="392"/>
      <c r="DLN11" s="392"/>
      <c r="DLO11" s="392"/>
      <c r="DLP11" s="392"/>
      <c r="DLQ11" s="392"/>
      <c r="DLR11" s="392"/>
      <c r="DLS11" s="392"/>
      <c r="DLT11" s="392"/>
      <c r="DLU11" s="392"/>
      <c r="DLV11" s="392"/>
      <c r="DLW11" s="392"/>
      <c r="DLX11" s="392"/>
      <c r="DLY11" s="392"/>
      <c r="DLZ11" s="392"/>
      <c r="DMA11" s="392"/>
      <c r="DMB11" s="392"/>
      <c r="DMC11" s="392"/>
      <c r="DMD11" s="392"/>
      <c r="DME11" s="392"/>
      <c r="DMF11" s="392"/>
      <c r="DMG11" s="392"/>
      <c r="DMH11" s="392"/>
      <c r="DMI11" s="392"/>
      <c r="DMJ11" s="392"/>
      <c r="DMK11" s="392"/>
      <c r="DML11" s="392"/>
      <c r="DMM11" s="392"/>
      <c r="DMN11" s="392"/>
      <c r="DMO11" s="392"/>
      <c r="DMP11" s="392"/>
      <c r="DMQ11" s="392"/>
      <c r="DMR11" s="392"/>
      <c r="DMS11" s="392"/>
      <c r="DMT11" s="392"/>
      <c r="DMU11" s="392"/>
      <c r="DMV11" s="392"/>
      <c r="DMW11" s="392"/>
      <c r="DMX11" s="392"/>
      <c r="DMY11" s="392"/>
      <c r="DMZ11" s="392"/>
      <c r="DNA11" s="392"/>
      <c r="DNB11" s="392"/>
      <c r="DNC11" s="392"/>
      <c r="DND11" s="392"/>
      <c r="DNE11" s="392"/>
      <c r="DNF11" s="392"/>
      <c r="DNG11" s="392"/>
      <c r="DNH11" s="392"/>
      <c r="DNI11" s="392"/>
      <c r="DNJ11" s="392"/>
      <c r="DNK11" s="392"/>
      <c r="DNL11" s="392"/>
      <c r="DNM11" s="392"/>
      <c r="DNN11" s="392"/>
      <c r="DNO11" s="392"/>
      <c r="DNP11" s="392"/>
      <c r="DNQ11" s="392"/>
      <c r="DNR11" s="392"/>
      <c r="DNS11" s="392"/>
      <c r="DNT11" s="392"/>
      <c r="DNU11" s="392"/>
      <c r="DNV11" s="392"/>
      <c r="DNW11" s="392"/>
      <c r="DNX11" s="392"/>
      <c r="DNY11" s="392"/>
      <c r="DNZ11" s="392"/>
      <c r="DOA11" s="392"/>
      <c r="DOB11" s="392"/>
      <c r="DOC11" s="392"/>
      <c r="DOD11" s="392"/>
      <c r="DOE11" s="392"/>
      <c r="DOF11" s="392"/>
      <c r="DOG11" s="392"/>
      <c r="DOH11" s="392"/>
      <c r="DOI11" s="392"/>
      <c r="DOJ11" s="392"/>
      <c r="DOK11" s="392"/>
      <c r="DOL11" s="392"/>
      <c r="DOM11" s="392"/>
      <c r="DON11" s="392"/>
      <c r="DOO11" s="392"/>
      <c r="DOP11" s="392"/>
      <c r="DOQ11" s="392"/>
      <c r="DOR11" s="392"/>
      <c r="DOS11" s="392"/>
      <c r="DOT11" s="392"/>
      <c r="DOU11" s="392"/>
      <c r="DOV11" s="392"/>
      <c r="DOW11" s="392"/>
      <c r="DOX11" s="392"/>
      <c r="DOY11" s="392"/>
      <c r="DOZ11" s="392"/>
      <c r="DPA11" s="392"/>
      <c r="DPB11" s="392"/>
      <c r="DPC11" s="392"/>
      <c r="DPD11" s="392"/>
      <c r="DPE11" s="392"/>
      <c r="DPF11" s="392"/>
      <c r="DPG11" s="392"/>
      <c r="DPH11" s="392"/>
      <c r="DPI11" s="392"/>
      <c r="DPJ11" s="392"/>
      <c r="DPK11" s="392"/>
      <c r="DPL11" s="392"/>
      <c r="DPM11" s="392"/>
      <c r="DPN11" s="392"/>
      <c r="DPO11" s="392"/>
      <c r="DPP11" s="392"/>
      <c r="DPQ11" s="392"/>
      <c r="DPR11" s="392"/>
      <c r="DPS11" s="392"/>
      <c r="DPT11" s="392"/>
      <c r="DPU11" s="392"/>
      <c r="DPV11" s="392"/>
      <c r="DPW11" s="392"/>
      <c r="DPX11" s="392"/>
      <c r="DPY11" s="392"/>
      <c r="DPZ11" s="392"/>
      <c r="DQA11" s="392"/>
      <c r="DQB11" s="392"/>
      <c r="DQC11" s="392"/>
      <c r="DQD11" s="392"/>
      <c r="DQE11" s="392"/>
      <c r="DQF11" s="392"/>
      <c r="DQG11" s="392"/>
      <c r="DQH11" s="392"/>
      <c r="DQI11" s="392"/>
      <c r="DQJ11" s="392"/>
      <c r="DQK11" s="392"/>
      <c r="DQL11" s="392"/>
      <c r="DQM11" s="392"/>
      <c r="DQN11" s="392"/>
      <c r="DQO11" s="392"/>
      <c r="DQP11" s="392"/>
      <c r="DQQ11" s="392"/>
      <c r="DQR11" s="392"/>
      <c r="DQS11" s="392"/>
      <c r="DQT11" s="392"/>
      <c r="DQU11" s="392"/>
      <c r="DQV11" s="392"/>
      <c r="DQW11" s="392"/>
      <c r="DQX11" s="392"/>
      <c r="DQY11" s="392"/>
      <c r="DQZ11" s="392"/>
      <c r="DRA11" s="392"/>
      <c r="DRB11" s="392"/>
      <c r="DRC11" s="392"/>
      <c r="DRD11" s="392"/>
      <c r="DRE11" s="392"/>
      <c r="DRF11" s="392"/>
      <c r="DRG11" s="392"/>
      <c r="DRH11" s="392"/>
      <c r="DRI11" s="392"/>
      <c r="DRJ11" s="392"/>
      <c r="DRK11" s="392"/>
      <c r="DRL11" s="392"/>
      <c r="DRM11" s="392"/>
      <c r="DRN11" s="392"/>
      <c r="DRO11" s="392"/>
      <c r="DRP11" s="392"/>
      <c r="DRQ11" s="392"/>
      <c r="DRR11" s="392"/>
      <c r="DRS11" s="392"/>
      <c r="DRT11" s="392"/>
      <c r="DRU11" s="392"/>
      <c r="DRV11" s="392"/>
      <c r="DRW11" s="392"/>
      <c r="DRX11" s="392"/>
      <c r="DRY11" s="392"/>
      <c r="DRZ11" s="392"/>
      <c r="DSA11" s="392"/>
      <c r="DSB11" s="392"/>
      <c r="DSC11" s="392"/>
      <c r="DSD11" s="392"/>
      <c r="DSE11" s="392"/>
      <c r="DSF11" s="392"/>
      <c r="DSG11" s="392"/>
      <c r="DSH11" s="392"/>
      <c r="DSI11" s="392"/>
      <c r="DSJ11" s="392"/>
      <c r="DSK11" s="392"/>
      <c r="DSL11" s="392"/>
      <c r="DSM11" s="392"/>
      <c r="DSN11" s="392"/>
      <c r="DSO11" s="392"/>
      <c r="DSP11" s="392"/>
      <c r="DSQ11" s="392"/>
      <c r="DSR11" s="392"/>
      <c r="DSS11" s="392"/>
      <c r="DST11" s="392"/>
      <c r="DSU11" s="392"/>
      <c r="DSV11" s="392"/>
      <c r="DSW11" s="392"/>
      <c r="DSX11" s="392"/>
      <c r="DSY11" s="392"/>
      <c r="DSZ11" s="392"/>
      <c r="DTA11" s="392"/>
      <c r="DTB11" s="392"/>
      <c r="DTC11" s="392"/>
      <c r="DTD11" s="392"/>
      <c r="DTE11" s="392"/>
      <c r="DTF11" s="392"/>
      <c r="DTG11" s="392"/>
      <c r="DTH11" s="392"/>
      <c r="DTI11" s="392"/>
      <c r="DTJ11" s="392"/>
      <c r="DTK11" s="392"/>
      <c r="DTL11" s="392"/>
      <c r="DTM11" s="392"/>
      <c r="DTN11" s="392"/>
      <c r="DTO11" s="392"/>
      <c r="DTP11" s="392"/>
      <c r="DTQ11" s="392"/>
      <c r="DTR11" s="392"/>
      <c r="DTS11" s="392"/>
      <c r="DTT11" s="392"/>
      <c r="DTU11" s="392"/>
      <c r="DTV11" s="392"/>
      <c r="DTW11" s="392"/>
      <c r="DTX11" s="392"/>
      <c r="DTY11" s="392"/>
      <c r="DTZ11" s="392"/>
      <c r="DUA11" s="392"/>
      <c r="DUB11" s="392"/>
      <c r="DUC11" s="392"/>
      <c r="DUD11" s="392"/>
      <c r="DUE11" s="392"/>
      <c r="DUF11" s="392"/>
      <c r="DUG11" s="392"/>
      <c r="DUH11" s="392"/>
      <c r="DUI11" s="392"/>
      <c r="DUJ11" s="392"/>
      <c r="DUK11" s="392"/>
      <c r="DUL11" s="392"/>
      <c r="DUM11" s="392"/>
      <c r="DUN11" s="392"/>
      <c r="DUO11" s="392"/>
      <c r="DUP11" s="392"/>
      <c r="DUQ11" s="392"/>
      <c r="DUR11" s="392"/>
      <c r="DUS11" s="392"/>
      <c r="DUT11" s="392"/>
      <c r="DUU11" s="392"/>
      <c r="DUV11" s="392"/>
      <c r="DUW11" s="392"/>
      <c r="DUX11" s="392"/>
      <c r="DUY11" s="392"/>
      <c r="DUZ11" s="392"/>
      <c r="DVA11" s="392"/>
      <c r="DVB11" s="392"/>
      <c r="DVC11" s="392"/>
      <c r="DVD11" s="392"/>
      <c r="DVE11" s="392"/>
      <c r="DVF11" s="392"/>
      <c r="DVG11" s="392"/>
      <c r="DVH11" s="392"/>
      <c r="DVI11" s="392"/>
      <c r="DVJ11" s="392"/>
      <c r="DVK11" s="392"/>
      <c r="DVL11" s="392"/>
      <c r="DVM11" s="392"/>
      <c r="DVN11" s="392"/>
      <c r="DVO11" s="392"/>
      <c r="DVP11" s="392"/>
      <c r="DVQ11" s="392"/>
      <c r="DVR11" s="392"/>
      <c r="DVS11" s="392"/>
      <c r="DVT11" s="392"/>
      <c r="DVU11" s="392"/>
      <c r="DVV11" s="392"/>
      <c r="DVW11" s="392"/>
      <c r="DVX11" s="392"/>
      <c r="DVY11" s="392"/>
      <c r="DVZ11" s="392"/>
      <c r="DWA11" s="392"/>
      <c r="DWB11" s="392"/>
      <c r="DWC11" s="392"/>
      <c r="DWD11" s="392"/>
      <c r="DWE11" s="392"/>
      <c r="DWF11" s="392"/>
      <c r="DWG11" s="392"/>
      <c r="DWH11" s="392"/>
      <c r="DWI11" s="392"/>
      <c r="DWJ11" s="392"/>
      <c r="DWK11" s="392"/>
      <c r="DWL11" s="392"/>
      <c r="DWM11" s="392"/>
      <c r="DWN11" s="392"/>
      <c r="DWO11" s="392"/>
      <c r="DWP11" s="392"/>
      <c r="DWQ11" s="392"/>
      <c r="DWR11" s="392"/>
      <c r="DWS11" s="392"/>
      <c r="DWT11" s="392"/>
      <c r="DWU11" s="392"/>
      <c r="DWV11" s="392"/>
      <c r="DWW11" s="392"/>
      <c r="DWX11" s="392"/>
      <c r="DWY11" s="392"/>
      <c r="DWZ11" s="392"/>
      <c r="DXA11" s="392"/>
      <c r="DXB11" s="392"/>
      <c r="DXC11" s="392"/>
      <c r="DXD11" s="392"/>
      <c r="DXE11" s="392"/>
      <c r="DXF11" s="392"/>
      <c r="DXG11" s="392"/>
      <c r="DXH11" s="392"/>
      <c r="DXI11" s="392"/>
      <c r="DXJ11" s="392"/>
      <c r="DXK11" s="392"/>
      <c r="DXL11" s="392"/>
      <c r="DXM11" s="392"/>
      <c r="DXN11" s="392"/>
      <c r="DXO11" s="392"/>
      <c r="DXP11" s="392"/>
      <c r="DXQ11" s="392"/>
      <c r="DXR11" s="392"/>
      <c r="DXS11" s="392"/>
      <c r="DXT11" s="392"/>
      <c r="DXU11" s="392"/>
      <c r="DXV11" s="392"/>
      <c r="DXW11" s="392"/>
      <c r="DXX11" s="392"/>
      <c r="DXY11" s="392"/>
      <c r="DXZ11" s="392"/>
      <c r="DYA11" s="392"/>
      <c r="DYB11" s="392"/>
      <c r="DYC11" s="392"/>
      <c r="DYD11" s="392"/>
      <c r="DYE11" s="392"/>
      <c r="DYF11" s="392"/>
      <c r="DYG11" s="392"/>
      <c r="DYH11" s="392"/>
      <c r="DYI11" s="392"/>
      <c r="DYJ11" s="392"/>
      <c r="DYK11" s="392"/>
      <c r="DYL11" s="392"/>
      <c r="DYM11" s="392"/>
      <c r="DYN11" s="392"/>
      <c r="DYO11" s="392"/>
      <c r="DYP11" s="392"/>
      <c r="DYQ11" s="392"/>
      <c r="DYR11" s="392"/>
      <c r="DYS11" s="392"/>
      <c r="DYT11" s="392"/>
      <c r="DYU11" s="392"/>
      <c r="DYV11" s="392"/>
      <c r="DYW11" s="392"/>
      <c r="DYX11" s="392"/>
      <c r="DYY11" s="392"/>
      <c r="DYZ11" s="392"/>
      <c r="DZA11" s="392"/>
      <c r="DZB11" s="392"/>
      <c r="DZC11" s="392"/>
      <c r="DZD11" s="392"/>
      <c r="DZE11" s="392"/>
      <c r="DZF11" s="392"/>
      <c r="DZG11" s="392"/>
      <c r="DZH11" s="392"/>
      <c r="DZI11" s="392"/>
      <c r="DZJ11" s="392"/>
      <c r="DZK11" s="392"/>
      <c r="DZL11" s="392"/>
      <c r="DZM11" s="392"/>
      <c r="DZN11" s="392"/>
      <c r="DZO11" s="392"/>
      <c r="DZP11" s="392"/>
      <c r="DZQ11" s="392"/>
      <c r="DZR11" s="392"/>
      <c r="DZS11" s="392"/>
      <c r="DZT11" s="392"/>
      <c r="DZU11" s="392"/>
      <c r="DZV11" s="392"/>
      <c r="DZW11" s="392"/>
      <c r="DZX11" s="392"/>
      <c r="DZY11" s="392"/>
      <c r="DZZ11" s="392"/>
      <c r="EAA11" s="392"/>
      <c r="EAB11" s="392"/>
      <c r="EAC11" s="392"/>
      <c r="EAD11" s="392"/>
      <c r="EAE11" s="392"/>
      <c r="EAF11" s="392"/>
      <c r="EAG11" s="392"/>
      <c r="EAH11" s="392"/>
      <c r="EAI11" s="392"/>
      <c r="EAJ11" s="392"/>
      <c r="EAK11" s="392"/>
      <c r="EAL11" s="392"/>
      <c r="EAM11" s="392"/>
      <c r="EAN11" s="392"/>
      <c r="EAO11" s="392"/>
      <c r="EAP11" s="392"/>
      <c r="EAQ11" s="392"/>
      <c r="EAR11" s="392"/>
      <c r="EAS11" s="392"/>
      <c r="EAT11" s="392"/>
      <c r="EAU11" s="392"/>
      <c r="EAV11" s="392"/>
      <c r="EAW11" s="392"/>
      <c r="EAX11" s="392"/>
      <c r="EAY11" s="392"/>
      <c r="EAZ11" s="392"/>
      <c r="EBA11" s="392"/>
      <c r="EBB11" s="392"/>
      <c r="EBC11" s="392"/>
      <c r="EBD11" s="392"/>
      <c r="EBE11" s="392"/>
      <c r="EBF11" s="392"/>
      <c r="EBG11" s="392"/>
      <c r="EBH11" s="392"/>
      <c r="EBI11" s="392"/>
      <c r="EBJ11" s="392"/>
      <c r="EBK11" s="392"/>
      <c r="EBL11" s="392"/>
      <c r="EBM11" s="392"/>
      <c r="EBN11" s="392"/>
      <c r="EBO11" s="392"/>
      <c r="EBP11" s="392"/>
      <c r="EBQ11" s="392"/>
      <c r="EBR11" s="392"/>
      <c r="EBS11" s="392"/>
      <c r="EBT11" s="392"/>
      <c r="EBU11" s="392"/>
      <c r="EBV11" s="392"/>
      <c r="EBW11" s="392"/>
      <c r="EBX11" s="392"/>
      <c r="EBY11" s="392"/>
      <c r="EBZ11" s="392"/>
      <c r="ECA11" s="392"/>
      <c r="ECB11" s="392"/>
      <c r="ECC11" s="392"/>
      <c r="ECD11" s="392"/>
      <c r="ECE11" s="392"/>
      <c r="ECF11" s="392"/>
      <c r="ECG11" s="392"/>
      <c r="ECH11" s="392"/>
      <c r="ECI11" s="392"/>
      <c r="ECJ11" s="392"/>
      <c r="ECK11" s="392"/>
      <c r="ECL11" s="392"/>
      <c r="ECM11" s="392"/>
      <c r="ECN11" s="392"/>
      <c r="ECO11" s="392"/>
      <c r="ECP11" s="392"/>
      <c r="ECQ11" s="392"/>
      <c r="ECR11" s="392"/>
      <c r="ECS11" s="392"/>
      <c r="ECT11" s="392"/>
      <c r="ECU11" s="392"/>
      <c r="ECV11" s="392"/>
      <c r="ECW11" s="392"/>
      <c r="ECX11" s="392"/>
      <c r="ECY11" s="392"/>
      <c r="ECZ11" s="392"/>
      <c r="EDA11" s="392"/>
      <c r="EDB11" s="392"/>
      <c r="EDC11" s="392"/>
      <c r="EDD11" s="392"/>
      <c r="EDE11" s="392"/>
      <c r="EDF11" s="392"/>
      <c r="EDG11" s="392"/>
      <c r="EDH11" s="392"/>
      <c r="EDI11" s="392"/>
      <c r="EDJ11" s="392"/>
      <c r="EDK11" s="392"/>
      <c r="EDL11" s="392"/>
      <c r="EDM11" s="392"/>
      <c r="EDN11" s="392"/>
      <c r="EDO11" s="392"/>
      <c r="EDP11" s="392"/>
      <c r="EDQ11" s="392"/>
      <c r="EDR11" s="392"/>
      <c r="EDS11" s="392"/>
      <c r="EDT11" s="392"/>
      <c r="EDU11" s="392"/>
      <c r="EDV11" s="392"/>
      <c r="EDW11" s="392"/>
      <c r="EDX11" s="392"/>
      <c r="EDY11" s="392"/>
      <c r="EDZ11" s="392"/>
      <c r="EEA11" s="392"/>
      <c r="EEB11" s="392"/>
      <c r="EEC11" s="392"/>
      <c r="EED11" s="392"/>
      <c r="EEE11" s="392"/>
      <c r="EEF11" s="392"/>
      <c r="EEG11" s="392"/>
      <c r="EEH11" s="392"/>
      <c r="EEI11" s="392"/>
      <c r="EEJ11" s="392"/>
      <c r="EEK11" s="392"/>
      <c r="EEL11" s="392"/>
      <c r="EEM11" s="392"/>
      <c r="EEN11" s="392"/>
      <c r="EEO11" s="392"/>
      <c r="EEP11" s="392"/>
      <c r="EEQ11" s="392"/>
      <c r="EER11" s="392"/>
      <c r="EES11" s="392"/>
      <c r="EET11" s="392"/>
      <c r="EEU11" s="392"/>
      <c r="EEV11" s="392"/>
      <c r="EEW11" s="392"/>
      <c r="EEX11" s="392"/>
      <c r="EEY11" s="392"/>
      <c r="EEZ11" s="392"/>
      <c r="EFA11" s="392"/>
      <c r="EFB11" s="392"/>
      <c r="EFC11" s="392"/>
      <c r="EFD11" s="392"/>
      <c r="EFE11" s="392"/>
      <c r="EFF11" s="392"/>
      <c r="EFG11" s="392"/>
      <c r="EFH11" s="392"/>
      <c r="EFI11" s="392"/>
      <c r="EFJ11" s="392"/>
      <c r="EFK11" s="392"/>
      <c r="EFL11" s="392"/>
      <c r="EFM11" s="392"/>
      <c r="EFN11" s="392"/>
      <c r="EFO11" s="392"/>
      <c r="EFP11" s="392"/>
      <c r="EFQ11" s="392"/>
      <c r="EFR11" s="392"/>
      <c r="EFS11" s="392"/>
      <c r="EFT11" s="392"/>
      <c r="EFU11" s="392"/>
      <c r="EFV11" s="392"/>
      <c r="EFW11" s="392"/>
      <c r="EFX11" s="392"/>
      <c r="EFY11" s="392"/>
      <c r="EFZ11" s="392"/>
      <c r="EGA11" s="392"/>
      <c r="EGB11" s="392"/>
      <c r="EGC11" s="392"/>
      <c r="EGD11" s="392"/>
      <c r="EGE11" s="392"/>
      <c r="EGF11" s="392"/>
      <c r="EGG11" s="392"/>
      <c r="EGH11" s="392"/>
      <c r="EGI11" s="392"/>
      <c r="EGJ11" s="392"/>
      <c r="EGK11" s="392"/>
      <c r="EGL11" s="392"/>
      <c r="EGM11" s="392"/>
      <c r="EGN11" s="392"/>
      <c r="EGO11" s="392"/>
      <c r="EGP11" s="392"/>
      <c r="EGQ11" s="392"/>
      <c r="EGR11" s="392"/>
      <c r="EGS11" s="392"/>
      <c r="EGT11" s="392"/>
      <c r="EGU11" s="392"/>
      <c r="EGV11" s="392"/>
      <c r="EGW11" s="392"/>
      <c r="EGX11" s="392"/>
      <c r="EGY11" s="392"/>
      <c r="EGZ11" s="392"/>
      <c r="EHA11" s="392"/>
      <c r="EHB11" s="392"/>
      <c r="EHC11" s="392"/>
      <c r="EHD11" s="392"/>
      <c r="EHE11" s="392"/>
      <c r="EHF11" s="392"/>
      <c r="EHG11" s="392"/>
      <c r="EHH11" s="392"/>
      <c r="EHI11" s="392"/>
      <c r="EHJ11" s="392"/>
      <c r="EHK11" s="392"/>
      <c r="EHL11" s="392"/>
      <c r="EHM11" s="392"/>
      <c r="EHN11" s="392"/>
      <c r="EHO11" s="392"/>
      <c r="EHP11" s="392"/>
      <c r="EHQ11" s="392"/>
      <c r="EHR11" s="392"/>
      <c r="EHS11" s="392"/>
      <c r="EHT11" s="392"/>
      <c r="EHU11" s="392"/>
      <c r="EHV11" s="392"/>
      <c r="EHW11" s="392"/>
      <c r="EHX11" s="392"/>
      <c r="EHY11" s="392"/>
      <c r="EHZ11" s="392"/>
      <c r="EIA11" s="392"/>
      <c r="EIB11" s="392"/>
      <c r="EIC11" s="392"/>
      <c r="EID11" s="392"/>
      <c r="EIE11" s="392"/>
      <c r="EIF11" s="392"/>
      <c r="EIG11" s="392"/>
      <c r="EIH11" s="392"/>
      <c r="EII11" s="392"/>
      <c r="EIJ11" s="392"/>
      <c r="EIK11" s="392"/>
      <c r="EIL11" s="392"/>
      <c r="EIM11" s="392"/>
      <c r="EIN11" s="392"/>
      <c r="EIO11" s="392"/>
      <c r="EIP11" s="392"/>
      <c r="EIQ11" s="392"/>
      <c r="EIR11" s="392"/>
      <c r="EIS11" s="392"/>
      <c r="EIT11" s="392"/>
      <c r="EIU11" s="392"/>
      <c r="EIV11" s="392"/>
      <c r="EIW11" s="392"/>
      <c r="EIX11" s="392"/>
      <c r="EIY11" s="392"/>
      <c r="EIZ11" s="392"/>
      <c r="EJA11" s="392"/>
      <c r="EJB11" s="392"/>
      <c r="EJC11" s="392"/>
      <c r="EJD11" s="392"/>
      <c r="EJE11" s="392"/>
      <c r="EJF11" s="392"/>
      <c r="EJG11" s="392"/>
      <c r="EJH11" s="392"/>
      <c r="EJI11" s="392"/>
      <c r="EJJ11" s="392"/>
      <c r="EJK11" s="392"/>
      <c r="EJL11" s="392"/>
      <c r="EJM11" s="392"/>
      <c r="EJN11" s="392"/>
      <c r="EJO11" s="392"/>
      <c r="EJP11" s="392"/>
      <c r="EJQ11" s="392"/>
      <c r="EJR11" s="392"/>
      <c r="EJS11" s="392"/>
      <c r="EJT11" s="392"/>
      <c r="EJU11" s="392"/>
      <c r="EJV11" s="392"/>
      <c r="EJW11" s="392"/>
      <c r="EJX11" s="392"/>
      <c r="EJY11" s="392"/>
      <c r="EJZ11" s="392"/>
      <c r="EKA11" s="392"/>
      <c r="EKB11" s="392"/>
      <c r="EKC11" s="392"/>
      <c r="EKD11" s="392"/>
      <c r="EKE11" s="392"/>
      <c r="EKF11" s="392"/>
      <c r="EKG11" s="392"/>
      <c r="EKH11" s="392"/>
      <c r="EKI11" s="392"/>
      <c r="EKJ11" s="392"/>
      <c r="EKK11" s="392"/>
      <c r="EKL11" s="392"/>
      <c r="EKM11" s="392"/>
      <c r="EKN11" s="392"/>
      <c r="EKO11" s="392"/>
      <c r="EKP11" s="392"/>
      <c r="EKQ11" s="392"/>
      <c r="EKR11" s="392"/>
      <c r="EKS11" s="392"/>
      <c r="EKT11" s="392"/>
      <c r="EKU11" s="392"/>
      <c r="EKV11" s="392"/>
      <c r="EKW11" s="392"/>
      <c r="EKX11" s="392"/>
      <c r="EKY11" s="392"/>
      <c r="EKZ11" s="392"/>
      <c r="ELA11" s="392"/>
      <c r="ELB11" s="392"/>
      <c r="ELC11" s="392"/>
      <c r="ELD11" s="392"/>
      <c r="ELE11" s="392"/>
      <c r="ELF11" s="392"/>
      <c r="ELG11" s="392"/>
      <c r="ELH11" s="392"/>
      <c r="ELI11" s="392"/>
      <c r="ELJ11" s="392"/>
      <c r="ELK11" s="392"/>
      <c r="ELL11" s="392"/>
      <c r="ELM11" s="392"/>
      <c r="ELN11" s="392"/>
      <c r="ELO11" s="392"/>
      <c r="ELP11" s="392"/>
      <c r="ELQ11" s="392"/>
      <c r="ELR11" s="392"/>
      <c r="ELS11" s="392"/>
      <c r="ELT11" s="392"/>
      <c r="ELU11" s="392"/>
      <c r="ELV11" s="392"/>
      <c r="ELW11" s="392"/>
      <c r="ELX11" s="392"/>
      <c r="ELY11" s="392"/>
      <c r="ELZ11" s="392"/>
      <c r="EMA11" s="392"/>
      <c r="EMB11" s="392"/>
      <c r="EMC11" s="392"/>
      <c r="EMD11" s="392"/>
      <c r="EME11" s="392"/>
      <c r="EMF11" s="392"/>
      <c r="EMG11" s="392"/>
      <c r="EMH11" s="392"/>
      <c r="EMI11" s="392"/>
      <c r="EMJ11" s="392"/>
      <c r="EMK11" s="392"/>
      <c r="EML11" s="392"/>
      <c r="EMM11" s="392"/>
      <c r="EMN11" s="392"/>
      <c r="EMO11" s="392"/>
      <c r="EMP11" s="392"/>
      <c r="EMQ11" s="392"/>
      <c r="EMR11" s="392"/>
      <c r="EMS11" s="392"/>
      <c r="EMT11" s="392"/>
      <c r="EMU11" s="392"/>
      <c r="EMV11" s="392"/>
      <c r="EMW11" s="392"/>
      <c r="EMX11" s="392"/>
      <c r="EMY11" s="392"/>
      <c r="EMZ11" s="392"/>
      <c r="ENA11" s="392"/>
      <c r="ENB11" s="392"/>
      <c r="ENC11" s="392"/>
      <c r="END11" s="392"/>
      <c r="ENE11" s="392"/>
      <c r="ENF11" s="392"/>
      <c r="ENG11" s="392"/>
      <c r="ENH11" s="392"/>
      <c r="ENI11" s="392"/>
      <c r="ENJ11" s="392"/>
      <c r="ENK11" s="392"/>
      <c r="ENL11" s="392"/>
      <c r="ENM11" s="392"/>
      <c r="ENN11" s="392"/>
      <c r="ENO11" s="392"/>
      <c r="ENP11" s="392"/>
      <c r="ENQ11" s="392"/>
      <c r="ENR11" s="392"/>
      <c r="ENS11" s="392"/>
      <c r="ENT11" s="392"/>
      <c r="ENU11" s="392"/>
      <c r="ENV11" s="392"/>
      <c r="ENW11" s="392"/>
      <c r="ENX11" s="392"/>
      <c r="ENY11" s="392"/>
      <c r="ENZ11" s="392"/>
      <c r="EOA11" s="392"/>
      <c r="EOB11" s="392"/>
      <c r="EOC11" s="392"/>
      <c r="EOD11" s="392"/>
      <c r="EOE11" s="392"/>
      <c r="EOF11" s="392"/>
      <c r="EOG11" s="392"/>
      <c r="EOH11" s="392"/>
      <c r="EOI11" s="392"/>
      <c r="EOJ11" s="392"/>
      <c r="EOK11" s="392"/>
      <c r="EOL11" s="392"/>
      <c r="EOM11" s="392"/>
      <c r="EON11" s="392"/>
      <c r="EOO11" s="392"/>
      <c r="EOP11" s="392"/>
      <c r="EOQ11" s="392"/>
      <c r="EOR11" s="392"/>
      <c r="EOS11" s="392"/>
      <c r="EOT11" s="392"/>
      <c r="EOU11" s="392"/>
      <c r="EOV11" s="392"/>
      <c r="EOW11" s="392"/>
      <c r="EOX11" s="392"/>
      <c r="EOY11" s="392"/>
      <c r="EOZ11" s="392"/>
      <c r="EPA11" s="392"/>
      <c r="EPB11" s="392"/>
      <c r="EPC11" s="392"/>
      <c r="EPD11" s="392"/>
      <c r="EPE11" s="392"/>
      <c r="EPF11" s="392"/>
      <c r="EPG11" s="392"/>
      <c r="EPH11" s="392"/>
      <c r="EPI11" s="392"/>
      <c r="EPJ11" s="392"/>
      <c r="EPK11" s="392"/>
      <c r="EPL11" s="392"/>
      <c r="EPM11" s="392"/>
      <c r="EPN11" s="392"/>
      <c r="EPO11" s="392"/>
      <c r="EPP11" s="392"/>
      <c r="EPQ11" s="392"/>
      <c r="EPR11" s="392"/>
      <c r="EPS11" s="392"/>
      <c r="EPT11" s="392"/>
      <c r="EPU11" s="392"/>
      <c r="EPV11" s="392"/>
      <c r="EPW11" s="392"/>
      <c r="EPX11" s="392"/>
      <c r="EPY11" s="392"/>
      <c r="EPZ11" s="392"/>
      <c r="EQA11" s="392"/>
      <c r="EQB11" s="392"/>
      <c r="EQC11" s="392"/>
      <c r="EQD11" s="392"/>
      <c r="EQE11" s="392"/>
      <c r="EQF11" s="392"/>
      <c r="EQG11" s="392"/>
      <c r="EQH11" s="392"/>
      <c r="EQI11" s="392"/>
      <c r="EQJ11" s="392"/>
      <c r="EQK11" s="392"/>
      <c r="EQL11" s="392"/>
      <c r="EQM11" s="392"/>
      <c r="EQN11" s="392"/>
      <c r="EQO11" s="392"/>
      <c r="EQP11" s="392"/>
      <c r="EQQ11" s="392"/>
      <c r="EQR11" s="392"/>
      <c r="EQS11" s="392"/>
      <c r="EQT11" s="392"/>
      <c r="EQU11" s="392"/>
      <c r="EQV11" s="392"/>
      <c r="EQW11" s="392"/>
      <c r="EQX11" s="392"/>
      <c r="EQY11" s="392"/>
      <c r="EQZ11" s="392"/>
      <c r="ERA11" s="392"/>
      <c r="ERB11" s="392"/>
      <c r="ERC11" s="392"/>
      <c r="ERD11" s="392"/>
      <c r="ERE11" s="392"/>
      <c r="ERF11" s="392"/>
      <c r="ERG11" s="392"/>
      <c r="ERH11" s="392"/>
      <c r="ERI11" s="392"/>
      <c r="ERJ11" s="392"/>
      <c r="ERK11" s="392"/>
      <c r="ERL11" s="392"/>
      <c r="ERM11" s="392"/>
      <c r="ERN11" s="392"/>
      <c r="ERO11" s="392"/>
      <c r="ERP11" s="392"/>
      <c r="ERQ11" s="392"/>
      <c r="ERR11" s="392"/>
      <c r="ERS11" s="392"/>
      <c r="ERT11" s="392"/>
      <c r="ERU11" s="392"/>
      <c r="ERV11" s="392"/>
      <c r="ERW11" s="392"/>
      <c r="ERX11" s="392"/>
      <c r="ERY11" s="392"/>
      <c r="ERZ11" s="392"/>
      <c r="ESA11" s="392"/>
      <c r="ESB11" s="392"/>
      <c r="ESC11" s="392"/>
      <c r="ESD11" s="392"/>
      <c r="ESE11" s="392"/>
      <c r="ESF11" s="392"/>
      <c r="ESG11" s="392"/>
      <c r="ESH11" s="392"/>
      <c r="ESI11" s="392"/>
      <c r="ESJ11" s="392"/>
      <c r="ESK11" s="392"/>
      <c r="ESL11" s="392"/>
      <c r="ESM11" s="392"/>
      <c r="ESN11" s="392"/>
      <c r="ESO11" s="392"/>
      <c r="ESP11" s="392"/>
      <c r="ESQ11" s="392"/>
      <c r="ESR11" s="392"/>
      <c r="ESS11" s="392"/>
      <c r="EST11" s="392"/>
      <c r="ESU11" s="392"/>
      <c r="ESV11" s="392"/>
      <c r="ESW11" s="392"/>
      <c r="ESX11" s="392"/>
      <c r="ESY11" s="392"/>
      <c r="ESZ11" s="392"/>
      <c r="ETA11" s="392"/>
      <c r="ETB11" s="392"/>
      <c r="ETC11" s="392"/>
      <c r="ETD11" s="392"/>
      <c r="ETE11" s="392"/>
      <c r="ETF11" s="392"/>
      <c r="ETG11" s="392"/>
      <c r="ETH11" s="392"/>
      <c r="ETI11" s="392"/>
      <c r="ETJ11" s="392"/>
      <c r="ETK11" s="392"/>
      <c r="ETL11" s="392"/>
      <c r="ETM11" s="392"/>
      <c r="ETN11" s="392"/>
      <c r="ETO11" s="392"/>
      <c r="ETP11" s="392"/>
      <c r="ETQ11" s="392"/>
      <c r="ETR11" s="392"/>
      <c r="ETS11" s="392"/>
      <c r="ETT11" s="392"/>
      <c r="ETU11" s="392"/>
      <c r="ETV11" s="392"/>
      <c r="ETW11" s="392"/>
      <c r="ETX11" s="392"/>
      <c r="ETY11" s="392"/>
      <c r="ETZ11" s="392"/>
      <c r="EUA11" s="392"/>
      <c r="EUB11" s="392"/>
      <c r="EUC11" s="392"/>
      <c r="EUD11" s="392"/>
      <c r="EUE11" s="392"/>
      <c r="EUF11" s="392"/>
      <c r="EUG11" s="392"/>
      <c r="EUH11" s="392"/>
      <c r="EUI11" s="392"/>
      <c r="EUJ11" s="392"/>
      <c r="EUK11" s="392"/>
      <c r="EUL11" s="392"/>
      <c r="EUM11" s="392"/>
      <c r="EUN11" s="392"/>
      <c r="EUO11" s="392"/>
      <c r="EUP11" s="392"/>
      <c r="EUQ11" s="392"/>
      <c r="EUR11" s="392"/>
      <c r="EUS11" s="392"/>
      <c r="EUT11" s="392"/>
      <c r="EUU11" s="392"/>
      <c r="EUV11" s="392"/>
      <c r="EUW11" s="392"/>
      <c r="EUX11" s="392"/>
      <c r="EUY11" s="392"/>
      <c r="EUZ11" s="392"/>
      <c r="EVA11" s="392"/>
      <c r="EVB11" s="392"/>
      <c r="EVC11" s="392"/>
      <c r="EVD11" s="392"/>
      <c r="EVE11" s="392"/>
      <c r="EVF11" s="392"/>
      <c r="EVG11" s="392"/>
      <c r="EVH11" s="392"/>
      <c r="EVI11" s="392"/>
      <c r="EVJ11" s="392"/>
      <c r="EVK11" s="392"/>
      <c r="EVL11" s="392"/>
      <c r="EVM11" s="392"/>
      <c r="EVN11" s="392"/>
      <c r="EVO11" s="392"/>
      <c r="EVP11" s="392"/>
      <c r="EVQ11" s="392"/>
      <c r="EVR11" s="392"/>
      <c r="EVS11" s="392"/>
      <c r="EVT11" s="392"/>
      <c r="EVU11" s="392"/>
      <c r="EVV11" s="392"/>
      <c r="EVW11" s="392"/>
      <c r="EVX11" s="392"/>
      <c r="EVY11" s="392"/>
      <c r="EVZ11" s="392"/>
      <c r="EWA11" s="392"/>
      <c r="EWB11" s="392"/>
      <c r="EWC11" s="392"/>
      <c r="EWD11" s="392"/>
      <c r="EWE11" s="392"/>
      <c r="EWF11" s="392"/>
      <c r="EWG11" s="392"/>
      <c r="EWH11" s="392"/>
      <c r="EWI11" s="392"/>
      <c r="EWJ11" s="392"/>
      <c r="EWK11" s="392"/>
      <c r="EWL11" s="392"/>
      <c r="EWM11" s="392"/>
      <c r="EWN11" s="392"/>
      <c r="EWO11" s="392"/>
      <c r="EWP11" s="392"/>
      <c r="EWQ11" s="392"/>
      <c r="EWR11" s="392"/>
      <c r="EWS11" s="392"/>
      <c r="EWT11" s="392"/>
      <c r="EWU11" s="392"/>
      <c r="EWV11" s="392"/>
      <c r="EWW11" s="392"/>
      <c r="EWX11" s="392"/>
      <c r="EWY11" s="392"/>
      <c r="EWZ11" s="392"/>
      <c r="EXA11" s="392"/>
      <c r="EXB11" s="392"/>
      <c r="EXC11" s="392"/>
      <c r="EXD11" s="392"/>
      <c r="EXE11" s="392"/>
      <c r="EXF11" s="392"/>
      <c r="EXG11" s="392"/>
      <c r="EXH11" s="392"/>
      <c r="EXI11" s="392"/>
      <c r="EXJ11" s="392"/>
      <c r="EXK11" s="392"/>
      <c r="EXL11" s="392"/>
      <c r="EXM11" s="392"/>
      <c r="EXN11" s="392"/>
      <c r="EXO11" s="392"/>
      <c r="EXP11" s="392"/>
      <c r="EXQ11" s="392"/>
      <c r="EXR11" s="392"/>
      <c r="EXS11" s="392"/>
      <c r="EXT11" s="392"/>
      <c r="EXU11" s="392"/>
      <c r="EXV11" s="392"/>
      <c r="EXW11" s="392"/>
      <c r="EXX11" s="392"/>
      <c r="EXY11" s="392"/>
      <c r="EXZ11" s="392"/>
      <c r="EYA11" s="392"/>
      <c r="EYB11" s="392"/>
      <c r="EYC11" s="392"/>
      <c r="EYD11" s="392"/>
      <c r="EYE11" s="392"/>
      <c r="EYF11" s="392"/>
      <c r="EYG11" s="392"/>
      <c r="EYH11" s="392"/>
      <c r="EYI11" s="392"/>
      <c r="EYJ11" s="392"/>
      <c r="EYK11" s="392"/>
      <c r="EYL11" s="392"/>
      <c r="EYM11" s="392"/>
      <c r="EYN11" s="392"/>
      <c r="EYO11" s="392"/>
      <c r="EYP11" s="392"/>
      <c r="EYQ11" s="392"/>
      <c r="EYR11" s="392"/>
      <c r="EYS11" s="392"/>
      <c r="EYT11" s="392"/>
      <c r="EYU11" s="392"/>
      <c r="EYV11" s="392"/>
      <c r="EYW11" s="392"/>
      <c r="EYX11" s="392"/>
      <c r="EYY11" s="392"/>
      <c r="EYZ11" s="392"/>
      <c r="EZA11" s="392"/>
      <c r="EZB11" s="392"/>
      <c r="EZC11" s="392"/>
      <c r="EZD11" s="392"/>
      <c r="EZE11" s="392"/>
      <c r="EZF11" s="392"/>
      <c r="EZG11" s="392"/>
      <c r="EZH11" s="392"/>
      <c r="EZI11" s="392"/>
      <c r="EZJ11" s="392"/>
      <c r="EZK11" s="392"/>
      <c r="EZL11" s="392"/>
      <c r="EZM11" s="392"/>
      <c r="EZN11" s="392"/>
      <c r="EZO11" s="392"/>
      <c r="EZP11" s="392"/>
      <c r="EZQ11" s="392"/>
      <c r="EZR11" s="392"/>
      <c r="EZS11" s="392"/>
      <c r="EZT11" s="392"/>
      <c r="EZU11" s="392"/>
      <c r="EZV11" s="392"/>
      <c r="EZW11" s="392"/>
      <c r="EZX11" s="392"/>
      <c r="EZY11" s="392"/>
      <c r="EZZ11" s="392"/>
      <c r="FAA11" s="392"/>
      <c r="FAB11" s="392"/>
      <c r="FAC11" s="392"/>
      <c r="FAD11" s="392"/>
      <c r="FAE11" s="392"/>
      <c r="FAF11" s="392"/>
      <c r="FAG11" s="392"/>
      <c r="FAH11" s="392"/>
      <c r="FAI11" s="392"/>
      <c r="FAJ11" s="392"/>
      <c r="FAK11" s="392"/>
      <c r="FAL11" s="392"/>
      <c r="FAM11" s="392"/>
      <c r="FAN11" s="392"/>
      <c r="FAO11" s="392"/>
      <c r="FAP11" s="392"/>
      <c r="FAQ11" s="392"/>
      <c r="FAR11" s="392"/>
      <c r="FAS11" s="392"/>
      <c r="FAT11" s="392"/>
      <c r="FAU11" s="392"/>
      <c r="FAV11" s="392"/>
      <c r="FAW11" s="392"/>
      <c r="FAX11" s="392"/>
      <c r="FAY11" s="392"/>
      <c r="FAZ11" s="392"/>
      <c r="FBA11" s="392"/>
      <c r="FBB11" s="392"/>
      <c r="FBC11" s="392"/>
      <c r="FBD11" s="392"/>
      <c r="FBE11" s="392"/>
      <c r="FBF11" s="392"/>
      <c r="FBG11" s="392"/>
      <c r="FBH11" s="392"/>
      <c r="FBI11" s="392"/>
      <c r="FBJ11" s="392"/>
      <c r="FBK11" s="392"/>
      <c r="FBL11" s="392"/>
      <c r="FBM11" s="392"/>
      <c r="FBN11" s="392"/>
      <c r="FBO11" s="392"/>
      <c r="FBP11" s="392"/>
      <c r="FBQ11" s="392"/>
      <c r="FBR11" s="392"/>
      <c r="FBS11" s="392"/>
      <c r="FBT11" s="392"/>
      <c r="FBU11" s="392"/>
      <c r="FBV11" s="392"/>
      <c r="FBW11" s="392"/>
      <c r="FBX11" s="392"/>
      <c r="FBY11" s="392"/>
      <c r="FBZ11" s="392"/>
      <c r="FCA11" s="392"/>
      <c r="FCB11" s="392"/>
      <c r="FCC11" s="392"/>
      <c r="FCD11" s="392"/>
      <c r="FCE11" s="392"/>
      <c r="FCF11" s="392"/>
      <c r="FCG11" s="392"/>
      <c r="FCH11" s="392"/>
      <c r="FCI11" s="392"/>
      <c r="FCJ11" s="392"/>
      <c r="FCK11" s="392"/>
      <c r="FCL11" s="392"/>
      <c r="FCM11" s="392"/>
      <c r="FCN11" s="392"/>
      <c r="FCO11" s="392"/>
      <c r="FCP11" s="392"/>
      <c r="FCQ11" s="392"/>
      <c r="FCR11" s="392"/>
      <c r="FCS11" s="392"/>
      <c r="FCT11" s="392"/>
      <c r="FCU11" s="392"/>
      <c r="FCV11" s="392"/>
      <c r="FCW11" s="392"/>
      <c r="FCX11" s="392"/>
      <c r="FCY11" s="392"/>
      <c r="FCZ11" s="392"/>
      <c r="FDA11" s="392"/>
      <c r="FDB11" s="392"/>
      <c r="FDC11" s="392"/>
      <c r="FDD11" s="392"/>
      <c r="FDE11" s="392"/>
      <c r="FDF11" s="392"/>
      <c r="FDG11" s="392"/>
      <c r="FDH11" s="392"/>
      <c r="FDI11" s="392"/>
      <c r="FDJ11" s="392"/>
      <c r="FDK11" s="392"/>
      <c r="FDL11" s="392"/>
      <c r="FDM11" s="392"/>
      <c r="FDN11" s="392"/>
      <c r="FDO11" s="392"/>
      <c r="FDP11" s="392"/>
      <c r="FDQ11" s="392"/>
      <c r="FDR11" s="392"/>
      <c r="FDS11" s="392"/>
      <c r="FDT11" s="392"/>
      <c r="FDU11" s="392"/>
      <c r="FDV11" s="392"/>
      <c r="FDW11" s="392"/>
      <c r="FDX11" s="392"/>
      <c r="FDY11" s="392"/>
      <c r="FDZ11" s="392"/>
      <c r="FEA11" s="392"/>
      <c r="FEB11" s="392"/>
      <c r="FEC11" s="392"/>
      <c r="FED11" s="392"/>
      <c r="FEE11" s="392"/>
      <c r="FEF11" s="392"/>
      <c r="FEG11" s="392"/>
      <c r="FEH11" s="392"/>
      <c r="FEI11" s="392"/>
      <c r="FEJ11" s="392"/>
      <c r="FEK11" s="392"/>
      <c r="FEL11" s="392"/>
      <c r="FEM11" s="392"/>
      <c r="FEN11" s="392"/>
      <c r="FEO11" s="392"/>
      <c r="FEP11" s="392"/>
      <c r="FEQ11" s="392"/>
      <c r="FER11" s="392"/>
      <c r="FES11" s="392"/>
      <c r="FET11" s="392"/>
      <c r="FEU11" s="392"/>
      <c r="FEV11" s="392"/>
      <c r="FEW11" s="392"/>
      <c r="FEX11" s="392"/>
      <c r="FEY11" s="392"/>
      <c r="FEZ11" s="392"/>
      <c r="FFA11" s="392"/>
      <c r="FFB11" s="392"/>
      <c r="FFC11" s="392"/>
      <c r="FFD11" s="392"/>
      <c r="FFE11" s="392"/>
      <c r="FFF11" s="392"/>
      <c r="FFG11" s="392"/>
      <c r="FFH11" s="392"/>
      <c r="FFI11" s="392"/>
      <c r="FFJ11" s="392"/>
      <c r="FFK11" s="392"/>
      <c r="FFL11" s="392"/>
      <c r="FFM11" s="392"/>
      <c r="FFN11" s="392"/>
      <c r="FFO11" s="392"/>
      <c r="FFP11" s="392"/>
      <c r="FFQ11" s="392"/>
      <c r="FFR11" s="392"/>
      <c r="FFS11" s="392"/>
      <c r="FFT11" s="392"/>
      <c r="FFU11" s="392"/>
      <c r="FFV11" s="392"/>
      <c r="FFW11" s="392"/>
      <c r="FFX11" s="392"/>
      <c r="FFY11" s="392"/>
      <c r="FFZ11" s="392"/>
      <c r="FGA11" s="392"/>
      <c r="FGB11" s="392"/>
      <c r="FGC11" s="392"/>
      <c r="FGD11" s="392"/>
      <c r="FGE11" s="392"/>
      <c r="FGF11" s="392"/>
      <c r="FGG11" s="392"/>
      <c r="FGH11" s="392"/>
      <c r="FGI11" s="392"/>
      <c r="FGJ11" s="392"/>
      <c r="FGK11" s="392"/>
      <c r="FGL11" s="392"/>
      <c r="FGM11" s="392"/>
      <c r="FGN11" s="392"/>
      <c r="FGO11" s="392"/>
      <c r="FGP11" s="392"/>
      <c r="FGQ11" s="392"/>
      <c r="FGR11" s="392"/>
      <c r="FGS11" s="392"/>
      <c r="FGT11" s="392"/>
      <c r="FGU11" s="392"/>
      <c r="FGV11" s="392"/>
      <c r="FGW11" s="392"/>
      <c r="FGX11" s="392"/>
      <c r="FGY11" s="392"/>
      <c r="FGZ11" s="392"/>
      <c r="FHA11" s="392"/>
      <c r="FHB11" s="392"/>
      <c r="FHC11" s="392"/>
      <c r="FHD11" s="392"/>
      <c r="FHE11" s="392"/>
      <c r="FHF11" s="392"/>
      <c r="FHG11" s="392"/>
      <c r="FHH11" s="392"/>
      <c r="FHI11" s="392"/>
      <c r="FHJ11" s="392"/>
      <c r="FHK11" s="392"/>
      <c r="FHL11" s="392"/>
      <c r="FHM11" s="392"/>
      <c r="FHN11" s="392"/>
      <c r="FHO11" s="392"/>
      <c r="FHP11" s="392"/>
      <c r="FHQ11" s="392"/>
      <c r="FHR11" s="392"/>
      <c r="FHS11" s="392"/>
      <c r="FHT11" s="392"/>
      <c r="FHU11" s="392"/>
      <c r="FHV11" s="392"/>
      <c r="FHW11" s="392"/>
      <c r="FHX11" s="392"/>
      <c r="FHY11" s="392"/>
      <c r="FHZ11" s="392"/>
      <c r="FIA11" s="392"/>
      <c r="FIB11" s="392"/>
      <c r="FIC11" s="392"/>
      <c r="FID11" s="392"/>
      <c r="FIE11" s="392"/>
      <c r="FIF11" s="392"/>
      <c r="FIG11" s="392"/>
      <c r="FIH11" s="392"/>
      <c r="FII11" s="392"/>
      <c r="FIJ11" s="392"/>
      <c r="FIK11" s="392"/>
      <c r="FIL11" s="392"/>
      <c r="FIM11" s="392"/>
      <c r="FIN11" s="392"/>
      <c r="FIO11" s="392"/>
      <c r="FIP11" s="392"/>
      <c r="FIQ11" s="392"/>
      <c r="FIR11" s="392"/>
      <c r="FIS11" s="392"/>
      <c r="FIT11" s="392"/>
      <c r="FIU11" s="392"/>
      <c r="FIV11" s="392"/>
      <c r="FIW11" s="392"/>
      <c r="FIX11" s="392"/>
      <c r="FIY11" s="392"/>
      <c r="FIZ11" s="392"/>
      <c r="FJA11" s="392"/>
      <c r="FJB11" s="392"/>
      <c r="FJC11" s="392"/>
      <c r="FJD11" s="392"/>
      <c r="FJE11" s="392"/>
      <c r="FJF11" s="392"/>
      <c r="FJG11" s="392"/>
      <c r="FJH11" s="392"/>
      <c r="FJI11" s="392"/>
      <c r="FJJ11" s="392"/>
      <c r="FJK11" s="392"/>
      <c r="FJL11" s="392"/>
      <c r="FJM11" s="392"/>
      <c r="FJN11" s="392"/>
      <c r="FJO11" s="392"/>
      <c r="FJP11" s="392"/>
      <c r="FJQ11" s="392"/>
      <c r="FJR11" s="392"/>
      <c r="FJS11" s="392"/>
      <c r="FJT11" s="392"/>
      <c r="FJU11" s="392"/>
      <c r="FJV11" s="392"/>
      <c r="FJW11" s="392"/>
      <c r="FJX11" s="392"/>
      <c r="FJY11" s="392"/>
      <c r="FJZ11" s="392"/>
      <c r="FKA11" s="392"/>
      <c r="FKB11" s="392"/>
      <c r="FKC11" s="392"/>
      <c r="FKD11" s="392"/>
      <c r="FKE11" s="392"/>
      <c r="FKF11" s="392"/>
      <c r="FKG11" s="392"/>
      <c r="FKH11" s="392"/>
      <c r="FKI11" s="392"/>
      <c r="FKJ11" s="392"/>
      <c r="FKK11" s="392"/>
      <c r="FKL11" s="392"/>
      <c r="FKM11" s="392"/>
      <c r="FKN11" s="392"/>
      <c r="FKO11" s="392"/>
      <c r="FKP11" s="392"/>
      <c r="FKQ11" s="392"/>
      <c r="FKR11" s="392"/>
      <c r="FKS11" s="392"/>
      <c r="FKT11" s="392"/>
      <c r="FKU11" s="392"/>
      <c r="FKV11" s="392"/>
      <c r="FKW11" s="392"/>
      <c r="FKX11" s="392"/>
      <c r="FKY11" s="392"/>
      <c r="FKZ11" s="392"/>
      <c r="FLA11" s="392"/>
      <c r="FLB11" s="392"/>
      <c r="FLC11" s="392"/>
      <c r="FLD11" s="392"/>
      <c r="FLE11" s="392"/>
      <c r="FLF11" s="392"/>
      <c r="FLG11" s="392"/>
      <c r="FLH11" s="392"/>
      <c r="FLI11" s="392"/>
      <c r="FLJ11" s="392"/>
      <c r="FLK11" s="392"/>
      <c r="FLL11" s="392"/>
      <c r="FLM11" s="392"/>
      <c r="FLN11" s="392"/>
      <c r="FLO11" s="392"/>
      <c r="FLP11" s="392"/>
      <c r="FLQ11" s="392"/>
      <c r="FLR11" s="392"/>
      <c r="FLS11" s="392"/>
      <c r="FLT11" s="392"/>
      <c r="FLU11" s="392"/>
      <c r="FLV11" s="392"/>
      <c r="FLW11" s="392"/>
      <c r="FLX11" s="392"/>
      <c r="FLY11" s="392"/>
      <c r="FLZ11" s="392"/>
      <c r="FMA11" s="392"/>
      <c r="FMB11" s="392"/>
      <c r="FMC11" s="392"/>
      <c r="FMD11" s="392"/>
      <c r="FME11" s="392"/>
      <c r="FMF11" s="392"/>
      <c r="FMG11" s="392"/>
      <c r="FMH11" s="392"/>
      <c r="FMI11" s="392"/>
      <c r="FMJ11" s="392"/>
      <c r="FMK11" s="392"/>
      <c r="FML11" s="392"/>
      <c r="FMM11" s="392"/>
      <c r="FMN11" s="392"/>
      <c r="FMO11" s="392"/>
      <c r="FMP11" s="392"/>
      <c r="FMQ11" s="392"/>
      <c r="FMR11" s="392"/>
      <c r="FMS11" s="392"/>
      <c r="FMT11" s="392"/>
      <c r="FMU11" s="392"/>
      <c r="FMV11" s="392"/>
      <c r="FMW11" s="392"/>
      <c r="FMX11" s="392"/>
      <c r="FMY11" s="392"/>
      <c r="FMZ11" s="392"/>
      <c r="FNA11" s="392"/>
      <c r="FNB11" s="392"/>
      <c r="FNC11" s="392"/>
      <c r="FND11" s="392"/>
      <c r="FNE11" s="392"/>
      <c r="FNF11" s="392"/>
      <c r="FNG11" s="392"/>
      <c r="FNH11" s="392"/>
      <c r="FNI11" s="392"/>
      <c r="FNJ11" s="392"/>
      <c r="FNK11" s="392"/>
      <c r="FNL11" s="392"/>
      <c r="FNM11" s="392"/>
      <c r="FNN11" s="392"/>
      <c r="FNO11" s="392"/>
      <c r="FNP11" s="392"/>
      <c r="FNQ11" s="392"/>
      <c r="FNR11" s="392"/>
      <c r="FNS11" s="392"/>
      <c r="FNT11" s="392"/>
      <c r="FNU11" s="392"/>
      <c r="FNV11" s="392"/>
      <c r="FNW11" s="392"/>
      <c r="FNX11" s="392"/>
      <c r="FNY11" s="392"/>
      <c r="FNZ11" s="392"/>
      <c r="FOA11" s="392"/>
      <c r="FOB11" s="392"/>
      <c r="FOC11" s="392"/>
      <c r="FOD11" s="392"/>
      <c r="FOE11" s="392"/>
      <c r="FOF11" s="392"/>
      <c r="FOG11" s="392"/>
      <c r="FOH11" s="392"/>
      <c r="FOI11" s="392"/>
      <c r="FOJ11" s="392"/>
      <c r="FOK11" s="392"/>
      <c r="FOL11" s="392"/>
      <c r="FOM11" s="392"/>
      <c r="FON11" s="392"/>
      <c r="FOO11" s="392"/>
      <c r="FOP11" s="392"/>
      <c r="FOQ11" s="392"/>
      <c r="FOR11" s="392"/>
      <c r="FOS11" s="392"/>
      <c r="FOT11" s="392"/>
      <c r="FOU11" s="392"/>
      <c r="FOV11" s="392"/>
      <c r="FOW11" s="392"/>
      <c r="FOX11" s="392"/>
      <c r="FOY11" s="392"/>
      <c r="FOZ11" s="392"/>
      <c r="FPA11" s="392"/>
      <c r="FPB11" s="392"/>
      <c r="FPC11" s="392"/>
      <c r="FPD11" s="392"/>
      <c r="FPE11" s="392"/>
      <c r="FPF11" s="392"/>
      <c r="FPG11" s="392"/>
      <c r="FPH11" s="392"/>
      <c r="FPI11" s="392"/>
      <c r="FPJ11" s="392"/>
      <c r="FPK11" s="392"/>
      <c r="FPL11" s="392"/>
      <c r="FPM11" s="392"/>
      <c r="FPN11" s="392"/>
      <c r="FPO11" s="392"/>
      <c r="FPP11" s="392"/>
      <c r="FPQ11" s="392"/>
      <c r="FPR11" s="392"/>
      <c r="FPS11" s="392"/>
      <c r="FPT11" s="392"/>
      <c r="FPU11" s="392"/>
      <c r="FPV11" s="392"/>
      <c r="FPW11" s="392"/>
      <c r="FPX11" s="392"/>
      <c r="FPY11" s="392"/>
      <c r="FPZ11" s="392"/>
      <c r="FQA11" s="392"/>
      <c r="FQB11" s="392"/>
      <c r="FQC11" s="392"/>
      <c r="FQD11" s="392"/>
      <c r="FQE11" s="392"/>
      <c r="FQF11" s="392"/>
      <c r="FQG11" s="392"/>
      <c r="FQH11" s="392"/>
      <c r="FQI11" s="392"/>
      <c r="FQJ11" s="392"/>
      <c r="FQK11" s="392"/>
      <c r="FQL11" s="392"/>
      <c r="FQM11" s="392"/>
      <c r="FQN11" s="392"/>
      <c r="FQO11" s="392"/>
      <c r="FQP11" s="392"/>
      <c r="FQQ11" s="392"/>
      <c r="FQR11" s="392"/>
      <c r="FQS11" s="392"/>
      <c r="FQT11" s="392"/>
      <c r="FQU11" s="392"/>
      <c r="FQV11" s="392"/>
      <c r="FQW11" s="392"/>
      <c r="FQX11" s="392"/>
      <c r="FQY11" s="392"/>
      <c r="FQZ11" s="392"/>
      <c r="FRA11" s="392"/>
      <c r="FRB11" s="392"/>
      <c r="FRC11" s="392"/>
      <c r="FRD11" s="392"/>
      <c r="FRE11" s="392"/>
      <c r="FRF11" s="392"/>
      <c r="FRG11" s="392"/>
      <c r="FRH11" s="392"/>
      <c r="FRI11" s="392"/>
      <c r="FRJ11" s="392"/>
      <c r="FRK11" s="392"/>
      <c r="FRL11" s="392"/>
      <c r="FRM11" s="392"/>
      <c r="FRN11" s="392"/>
      <c r="FRO11" s="392"/>
      <c r="FRP11" s="392"/>
      <c r="FRQ11" s="392"/>
      <c r="FRR11" s="392"/>
      <c r="FRS11" s="392"/>
      <c r="FRT11" s="392"/>
      <c r="FRU11" s="392"/>
      <c r="FRV11" s="392"/>
      <c r="FRW11" s="392"/>
      <c r="FRX11" s="392"/>
      <c r="FRY11" s="392"/>
      <c r="FRZ11" s="392"/>
      <c r="FSA11" s="392"/>
      <c r="FSB11" s="392"/>
      <c r="FSC11" s="392"/>
      <c r="FSD11" s="392"/>
      <c r="FSE11" s="392"/>
      <c r="FSF11" s="392"/>
      <c r="FSG11" s="392"/>
      <c r="FSH11" s="392"/>
      <c r="FSI11" s="392"/>
      <c r="FSJ11" s="392"/>
      <c r="FSK11" s="392"/>
      <c r="FSL11" s="392"/>
      <c r="FSM11" s="392"/>
      <c r="FSN11" s="392"/>
      <c r="FSO11" s="392"/>
      <c r="FSP11" s="392"/>
      <c r="FSQ11" s="392"/>
      <c r="FSR11" s="392"/>
      <c r="FSS11" s="392"/>
      <c r="FST11" s="392"/>
      <c r="FSU11" s="392"/>
      <c r="FSV11" s="392"/>
      <c r="FSW11" s="392"/>
      <c r="FSX11" s="392"/>
      <c r="FSY11" s="392"/>
      <c r="FSZ11" s="392"/>
      <c r="FTA11" s="392"/>
      <c r="FTB11" s="392"/>
      <c r="FTC11" s="392"/>
      <c r="FTD11" s="392"/>
      <c r="FTE11" s="392"/>
      <c r="FTF11" s="392"/>
      <c r="FTG11" s="392"/>
      <c r="FTH11" s="392"/>
      <c r="FTI11" s="392"/>
      <c r="FTJ11" s="392"/>
      <c r="FTK11" s="392"/>
      <c r="FTL11" s="392"/>
      <c r="FTM11" s="392"/>
      <c r="FTN11" s="392"/>
      <c r="FTO11" s="392"/>
      <c r="FTP11" s="392"/>
      <c r="FTQ11" s="392"/>
      <c r="FTR11" s="392"/>
      <c r="FTS11" s="392"/>
      <c r="FTT11" s="392"/>
      <c r="FTU11" s="392"/>
      <c r="FTV11" s="392"/>
      <c r="FTW11" s="392"/>
      <c r="FTX11" s="392"/>
      <c r="FTY11" s="392"/>
      <c r="FTZ11" s="392"/>
      <c r="FUA11" s="392"/>
      <c r="FUB11" s="392"/>
      <c r="FUC11" s="392"/>
      <c r="FUD11" s="392"/>
      <c r="FUE11" s="392"/>
      <c r="FUF11" s="392"/>
      <c r="FUG11" s="392"/>
      <c r="FUH11" s="392"/>
      <c r="FUI11" s="392"/>
      <c r="FUJ11" s="392"/>
      <c r="FUK11" s="392"/>
      <c r="FUL11" s="392"/>
      <c r="FUM11" s="392"/>
      <c r="FUN11" s="392"/>
      <c r="FUO11" s="392"/>
      <c r="FUP11" s="392"/>
      <c r="FUQ11" s="392"/>
      <c r="FUR11" s="392"/>
      <c r="FUS11" s="392"/>
      <c r="FUT11" s="392"/>
      <c r="FUU11" s="392"/>
      <c r="FUV11" s="392"/>
      <c r="FUW11" s="392"/>
      <c r="FUX11" s="392"/>
      <c r="FUY11" s="392"/>
      <c r="FUZ11" s="392"/>
      <c r="FVA11" s="392"/>
      <c r="FVB11" s="392"/>
      <c r="FVC11" s="392"/>
      <c r="FVD11" s="392"/>
      <c r="FVE11" s="392"/>
      <c r="FVF11" s="392"/>
      <c r="FVG11" s="392"/>
      <c r="FVH11" s="392"/>
      <c r="FVI11" s="392"/>
      <c r="FVJ11" s="392"/>
      <c r="FVK11" s="392"/>
      <c r="FVL11" s="392"/>
      <c r="FVM11" s="392"/>
      <c r="FVN11" s="392"/>
      <c r="FVO11" s="392"/>
      <c r="FVP11" s="392"/>
      <c r="FVQ11" s="392"/>
      <c r="FVR11" s="392"/>
      <c r="FVS11" s="392"/>
      <c r="FVT11" s="392"/>
      <c r="FVU11" s="392"/>
      <c r="FVV11" s="392"/>
      <c r="FVW11" s="392"/>
      <c r="FVX11" s="392"/>
      <c r="FVY11" s="392"/>
      <c r="FVZ11" s="392"/>
      <c r="FWA11" s="392"/>
      <c r="FWB11" s="392"/>
      <c r="FWC11" s="392"/>
      <c r="FWD11" s="392"/>
      <c r="FWE11" s="392"/>
      <c r="FWF11" s="392"/>
      <c r="FWG11" s="392"/>
      <c r="FWH11" s="392"/>
      <c r="FWI11" s="392"/>
      <c r="FWJ11" s="392"/>
      <c r="FWK11" s="392"/>
      <c r="FWL11" s="392"/>
      <c r="FWM11" s="392"/>
      <c r="FWN11" s="392"/>
      <c r="FWO11" s="392"/>
      <c r="FWP11" s="392"/>
      <c r="FWQ11" s="392"/>
      <c r="FWR11" s="392"/>
      <c r="FWS11" s="392"/>
      <c r="FWT11" s="392"/>
      <c r="FWU11" s="392"/>
      <c r="FWV11" s="392"/>
      <c r="FWW11" s="392"/>
      <c r="FWX11" s="392"/>
      <c r="FWY11" s="392"/>
      <c r="FWZ11" s="392"/>
      <c r="FXA11" s="392"/>
      <c r="FXB11" s="392"/>
      <c r="FXC11" s="392"/>
      <c r="FXD11" s="392"/>
      <c r="FXE11" s="392"/>
      <c r="FXF11" s="392"/>
      <c r="FXG11" s="392"/>
      <c r="FXH11" s="392"/>
      <c r="FXI11" s="392"/>
      <c r="FXJ11" s="392"/>
      <c r="FXK11" s="392"/>
      <c r="FXL11" s="392"/>
      <c r="FXM11" s="392"/>
      <c r="FXN11" s="392"/>
      <c r="FXO11" s="392"/>
      <c r="FXP11" s="392"/>
      <c r="FXQ11" s="392"/>
      <c r="FXR11" s="392"/>
      <c r="FXS11" s="392"/>
      <c r="FXT11" s="392"/>
      <c r="FXU11" s="392"/>
      <c r="FXV11" s="392"/>
      <c r="FXW11" s="392"/>
      <c r="FXX11" s="392"/>
      <c r="FXY11" s="392"/>
      <c r="FXZ11" s="392"/>
      <c r="FYA11" s="392"/>
      <c r="FYB11" s="392"/>
      <c r="FYC11" s="392"/>
      <c r="FYD11" s="392"/>
      <c r="FYE11" s="392"/>
      <c r="FYF11" s="392"/>
      <c r="FYG11" s="392"/>
      <c r="FYH11" s="392"/>
      <c r="FYI11" s="392"/>
      <c r="FYJ11" s="392"/>
      <c r="FYK11" s="392"/>
      <c r="FYL11" s="392"/>
      <c r="FYM11" s="392"/>
      <c r="FYN11" s="392"/>
      <c r="FYO11" s="392"/>
      <c r="FYP11" s="392"/>
      <c r="FYQ11" s="392"/>
      <c r="FYR11" s="392"/>
      <c r="FYS11" s="392"/>
      <c r="FYT11" s="392"/>
      <c r="FYU11" s="392"/>
      <c r="FYV11" s="392"/>
      <c r="FYW11" s="392"/>
      <c r="FYX11" s="392"/>
      <c r="FYY11" s="392"/>
      <c r="FYZ11" s="392"/>
      <c r="FZA11" s="392"/>
      <c r="FZB11" s="392"/>
      <c r="FZC11" s="392"/>
      <c r="FZD11" s="392"/>
      <c r="FZE11" s="392"/>
      <c r="FZF11" s="392"/>
      <c r="FZG11" s="392"/>
      <c r="FZH11" s="392"/>
      <c r="FZI11" s="392"/>
      <c r="FZJ11" s="392"/>
      <c r="FZK11" s="392"/>
      <c r="FZL11" s="392"/>
      <c r="FZM11" s="392"/>
      <c r="FZN11" s="392"/>
      <c r="FZO11" s="392"/>
      <c r="FZP11" s="392"/>
      <c r="FZQ11" s="392"/>
      <c r="FZR11" s="392"/>
      <c r="FZS11" s="392"/>
      <c r="FZT11" s="392"/>
      <c r="FZU11" s="392"/>
      <c r="FZV11" s="392"/>
      <c r="FZW11" s="392"/>
      <c r="FZX11" s="392"/>
      <c r="FZY11" s="392"/>
      <c r="FZZ11" s="392"/>
      <c r="GAA11" s="392"/>
      <c r="GAB11" s="392"/>
      <c r="GAC11" s="392"/>
      <c r="GAD11" s="392"/>
      <c r="GAE11" s="392"/>
      <c r="GAF11" s="392"/>
      <c r="GAG11" s="392"/>
      <c r="GAH11" s="392"/>
      <c r="GAI11" s="392"/>
      <c r="GAJ11" s="392"/>
      <c r="GAK11" s="392"/>
      <c r="GAL11" s="392"/>
      <c r="GAM11" s="392"/>
      <c r="GAN11" s="392"/>
      <c r="GAO11" s="392"/>
      <c r="GAP11" s="392"/>
      <c r="GAQ11" s="392"/>
      <c r="GAR11" s="392"/>
      <c r="GAS11" s="392"/>
      <c r="GAT11" s="392"/>
      <c r="GAU11" s="392"/>
      <c r="GAV11" s="392"/>
      <c r="GAW11" s="392"/>
      <c r="GAX11" s="392"/>
      <c r="GAY11" s="392"/>
      <c r="GAZ11" s="392"/>
      <c r="GBA11" s="392"/>
      <c r="GBB11" s="392"/>
      <c r="GBC11" s="392"/>
      <c r="GBD11" s="392"/>
      <c r="GBE11" s="392"/>
      <c r="GBF11" s="392"/>
      <c r="GBG11" s="392"/>
      <c r="GBH11" s="392"/>
      <c r="GBI11" s="392"/>
      <c r="GBJ11" s="392"/>
      <c r="GBK11" s="392"/>
      <c r="GBL11" s="392"/>
      <c r="GBM11" s="392"/>
      <c r="GBN11" s="392"/>
      <c r="GBO11" s="392"/>
      <c r="GBP11" s="392"/>
      <c r="GBQ11" s="392"/>
      <c r="GBR11" s="392"/>
      <c r="GBS11" s="392"/>
      <c r="GBT11" s="392"/>
      <c r="GBU11" s="392"/>
      <c r="GBV11" s="392"/>
      <c r="GBW11" s="392"/>
      <c r="GBX11" s="392"/>
      <c r="GBY11" s="392"/>
      <c r="GBZ11" s="392"/>
      <c r="GCA11" s="392"/>
      <c r="GCB11" s="392"/>
      <c r="GCC11" s="392"/>
      <c r="GCD11" s="392"/>
      <c r="GCE11" s="392"/>
      <c r="GCF11" s="392"/>
      <c r="GCG11" s="392"/>
      <c r="GCH11" s="392"/>
      <c r="GCI11" s="392"/>
      <c r="GCJ11" s="392"/>
      <c r="GCK11" s="392"/>
      <c r="GCL11" s="392"/>
      <c r="GCM11" s="392"/>
      <c r="GCN11" s="392"/>
      <c r="GCO11" s="392"/>
      <c r="GCP11" s="392"/>
      <c r="GCQ11" s="392"/>
      <c r="GCR11" s="392"/>
      <c r="GCS11" s="392"/>
      <c r="GCT11" s="392"/>
      <c r="GCU11" s="392"/>
      <c r="GCV11" s="392"/>
      <c r="GCW11" s="392"/>
      <c r="GCX11" s="392"/>
      <c r="GCY11" s="392"/>
      <c r="GCZ11" s="392"/>
      <c r="GDA11" s="392"/>
      <c r="GDB11" s="392"/>
      <c r="GDC11" s="392"/>
      <c r="GDD11" s="392"/>
      <c r="GDE11" s="392"/>
      <c r="GDF11" s="392"/>
      <c r="GDG11" s="392"/>
      <c r="GDH11" s="392"/>
      <c r="GDI11" s="392"/>
      <c r="GDJ11" s="392"/>
      <c r="GDK11" s="392"/>
      <c r="GDL11" s="392"/>
      <c r="GDM11" s="392"/>
      <c r="GDN11" s="392"/>
      <c r="GDO11" s="392"/>
      <c r="GDP11" s="392"/>
      <c r="GDQ11" s="392"/>
      <c r="GDR11" s="392"/>
      <c r="GDS11" s="392"/>
      <c r="GDT11" s="392"/>
      <c r="GDU11" s="392"/>
      <c r="GDV11" s="392"/>
      <c r="GDW11" s="392"/>
      <c r="GDX11" s="392"/>
      <c r="GDY11" s="392"/>
      <c r="GDZ11" s="392"/>
      <c r="GEA11" s="392"/>
      <c r="GEB11" s="392"/>
      <c r="GEC11" s="392"/>
      <c r="GED11" s="392"/>
      <c r="GEE11" s="392"/>
      <c r="GEF11" s="392"/>
      <c r="GEG11" s="392"/>
      <c r="GEH11" s="392"/>
      <c r="GEI11" s="392"/>
      <c r="GEJ11" s="392"/>
      <c r="GEK11" s="392"/>
      <c r="GEL11" s="392"/>
      <c r="GEM11" s="392"/>
      <c r="GEN11" s="392"/>
      <c r="GEO11" s="392"/>
      <c r="GEP11" s="392"/>
      <c r="GEQ11" s="392"/>
      <c r="GER11" s="392"/>
      <c r="GES11" s="392"/>
      <c r="GET11" s="392"/>
      <c r="GEU11" s="392"/>
      <c r="GEV11" s="392"/>
      <c r="GEW11" s="392"/>
      <c r="GEX11" s="392"/>
      <c r="GEY11" s="392"/>
      <c r="GEZ11" s="392"/>
      <c r="GFA11" s="392"/>
      <c r="GFB11" s="392"/>
      <c r="GFC11" s="392"/>
      <c r="GFD11" s="392"/>
      <c r="GFE11" s="392"/>
      <c r="GFF11" s="392"/>
      <c r="GFG11" s="392"/>
      <c r="GFH11" s="392"/>
      <c r="GFI11" s="392"/>
      <c r="GFJ11" s="392"/>
      <c r="GFK11" s="392"/>
      <c r="GFL11" s="392"/>
      <c r="GFM11" s="392"/>
      <c r="GFN11" s="392"/>
      <c r="GFO11" s="392"/>
      <c r="GFP11" s="392"/>
      <c r="GFQ11" s="392"/>
      <c r="GFR11" s="392"/>
      <c r="GFS11" s="392"/>
      <c r="GFT11" s="392"/>
      <c r="GFU11" s="392"/>
      <c r="GFV11" s="392"/>
      <c r="GFW11" s="392"/>
      <c r="GFX11" s="392"/>
      <c r="GFY11" s="392"/>
      <c r="GFZ11" s="392"/>
      <c r="GGA11" s="392"/>
      <c r="GGB11" s="392"/>
      <c r="GGC11" s="392"/>
      <c r="GGD11" s="392"/>
      <c r="GGE11" s="392"/>
      <c r="GGF11" s="392"/>
      <c r="GGG11" s="392"/>
      <c r="GGH11" s="392"/>
      <c r="GGI11" s="392"/>
      <c r="GGJ11" s="392"/>
      <c r="GGK11" s="392"/>
      <c r="GGL11" s="392"/>
      <c r="GGM11" s="392"/>
      <c r="GGN11" s="392"/>
      <c r="GGO11" s="392"/>
      <c r="GGP11" s="392"/>
      <c r="GGQ11" s="392"/>
      <c r="GGR11" s="392"/>
      <c r="GGS11" s="392"/>
      <c r="GGT11" s="392"/>
      <c r="GGU11" s="392"/>
      <c r="GGV11" s="392"/>
      <c r="GGW11" s="392"/>
      <c r="GGX11" s="392"/>
      <c r="GGY11" s="392"/>
      <c r="GGZ11" s="392"/>
      <c r="GHA11" s="392"/>
      <c r="GHB11" s="392"/>
      <c r="GHC11" s="392"/>
      <c r="GHD11" s="392"/>
      <c r="GHE11" s="392"/>
      <c r="GHF11" s="392"/>
      <c r="GHG11" s="392"/>
      <c r="GHH11" s="392"/>
      <c r="GHI11" s="392"/>
      <c r="GHJ11" s="392"/>
      <c r="GHK11" s="392"/>
      <c r="GHL11" s="392"/>
      <c r="GHM11" s="392"/>
      <c r="GHN11" s="392"/>
      <c r="GHO11" s="392"/>
      <c r="GHP11" s="392"/>
      <c r="GHQ11" s="392"/>
      <c r="GHR11" s="392"/>
      <c r="GHS11" s="392"/>
      <c r="GHT11" s="392"/>
      <c r="GHU11" s="392"/>
      <c r="GHV11" s="392"/>
      <c r="GHW11" s="392"/>
      <c r="GHX11" s="392"/>
      <c r="GHY11" s="392"/>
      <c r="GHZ11" s="392"/>
      <c r="GIA11" s="392"/>
      <c r="GIB11" s="392"/>
      <c r="GIC11" s="392"/>
      <c r="GID11" s="392"/>
      <c r="GIE11" s="392"/>
      <c r="GIF11" s="392"/>
      <c r="GIG11" s="392"/>
      <c r="GIH11" s="392"/>
      <c r="GII11" s="392"/>
      <c r="GIJ11" s="392"/>
      <c r="GIK11" s="392"/>
      <c r="GIL11" s="392"/>
      <c r="GIM11" s="392"/>
      <c r="GIN11" s="392"/>
      <c r="GIO11" s="392"/>
      <c r="GIP11" s="392"/>
      <c r="GIQ11" s="392"/>
      <c r="GIR11" s="392"/>
      <c r="GIS11" s="392"/>
      <c r="GIT11" s="392"/>
      <c r="GIU11" s="392"/>
      <c r="GIV11" s="392"/>
      <c r="GIW11" s="392"/>
      <c r="GIX11" s="392"/>
      <c r="GIY11" s="392"/>
      <c r="GIZ11" s="392"/>
      <c r="GJA11" s="392"/>
      <c r="GJB11" s="392"/>
      <c r="GJC11" s="392"/>
      <c r="GJD11" s="392"/>
      <c r="GJE11" s="392"/>
      <c r="GJF11" s="392"/>
      <c r="GJG11" s="392"/>
      <c r="GJH11" s="392"/>
      <c r="GJI11" s="392"/>
      <c r="GJJ11" s="392"/>
      <c r="GJK11" s="392"/>
      <c r="GJL11" s="392"/>
      <c r="GJM11" s="392"/>
      <c r="GJN11" s="392"/>
      <c r="GJO11" s="392"/>
      <c r="GJP11" s="392"/>
      <c r="GJQ11" s="392"/>
      <c r="GJR11" s="392"/>
      <c r="GJS11" s="392"/>
      <c r="GJT11" s="392"/>
      <c r="GJU11" s="392"/>
      <c r="GJV11" s="392"/>
      <c r="GJW11" s="392"/>
      <c r="GJX11" s="392"/>
      <c r="GJY11" s="392"/>
      <c r="GJZ11" s="392"/>
      <c r="GKA11" s="392"/>
      <c r="GKB11" s="392"/>
      <c r="GKC11" s="392"/>
      <c r="GKD11" s="392"/>
      <c r="GKE11" s="392"/>
      <c r="GKF11" s="392"/>
      <c r="GKG11" s="392"/>
      <c r="GKH11" s="392"/>
      <c r="GKI11" s="392"/>
      <c r="GKJ11" s="392"/>
      <c r="GKK11" s="392"/>
      <c r="GKL11" s="392"/>
      <c r="GKM11" s="392"/>
      <c r="GKN11" s="392"/>
      <c r="GKO11" s="392"/>
      <c r="GKP11" s="392"/>
      <c r="GKQ11" s="392"/>
      <c r="GKR11" s="392"/>
      <c r="GKS11" s="392"/>
      <c r="GKT11" s="392"/>
      <c r="GKU11" s="392"/>
      <c r="GKV11" s="392"/>
      <c r="GKW11" s="392"/>
      <c r="GKX11" s="392"/>
      <c r="GKY11" s="392"/>
      <c r="GKZ11" s="392"/>
      <c r="GLA11" s="392"/>
      <c r="GLB11" s="392"/>
      <c r="GLC11" s="392"/>
      <c r="GLD11" s="392"/>
      <c r="GLE11" s="392"/>
      <c r="GLF11" s="392"/>
      <c r="GLG11" s="392"/>
      <c r="GLH11" s="392"/>
      <c r="GLI11" s="392"/>
      <c r="GLJ11" s="392"/>
      <c r="GLK11" s="392"/>
      <c r="GLL11" s="392"/>
      <c r="GLM11" s="392"/>
      <c r="GLN11" s="392"/>
      <c r="GLO11" s="392"/>
      <c r="GLP11" s="392"/>
      <c r="GLQ11" s="392"/>
      <c r="GLR11" s="392"/>
      <c r="GLS11" s="392"/>
      <c r="GLT11" s="392"/>
      <c r="GLU11" s="392"/>
      <c r="GLV11" s="392"/>
      <c r="GLW11" s="392"/>
      <c r="GLX11" s="392"/>
      <c r="GLY11" s="392"/>
      <c r="GLZ11" s="392"/>
      <c r="GMA11" s="392"/>
      <c r="GMB11" s="392"/>
      <c r="GMC11" s="392"/>
      <c r="GMD11" s="392"/>
      <c r="GME11" s="392"/>
      <c r="GMF11" s="392"/>
      <c r="GMG11" s="392"/>
      <c r="GMH11" s="392"/>
      <c r="GMI11" s="392"/>
      <c r="GMJ11" s="392"/>
      <c r="GMK11" s="392"/>
      <c r="GML11" s="392"/>
      <c r="GMM11" s="392"/>
      <c r="GMN11" s="392"/>
      <c r="GMO11" s="392"/>
      <c r="GMP11" s="392"/>
      <c r="GMQ11" s="392"/>
      <c r="GMR11" s="392"/>
      <c r="GMS11" s="392"/>
      <c r="GMT11" s="392"/>
      <c r="GMU11" s="392"/>
      <c r="GMV11" s="392"/>
      <c r="GMW11" s="392"/>
      <c r="GMX11" s="392"/>
      <c r="GMY11" s="392"/>
      <c r="GMZ11" s="392"/>
      <c r="GNA11" s="392"/>
      <c r="GNB11" s="392"/>
      <c r="GNC11" s="392"/>
      <c r="GND11" s="392"/>
      <c r="GNE11" s="392"/>
      <c r="GNF11" s="392"/>
      <c r="GNG11" s="392"/>
      <c r="GNH11" s="392"/>
      <c r="GNI11" s="392"/>
      <c r="GNJ11" s="392"/>
      <c r="GNK11" s="392"/>
      <c r="GNL11" s="392"/>
      <c r="GNM11" s="392"/>
      <c r="GNN11" s="392"/>
      <c r="GNO11" s="392"/>
      <c r="GNP11" s="392"/>
      <c r="GNQ11" s="392"/>
      <c r="GNR11" s="392"/>
      <c r="GNS11" s="392"/>
      <c r="GNT11" s="392"/>
      <c r="GNU11" s="392"/>
      <c r="GNV11" s="392"/>
      <c r="GNW11" s="392"/>
      <c r="GNX11" s="392"/>
      <c r="GNY11" s="392"/>
      <c r="GNZ11" s="392"/>
      <c r="GOA11" s="392"/>
      <c r="GOB11" s="392"/>
      <c r="GOC11" s="392"/>
      <c r="GOD11" s="392"/>
      <c r="GOE11" s="392"/>
      <c r="GOF11" s="392"/>
      <c r="GOG11" s="392"/>
      <c r="GOH11" s="392"/>
      <c r="GOI11" s="392"/>
      <c r="GOJ11" s="392"/>
      <c r="GOK11" s="392"/>
      <c r="GOL11" s="392"/>
      <c r="GOM11" s="392"/>
      <c r="GON11" s="392"/>
      <c r="GOO11" s="392"/>
      <c r="GOP11" s="392"/>
      <c r="GOQ11" s="392"/>
      <c r="GOR11" s="392"/>
      <c r="GOS11" s="392"/>
      <c r="GOT11" s="392"/>
      <c r="GOU11" s="392"/>
      <c r="GOV11" s="392"/>
      <c r="GOW11" s="392"/>
      <c r="GOX11" s="392"/>
      <c r="GOY11" s="392"/>
      <c r="GOZ11" s="392"/>
      <c r="GPA11" s="392"/>
      <c r="GPB11" s="392"/>
      <c r="GPC11" s="392"/>
      <c r="GPD11" s="392"/>
      <c r="GPE11" s="392"/>
      <c r="GPF11" s="392"/>
      <c r="GPG11" s="392"/>
      <c r="GPH11" s="392"/>
      <c r="GPI11" s="392"/>
      <c r="GPJ11" s="392"/>
      <c r="GPK11" s="392"/>
      <c r="GPL11" s="392"/>
      <c r="GPM11" s="392"/>
      <c r="GPN11" s="392"/>
      <c r="GPO11" s="392"/>
      <c r="GPP11" s="392"/>
      <c r="GPQ11" s="392"/>
      <c r="GPR11" s="392"/>
      <c r="GPS11" s="392"/>
      <c r="GPT11" s="392"/>
      <c r="GPU11" s="392"/>
      <c r="GPV11" s="392"/>
      <c r="GPW11" s="392"/>
      <c r="GPX11" s="392"/>
      <c r="GPY11" s="392"/>
      <c r="GPZ11" s="392"/>
      <c r="GQA11" s="392"/>
      <c r="GQB11" s="392"/>
      <c r="GQC11" s="392"/>
      <c r="GQD11" s="392"/>
      <c r="GQE11" s="392"/>
      <c r="GQF11" s="392"/>
      <c r="GQG11" s="392"/>
      <c r="GQH11" s="392"/>
      <c r="GQI11" s="392"/>
      <c r="GQJ11" s="392"/>
      <c r="GQK11" s="392"/>
      <c r="GQL11" s="392"/>
      <c r="GQM11" s="392"/>
      <c r="GQN11" s="392"/>
      <c r="GQO11" s="392"/>
      <c r="GQP11" s="392"/>
      <c r="GQQ11" s="392"/>
      <c r="GQR11" s="392"/>
      <c r="GQS11" s="392"/>
      <c r="GQT11" s="392"/>
      <c r="GQU11" s="392"/>
      <c r="GQV11" s="392"/>
      <c r="GQW11" s="392"/>
      <c r="GQX11" s="392"/>
      <c r="GQY11" s="392"/>
      <c r="GQZ11" s="392"/>
      <c r="GRA11" s="392"/>
      <c r="GRB11" s="392"/>
      <c r="GRC11" s="392"/>
      <c r="GRD11" s="392"/>
      <c r="GRE11" s="392"/>
      <c r="GRF11" s="392"/>
      <c r="GRG11" s="392"/>
      <c r="GRH11" s="392"/>
      <c r="GRI11" s="392"/>
      <c r="GRJ11" s="392"/>
      <c r="GRK11" s="392"/>
      <c r="GRL11" s="392"/>
      <c r="GRM11" s="392"/>
      <c r="GRN11" s="392"/>
      <c r="GRO11" s="392"/>
      <c r="GRP11" s="392"/>
      <c r="GRQ11" s="392"/>
      <c r="GRR11" s="392"/>
      <c r="GRS11" s="392"/>
      <c r="GRT11" s="392"/>
      <c r="GRU11" s="392"/>
      <c r="GRV11" s="392"/>
      <c r="GRW11" s="392"/>
      <c r="GRX11" s="392"/>
      <c r="GRY11" s="392"/>
      <c r="GRZ11" s="392"/>
      <c r="GSA11" s="392"/>
      <c r="GSB11" s="392"/>
      <c r="GSC11" s="392"/>
      <c r="GSD11" s="392"/>
      <c r="GSE11" s="392"/>
      <c r="GSF11" s="392"/>
      <c r="GSG11" s="392"/>
      <c r="GSH11" s="392"/>
      <c r="GSI11" s="392"/>
      <c r="GSJ11" s="392"/>
      <c r="GSK11" s="392"/>
      <c r="GSL11" s="392"/>
      <c r="GSM11" s="392"/>
      <c r="GSN11" s="392"/>
      <c r="GSO11" s="392"/>
      <c r="GSP11" s="392"/>
      <c r="GSQ11" s="392"/>
      <c r="GSR11" s="392"/>
      <c r="GSS11" s="392"/>
      <c r="GST11" s="392"/>
      <c r="GSU11" s="392"/>
      <c r="GSV11" s="392"/>
      <c r="GSW11" s="392"/>
      <c r="GSX11" s="392"/>
      <c r="GSY11" s="392"/>
      <c r="GSZ11" s="392"/>
      <c r="GTA11" s="392"/>
      <c r="GTB11" s="392"/>
      <c r="GTC11" s="392"/>
      <c r="GTD11" s="392"/>
      <c r="GTE11" s="392"/>
      <c r="GTF11" s="392"/>
      <c r="GTG11" s="392"/>
      <c r="GTH11" s="392"/>
      <c r="GTI11" s="392"/>
      <c r="GTJ11" s="392"/>
      <c r="GTK11" s="392"/>
      <c r="GTL11" s="392"/>
      <c r="GTM11" s="392"/>
      <c r="GTN11" s="392"/>
      <c r="GTO11" s="392"/>
      <c r="GTP11" s="392"/>
      <c r="GTQ11" s="392"/>
      <c r="GTR11" s="392"/>
      <c r="GTS11" s="392"/>
      <c r="GTT11" s="392"/>
      <c r="GTU11" s="392"/>
      <c r="GTV11" s="392"/>
      <c r="GTW11" s="392"/>
      <c r="GTX11" s="392"/>
      <c r="GTY11" s="392"/>
      <c r="GTZ11" s="392"/>
      <c r="GUA11" s="392"/>
      <c r="GUB11" s="392"/>
      <c r="GUC11" s="392"/>
      <c r="GUD11" s="392"/>
      <c r="GUE11" s="392"/>
      <c r="GUF11" s="392"/>
      <c r="GUG11" s="392"/>
      <c r="GUH11" s="392"/>
      <c r="GUI11" s="392"/>
      <c r="GUJ11" s="392"/>
      <c r="GUK11" s="392"/>
      <c r="GUL11" s="392"/>
      <c r="GUM11" s="392"/>
      <c r="GUN11" s="392"/>
      <c r="GUO11" s="392"/>
      <c r="GUP11" s="392"/>
      <c r="GUQ11" s="392"/>
      <c r="GUR11" s="392"/>
      <c r="GUS11" s="392"/>
      <c r="GUT11" s="392"/>
      <c r="GUU11" s="392"/>
      <c r="GUV11" s="392"/>
      <c r="GUW11" s="392"/>
      <c r="GUX11" s="392"/>
      <c r="GUY11" s="392"/>
      <c r="GUZ11" s="392"/>
      <c r="GVA11" s="392"/>
      <c r="GVB11" s="392"/>
      <c r="GVC11" s="392"/>
      <c r="GVD11" s="392"/>
      <c r="GVE11" s="392"/>
      <c r="GVF11" s="392"/>
      <c r="GVG11" s="392"/>
      <c r="GVH11" s="392"/>
      <c r="GVI11" s="392"/>
      <c r="GVJ11" s="392"/>
      <c r="GVK11" s="392"/>
      <c r="GVL11" s="392"/>
      <c r="GVM11" s="392"/>
      <c r="GVN11" s="392"/>
      <c r="GVO11" s="392"/>
      <c r="GVP11" s="392"/>
      <c r="GVQ11" s="392"/>
      <c r="GVR11" s="392"/>
      <c r="GVS11" s="392"/>
      <c r="GVT11" s="392"/>
      <c r="GVU11" s="392"/>
      <c r="GVV11" s="392"/>
      <c r="GVW11" s="392"/>
      <c r="GVX11" s="392"/>
      <c r="GVY11" s="392"/>
      <c r="GVZ11" s="392"/>
      <c r="GWA11" s="392"/>
      <c r="GWB11" s="392"/>
      <c r="GWC11" s="392"/>
      <c r="GWD11" s="392"/>
      <c r="GWE11" s="392"/>
      <c r="GWF11" s="392"/>
      <c r="GWG11" s="392"/>
      <c r="GWH11" s="392"/>
      <c r="GWI11" s="392"/>
      <c r="GWJ11" s="392"/>
      <c r="GWK11" s="392"/>
      <c r="GWL11" s="392"/>
      <c r="GWM11" s="392"/>
      <c r="GWN11" s="392"/>
      <c r="GWO11" s="392"/>
      <c r="GWP11" s="392"/>
      <c r="GWQ11" s="392"/>
      <c r="GWR11" s="392"/>
      <c r="GWS11" s="392"/>
      <c r="GWT11" s="392"/>
      <c r="GWU11" s="392"/>
      <c r="GWV11" s="392"/>
      <c r="GWW11" s="392"/>
      <c r="GWX11" s="392"/>
      <c r="GWY11" s="392"/>
      <c r="GWZ11" s="392"/>
      <c r="GXA11" s="392"/>
      <c r="GXB11" s="392"/>
      <c r="GXC11" s="392"/>
      <c r="GXD11" s="392"/>
      <c r="GXE11" s="392"/>
      <c r="GXF11" s="392"/>
      <c r="GXG11" s="392"/>
      <c r="GXH11" s="392"/>
      <c r="GXI11" s="392"/>
      <c r="GXJ11" s="392"/>
      <c r="GXK11" s="392"/>
      <c r="GXL11" s="392"/>
      <c r="GXM11" s="392"/>
      <c r="GXN11" s="392"/>
      <c r="GXO11" s="392"/>
      <c r="GXP11" s="392"/>
      <c r="GXQ11" s="392"/>
      <c r="GXR11" s="392"/>
      <c r="GXS11" s="392"/>
      <c r="GXT11" s="392"/>
      <c r="GXU11" s="392"/>
      <c r="GXV11" s="392"/>
      <c r="GXW11" s="392"/>
      <c r="GXX11" s="392"/>
      <c r="GXY11" s="392"/>
      <c r="GXZ11" s="392"/>
      <c r="GYA11" s="392"/>
      <c r="GYB11" s="392"/>
      <c r="GYC11" s="392"/>
      <c r="GYD11" s="392"/>
      <c r="GYE11" s="392"/>
      <c r="GYF11" s="392"/>
      <c r="GYG11" s="392"/>
      <c r="GYH11" s="392"/>
      <c r="GYI11" s="392"/>
      <c r="GYJ11" s="392"/>
      <c r="GYK11" s="392"/>
      <c r="GYL11" s="392"/>
      <c r="GYM11" s="392"/>
      <c r="GYN11" s="392"/>
      <c r="GYO11" s="392"/>
      <c r="GYP11" s="392"/>
      <c r="GYQ11" s="392"/>
      <c r="GYR11" s="392"/>
      <c r="GYS11" s="392"/>
      <c r="GYT11" s="392"/>
      <c r="GYU11" s="392"/>
      <c r="GYV11" s="392"/>
      <c r="GYW11" s="392"/>
      <c r="GYX11" s="392"/>
      <c r="GYY11" s="392"/>
      <c r="GYZ11" s="392"/>
      <c r="GZA11" s="392"/>
      <c r="GZB11" s="392"/>
      <c r="GZC11" s="392"/>
      <c r="GZD11" s="392"/>
      <c r="GZE11" s="392"/>
      <c r="GZF11" s="392"/>
      <c r="GZG11" s="392"/>
      <c r="GZH11" s="392"/>
      <c r="GZI11" s="392"/>
      <c r="GZJ11" s="392"/>
      <c r="GZK11" s="392"/>
      <c r="GZL11" s="392"/>
      <c r="GZM11" s="392"/>
      <c r="GZN11" s="392"/>
      <c r="GZO11" s="392"/>
      <c r="GZP11" s="392"/>
      <c r="GZQ11" s="392"/>
      <c r="GZR11" s="392"/>
      <c r="GZS11" s="392"/>
      <c r="GZT11" s="392"/>
      <c r="GZU11" s="392"/>
      <c r="GZV11" s="392"/>
      <c r="GZW11" s="392"/>
      <c r="GZX11" s="392"/>
      <c r="GZY11" s="392"/>
      <c r="GZZ11" s="392"/>
      <c r="HAA11" s="392"/>
      <c r="HAB11" s="392"/>
      <c r="HAC11" s="392"/>
      <c r="HAD11" s="392"/>
      <c r="HAE11" s="392"/>
      <c r="HAF11" s="392"/>
      <c r="HAG11" s="392"/>
      <c r="HAH11" s="392"/>
      <c r="HAI11" s="392"/>
      <c r="HAJ11" s="392"/>
      <c r="HAK11" s="392"/>
      <c r="HAL11" s="392"/>
      <c r="HAM11" s="392"/>
      <c r="HAN11" s="392"/>
      <c r="HAO11" s="392"/>
      <c r="HAP11" s="392"/>
      <c r="HAQ11" s="392"/>
      <c r="HAR11" s="392"/>
      <c r="HAS11" s="392"/>
      <c r="HAT11" s="392"/>
      <c r="HAU11" s="392"/>
      <c r="HAV11" s="392"/>
      <c r="HAW11" s="392"/>
      <c r="HAX11" s="392"/>
      <c r="HAY11" s="392"/>
      <c r="HAZ11" s="392"/>
      <c r="HBA11" s="392"/>
      <c r="HBB11" s="392"/>
      <c r="HBC11" s="392"/>
      <c r="HBD11" s="392"/>
      <c r="HBE11" s="392"/>
      <c r="HBF11" s="392"/>
      <c r="HBG11" s="392"/>
      <c r="HBH11" s="392"/>
      <c r="HBI11" s="392"/>
      <c r="HBJ11" s="392"/>
      <c r="HBK11" s="392"/>
      <c r="HBL11" s="392"/>
      <c r="HBM11" s="392"/>
      <c r="HBN11" s="392"/>
      <c r="HBO11" s="392"/>
      <c r="HBP11" s="392"/>
      <c r="HBQ11" s="392"/>
      <c r="HBR11" s="392"/>
      <c r="HBS11" s="392"/>
      <c r="HBT11" s="392"/>
      <c r="HBU11" s="392"/>
      <c r="HBV11" s="392"/>
      <c r="HBW11" s="392"/>
      <c r="HBX11" s="392"/>
      <c r="HBY11" s="392"/>
      <c r="HBZ11" s="392"/>
      <c r="HCA11" s="392"/>
      <c r="HCB11" s="392"/>
      <c r="HCC11" s="392"/>
      <c r="HCD11" s="392"/>
      <c r="HCE11" s="392"/>
      <c r="HCF11" s="392"/>
      <c r="HCG11" s="392"/>
      <c r="HCH11" s="392"/>
      <c r="HCI11" s="392"/>
      <c r="HCJ11" s="392"/>
      <c r="HCK11" s="392"/>
      <c r="HCL11" s="392"/>
      <c r="HCM11" s="392"/>
      <c r="HCN11" s="392"/>
      <c r="HCO11" s="392"/>
      <c r="HCP11" s="392"/>
      <c r="HCQ11" s="392"/>
      <c r="HCR11" s="392"/>
      <c r="HCS11" s="392"/>
      <c r="HCT11" s="392"/>
      <c r="HCU11" s="392"/>
      <c r="HCV11" s="392"/>
      <c r="HCW11" s="392"/>
      <c r="HCX11" s="392"/>
      <c r="HCY11" s="392"/>
      <c r="HCZ11" s="392"/>
      <c r="HDA11" s="392"/>
      <c r="HDB11" s="392"/>
      <c r="HDC11" s="392"/>
      <c r="HDD11" s="392"/>
      <c r="HDE11" s="392"/>
      <c r="HDF11" s="392"/>
      <c r="HDG11" s="392"/>
      <c r="HDH11" s="392"/>
      <c r="HDI11" s="392"/>
      <c r="HDJ11" s="392"/>
      <c r="HDK11" s="392"/>
      <c r="HDL11" s="392"/>
      <c r="HDM11" s="392"/>
      <c r="HDN11" s="392"/>
      <c r="HDO11" s="392"/>
      <c r="HDP11" s="392"/>
      <c r="HDQ11" s="392"/>
      <c r="HDR11" s="392"/>
      <c r="HDS11" s="392"/>
      <c r="HDT11" s="392"/>
      <c r="HDU11" s="392"/>
      <c r="HDV11" s="392"/>
      <c r="HDW11" s="392"/>
      <c r="HDX11" s="392"/>
      <c r="HDY11" s="392"/>
      <c r="HDZ11" s="392"/>
      <c r="HEA11" s="392"/>
      <c r="HEB11" s="392"/>
      <c r="HEC11" s="392"/>
      <c r="HED11" s="392"/>
      <c r="HEE11" s="392"/>
      <c r="HEF11" s="392"/>
      <c r="HEG11" s="392"/>
      <c r="HEH11" s="392"/>
      <c r="HEI11" s="392"/>
      <c r="HEJ11" s="392"/>
      <c r="HEK11" s="392"/>
      <c r="HEL11" s="392"/>
      <c r="HEM11" s="392"/>
      <c r="HEN11" s="392"/>
      <c r="HEO11" s="392"/>
      <c r="HEP11" s="392"/>
      <c r="HEQ11" s="392"/>
      <c r="HER11" s="392"/>
      <c r="HES11" s="392"/>
      <c r="HET11" s="392"/>
      <c r="HEU11" s="392"/>
      <c r="HEV11" s="392"/>
      <c r="HEW11" s="392"/>
      <c r="HEX11" s="392"/>
      <c r="HEY11" s="392"/>
      <c r="HEZ11" s="392"/>
      <c r="HFA11" s="392"/>
      <c r="HFB11" s="392"/>
      <c r="HFC11" s="392"/>
      <c r="HFD11" s="392"/>
      <c r="HFE11" s="392"/>
      <c r="HFF11" s="392"/>
      <c r="HFG11" s="392"/>
      <c r="HFH11" s="392"/>
      <c r="HFI11" s="392"/>
      <c r="HFJ11" s="392"/>
      <c r="HFK11" s="392"/>
      <c r="HFL11" s="392"/>
      <c r="HFM11" s="392"/>
      <c r="HFN11" s="392"/>
      <c r="HFO11" s="392"/>
      <c r="HFP11" s="392"/>
      <c r="HFQ11" s="392"/>
      <c r="HFR11" s="392"/>
      <c r="HFS11" s="392"/>
      <c r="HFT11" s="392"/>
      <c r="HFU11" s="392"/>
      <c r="HFV11" s="392"/>
      <c r="HFW11" s="392"/>
      <c r="HFX11" s="392"/>
      <c r="HFY11" s="392"/>
      <c r="HFZ11" s="392"/>
      <c r="HGA11" s="392"/>
      <c r="HGB11" s="392"/>
      <c r="HGC11" s="392"/>
      <c r="HGD11" s="392"/>
      <c r="HGE11" s="392"/>
      <c r="HGF11" s="392"/>
      <c r="HGG11" s="392"/>
      <c r="HGH11" s="392"/>
      <c r="HGI11" s="392"/>
      <c r="HGJ11" s="392"/>
      <c r="HGK11" s="392"/>
      <c r="HGL11" s="392"/>
      <c r="HGM11" s="392"/>
      <c r="HGN11" s="392"/>
      <c r="HGO11" s="392"/>
      <c r="HGP11" s="392"/>
      <c r="HGQ11" s="392"/>
      <c r="HGR11" s="392"/>
      <c r="HGS11" s="392"/>
      <c r="HGT11" s="392"/>
      <c r="HGU11" s="392"/>
      <c r="HGV11" s="392"/>
      <c r="HGW11" s="392"/>
      <c r="HGX11" s="392"/>
      <c r="HGY11" s="392"/>
      <c r="HGZ11" s="392"/>
      <c r="HHA11" s="392"/>
      <c r="HHB11" s="392"/>
      <c r="HHC11" s="392"/>
      <c r="HHD11" s="392"/>
      <c r="HHE11" s="392"/>
      <c r="HHF11" s="392"/>
      <c r="HHG11" s="392"/>
      <c r="HHH11" s="392"/>
      <c r="HHI11" s="392"/>
      <c r="HHJ11" s="392"/>
      <c r="HHK11" s="392"/>
      <c r="HHL11" s="392"/>
      <c r="HHM11" s="392"/>
      <c r="HHN11" s="392"/>
      <c r="HHO11" s="392"/>
      <c r="HHP11" s="392"/>
      <c r="HHQ11" s="392"/>
      <c r="HHR11" s="392"/>
      <c r="HHS11" s="392"/>
      <c r="HHT11" s="392"/>
      <c r="HHU11" s="392"/>
      <c r="HHV11" s="392"/>
      <c r="HHW11" s="392"/>
      <c r="HHX11" s="392"/>
      <c r="HHY11" s="392"/>
      <c r="HHZ11" s="392"/>
      <c r="HIA11" s="392"/>
      <c r="HIB11" s="392"/>
      <c r="HIC11" s="392"/>
      <c r="HID11" s="392"/>
      <c r="HIE11" s="392"/>
      <c r="HIF11" s="392"/>
      <c r="HIG11" s="392"/>
      <c r="HIH11" s="392"/>
      <c r="HII11" s="392"/>
      <c r="HIJ11" s="392"/>
      <c r="HIK11" s="392"/>
      <c r="HIL11" s="392"/>
      <c r="HIM11" s="392"/>
      <c r="HIN11" s="392"/>
      <c r="HIO11" s="392"/>
      <c r="HIP11" s="392"/>
      <c r="HIQ11" s="392"/>
      <c r="HIR11" s="392"/>
      <c r="HIS11" s="392"/>
      <c r="HIT11" s="392"/>
      <c r="HIU11" s="392"/>
      <c r="HIV11" s="392"/>
      <c r="HIW11" s="392"/>
      <c r="HIX11" s="392"/>
      <c r="HIY11" s="392"/>
      <c r="HIZ11" s="392"/>
      <c r="HJA11" s="392"/>
      <c r="HJB11" s="392"/>
      <c r="HJC11" s="392"/>
      <c r="HJD11" s="392"/>
      <c r="HJE11" s="392"/>
      <c r="HJF11" s="392"/>
      <c r="HJG11" s="392"/>
      <c r="HJH11" s="392"/>
      <c r="HJI11" s="392"/>
      <c r="HJJ11" s="392"/>
      <c r="HJK11" s="392"/>
      <c r="HJL11" s="392"/>
      <c r="HJM11" s="392"/>
      <c r="HJN11" s="392"/>
      <c r="HJO11" s="392"/>
      <c r="HJP11" s="392"/>
      <c r="HJQ11" s="392"/>
      <c r="HJR11" s="392"/>
      <c r="HJS11" s="392"/>
      <c r="HJT11" s="392"/>
      <c r="HJU11" s="392"/>
      <c r="HJV11" s="392"/>
      <c r="HJW11" s="392"/>
      <c r="HJX11" s="392"/>
      <c r="HJY11" s="392"/>
      <c r="HJZ11" s="392"/>
      <c r="HKA11" s="392"/>
      <c r="HKB11" s="392"/>
      <c r="HKC11" s="392"/>
      <c r="HKD11" s="392"/>
      <c r="HKE11" s="392"/>
      <c r="HKF11" s="392"/>
      <c r="HKG11" s="392"/>
      <c r="HKH11" s="392"/>
      <c r="HKI11" s="392"/>
      <c r="HKJ11" s="392"/>
      <c r="HKK11" s="392"/>
      <c r="HKL11" s="392"/>
      <c r="HKM11" s="392"/>
      <c r="HKN11" s="392"/>
      <c r="HKO11" s="392"/>
      <c r="HKP11" s="392"/>
      <c r="HKQ11" s="392"/>
      <c r="HKR11" s="392"/>
      <c r="HKS11" s="392"/>
      <c r="HKT11" s="392"/>
      <c r="HKU11" s="392"/>
      <c r="HKV11" s="392"/>
      <c r="HKW11" s="392"/>
      <c r="HKX11" s="392"/>
      <c r="HKY11" s="392"/>
      <c r="HKZ11" s="392"/>
      <c r="HLA11" s="392"/>
      <c r="HLB11" s="392"/>
      <c r="HLC11" s="392"/>
      <c r="HLD11" s="392"/>
      <c r="HLE11" s="392"/>
      <c r="HLF11" s="392"/>
      <c r="HLG11" s="392"/>
      <c r="HLH11" s="392"/>
      <c r="HLI11" s="392"/>
      <c r="HLJ11" s="392"/>
      <c r="HLK11" s="392"/>
      <c r="HLL11" s="392"/>
      <c r="HLM11" s="392"/>
      <c r="HLN11" s="392"/>
      <c r="HLO11" s="392"/>
      <c r="HLP11" s="392"/>
      <c r="HLQ11" s="392"/>
      <c r="HLR11" s="392"/>
      <c r="HLS11" s="392"/>
      <c r="HLT11" s="392"/>
      <c r="HLU11" s="392"/>
      <c r="HLV11" s="392"/>
      <c r="HLW11" s="392"/>
      <c r="HLX11" s="392"/>
      <c r="HLY11" s="392"/>
      <c r="HLZ11" s="392"/>
      <c r="HMA11" s="392"/>
      <c r="HMB11" s="392"/>
      <c r="HMC11" s="392"/>
      <c r="HMD11" s="392"/>
      <c r="HME11" s="392"/>
      <c r="HMF11" s="392"/>
      <c r="HMG11" s="392"/>
      <c r="HMH11" s="392"/>
      <c r="HMI11" s="392"/>
      <c r="HMJ11" s="392"/>
      <c r="HMK11" s="392"/>
      <c r="HML11" s="392"/>
      <c r="HMM11" s="392"/>
      <c r="HMN11" s="392"/>
      <c r="HMO11" s="392"/>
      <c r="HMP11" s="392"/>
      <c r="HMQ11" s="392"/>
      <c r="HMR11" s="392"/>
      <c r="HMS11" s="392"/>
      <c r="HMT11" s="392"/>
      <c r="HMU11" s="392"/>
      <c r="HMV11" s="392"/>
      <c r="HMW11" s="392"/>
      <c r="HMX11" s="392"/>
      <c r="HMY11" s="392"/>
      <c r="HMZ11" s="392"/>
      <c r="HNA11" s="392"/>
      <c r="HNB11" s="392"/>
      <c r="HNC11" s="392"/>
      <c r="HND11" s="392"/>
      <c r="HNE11" s="392"/>
      <c r="HNF11" s="392"/>
      <c r="HNG11" s="392"/>
      <c r="HNH11" s="392"/>
      <c r="HNI11" s="392"/>
      <c r="HNJ11" s="392"/>
      <c r="HNK11" s="392"/>
      <c r="HNL11" s="392"/>
      <c r="HNM11" s="392"/>
      <c r="HNN11" s="392"/>
      <c r="HNO11" s="392"/>
      <c r="HNP11" s="392"/>
      <c r="HNQ11" s="392"/>
      <c r="HNR11" s="392"/>
      <c r="HNS11" s="392"/>
      <c r="HNT11" s="392"/>
      <c r="HNU11" s="392"/>
      <c r="HNV11" s="392"/>
      <c r="HNW11" s="392"/>
      <c r="HNX11" s="392"/>
      <c r="HNY11" s="392"/>
      <c r="HNZ11" s="392"/>
      <c r="HOA11" s="392"/>
      <c r="HOB11" s="392"/>
      <c r="HOC11" s="392"/>
      <c r="HOD11" s="392"/>
      <c r="HOE11" s="392"/>
      <c r="HOF11" s="392"/>
      <c r="HOG11" s="392"/>
      <c r="HOH11" s="392"/>
      <c r="HOI11" s="392"/>
      <c r="HOJ11" s="392"/>
      <c r="HOK11" s="392"/>
      <c r="HOL11" s="392"/>
      <c r="HOM11" s="392"/>
      <c r="HON11" s="392"/>
      <c r="HOO11" s="392"/>
      <c r="HOP11" s="392"/>
      <c r="HOQ11" s="392"/>
      <c r="HOR11" s="392"/>
      <c r="HOS11" s="392"/>
      <c r="HOT11" s="392"/>
      <c r="HOU11" s="392"/>
      <c r="HOV11" s="392"/>
      <c r="HOW11" s="392"/>
      <c r="HOX11" s="392"/>
      <c r="HOY11" s="392"/>
      <c r="HOZ11" s="392"/>
      <c r="HPA11" s="392"/>
      <c r="HPB11" s="392"/>
      <c r="HPC11" s="392"/>
      <c r="HPD11" s="392"/>
      <c r="HPE11" s="392"/>
      <c r="HPF11" s="392"/>
      <c r="HPG11" s="392"/>
      <c r="HPH11" s="392"/>
      <c r="HPI11" s="392"/>
      <c r="HPJ11" s="392"/>
      <c r="HPK11" s="392"/>
      <c r="HPL11" s="392"/>
      <c r="HPM11" s="392"/>
      <c r="HPN11" s="392"/>
      <c r="HPO11" s="392"/>
      <c r="HPP11" s="392"/>
      <c r="HPQ11" s="392"/>
      <c r="HPR11" s="392"/>
      <c r="HPS11" s="392"/>
      <c r="HPT11" s="392"/>
      <c r="HPU11" s="392"/>
      <c r="HPV11" s="392"/>
      <c r="HPW11" s="392"/>
      <c r="HPX11" s="392"/>
      <c r="HPY11" s="392"/>
      <c r="HPZ11" s="392"/>
      <c r="HQA11" s="392"/>
      <c r="HQB11" s="392"/>
      <c r="HQC11" s="392"/>
      <c r="HQD11" s="392"/>
      <c r="HQE11" s="392"/>
      <c r="HQF11" s="392"/>
      <c r="HQG11" s="392"/>
      <c r="HQH11" s="392"/>
      <c r="HQI11" s="392"/>
      <c r="HQJ11" s="392"/>
      <c r="HQK11" s="392"/>
      <c r="HQL11" s="392"/>
      <c r="HQM11" s="392"/>
      <c r="HQN11" s="392"/>
      <c r="HQO11" s="392"/>
      <c r="HQP11" s="392"/>
      <c r="HQQ11" s="392"/>
      <c r="HQR11" s="392"/>
      <c r="HQS11" s="392"/>
      <c r="HQT11" s="392"/>
      <c r="HQU11" s="392"/>
      <c r="HQV11" s="392"/>
      <c r="HQW11" s="392"/>
      <c r="HQX11" s="392"/>
      <c r="HQY11" s="392"/>
      <c r="HQZ11" s="392"/>
      <c r="HRA11" s="392"/>
      <c r="HRB11" s="392"/>
      <c r="HRC11" s="392"/>
      <c r="HRD11" s="392"/>
      <c r="HRE11" s="392"/>
      <c r="HRF11" s="392"/>
      <c r="HRG11" s="392"/>
      <c r="HRH11" s="392"/>
      <c r="HRI11" s="392"/>
      <c r="HRJ11" s="392"/>
      <c r="HRK11" s="392"/>
      <c r="HRL11" s="392"/>
      <c r="HRM11" s="392"/>
      <c r="HRN11" s="392"/>
      <c r="HRO11" s="392"/>
      <c r="HRP11" s="392"/>
      <c r="HRQ11" s="392"/>
      <c r="HRR11" s="392"/>
      <c r="HRS11" s="392"/>
      <c r="HRT11" s="392"/>
      <c r="HRU11" s="392"/>
      <c r="HRV11" s="392"/>
      <c r="HRW11" s="392"/>
      <c r="HRX11" s="392"/>
      <c r="HRY11" s="392"/>
      <c r="HRZ11" s="392"/>
      <c r="HSA11" s="392"/>
      <c r="HSB11" s="392"/>
      <c r="HSC11" s="392"/>
      <c r="HSD11" s="392"/>
      <c r="HSE11" s="392"/>
      <c r="HSF11" s="392"/>
      <c r="HSG11" s="392"/>
      <c r="HSH11" s="392"/>
      <c r="HSI11" s="392"/>
      <c r="HSJ11" s="392"/>
      <c r="HSK11" s="392"/>
      <c r="HSL11" s="392"/>
      <c r="HSM11" s="392"/>
      <c r="HSN11" s="392"/>
      <c r="HSO11" s="392"/>
      <c r="HSP11" s="392"/>
      <c r="HSQ11" s="392"/>
      <c r="HSR11" s="392"/>
      <c r="HSS11" s="392"/>
      <c r="HST11" s="392"/>
      <c r="HSU11" s="392"/>
      <c r="HSV11" s="392"/>
      <c r="HSW11" s="392"/>
      <c r="HSX11" s="392"/>
      <c r="HSY11" s="392"/>
      <c r="HSZ11" s="392"/>
      <c r="HTA11" s="392"/>
      <c r="HTB11" s="392"/>
      <c r="HTC11" s="392"/>
      <c r="HTD11" s="392"/>
      <c r="HTE11" s="392"/>
      <c r="HTF11" s="392"/>
      <c r="HTG11" s="392"/>
      <c r="HTH11" s="392"/>
      <c r="HTI11" s="392"/>
      <c r="HTJ11" s="392"/>
      <c r="HTK11" s="392"/>
      <c r="HTL11" s="392"/>
      <c r="HTM11" s="392"/>
      <c r="HTN11" s="392"/>
      <c r="HTO11" s="392"/>
      <c r="HTP11" s="392"/>
      <c r="HTQ11" s="392"/>
      <c r="HTR11" s="392"/>
      <c r="HTS11" s="392"/>
      <c r="HTT11" s="392"/>
      <c r="HTU11" s="392"/>
      <c r="HTV11" s="392"/>
      <c r="HTW11" s="392"/>
      <c r="HTX11" s="392"/>
      <c r="HTY11" s="392"/>
      <c r="HTZ11" s="392"/>
      <c r="HUA11" s="392"/>
      <c r="HUB11" s="392"/>
      <c r="HUC11" s="392"/>
      <c r="HUD11" s="392"/>
      <c r="HUE11" s="392"/>
      <c r="HUF11" s="392"/>
      <c r="HUG11" s="392"/>
      <c r="HUH11" s="392"/>
      <c r="HUI11" s="392"/>
      <c r="HUJ11" s="392"/>
      <c r="HUK11" s="392"/>
      <c r="HUL11" s="392"/>
      <c r="HUM11" s="392"/>
      <c r="HUN11" s="392"/>
      <c r="HUO11" s="392"/>
      <c r="HUP11" s="392"/>
      <c r="HUQ11" s="392"/>
      <c r="HUR11" s="392"/>
      <c r="HUS11" s="392"/>
      <c r="HUT11" s="392"/>
      <c r="HUU11" s="392"/>
      <c r="HUV11" s="392"/>
      <c r="HUW11" s="392"/>
      <c r="HUX11" s="392"/>
      <c r="HUY11" s="392"/>
      <c r="HUZ11" s="392"/>
      <c r="HVA11" s="392"/>
      <c r="HVB11" s="392"/>
      <c r="HVC11" s="392"/>
      <c r="HVD11" s="392"/>
      <c r="HVE11" s="392"/>
      <c r="HVF11" s="392"/>
      <c r="HVG11" s="392"/>
      <c r="HVH11" s="392"/>
      <c r="HVI11" s="392"/>
      <c r="HVJ11" s="392"/>
      <c r="HVK11" s="392"/>
      <c r="HVL11" s="392"/>
      <c r="HVM11" s="392"/>
      <c r="HVN11" s="392"/>
      <c r="HVO11" s="392"/>
      <c r="HVP11" s="392"/>
      <c r="HVQ11" s="392"/>
      <c r="HVR11" s="392"/>
      <c r="HVS11" s="392"/>
      <c r="HVT11" s="392"/>
      <c r="HVU11" s="392"/>
      <c r="HVV11" s="392"/>
      <c r="HVW11" s="392"/>
      <c r="HVX11" s="392"/>
      <c r="HVY11" s="392"/>
      <c r="HVZ11" s="392"/>
      <c r="HWA11" s="392"/>
      <c r="HWB11" s="392"/>
      <c r="HWC11" s="392"/>
      <c r="HWD11" s="392"/>
      <c r="HWE11" s="392"/>
      <c r="HWF11" s="392"/>
      <c r="HWG11" s="392"/>
      <c r="HWH11" s="392"/>
      <c r="HWI11" s="392"/>
      <c r="HWJ11" s="392"/>
      <c r="HWK11" s="392"/>
      <c r="HWL11" s="392"/>
      <c r="HWM11" s="392"/>
      <c r="HWN11" s="392"/>
      <c r="HWO11" s="392"/>
      <c r="HWP11" s="392"/>
      <c r="HWQ11" s="392"/>
      <c r="HWR11" s="392"/>
      <c r="HWS11" s="392"/>
      <c r="HWT11" s="392"/>
      <c r="HWU11" s="392"/>
      <c r="HWV11" s="392"/>
      <c r="HWW11" s="392"/>
      <c r="HWX11" s="392"/>
      <c r="HWY11" s="392"/>
      <c r="HWZ11" s="392"/>
      <c r="HXA11" s="392"/>
      <c r="HXB11" s="392"/>
      <c r="HXC11" s="392"/>
      <c r="HXD11" s="392"/>
      <c r="HXE11" s="392"/>
      <c r="HXF11" s="392"/>
      <c r="HXG11" s="392"/>
      <c r="HXH11" s="392"/>
      <c r="HXI11" s="392"/>
      <c r="HXJ11" s="392"/>
      <c r="HXK11" s="392"/>
      <c r="HXL11" s="392"/>
      <c r="HXM11" s="392"/>
      <c r="HXN11" s="392"/>
      <c r="HXO11" s="392"/>
      <c r="HXP11" s="392"/>
      <c r="HXQ11" s="392"/>
      <c r="HXR11" s="392"/>
      <c r="HXS11" s="392"/>
      <c r="HXT11" s="392"/>
      <c r="HXU11" s="392"/>
      <c r="HXV11" s="392"/>
      <c r="HXW11" s="392"/>
      <c r="HXX11" s="392"/>
      <c r="HXY11" s="392"/>
      <c r="HXZ11" s="392"/>
      <c r="HYA11" s="392"/>
      <c r="HYB11" s="392"/>
      <c r="HYC11" s="392"/>
      <c r="HYD11" s="392"/>
      <c r="HYE11" s="392"/>
      <c r="HYF11" s="392"/>
      <c r="HYG11" s="392"/>
      <c r="HYH11" s="392"/>
      <c r="HYI11" s="392"/>
      <c r="HYJ11" s="392"/>
      <c r="HYK11" s="392"/>
      <c r="HYL11" s="392"/>
      <c r="HYM11" s="392"/>
      <c r="HYN11" s="392"/>
      <c r="HYO11" s="392"/>
      <c r="HYP11" s="392"/>
      <c r="HYQ11" s="392"/>
      <c r="HYR11" s="392"/>
      <c r="HYS11" s="392"/>
      <c r="HYT11" s="392"/>
      <c r="HYU11" s="392"/>
      <c r="HYV11" s="392"/>
      <c r="HYW11" s="392"/>
      <c r="HYX11" s="392"/>
      <c r="HYY11" s="392"/>
      <c r="HYZ11" s="392"/>
      <c r="HZA11" s="392"/>
      <c r="HZB11" s="392"/>
      <c r="HZC11" s="392"/>
      <c r="HZD11" s="392"/>
      <c r="HZE11" s="392"/>
      <c r="HZF11" s="392"/>
      <c r="HZG11" s="392"/>
      <c r="HZH11" s="392"/>
      <c r="HZI11" s="392"/>
      <c r="HZJ11" s="392"/>
      <c r="HZK11" s="392"/>
      <c r="HZL11" s="392"/>
      <c r="HZM11" s="392"/>
      <c r="HZN11" s="392"/>
      <c r="HZO11" s="392"/>
      <c r="HZP11" s="392"/>
      <c r="HZQ11" s="392"/>
      <c r="HZR11" s="392"/>
      <c r="HZS11" s="392"/>
      <c r="HZT11" s="392"/>
      <c r="HZU11" s="392"/>
      <c r="HZV11" s="392"/>
      <c r="HZW11" s="392"/>
      <c r="HZX11" s="392"/>
      <c r="HZY11" s="392"/>
      <c r="HZZ11" s="392"/>
      <c r="IAA11" s="392"/>
      <c r="IAB11" s="392"/>
      <c r="IAC11" s="392"/>
      <c r="IAD11" s="392"/>
      <c r="IAE11" s="392"/>
      <c r="IAF11" s="392"/>
      <c r="IAG11" s="392"/>
      <c r="IAH11" s="392"/>
      <c r="IAI11" s="392"/>
      <c r="IAJ11" s="392"/>
      <c r="IAK11" s="392"/>
      <c r="IAL11" s="392"/>
      <c r="IAM11" s="392"/>
      <c r="IAN11" s="392"/>
      <c r="IAO11" s="392"/>
      <c r="IAP11" s="392"/>
      <c r="IAQ11" s="392"/>
      <c r="IAR11" s="392"/>
      <c r="IAS11" s="392"/>
      <c r="IAT11" s="392"/>
      <c r="IAU11" s="392"/>
      <c r="IAV11" s="392"/>
      <c r="IAW11" s="392"/>
      <c r="IAX11" s="392"/>
      <c r="IAY11" s="392"/>
      <c r="IAZ11" s="392"/>
      <c r="IBA11" s="392"/>
      <c r="IBB11" s="392"/>
      <c r="IBC11" s="392"/>
      <c r="IBD11" s="392"/>
      <c r="IBE11" s="392"/>
      <c r="IBF11" s="392"/>
      <c r="IBG11" s="392"/>
      <c r="IBH11" s="392"/>
      <c r="IBI11" s="392"/>
      <c r="IBJ11" s="392"/>
      <c r="IBK11" s="392"/>
      <c r="IBL11" s="392"/>
      <c r="IBM11" s="392"/>
      <c r="IBN11" s="392"/>
      <c r="IBO11" s="392"/>
      <c r="IBP11" s="392"/>
      <c r="IBQ11" s="392"/>
      <c r="IBR11" s="392"/>
      <c r="IBS11" s="392"/>
      <c r="IBT11" s="392"/>
      <c r="IBU11" s="392"/>
      <c r="IBV11" s="392"/>
      <c r="IBW11" s="392"/>
      <c r="IBX11" s="392"/>
      <c r="IBY11" s="392"/>
      <c r="IBZ11" s="392"/>
      <c r="ICA11" s="392"/>
      <c r="ICB11" s="392"/>
      <c r="ICC11" s="392"/>
      <c r="ICD11" s="392"/>
      <c r="ICE11" s="392"/>
      <c r="ICF11" s="392"/>
      <c r="ICG11" s="392"/>
      <c r="ICH11" s="392"/>
      <c r="ICI11" s="392"/>
      <c r="ICJ11" s="392"/>
      <c r="ICK11" s="392"/>
      <c r="ICL11" s="392"/>
      <c r="ICM11" s="392"/>
      <c r="ICN11" s="392"/>
      <c r="ICO11" s="392"/>
      <c r="ICP11" s="392"/>
      <c r="ICQ11" s="392"/>
      <c r="ICR11" s="392"/>
      <c r="ICS11" s="392"/>
      <c r="ICT11" s="392"/>
      <c r="ICU11" s="392"/>
      <c r="ICV11" s="392"/>
      <c r="ICW11" s="392"/>
      <c r="ICX11" s="392"/>
      <c r="ICY11" s="392"/>
      <c r="ICZ11" s="392"/>
      <c r="IDA11" s="392"/>
      <c r="IDB11" s="392"/>
      <c r="IDC11" s="392"/>
      <c r="IDD11" s="392"/>
      <c r="IDE11" s="392"/>
      <c r="IDF11" s="392"/>
      <c r="IDG11" s="392"/>
      <c r="IDH11" s="392"/>
      <c r="IDI11" s="392"/>
      <c r="IDJ11" s="392"/>
      <c r="IDK11" s="392"/>
      <c r="IDL11" s="392"/>
      <c r="IDM11" s="392"/>
      <c r="IDN11" s="392"/>
      <c r="IDO11" s="392"/>
      <c r="IDP11" s="392"/>
      <c r="IDQ11" s="392"/>
      <c r="IDR11" s="392"/>
      <c r="IDS11" s="392"/>
      <c r="IDT11" s="392"/>
      <c r="IDU11" s="392"/>
      <c r="IDV11" s="392"/>
      <c r="IDW11" s="392"/>
      <c r="IDX11" s="392"/>
      <c r="IDY11" s="392"/>
      <c r="IDZ11" s="392"/>
      <c r="IEA11" s="392"/>
      <c r="IEB11" s="392"/>
      <c r="IEC11" s="392"/>
      <c r="IED11" s="392"/>
      <c r="IEE11" s="392"/>
      <c r="IEF11" s="392"/>
      <c r="IEG11" s="392"/>
      <c r="IEH11" s="392"/>
      <c r="IEI11" s="392"/>
      <c r="IEJ11" s="392"/>
      <c r="IEK11" s="392"/>
      <c r="IEL11" s="392"/>
      <c r="IEM11" s="392"/>
      <c r="IEN11" s="392"/>
      <c r="IEO11" s="392"/>
      <c r="IEP11" s="392"/>
      <c r="IEQ11" s="392"/>
      <c r="IER11" s="392"/>
      <c r="IES11" s="392"/>
      <c r="IET11" s="392"/>
      <c r="IEU11" s="392"/>
      <c r="IEV11" s="392"/>
      <c r="IEW11" s="392"/>
      <c r="IEX11" s="392"/>
      <c r="IEY11" s="392"/>
      <c r="IEZ11" s="392"/>
      <c r="IFA11" s="392"/>
      <c r="IFB11" s="392"/>
      <c r="IFC11" s="392"/>
      <c r="IFD11" s="392"/>
      <c r="IFE11" s="392"/>
      <c r="IFF11" s="392"/>
      <c r="IFG11" s="392"/>
      <c r="IFH11" s="392"/>
      <c r="IFI11" s="392"/>
      <c r="IFJ11" s="392"/>
      <c r="IFK11" s="392"/>
      <c r="IFL11" s="392"/>
      <c r="IFM11" s="392"/>
      <c r="IFN11" s="392"/>
      <c r="IFO11" s="392"/>
      <c r="IFP11" s="392"/>
      <c r="IFQ11" s="392"/>
      <c r="IFR11" s="392"/>
      <c r="IFS11" s="392"/>
      <c r="IFT11" s="392"/>
      <c r="IFU11" s="392"/>
      <c r="IFV11" s="392"/>
      <c r="IFW11" s="392"/>
      <c r="IFX11" s="392"/>
      <c r="IFY11" s="392"/>
      <c r="IFZ11" s="392"/>
      <c r="IGA11" s="392"/>
      <c r="IGB11" s="392"/>
      <c r="IGC11" s="392"/>
      <c r="IGD11" s="392"/>
      <c r="IGE11" s="392"/>
      <c r="IGF11" s="392"/>
      <c r="IGG11" s="392"/>
      <c r="IGH11" s="392"/>
      <c r="IGI11" s="392"/>
      <c r="IGJ11" s="392"/>
      <c r="IGK11" s="392"/>
      <c r="IGL11" s="392"/>
      <c r="IGM11" s="392"/>
      <c r="IGN11" s="392"/>
      <c r="IGO11" s="392"/>
      <c r="IGP11" s="392"/>
      <c r="IGQ11" s="392"/>
      <c r="IGR11" s="392"/>
      <c r="IGS11" s="392"/>
      <c r="IGT11" s="392"/>
      <c r="IGU11" s="392"/>
      <c r="IGV11" s="392"/>
      <c r="IGW11" s="392"/>
      <c r="IGX11" s="392"/>
      <c r="IGY11" s="392"/>
      <c r="IGZ11" s="392"/>
      <c r="IHA11" s="392"/>
      <c r="IHB11" s="392"/>
      <c r="IHC11" s="392"/>
      <c r="IHD11" s="392"/>
      <c r="IHE11" s="392"/>
      <c r="IHF11" s="392"/>
      <c r="IHG11" s="392"/>
      <c r="IHH11" s="392"/>
      <c r="IHI11" s="392"/>
      <c r="IHJ11" s="392"/>
      <c r="IHK11" s="392"/>
      <c r="IHL11" s="392"/>
      <c r="IHM11" s="392"/>
      <c r="IHN11" s="392"/>
      <c r="IHO11" s="392"/>
      <c r="IHP11" s="392"/>
      <c r="IHQ11" s="392"/>
      <c r="IHR11" s="392"/>
      <c r="IHS11" s="392"/>
      <c r="IHT11" s="392"/>
      <c r="IHU11" s="392"/>
      <c r="IHV11" s="392"/>
      <c r="IHW11" s="392"/>
      <c r="IHX11" s="392"/>
      <c r="IHY11" s="392"/>
      <c r="IHZ11" s="392"/>
      <c r="IIA11" s="392"/>
      <c r="IIB11" s="392"/>
      <c r="IIC11" s="392"/>
      <c r="IID11" s="392"/>
      <c r="IIE11" s="392"/>
      <c r="IIF11" s="392"/>
      <c r="IIG11" s="392"/>
      <c r="IIH11" s="392"/>
      <c r="III11" s="392"/>
      <c r="IIJ11" s="392"/>
      <c r="IIK11" s="392"/>
      <c r="IIL11" s="392"/>
      <c r="IIM11" s="392"/>
      <c r="IIN11" s="392"/>
      <c r="IIO11" s="392"/>
      <c r="IIP11" s="392"/>
      <c r="IIQ11" s="392"/>
      <c r="IIR11" s="392"/>
      <c r="IIS11" s="392"/>
      <c r="IIT11" s="392"/>
      <c r="IIU11" s="392"/>
      <c r="IIV11" s="392"/>
      <c r="IIW11" s="392"/>
      <c r="IIX11" s="392"/>
      <c r="IIY11" s="392"/>
      <c r="IIZ11" s="392"/>
      <c r="IJA11" s="392"/>
      <c r="IJB11" s="392"/>
      <c r="IJC11" s="392"/>
      <c r="IJD11" s="392"/>
      <c r="IJE11" s="392"/>
      <c r="IJF11" s="392"/>
      <c r="IJG11" s="392"/>
      <c r="IJH11" s="392"/>
      <c r="IJI11" s="392"/>
      <c r="IJJ11" s="392"/>
      <c r="IJK11" s="392"/>
      <c r="IJL11" s="392"/>
      <c r="IJM11" s="392"/>
      <c r="IJN11" s="392"/>
      <c r="IJO11" s="392"/>
      <c r="IJP11" s="392"/>
      <c r="IJQ11" s="392"/>
      <c r="IJR11" s="392"/>
      <c r="IJS11" s="392"/>
      <c r="IJT11" s="392"/>
      <c r="IJU11" s="392"/>
      <c r="IJV11" s="392"/>
      <c r="IJW11" s="392"/>
      <c r="IJX11" s="392"/>
      <c r="IJY11" s="392"/>
      <c r="IJZ11" s="392"/>
      <c r="IKA11" s="392"/>
      <c r="IKB11" s="392"/>
      <c r="IKC11" s="392"/>
      <c r="IKD11" s="392"/>
      <c r="IKE11" s="392"/>
      <c r="IKF11" s="392"/>
      <c r="IKG11" s="392"/>
      <c r="IKH11" s="392"/>
      <c r="IKI11" s="392"/>
      <c r="IKJ11" s="392"/>
      <c r="IKK11" s="392"/>
      <c r="IKL11" s="392"/>
      <c r="IKM11" s="392"/>
      <c r="IKN11" s="392"/>
      <c r="IKO11" s="392"/>
      <c r="IKP11" s="392"/>
      <c r="IKQ11" s="392"/>
      <c r="IKR11" s="392"/>
      <c r="IKS11" s="392"/>
      <c r="IKT11" s="392"/>
      <c r="IKU11" s="392"/>
      <c r="IKV11" s="392"/>
      <c r="IKW11" s="392"/>
      <c r="IKX11" s="392"/>
      <c r="IKY11" s="392"/>
      <c r="IKZ11" s="392"/>
      <c r="ILA11" s="392"/>
      <c r="ILB11" s="392"/>
      <c r="ILC11" s="392"/>
      <c r="ILD11" s="392"/>
      <c r="ILE11" s="392"/>
      <c r="ILF11" s="392"/>
      <c r="ILG11" s="392"/>
      <c r="ILH11" s="392"/>
      <c r="ILI11" s="392"/>
      <c r="ILJ11" s="392"/>
      <c r="ILK11" s="392"/>
      <c r="ILL11" s="392"/>
      <c r="ILM11" s="392"/>
      <c r="ILN11" s="392"/>
      <c r="ILO11" s="392"/>
      <c r="ILP11" s="392"/>
      <c r="ILQ11" s="392"/>
      <c r="ILR11" s="392"/>
      <c r="ILS11" s="392"/>
      <c r="ILT11" s="392"/>
      <c r="ILU11" s="392"/>
      <c r="ILV11" s="392"/>
      <c r="ILW11" s="392"/>
      <c r="ILX11" s="392"/>
      <c r="ILY11" s="392"/>
      <c r="ILZ11" s="392"/>
      <c r="IMA11" s="392"/>
      <c r="IMB11" s="392"/>
      <c r="IMC11" s="392"/>
      <c r="IMD11" s="392"/>
      <c r="IME11" s="392"/>
      <c r="IMF11" s="392"/>
      <c r="IMG11" s="392"/>
      <c r="IMH11" s="392"/>
      <c r="IMI11" s="392"/>
      <c r="IMJ11" s="392"/>
      <c r="IMK11" s="392"/>
      <c r="IML11" s="392"/>
      <c r="IMM11" s="392"/>
      <c r="IMN11" s="392"/>
      <c r="IMO11" s="392"/>
      <c r="IMP11" s="392"/>
      <c r="IMQ11" s="392"/>
      <c r="IMR11" s="392"/>
      <c r="IMS11" s="392"/>
      <c r="IMT11" s="392"/>
      <c r="IMU11" s="392"/>
      <c r="IMV11" s="392"/>
      <c r="IMW11" s="392"/>
      <c r="IMX11" s="392"/>
      <c r="IMY11" s="392"/>
      <c r="IMZ11" s="392"/>
      <c r="INA11" s="392"/>
      <c r="INB11" s="392"/>
      <c r="INC11" s="392"/>
      <c r="IND11" s="392"/>
      <c r="INE11" s="392"/>
      <c r="INF11" s="392"/>
      <c r="ING11" s="392"/>
      <c r="INH11" s="392"/>
      <c r="INI11" s="392"/>
      <c r="INJ11" s="392"/>
      <c r="INK11" s="392"/>
      <c r="INL11" s="392"/>
      <c r="INM11" s="392"/>
      <c r="INN11" s="392"/>
      <c r="INO11" s="392"/>
      <c r="INP11" s="392"/>
      <c r="INQ11" s="392"/>
      <c r="INR11" s="392"/>
      <c r="INS11" s="392"/>
      <c r="INT11" s="392"/>
      <c r="INU11" s="392"/>
      <c r="INV11" s="392"/>
      <c r="INW11" s="392"/>
      <c r="INX11" s="392"/>
      <c r="INY11" s="392"/>
      <c r="INZ11" s="392"/>
      <c r="IOA11" s="392"/>
      <c r="IOB11" s="392"/>
      <c r="IOC11" s="392"/>
      <c r="IOD11" s="392"/>
      <c r="IOE11" s="392"/>
      <c r="IOF11" s="392"/>
      <c r="IOG11" s="392"/>
      <c r="IOH11" s="392"/>
      <c r="IOI11" s="392"/>
      <c r="IOJ11" s="392"/>
      <c r="IOK11" s="392"/>
      <c r="IOL11" s="392"/>
      <c r="IOM11" s="392"/>
      <c r="ION11" s="392"/>
      <c r="IOO11" s="392"/>
      <c r="IOP11" s="392"/>
      <c r="IOQ11" s="392"/>
      <c r="IOR11" s="392"/>
      <c r="IOS11" s="392"/>
      <c r="IOT11" s="392"/>
      <c r="IOU11" s="392"/>
      <c r="IOV11" s="392"/>
      <c r="IOW11" s="392"/>
      <c r="IOX11" s="392"/>
      <c r="IOY11" s="392"/>
      <c r="IOZ11" s="392"/>
      <c r="IPA11" s="392"/>
      <c r="IPB11" s="392"/>
      <c r="IPC11" s="392"/>
      <c r="IPD11" s="392"/>
      <c r="IPE11" s="392"/>
      <c r="IPF11" s="392"/>
      <c r="IPG11" s="392"/>
      <c r="IPH11" s="392"/>
      <c r="IPI11" s="392"/>
      <c r="IPJ11" s="392"/>
      <c r="IPK11" s="392"/>
      <c r="IPL11" s="392"/>
      <c r="IPM11" s="392"/>
      <c r="IPN11" s="392"/>
      <c r="IPO11" s="392"/>
      <c r="IPP11" s="392"/>
      <c r="IPQ11" s="392"/>
      <c r="IPR11" s="392"/>
      <c r="IPS11" s="392"/>
      <c r="IPT11" s="392"/>
      <c r="IPU11" s="392"/>
      <c r="IPV11" s="392"/>
      <c r="IPW11" s="392"/>
      <c r="IPX11" s="392"/>
      <c r="IPY11" s="392"/>
      <c r="IPZ11" s="392"/>
      <c r="IQA11" s="392"/>
      <c r="IQB11" s="392"/>
      <c r="IQC11" s="392"/>
      <c r="IQD11" s="392"/>
      <c r="IQE11" s="392"/>
      <c r="IQF11" s="392"/>
      <c r="IQG11" s="392"/>
      <c r="IQH11" s="392"/>
      <c r="IQI11" s="392"/>
      <c r="IQJ11" s="392"/>
      <c r="IQK11" s="392"/>
      <c r="IQL11" s="392"/>
      <c r="IQM11" s="392"/>
      <c r="IQN11" s="392"/>
      <c r="IQO11" s="392"/>
      <c r="IQP11" s="392"/>
      <c r="IQQ11" s="392"/>
      <c r="IQR11" s="392"/>
      <c r="IQS11" s="392"/>
      <c r="IQT11" s="392"/>
      <c r="IQU11" s="392"/>
      <c r="IQV11" s="392"/>
      <c r="IQW11" s="392"/>
      <c r="IQX11" s="392"/>
      <c r="IQY11" s="392"/>
      <c r="IQZ11" s="392"/>
      <c r="IRA11" s="392"/>
      <c r="IRB11" s="392"/>
      <c r="IRC11" s="392"/>
      <c r="IRD11" s="392"/>
      <c r="IRE11" s="392"/>
      <c r="IRF11" s="392"/>
      <c r="IRG11" s="392"/>
      <c r="IRH11" s="392"/>
      <c r="IRI11" s="392"/>
      <c r="IRJ11" s="392"/>
      <c r="IRK11" s="392"/>
      <c r="IRL11" s="392"/>
      <c r="IRM11" s="392"/>
      <c r="IRN11" s="392"/>
      <c r="IRO11" s="392"/>
      <c r="IRP11" s="392"/>
      <c r="IRQ11" s="392"/>
      <c r="IRR11" s="392"/>
      <c r="IRS11" s="392"/>
      <c r="IRT11" s="392"/>
      <c r="IRU11" s="392"/>
      <c r="IRV11" s="392"/>
      <c r="IRW11" s="392"/>
      <c r="IRX11" s="392"/>
      <c r="IRY11" s="392"/>
      <c r="IRZ11" s="392"/>
      <c r="ISA11" s="392"/>
      <c r="ISB11" s="392"/>
      <c r="ISC11" s="392"/>
      <c r="ISD11" s="392"/>
      <c r="ISE11" s="392"/>
      <c r="ISF11" s="392"/>
      <c r="ISG11" s="392"/>
      <c r="ISH11" s="392"/>
      <c r="ISI11" s="392"/>
      <c r="ISJ11" s="392"/>
      <c r="ISK11" s="392"/>
      <c r="ISL11" s="392"/>
      <c r="ISM11" s="392"/>
      <c r="ISN11" s="392"/>
      <c r="ISO11" s="392"/>
      <c r="ISP11" s="392"/>
      <c r="ISQ11" s="392"/>
      <c r="ISR11" s="392"/>
      <c r="ISS11" s="392"/>
      <c r="IST11" s="392"/>
      <c r="ISU11" s="392"/>
      <c r="ISV11" s="392"/>
      <c r="ISW11" s="392"/>
      <c r="ISX11" s="392"/>
      <c r="ISY11" s="392"/>
      <c r="ISZ11" s="392"/>
      <c r="ITA11" s="392"/>
      <c r="ITB11" s="392"/>
      <c r="ITC11" s="392"/>
      <c r="ITD11" s="392"/>
      <c r="ITE11" s="392"/>
      <c r="ITF11" s="392"/>
      <c r="ITG11" s="392"/>
      <c r="ITH11" s="392"/>
      <c r="ITI11" s="392"/>
      <c r="ITJ11" s="392"/>
      <c r="ITK11" s="392"/>
      <c r="ITL11" s="392"/>
      <c r="ITM11" s="392"/>
      <c r="ITN11" s="392"/>
      <c r="ITO11" s="392"/>
      <c r="ITP11" s="392"/>
      <c r="ITQ11" s="392"/>
      <c r="ITR11" s="392"/>
      <c r="ITS11" s="392"/>
      <c r="ITT11" s="392"/>
      <c r="ITU11" s="392"/>
      <c r="ITV11" s="392"/>
      <c r="ITW11" s="392"/>
      <c r="ITX11" s="392"/>
      <c r="ITY11" s="392"/>
      <c r="ITZ11" s="392"/>
      <c r="IUA11" s="392"/>
      <c r="IUB11" s="392"/>
      <c r="IUC11" s="392"/>
      <c r="IUD11" s="392"/>
      <c r="IUE11" s="392"/>
      <c r="IUF11" s="392"/>
      <c r="IUG11" s="392"/>
      <c r="IUH11" s="392"/>
      <c r="IUI11" s="392"/>
      <c r="IUJ11" s="392"/>
      <c r="IUK11" s="392"/>
      <c r="IUL11" s="392"/>
      <c r="IUM11" s="392"/>
      <c r="IUN11" s="392"/>
      <c r="IUO11" s="392"/>
      <c r="IUP11" s="392"/>
      <c r="IUQ11" s="392"/>
      <c r="IUR11" s="392"/>
      <c r="IUS11" s="392"/>
      <c r="IUT11" s="392"/>
      <c r="IUU11" s="392"/>
      <c r="IUV11" s="392"/>
      <c r="IUW11" s="392"/>
      <c r="IUX11" s="392"/>
      <c r="IUY11" s="392"/>
      <c r="IUZ11" s="392"/>
      <c r="IVA11" s="392"/>
      <c r="IVB11" s="392"/>
      <c r="IVC11" s="392"/>
      <c r="IVD11" s="392"/>
      <c r="IVE11" s="392"/>
      <c r="IVF11" s="392"/>
      <c r="IVG11" s="392"/>
      <c r="IVH11" s="392"/>
      <c r="IVI11" s="392"/>
      <c r="IVJ11" s="392"/>
      <c r="IVK11" s="392"/>
      <c r="IVL11" s="392"/>
      <c r="IVM11" s="392"/>
      <c r="IVN11" s="392"/>
      <c r="IVO11" s="392"/>
      <c r="IVP11" s="392"/>
      <c r="IVQ11" s="392"/>
      <c r="IVR11" s="392"/>
      <c r="IVS11" s="392"/>
      <c r="IVT11" s="392"/>
      <c r="IVU11" s="392"/>
      <c r="IVV11" s="392"/>
      <c r="IVW11" s="392"/>
      <c r="IVX11" s="392"/>
      <c r="IVY11" s="392"/>
      <c r="IVZ11" s="392"/>
      <c r="IWA11" s="392"/>
      <c r="IWB11" s="392"/>
      <c r="IWC11" s="392"/>
      <c r="IWD11" s="392"/>
      <c r="IWE11" s="392"/>
      <c r="IWF11" s="392"/>
      <c r="IWG11" s="392"/>
      <c r="IWH11" s="392"/>
      <c r="IWI11" s="392"/>
      <c r="IWJ11" s="392"/>
      <c r="IWK11" s="392"/>
      <c r="IWL11" s="392"/>
      <c r="IWM11" s="392"/>
      <c r="IWN11" s="392"/>
      <c r="IWO11" s="392"/>
      <c r="IWP11" s="392"/>
      <c r="IWQ11" s="392"/>
      <c r="IWR11" s="392"/>
      <c r="IWS11" s="392"/>
      <c r="IWT11" s="392"/>
      <c r="IWU11" s="392"/>
      <c r="IWV11" s="392"/>
      <c r="IWW11" s="392"/>
      <c r="IWX11" s="392"/>
      <c r="IWY11" s="392"/>
      <c r="IWZ11" s="392"/>
      <c r="IXA11" s="392"/>
      <c r="IXB11" s="392"/>
      <c r="IXC11" s="392"/>
      <c r="IXD11" s="392"/>
      <c r="IXE11" s="392"/>
      <c r="IXF11" s="392"/>
      <c r="IXG11" s="392"/>
      <c r="IXH11" s="392"/>
      <c r="IXI11" s="392"/>
      <c r="IXJ11" s="392"/>
      <c r="IXK11" s="392"/>
      <c r="IXL11" s="392"/>
      <c r="IXM11" s="392"/>
      <c r="IXN11" s="392"/>
      <c r="IXO11" s="392"/>
      <c r="IXP11" s="392"/>
      <c r="IXQ11" s="392"/>
      <c r="IXR11" s="392"/>
      <c r="IXS11" s="392"/>
      <c r="IXT11" s="392"/>
      <c r="IXU11" s="392"/>
      <c r="IXV11" s="392"/>
      <c r="IXW11" s="392"/>
      <c r="IXX11" s="392"/>
      <c r="IXY11" s="392"/>
      <c r="IXZ11" s="392"/>
      <c r="IYA11" s="392"/>
      <c r="IYB11" s="392"/>
      <c r="IYC11" s="392"/>
      <c r="IYD11" s="392"/>
      <c r="IYE11" s="392"/>
      <c r="IYF11" s="392"/>
      <c r="IYG11" s="392"/>
      <c r="IYH11" s="392"/>
      <c r="IYI11" s="392"/>
      <c r="IYJ11" s="392"/>
      <c r="IYK11" s="392"/>
      <c r="IYL11" s="392"/>
      <c r="IYM11" s="392"/>
      <c r="IYN11" s="392"/>
      <c r="IYO11" s="392"/>
      <c r="IYP11" s="392"/>
      <c r="IYQ11" s="392"/>
      <c r="IYR11" s="392"/>
      <c r="IYS11" s="392"/>
      <c r="IYT11" s="392"/>
      <c r="IYU11" s="392"/>
      <c r="IYV11" s="392"/>
      <c r="IYW11" s="392"/>
      <c r="IYX11" s="392"/>
      <c r="IYY11" s="392"/>
      <c r="IYZ11" s="392"/>
      <c r="IZA11" s="392"/>
      <c r="IZB11" s="392"/>
      <c r="IZC11" s="392"/>
      <c r="IZD11" s="392"/>
      <c r="IZE11" s="392"/>
      <c r="IZF11" s="392"/>
      <c r="IZG11" s="392"/>
      <c r="IZH11" s="392"/>
      <c r="IZI11" s="392"/>
      <c r="IZJ11" s="392"/>
      <c r="IZK11" s="392"/>
      <c r="IZL11" s="392"/>
      <c r="IZM11" s="392"/>
      <c r="IZN11" s="392"/>
      <c r="IZO11" s="392"/>
      <c r="IZP11" s="392"/>
      <c r="IZQ11" s="392"/>
      <c r="IZR11" s="392"/>
      <c r="IZS11" s="392"/>
      <c r="IZT11" s="392"/>
      <c r="IZU11" s="392"/>
      <c r="IZV11" s="392"/>
      <c r="IZW11" s="392"/>
      <c r="IZX11" s="392"/>
      <c r="IZY11" s="392"/>
      <c r="IZZ11" s="392"/>
      <c r="JAA11" s="392"/>
      <c r="JAB11" s="392"/>
      <c r="JAC11" s="392"/>
      <c r="JAD11" s="392"/>
      <c r="JAE11" s="392"/>
      <c r="JAF11" s="392"/>
      <c r="JAG11" s="392"/>
      <c r="JAH11" s="392"/>
      <c r="JAI11" s="392"/>
      <c r="JAJ11" s="392"/>
      <c r="JAK11" s="392"/>
      <c r="JAL11" s="392"/>
      <c r="JAM11" s="392"/>
      <c r="JAN11" s="392"/>
      <c r="JAO11" s="392"/>
      <c r="JAP11" s="392"/>
      <c r="JAQ11" s="392"/>
      <c r="JAR11" s="392"/>
      <c r="JAS11" s="392"/>
      <c r="JAT11" s="392"/>
      <c r="JAU11" s="392"/>
      <c r="JAV11" s="392"/>
      <c r="JAW11" s="392"/>
      <c r="JAX11" s="392"/>
      <c r="JAY11" s="392"/>
      <c r="JAZ11" s="392"/>
      <c r="JBA11" s="392"/>
      <c r="JBB11" s="392"/>
      <c r="JBC11" s="392"/>
      <c r="JBD11" s="392"/>
      <c r="JBE11" s="392"/>
      <c r="JBF11" s="392"/>
      <c r="JBG11" s="392"/>
      <c r="JBH11" s="392"/>
      <c r="JBI11" s="392"/>
      <c r="JBJ11" s="392"/>
      <c r="JBK11" s="392"/>
      <c r="JBL11" s="392"/>
      <c r="JBM11" s="392"/>
      <c r="JBN11" s="392"/>
      <c r="JBO11" s="392"/>
      <c r="JBP11" s="392"/>
      <c r="JBQ11" s="392"/>
      <c r="JBR11" s="392"/>
      <c r="JBS11" s="392"/>
      <c r="JBT11" s="392"/>
      <c r="JBU11" s="392"/>
      <c r="JBV11" s="392"/>
      <c r="JBW11" s="392"/>
      <c r="JBX11" s="392"/>
      <c r="JBY11" s="392"/>
      <c r="JBZ11" s="392"/>
      <c r="JCA11" s="392"/>
      <c r="JCB11" s="392"/>
      <c r="JCC11" s="392"/>
      <c r="JCD11" s="392"/>
      <c r="JCE11" s="392"/>
      <c r="JCF11" s="392"/>
      <c r="JCG11" s="392"/>
      <c r="JCH11" s="392"/>
      <c r="JCI11" s="392"/>
      <c r="JCJ11" s="392"/>
      <c r="JCK11" s="392"/>
      <c r="JCL11" s="392"/>
      <c r="JCM11" s="392"/>
      <c r="JCN11" s="392"/>
      <c r="JCO11" s="392"/>
      <c r="JCP11" s="392"/>
      <c r="JCQ11" s="392"/>
      <c r="JCR11" s="392"/>
      <c r="JCS11" s="392"/>
      <c r="JCT11" s="392"/>
      <c r="JCU11" s="392"/>
      <c r="JCV11" s="392"/>
      <c r="JCW11" s="392"/>
      <c r="JCX11" s="392"/>
      <c r="JCY11" s="392"/>
      <c r="JCZ11" s="392"/>
      <c r="JDA11" s="392"/>
      <c r="JDB11" s="392"/>
      <c r="JDC11" s="392"/>
      <c r="JDD11" s="392"/>
      <c r="JDE11" s="392"/>
      <c r="JDF11" s="392"/>
      <c r="JDG11" s="392"/>
      <c r="JDH11" s="392"/>
      <c r="JDI11" s="392"/>
      <c r="JDJ11" s="392"/>
      <c r="JDK11" s="392"/>
      <c r="JDL11" s="392"/>
      <c r="JDM11" s="392"/>
      <c r="JDN11" s="392"/>
      <c r="JDO11" s="392"/>
      <c r="JDP11" s="392"/>
      <c r="JDQ11" s="392"/>
      <c r="JDR11" s="392"/>
      <c r="JDS11" s="392"/>
      <c r="JDT11" s="392"/>
      <c r="JDU11" s="392"/>
      <c r="JDV11" s="392"/>
      <c r="JDW11" s="392"/>
      <c r="JDX11" s="392"/>
      <c r="JDY11" s="392"/>
      <c r="JDZ11" s="392"/>
      <c r="JEA11" s="392"/>
      <c r="JEB11" s="392"/>
      <c r="JEC11" s="392"/>
      <c r="JED11" s="392"/>
      <c r="JEE11" s="392"/>
      <c r="JEF11" s="392"/>
      <c r="JEG11" s="392"/>
      <c r="JEH11" s="392"/>
      <c r="JEI11" s="392"/>
      <c r="JEJ11" s="392"/>
      <c r="JEK11" s="392"/>
      <c r="JEL11" s="392"/>
      <c r="JEM11" s="392"/>
      <c r="JEN11" s="392"/>
      <c r="JEO11" s="392"/>
      <c r="JEP11" s="392"/>
      <c r="JEQ11" s="392"/>
      <c r="JER11" s="392"/>
      <c r="JES11" s="392"/>
      <c r="JET11" s="392"/>
      <c r="JEU11" s="392"/>
      <c r="JEV11" s="392"/>
      <c r="JEW11" s="392"/>
      <c r="JEX11" s="392"/>
      <c r="JEY11" s="392"/>
      <c r="JEZ11" s="392"/>
      <c r="JFA11" s="392"/>
      <c r="JFB11" s="392"/>
      <c r="JFC11" s="392"/>
      <c r="JFD11" s="392"/>
      <c r="JFE11" s="392"/>
      <c r="JFF11" s="392"/>
      <c r="JFG11" s="392"/>
      <c r="JFH11" s="392"/>
      <c r="JFI11" s="392"/>
      <c r="JFJ11" s="392"/>
      <c r="JFK11" s="392"/>
      <c r="JFL11" s="392"/>
      <c r="JFM11" s="392"/>
      <c r="JFN11" s="392"/>
      <c r="JFO11" s="392"/>
      <c r="JFP11" s="392"/>
      <c r="JFQ11" s="392"/>
      <c r="JFR11" s="392"/>
      <c r="JFS11" s="392"/>
      <c r="JFT11" s="392"/>
      <c r="JFU11" s="392"/>
      <c r="JFV11" s="392"/>
      <c r="JFW11" s="392"/>
      <c r="JFX11" s="392"/>
      <c r="JFY11" s="392"/>
      <c r="JFZ11" s="392"/>
      <c r="JGA11" s="392"/>
      <c r="JGB11" s="392"/>
      <c r="JGC11" s="392"/>
      <c r="JGD11" s="392"/>
      <c r="JGE11" s="392"/>
      <c r="JGF11" s="392"/>
      <c r="JGG11" s="392"/>
      <c r="JGH11" s="392"/>
      <c r="JGI11" s="392"/>
      <c r="JGJ11" s="392"/>
      <c r="JGK11" s="392"/>
      <c r="JGL11" s="392"/>
      <c r="JGM11" s="392"/>
      <c r="JGN11" s="392"/>
      <c r="JGO11" s="392"/>
      <c r="JGP11" s="392"/>
      <c r="JGQ11" s="392"/>
      <c r="JGR11" s="392"/>
      <c r="JGS11" s="392"/>
      <c r="JGT11" s="392"/>
      <c r="JGU11" s="392"/>
      <c r="JGV11" s="392"/>
      <c r="JGW11" s="392"/>
      <c r="JGX11" s="392"/>
      <c r="JGY11" s="392"/>
      <c r="JGZ11" s="392"/>
      <c r="JHA11" s="392"/>
      <c r="JHB11" s="392"/>
      <c r="JHC11" s="392"/>
      <c r="JHD11" s="392"/>
      <c r="JHE11" s="392"/>
      <c r="JHF11" s="392"/>
      <c r="JHG11" s="392"/>
      <c r="JHH11" s="392"/>
      <c r="JHI11" s="392"/>
      <c r="JHJ11" s="392"/>
      <c r="JHK11" s="392"/>
      <c r="JHL11" s="392"/>
      <c r="JHM11" s="392"/>
      <c r="JHN11" s="392"/>
      <c r="JHO11" s="392"/>
      <c r="JHP11" s="392"/>
      <c r="JHQ11" s="392"/>
      <c r="JHR11" s="392"/>
      <c r="JHS11" s="392"/>
      <c r="JHT11" s="392"/>
      <c r="JHU11" s="392"/>
      <c r="JHV11" s="392"/>
      <c r="JHW11" s="392"/>
      <c r="JHX11" s="392"/>
      <c r="JHY11" s="392"/>
      <c r="JHZ11" s="392"/>
      <c r="JIA11" s="392"/>
      <c r="JIB11" s="392"/>
      <c r="JIC11" s="392"/>
      <c r="JID11" s="392"/>
      <c r="JIE11" s="392"/>
      <c r="JIF11" s="392"/>
      <c r="JIG11" s="392"/>
      <c r="JIH11" s="392"/>
      <c r="JII11" s="392"/>
      <c r="JIJ11" s="392"/>
      <c r="JIK11" s="392"/>
      <c r="JIL11" s="392"/>
      <c r="JIM11" s="392"/>
      <c r="JIN11" s="392"/>
      <c r="JIO11" s="392"/>
      <c r="JIP11" s="392"/>
      <c r="JIQ11" s="392"/>
      <c r="JIR11" s="392"/>
      <c r="JIS11" s="392"/>
      <c r="JIT11" s="392"/>
      <c r="JIU11" s="392"/>
      <c r="JIV11" s="392"/>
      <c r="JIW11" s="392"/>
      <c r="JIX11" s="392"/>
      <c r="JIY11" s="392"/>
      <c r="JIZ11" s="392"/>
      <c r="JJA11" s="392"/>
      <c r="JJB11" s="392"/>
      <c r="JJC11" s="392"/>
      <c r="JJD11" s="392"/>
      <c r="JJE11" s="392"/>
      <c r="JJF11" s="392"/>
      <c r="JJG11" s="392"/>
      <c r="JJH11" s="392"/>
      <c r="JJI11" s="392"/>
      <c r="JJJ11" s="392"/>
      <c r="JJK11" s="392"/>
      <c r="JJL11" s="392"/>
      <c r="JJM11" s="392"/>
      <c r="JJN11" s="392"/>
      <c r="JJO11" s="392"/>
      <c r="JJP11" s="392"/>
      <c r="JJQ11" s="392"/>
      <c r="JJR11" s="392"/>
      <c r="JJS11" s="392"/>
      <c r="JJT11" s="392"/>
      <c r="JJU11" s="392"/>
      <c r="JJV11" s="392"/>
      <c r="JJW11" s="392"/>
      <c r="JJX11" s="392"/>
      <c r="JJY11" s="392"/>
      <c r="JJZ11" s="392"/>
      <c r="JKA11" s="392"/>
      <c r="JKB11" s="392"/>
      <c r="JKC11" s="392"/>
      <c r="JKD11" s="392"/>
      <c r="JKE11" s="392"/>
      <c r="JKF11" s="392"/>
      <c r="JKG11" s="392"/>
      <c r="JKH11" s="392"/>
      <c r="JKI11" s="392"/>
      <c r="JKJ11" s="392"/>
      <c r="JKK11" s="392"/>
      <c r="JKL11" s="392"/>
      <c r="JKM11" s="392"/>
      <c r="JKN11" s="392"/>
      <c r="JKO11" s="392"/>
      <c r="JKP11" s="392"/>
      <c r="JKQ11" s="392"/>
      <c r="JKR11" s="392"/>
      <c r="JKS11" s="392"/>
      <c r="JKT11" s="392"/>
      <c r="JKU11" s="392"/>
      <c r="JKV11" s="392"/>
      <c r="JKW11" s="392"/>
      <c r="JKX11" s="392"/>
      <c r="JKY11" s="392"/>
      <c r="JKZ11" s="392"/>
      <c r="JLA11" s="392"/>
      <c r="JLB11" s="392"/>
      <c r="JLC11" s="392"/>
      <c r="JLD11" s="392"/>
      <c r="JLE11" s="392"/>
      <c r="JLF11" s="392"/>
      <c r="JLG11" s="392"/>
      <c r="JLH11" s="392"/>
      <c r="JLI11" s="392"/>
      <c r="JLJ11" s="392"/>
      <c r="JLK11" s="392"/>
      <c r="JLL11" s="392"/>
      <c r="JLM11" s="392"/>
      <c r="JLN11" s="392"/>
      <c r="JLO11" s="392"/>
      <c r="JLP11" s="392"/>
      <c r="JLQ11" s="392"/>
      <c r="JLR11" s="392"/>
      <c r="JLS11" s="392"/>
      <c r="JLT11" s="392"/>
      <c r="JLU11" s="392"/>
      <c r="JLV11" s="392"/>
      <c r="JLW11" s="392"/>
      <c r="JLX11" s="392"/>
      <c r="JLY11" s="392"/>
      <c r="JLZ11" s="392"/>
      <c r="JMA11" s="392"/>
      <c r="JMB11" s="392"/>
      <c r="JMC11" s="392"/>
      <c r="JMD11" s="392"/>
      <c r="JME11" s="392"/>
      <c r="JMF11" s="392"/>
      <c r="JMG11" s="392"/>
      <c r="JMH11" s="392"/>
      <c r="JMI11" s="392"/>
      <c r="JMJ11" s="392"/>
      <c r="JMK11" s="392"/>
      <c r="JML11" s="392"/>
      <c r="JMM11" s="392"/>
      <c r="JMN11" s="392"/>
      <c r="JMO11" s="392"/>
      <c r="JMP11" s="392"/>
      <c r="JMQ11" s="392"/>
      <c r="JMR11" s="392"/>
      <c r="JMS11" s="392"/>
      <c r="JMT11" s="392"/>
      <c r="JMU11" s="392"/>
      <c r="JMV11" s="392"/>
      <c r="JMW11" s="392"/>
      <c r="JMX11" s="392"/>
      <c r="JMY11" s="392"/>
      <c r="JMZ11" s="392"/>
      <c r="JNA11" s="392"/>
      <c r="JNB11" s="392"/>
      <c r="JNC11" s="392"/>
      <c r="JND11" s="392"/>
      <c r="JNE11" s="392"/>
      <c r="JNF11" s="392"/>
      <c r="JNG11" s="392"/>
      <c r="JNH11" s="392"/>
      <c r="JNI11" s="392"/>
      <c r="JNJ11" s="392"/>
      <c r="JNK11" s="392"/>
      <c r="JNL11" s="392"/>
      <c r="JNM11" s="392"/>
      <c r="JNN11" s="392"/>
      <c r="JNO11" s="392"/>
      <c r="JNP11" s="392"/>
      <c r="JNQ11" s="392"/>
      <c r="JNR11" s="392"/>
      <c r="JNS11" s="392"/>
      <c r="JNT11" s="392"/>
      <c r="JNU11" s="392"/>
      <c r="JNV11" s="392"/>
      <c r="JNW11" s="392"/>
      <c r="JNX11" s="392"/>
      <c r="JNY11" s="392"/>
      <c r="JNZ11" s="392"/>
      <c r="JOA11" s="392"/>
      <c r="JOB11" s="392"/>
      <c r="JOC11" s="392"/>
      <c r="JOD11" s="392"/>
      <c r="JOE11" s="392"/>
      <c r="JOF11" s="392"/>
      <c r="JOG11" s="392"/>
      <c r="JOH11" s="392"/>
      <c r="JOI11" s="392"/>
      <c r="JOJ11" s="392"/>
      <c r="JOK11" s="392"/>
      <c r="JOL11" s="392"/>
      <c r="JOM11" s="392"/>
      <c r="JON11" s="392"/>
      <c r="JOO11" s="392"/>
      <c r="JOP11" s="392"/>
      <c r="JOQ11" s="392"/>
      <c r="JOR11" s="392"/>
      <c r="JOS11" s="392"/>
      <c r="JOT11" s="392"/>
      <c r="JOU11" s="392"/>
      <c r="JOV11" s="392"/>
      <c r="JOW11" s="392"/>
      <c r="JOX11" s="392"/>
      <c r="JOY11" s="392"/>
      <c r="JOZ11" s="392"/>
      <c r="JPA11" s="392"/>
      <c r="JPB11" s="392"/>
      <c r="JPC11" s="392"/>
      <c r="JPD11" s="392"/>
      <c r="JPE11" s="392"/>
      <c r="JPF11" s="392"/>
      <c r="JPG11" s="392"/>
      <c r="JPH11" s="392"/>
      <c r="JPI11" s="392"/>
      <c r="JPJ11" s="392"/>
      <c r="JPK11" s="392"/>
      <c r="JPL11" s="392"/>
      <c r="JPM11" s="392"/>
      <c r="JPN11" s="392"/>
      <c r="JPO11" s="392"/>
      <c r="JPP11" s="392"/>
      <c r="JPQ11" s="392"/>
      <c r="JPR11" s="392"/>
      <c r="JPS11" s="392"/>
      <c r="JPT11" s="392"/>
      <c r="JPU11" s="392"/>
      <c r="JPV11" s="392"/>
      <c r="JPW11" s="392"/>
      <c r="JPX11" s="392"/>
      <c r="JPY11" s="392"/>
      <c r="JPZ11" s="392"/>
      <c r="JQA11" s="392"/>
      <c r="JQB11" s="392"/>
      <c r="JQC11" s="392"/>
      <c r="JQD11" s="392"/>
      <c r="JQE11" s="392"/>
      <c r="JQF11" s="392"/>
      <c r="JQG11" s="392"/>
      <c r="JQH11" s="392"/>
      <c r="JQI11" s="392"/>
      <c r="JQJ11" s="392"/>
      <c r="JQK11" s="392"/>
      <c r="JQL11" s="392"/>
      <c r="JQM11" s="392"/>
      <c r="JQN11" s="392"/>
      <c r="JQO11" s="392"/>
      <c r="JQP11" s="392"/>
      <c r="JQQ11" s="392"/>
      <c r="JQR11" s="392"/>
      <c r="JQS11" s="392"/>
      <c r="JQT11" s="392"/>
      <c r="JQU11" s="392"/>
      <c r="JQV11" s="392"/>
      <c r="JQW11" s="392"/>
      <c r="JQX11" s="392"/>
      <c r="JQY11" s="392"/>
      <c r="JQZ11" s="392"/>
      <c r="JRA11" s="392"/>
      <c r="JRB11" s="392"/>
      <c r="JRC11" s="392"/>
      <c r="JRD11" s="392"/>
      <c r="JRE11" s="392"/>
      <c r="JRF11" s="392"/>
      <c r="JRG11" s="392"/>
      <c r="JRH11" s="392"/>
      <c r="JRI11" s="392"/>
      <c r="JRJ11" s="392"/>
      <c r="JRK11" s="392"/>
      <c r="JRL11" s="392"/>
      <c r="JRM11" s="392"/>
      <c r="JRN11" s="392"/>
      <c r="JRO11" s="392"/>
      <c r="JRP11" s="392"/>
      <c r="JRQ11" s="392"/>
      <c r="JRR11" s="392"/>
      <c r="JRS11" s="392"/>
      <c r="JRT11" s="392"/>
      <c r="JRU11" s="392"/>
      <c r="JRV11" s="392"/>
      <c r="JRW11" s="392"/>
      <c r="JRX11" s="392"/>
      <c r="JRY11" s="392"/>
      <c r="JRZ11" s="392"/>
      <c r="JSA11" s="392"/>
      <c r="JSB11" s="392"/>
      <c r="JSC11" s="392"/>
      <c r="JSD11" s="392"/>
      <c r="JSE11" s="392"/>
      <c r="JSF11" s="392"/>
      <c r="JSG11" s="392"/>
      <c r="JSH11" s="392"/>
      <c r="JSI11" s="392"/>
      <c r="JSJ11" s="392"/>
      <c r="JSK11" s="392"/>
      <c r="JSL11" s="392"/>
      <c r="JSM11" s="392"/>
      <c r="JSN11" s="392"/>
      <c r="JSO11" s="392"/>
      <c r="JSP11" s="392"/>
      <c r="JSQ11" s="392"/>
      <c r="JSR11" s="392"/>
      <c r="JSS11" s="392"/>
      <c r="JST11" s="392"/>
      <c r="JSU11" s="392"/>
      <c r="JSV11" s="392"/>
      <c r="JSW11" s="392"/>
      <c r="JSX11" s="392"/>
      <c r="JSY11" s="392"/>
      <c r="JSZ11" s="392"/>
      <c r="JTA11" s="392"/>
      <c r="JTB11" s="392"/>
      <c r="JTC11" s="392"/>
      <c r="JTD11" s="392"/>
      <c r="JTE11" s="392"/>
      <c r="JTF11" s="392"/>
      <c r="JTG11" s="392"/>
      <c r="JTH11" s="392"/>
      <c r="JTI11" s="392"/>
      <c r="JTJ11" s="392"/>
      <c r="JTK11" s="392"/>
      <c r="JTL11" s="392"/>
      <c r="JTM11" s="392"/>
      <c r="JTN11" s="392"/>
      <c r="JTO11" s="392"/>
      <c r="JTP11" s="392"/>
      <c r="JTQ11" s="392"/>
      <c r="JTR11" s="392"/>
      <c r="JTS11" s="392"/>
      <c r="JTT11" s="392"/>
      <c r="JTU11" s="392"/>
      <c r="JTV11" s="392"/>
      <c r="JTW11" s="392"/>
      <c r="JTX11" s="392"/>
      <c r="JTY11" s="392"/>
      <c r="JTZ11" s="392"/>
      <c r="JUA11" s="392"/>
      <c r="JUB11" s="392"/>
      <c r="JUC11" s="392"/>
      <c r="JUD11" s="392"/>
      <c r="JUE11" s="392"/>
      <c r="JUF11" s="392"/>
      <c r="JUG11" s="392"/>
      <c r="JUH11" s="392"/>
      <c r="JUI11" s="392"/>
      <c r="JUJ11" s="392"/>
      <c r="JUK11" s="392"/>
      <c r="JUL11" s="392"/>
      <c r="JUM11" s="392"/>
      <c r="JUN11" s="392"/>
      <c r="JUO11" s="392"/>
      <c r="JUP11" s="392"/>
      <c r="JUQ11" s="392"/>
      <c r="JUR11" s="392"/>
      <c r="JUS11" s="392"/>
      <c r="JUT11" s="392"/>
      <c r="JUU11" s="392"/>
      <c r="JUV11" s="392"/>
      <c r="JUW11" s="392"/>
      <c r="JUX11" s="392"/>
      <c r="JUY11" s="392"/>
      <c r="JUZ11" s="392"/>
      <c r="JVA11" s="392"/>
      <c r="JVB11" s="392"/>
      <c r="JVC11" s="392"/>
      <c r="JVD11" s="392"/>
      <c r="JVE11" s="392"/>
      <c r="JVF11" s="392"/>
      <c r="JVG11" s="392"/>
      <c r="JVH11" s="392"/>
      <c r="JVI11" s="392"/>
      <c r="JVJ11" s="392"/>
      <c r="JVK11" s="392"/>
      <c r="JVL11" s="392"/>
      <c r="JVM11" s="392"/>
      <c r="JVN11" s="392"/>
      <c r="JVO11" s="392"/>
      <c r="JVP11" s="392"/>
      <c r="JVQ11" s="392"/>
      <c r="JVR11" s="392"/>
      <c r="JVS11" s="392"/>
      <c r="JVT11" s="392"/>
      <c r="JVU11" s="392"/>
      <c r="JVV11" s="392"/>
      <c r="JVW11" s="392"/>
      <c r="JVX11" s="392"/>
      <c r="JVY11" s="392"/>
      <c r="JVZ11" s="392"/>
      <c r="JWA11" s="392"/>
      <c r="JWB11" s="392"/>
      <c r="JWC11" s="392"/>
      <c r="JWD11" s="392"/>
      <c r="JWE11" s="392"/>
      <c r="JWF11" s="392"/>
      <c r="JWG11" s="392"/>
      <c r="JWH11" s="392"/>
      <c r="JWI11" s="392"/>
      <c r="JWJ11" s="392"/>
      <c r="JWK11" s="392"/>
      <c r="JWL11" s="392"/>
      <c r="JWM11" s="392"/>
      <c r="JWN11" s="392"/>
      <c r="JWO11" s="392"/>
      <c r="JWP11" s="392"/>
      <c r="JWQ11" s="392"/>
      <c r="JWR11" s="392"/>
      <c r="JWS11" s="392"/>
      <c r="JWT11" s="392"/>
      <c r="JWU11" s="392"/>
      <c r="JWV11" s="392"/>
      <c r="JWW11" s="392"/>
      <c r="JWX11" s="392"/>
      <c r="JWY11" s="392"/>
      <c r="JWZ11" s="392"/>
      <c r="JXA11" s="392"/>
      <c r="JXB11" s="392"/>
      <c r="JXC11" s="392"/>
      <c r="JXD11" s="392"/>
      <c r="JXE11" s="392"/>
      <c r="JXF11" s="392"/>
      <c r="JXG11" s="392"/>
      <c r="JXH11" s="392"/>
      <c r="JXI11" s="392"/>
      <c r="JXJ11" s="392"/>
      <c r="JXK11" s="392"/>
      <c r="JXL11" s="392"/>
      <c r="JXM11" s="392"/>
      <c r="JXN11" s="392"/>
      <c r="JXO11" s="392"/>
      <c r="JXP11" s="392"/>
      <c r="JXQ11" s="392"/>
      <c r="JXR11" s="392"/>
      <c r="JXS11" s="392"/>
      <c r="JXT11" s="392"/>
      <c r="JXU11" s="392"/>
      <c r="JXV11" s="392"/>
      <c r="JXW11" s="392"/>
      <c r="JXX11" s="392"/>
      <c r="JXY11" s="392"/>
      <c r="JXZ11" s="392"/>
      <c r="JYA11" s="392"/>
      <c r="JYB11" s="392"/>
      <c r="JYC11" s="392"/>
      <c r="JYD11" s="392"/>
      <c r="JYE11" s="392"/>
      <c r="JYF11" s="392"/>
      <c r="JYG11" s="392"/>
      <c r="JYH11" s="392"/>
      <c r="JYI11" s="392"/>
      <c r="JYJ11" s="392"/>
      <c r="JYK11" s="392"/>
      <c r="JYL11" s="392"/>
      <c r="JYM11" s="392"/>
      <c r="JYN11" s="392"/>
      <c r="JYO11" s="392"/>
      <c r="JYP11" s="392"/>
      <c r="JYQ11" s="392"/>
      <c r="JYR11" s="392"/>
      <c r="JYS11" s="392"/>
      <c r="JYT11" s="392"/>
      <c r="JYU11" s="392"/>
      <c r="JYV11" s="392"/>
      <c r="JYW11" s="392"/>
      <c r="JYX11" s="392"/>
      <c r="JYY11" s="392"/>
      <c r="JYZ11" s="392"/>
      <c r="JZA11" s="392"/>
      <c r="JZB11" s="392"/>
      <c r="JZC11" s="392"/>
      <c r="JZD11" s="392"/>
      <c r="JZE11" s="392"/>
      <c r="JZF11" s="392"/>
      <c r="JZG11" s="392"/>
      <c r="JZH11" s="392"/>
      <c r="JZI11" s="392"/>
      <c r="JZJ11" s="392"/>
      <c r="JZK11" s="392"/>
      <c r="JZL11" s="392"/>
      <c r="JZM11" s="392"/>
      <c r="JZN11" s="392"/>
      <c r="JZO11" s="392"/>
      <c r="JZP11" s="392"/>
      <c r="JZQ11" s="392"/>
      <c r="JZR11" s="392"/>
      <c r="JZS11" s="392"/>
      <c r="JZT11" s="392"/>
      <c r="JZU11" s="392"/>
      <c r="JZV11" s="392"/>
      <c r="JZW11" s="392"/>
      <c r="JZX11" s="392"/>
      <c r="JZY11" s="392"/>
      <c r="JZZ11" s="392"/>
      <c r="KAA11" s="392"/>
      <c r="KAB11" s="392"/>
      <c r="KAC11" s="392"/>
      <c r="KAD11" s="392"/>
      <c r="KAE11" s="392"/>
      <c r="KAF11" s="392"/>
      <c r="KAG11" s="392"/>
      <c r="KAH11" s="392"/>
      <c r="KAI11" s="392"/>
      <c r="KAJ11" s="392"/>
      <c r="KAK11" s="392"/>
      <c r="KAL11" s="392"/>
      <c r="KAM11" s="392"/>
      <c r="KAN11" s="392"/>
      <c r="KAO11" s="392"/>
      <c r="KAP11" s="392"/>
      <c r="KAQ11" s="392"/>
      <c r="KAR11" s="392"/>
      <c r="KAS11" s="392"/>
      <c r="KAT11" s="392"/>
      <c r="KAU11" s="392"/>
      <c r="KAV11" s="392"/>
      <c r="KAW11" s="392"/>
      <c r="KAX11" s="392"/>
      <c r="KAY11" s="392"/>
      <c r="KAZ11" s="392"/>
      <c r="KBA11" s="392"/>
      <c r="KBB11" s="392"/>
      <c r="KBC11" s="392"/>
      <c r="KBD11" s="392"/>
      <c r="KBE11" s="392"/>
      <c r="KBF11" s="392"/>
      <c r="KBG11" s="392"/>
      <c r="KBH11" s="392"/>
      <c r="KBI11" s="392"/>
      <c r="KBJ11" s="392"/>
      <c r="KBK11" s="392"/>
      <c r="KBL11" s="392"/>
      <c r="KBM11" s="392"/>
      <c r="KBN11" s="392"/>
      <c r="KBO11" s="392"/>
      <c r="KBP11" s="392"/>
      <c r="KBQ11" s="392"/>
      <c r="KBR11" s="392"/>
      <c r="KBS11" s="392"/>
      <c r="KBT11" s="392"/>
      <c r="KBU11" s="392"/>
      <c r="KBV11" s="392"/>
      <c r="KBW11" s="392"/>
      <c r="KBX11" s="392"/>
      <c r="KBY11" s="392"/>
      <c r="KBZ11" s="392"/>
      <c r="KCA11" s="392"/>
      <c r="KCB11" s="392"/>
      <c r="KCC11" s="392"/>
      <c r="KCD11" s="392"/>
      <c r="KCE11" s="392"/>
      <c r="KCF11" s="392"/>
      <c r="KCG11" s="392"/>
      <c r="KCH11" s="392"/>
      <c r="KCI11" s="392"/>
      <c r="KCJ11" s="392"/>
      <c r="KCK11" s="392"/>
      <c r="KCL11" s="392"/>
      <c r="KCM11" s="392"/>
      <c r="KCN11" s="392"/>
      <c r="KCO11" s="392"/>
      <c r="KCP11" s="392"/>
      <c r="KCQ11" s="392"/>
      <c r="KCR11" s="392"/>
      <c r="KCS11" s="392"/>
      <c r="KCT11" s="392"/>
      <c r="KCU11" s="392"/>
      <c r="KCV11" s="392"/>
      <c r="KCW11" s="392"/>
      <c r="KCX11" s="392"/>
      <c r="KCY11" s="392"/>
      <c r="KCZ11" s="392"/>
      <c r="KDA11" s="392"/>
      <c r="KDB11" s="392"/>
      <c r="KDC11" s="392"/>
      <c r="KDD11" s="392"/>
      <c r="KDE11" s="392"/>
      <c r="KDF11" s="392"/>
      <c r="KDG11" s="392"/>
      <c r="KDH11" s="392"/>
      <c r="KDI11" s="392"/>
      <c r="KDJ11" s="392"/>
      <c r="KDK11" s="392"/>
      <c r="KDL11" s="392"/>
      <c r="KDM11" s="392"/>
      <c r="KDN11" s="392"/>
      <c r="KDO11" s="392"/>
      <c r="KDP11" s="392"/>
      <c r="KDQ11" s="392"/>
      <c r="KDR11" s="392"/>
      <c r="KDS11" s="392"/>
      <c r="KDT11" s="392"/>
      <c r="KDU11" s="392"/>
      <c r="KDV11" s="392"/>
      <c r="KDW11" s="392"/>
      <c r="KDX11" s="392"/>
      <c r="KDY11" s="392"/>
      <c r="KDZ11" s="392"/>
      <c r="KEA11" s="392"/>
      <c r="KEB11" s="392"/>
      <c r="KEC11" s="392"/>
      <c r="KED11" s="392"/>
      <c r="KEE11" s="392"/>
      <c r="KEF11" s="392"/>
      <c r="KEG11" s="392"/>
      <c r="KEH11" s="392"/>
      <c r="KEI11" s="392"/>
      <c r="KEJ11" s="392"/>
      <c r="KEK11" s="392"/>
      <c r="KEL11" s="392"/>
      <c r="KEM11" s="392"/>
      <c r="KEN11" s="392"/>
      <c r="KEO11" s="392"/>
      <c r="KEP11" s="392"/>
      <c r="KEQ11" s="392"/>
      <c r="KER11" s="392"/>
      <c r="KES11" s="392"/>
      <c r="KET11" s="392"/>
      <c r="KEU11" s="392"/>
      <c r="KEV11" s="392"/>
      <c r="KEW11" s="392"/>
      <c r="KEX11" s="392"/>
      <c r="KEY11" s="392"/>
      <c r="KEZ11" s="392"/>
      <c r="KFA11" s="392"/>
      <c r="KFB11" s="392"/>
      <c r="KFC11" s="392"/>
      <c r="KFD11" s="392"/>
      <c r="KFE11" s="392"/>
      <c r="KFF11" s="392"/>
      <c r="KFG11" s="392"/>
      <c r="KFH11" s="392"/>
      <c r="KFI11" s="392"/>
      <c r="KFJ11" s="392"/>
      <c r="KFK11" s="392"/>
      <c r="KFL11" s="392"/>
      <c r="KFM11" s="392"/>
      <c r="KFN11" s="392"/>
      <c r="KFO11" s="392"/>
      <c r="KFP11" s="392"/>
      <c r="KFQ11" s="392"/>
      <c r="KFR11" s="392"/>
      <c r="KFS11" s="392"/>
      <c r="KFT11" s="392"/>
      <c r="KFU11" s="392"/>
      <c r="KFV11" s="392"/>
      <c r="KFW11" s="392"/>
      <c r="KFX11" s="392"/>
      <c r="KFY11" s="392"/>
      <c r="KFZ11" s="392"/>
      <c r="KGA11" s="392"/>
      <c r="KGB11" s="392"/>
      <c r="KGC11" s="392"/>
      <c r="KGD11" s="392"/>
      <c r="KGE11" s="392"/>
      <c r="KGF11" s="392"/>
      <c r="KGG11" s="392"/>
      <c r="KGH11" s="392"/>
      <c r="KGI11" s="392"/>
      <c r="KGJ11" s="392"/>
      <c r="KGK11" s="392"/>
      <c r="KGL11" s="392"/>
      <c r="KGM11" s="392"/>
      <c r="KGN11" s="392"/>
      <c r="KGO11" s="392"/>
      <c r="KGP11" s="392"/>
      <c r="KGQ11" s="392"/>
      <c r="KGR11" s="392"/>
      <c r="KGS11" s="392"/>
      <c r="KGT11" s="392"/>
      <c r="KGU11" s="392"/>
      <c r="KGV11" s="392"/>
      <c r="KGW11" s="392"/>
      <c r="KGX11" s="392"/>
      <c r="KGY11" s="392"/>
      <c r="KGZ11" s="392"/>
      <c r="KHA11" s="392"/>
      <c r="KHB11" s="392"/>
      <c r="KHC11" s="392"/>
      <c r="KHD11" s="392"/>
      <c r="KHE11" s="392"/>
      <c r="KHF11" s="392"/>
      <c r="KHG11" s="392"/>
      <c r="KHH11" s="392"/>
      <c r="KHI11" s="392"/>
      <c r="KHJ11" s="392"/>
      <c r="KHK11" s="392"/>
      <c r="KHL11" s="392"/>
      <c r="KHM11" s="392"/>
      <c r="KHN11" s="392"/>
      <c r="KHO11" s="392"/>
      <c r="KHP11" s="392"/>
      <c r="KHQ11" s="392"/>
      <c r="KHR11" s="392"/>
      <c r="KHS11" s="392"/>
      <c r="KHT11" s="392"/>
      <c r="KHU11" s="392"/>
      <c r="KHV11" s="392"/>
      <c r="KHW11" s="392"/>
      <c r="KHX11" s="392"/>
      <c r="KHY11" s="392"/>
      <c r="KHZ11" s="392"/>
      <c r="KIA11" s="392"/>
      <c r="KIB11" s="392"/>
      <c r="KIC11" s="392"/>
      <c r="KID11" s="392"/>
      <c r="KIE11" s="392"/>
      <c r="KIF11" s="392"/>
      <c r="KIG11" s="392"/>
      <c r="KIH11" s="392"/>
      <c r="KII11" s="392"/>
      <c r="KIJ11" s="392"/>
      <c r="KIK11" s="392"/>
      <c r="KIL11" s="392"/>
      <c r="KIM11" s="392"/>
      <c r="KIN11" s="392"/>
      <c r="KIO11" s="392"/>
      <c r="KIP11" s="392"/>
      <c r="KIQ11" s="392"/>
      <c r="KIR11" s="392"/>
      <c r="KIS11" s="392"/>
      <c r="KIT11" s="392"/>
      <c r="KIU11" s="392"/>
      <c r="KIV11" s="392"/>
      <c r="KIW11" s="392"/>
      <c r="KIX11" s="392"/>
      <c r="KIY11" s="392"/>
      <c r="KIZ11" s="392"/>
      <c r="KJA11" s="392"/>
      <c r="KJB11" s="392"/>
      <c r="KJC11" s="392"/>
      <c r="KJD11" s="392"/>
      <c r="KJE11" s="392"/>
      <c r="KJF11" s="392"/>
      <c r="KJG11" s="392"/>
      <c r="KJH11" s="392"/>
      <c r="KJI11" s="392"/>
      <c r="KJJ11" s="392"/>
      <c r="KJK11" s="392"/>
      <c r="KJL11" s="392"/>
      <c r="KJM11" s="392"/>
      <c r="KJN11" s="392"/>
      <c r="KJO11" s="392"/>
      <c r="KJP11" s="392"/>
      <c r="KJQ11" s="392"/>
      <c r="KJR11" s="392"/>
      <c r="KJS11" s="392"/>
      <c r="KJT11" s="392"/>
      <c r="KJU11" s="392"/>
      <c r="KJV11" s="392"/>
      <c r="KJW11" s="392"/>
      <c r="KJX11" s="392"/>
      <c r="KJY11" s="392"/>
      <c r="KJZ11" s="392"/>
      <c r="KKA11" s="392"/>
      <c r="KKB11" s="392"/>
      <c r="KKC11" s="392"/>
      <c r="KKD11" s="392"/>
      <c r="KKE11" s="392"/>
      <c r="KKF11" s="392"/>
      <c r="KKG11" s="392"/>
      <c r="KKH11" s="392"/>
      <c r="KKI11" s="392"/>
      <c r="KKJ11" s="392"/>
      <c r="KKK11" s="392"/>
      <c r="KKL11" s="392"/>
      <c r="KKM11" s="392"/>
      <c r="KKN11" s="392"/>
      <c r="KKO11" s="392"/>
      <c r="KKP11" s="392"/>
      <c r="KKQ11" s="392"/>
      <c r="KKR11" s="392"/>
      <c r="KKS11" s="392"/>
      <c r="KKT11" s="392"/>
      <c r="KKU11" s="392"/>
      <c r="KKV11" s="392"/>
      <c r="KKW11" s="392"/>
      <c r="KKX11" s="392"/>
      <c r="KKY11" s="392"/>
      <c r="KKZ11" s="392"/>
      <c r="KLA11" s="392"/>
      <c r="KLB11" s="392"/>
      <c r="KLC11" s="392"/>
      <c r="KLD11" s="392"/>
      <c r="KLE11" s="392"/>
      <c r="KLF11" s="392"/>
      <c r="KLG11" s="392"/>
      <c r="KLH11" s="392"/>
      <c r="KLI11" s="392"/>
      <c r="KLJ11" s="392"/>
      <c r="KLK11" s="392"/>
      <c r="KLL11" s="392"/>
      <c r="KLM11" s="392"/>
      <c r="KLN11" s="392"/>
      <c r="KLO11" s="392"/>
      <c r="KLP11" s="392"/>
      <c r="KLQ11" s="392"/>
      <c r="KLR11" s="392"/>
      <c r="KLS11" s="392"/>
      <c r="KLT11" s="392"/>
      <c r="KLU11" s="392"/>
      <c r="KLV11" s="392"/>
      <c r="KLW11" s="392"/>
      <c r="KLX11" s="392"/>
      <c r="KLY11" s="392"/>
      <c r="KLZ11" s="392"/>
      <c r="KMA11" s="392"/>
      <c r="KMB11" s="392"/>
      <c r="KMC11" s="392"/>
      <c r="KMD11" s="392"/>
      <c r="KME11" s="392"/>
      <c r="KMF11" s="392"/>
      <c r="KMG11" s="392"/>
      <c r="KMH11" s="392"/>
      <c r="KMI11" s="392"/>
      <c r="KMJ11" s="392"/>
      <c r="KMK11" s="392"/>
      <c r="KML11" s="392"/>
      <c r="KMM11" s="392"/>
      <c r="KMN11" s="392"/>
      <c r="KMO11" s="392"/>
      <c r="KMP11" s="392"/>
      <c r="KMQ11" s="392"/>
      <c r="KMR11" s="392"/>
      <c r="KMS11" s="392"/>
      <c r="KMT11" s="392"/>
      <c r="KMU11" s="392"/>
      <c r="KMV11" s="392"/>
      <c r="KMW11" s="392"/>
      <c r="KMX11" s="392"/>
      <c r="KMY11" s="392"/>
      <c r="KMZ11" s="392"/>
      <c r="KNA11" s="392"/>
      <c r="KNB11" s="392"/>
      <c r="KNC11" s="392"/>
      <c r="KND11" s="392"/>
      <c r="KNE11" s="392"/>
      <c r="KNF11" s="392"/>
      <c r="KNG11" s="392"/>
      <c r="KNH11" s="392"/>
      <c r="KNI11" s="392"/>
      <c r="KNJ11" s="392"/>
      <c r="KNK11" s="392"/>
      <c r="KNL11" s="392"/>
      <c r="KNM11" s="392"/>
      <c r="KNN11" s="392"/>
      <c r="KNO11" s="392"/>
      <c r="KNP11" s="392"/>
      <c r="KNQ11" s="392"/>
      <c r="KNR11" s="392"/>
      <c r="KNS11" s="392"/>
      <c r="KNT11" s="392"/>
      <c r="KNU11" s="392"/>
      <c r="KNV11" s="392"/>
      <c r="KNW11" s="392"/>
      <c r="KNX11" s="392"/>
      <c r="KNY11" s="392"/>
      <c r="KNZ11" s="392"/>
      <c r="KOA11" s="392"/>
      <c r="KOB11" s="392"/>
      <c r="KOC11" s="392"/>
      <c r="KOD11" s="392"/>
      <c r="KOE11" s="392"/>
      <c r="KOF11" s="392"/>
      <c r="KOG11" s="392"/>
      <c r="KOH11" s="392"/>
      <c r="KOI11" s="392"/>
      <c r="KOJ11" s="392"/>
      <c r="KOK11" s="392"/>
      <c r="KOL11" s="392"/>
      <c r="KOM11" s="392"/>
      <c r="KON11" s="392"/>
      <c r="KOO11" s="392"/>
      <c r="KOP11" s="392"/>
      <c r="KOQ11" s="392"/>
      <c r="KOR11" s="392"/>
      <c r="KOS11" s="392"/>
      <c r="KOT11" s="392"/>
      <c r="KOU11" s="392"/>
      <c r="KOV11" s="392"/>
      <c r="KOW11" s="392"/>
      <c r="KOX11" s="392"/>
      <c r="KOY11" s="392"/>
      <c r="KOZ11" s="392"/>
      <c r="KPA11" s="392"/>
      <c r="KPB11" s="392"/>
      <c r="KPC11" s="392"/>
      <c r="KPD11" s="392"/>
      <c r="KPE11" s="392"/>
      <c r="KPF11" s="392"/>
      <c r="KPG11" s="392"/>
      <c r="KPH11" s="392"/>
      <c r="KPI11" s="392"/>
      <c r="KPJ11" s="392"/>
      <c r="KPK11" s="392"/>
      <c r="KPL11" s="392"/>
      <c r="KPM11" s="392"/>
      <c r="KPN11" s="392"/>
      <c r="KPO11" s="392"/>
      <c r="KPP11" s="392"/>
      <c r="KPQ11" s="392"/>
      <c r="KPR11" s="392"/>
      <c r="KPS11" s="392"/>
      <c r="KPT11" s="392"/>
      <c r="KPU11" s="392"/>
      <c r="KPV11" s="392"/>
      <c r="KPW11" s="392"/>
      <c r="KPX11" s="392"/>
      <c r="KPY11" s="392"/>
      <c r="KPZ11" s="392"/>
      <c r="KQA11" s="392"/>
      <c r="KQB11" s="392"/>
      <c r="KQC11" s="392"/>
      <c r="KQD11" s="392"/>
      <c r="KQE11" s="392"/>
      <c r="KQF11" s="392"/>
      <c r="KQG11" s="392"/>
      <c r="KQH11" s="392"/>
      <c r="KQI11" s="392"/>
      <c r="KQJ11" s="392"/>
      <c r="KQK11" s="392"/>
      <c r="KQL11" s="392"/>
      <c r="KQM11" s="392"/>
      <c r="KQN11" s="392"/>
      <c r="KQO11" s="392"/>
      <c r="KQP11" s="392"/>
      <c r="KQQ11" s="392"/>
      <c r="KQR11" s="392"/>
      <c r="KQS11" s="392"/>
      <c r="KQT11" s="392"/>
      <c r="KQU11" s="392"/>
      <c r="KQV11" s="392"/>
      <c r="KQW11" s="392"/>
      <c r="KQX11" s="392"/>
      <c r="KQY11" s="392"/>
      <c r="KQZ11" s="392"/>
      <c r="KRA11" s="392"/>
      <c r="KRB11" s="392"/>
      <c r="KRC11" s="392"/>
      <c r="KRD11" s="392"/>
      <c r="KRE11" s="392"/>
      <c r="KRF11" s="392"/>
      <c r="KRG11" s="392"/>
      <c r="KRH11" s="392"/>
      <c r="KRI11" s="392"/>
      <c r="KRJ11" s="392"/>
      <c r="KRK11" s="392"/>
      <c r="KRL11" s="392"/>
      <c r="KRM11" s="392"/>
      <c r="KRN11" s="392"/>
      <c r="KRO11" s="392"/>
      <c r="KRP11" s="392"/>
      <c r="KRQ11" s="392"/>
      <c r="KRR11" s="392"/>
      <c r="KRS11" s="392"/>
      <c r="KRT11" s="392"/>
      <c r="KRU11" s="392"/>
      <c r="KRV11" s="392"/>
      <c r="KRW11" s="392"/>
      <c r="KRX11" s="392"/>
      <c r="KRY11" s="392"/>
      <c r="KRZ11" s="392"/>
      <c r="KSA11" s="392"/>
      <c r="KSB11" s="392"/>
      <c r="KSC11" s="392"/>
      <c r="KSD11" s="392"/>
      <c r="KSE11" s="392"/>
      <c r="KSF11" s="392"/>
      <c r="KSG11" s="392"/>
      <c r="KSH11" s="392"/>
      <c r="KSI11" s="392"/>
      <c r="KSJ11" s="392"/>
      <c r="KSK11" s="392"/>
      <c r="KSL11" s="392"/>
      <c r="KSM11" s="392"/>
      <c r="KSN11" s="392"/>
      <c r="KSO11" s="392"/>
      <c r="KSP11" s="392"/>
      <c r="KSQ11" s="392"/>
      <c r="KSR11" s="392"/>
      <c r="KSS11" s="392"/>
      <c r="KST11" s="392"/>
      <c r="KSU11" s="392"/>
      <c r="KSV11" s="392"/>
      <c r="KSW11" s="392"/>
      <c r="KSX11" s="392"/>
      <c r="KSY11" s="392"/>
      <c r="KSZ11" s="392"/>
      <c r="KTA11" s="392"/>
      <c r="KTB11" s="392"/>
      <c r="KTC11" s="392"/>
      <c r="KTD11" s="392"/>
      <c r="KTE11" s="392"/>
      <c r="KTF11" s="392"/>
      <c r="KTG11" s="392"/>
      <c r="KTH11" s="392"/>
      <c r="KTI11" s="392"/>
      <c r="KTJ11" s="392"/>
      <c r="KTK11" s="392"/>
      <c r="KTL11" s="392"/>
      <c r="KTM11" s="392"/>
      <c r="KTN11" s="392"/>
      <c r="KTO11" s="392"/>
      <c r="KTP11" s="392"/>
      <c r="KTQ11" s="392"/>
      <c r="KTR11" s="392"/>
      <c r="KTS11" s="392"/>
      <c r="KTT11" s="392"/>
      <c r="KTU11" s="392"/>
      <c r="KTV11" s="392"/>
      <c r="KTW11" s="392"/>
      <c r="KTX11" s="392"/>
      <c r="KTY11" s="392"/>
      <c r="KTZ11" s="392"/>
      <c r="KUA11" s="392"/>
      <c r="KUB11" s="392"/>
      <c r="KUC11" s="392"/>
      <c r="KUD11" s="392"/>
      <c r="KUE11" s="392"/>
      <c r="KUF11" s="392"/>
      <c r="KUG11" s="392"/>
      <c r="KUH11" s="392"/>
      <c r="KUI11" s="392"/>
      <c r="KUJ11" s="392"/>
      <c r="KUK11" s="392"/>
      <c r="KUL11" s="392"/>
      <c r="KUM11" s="392"/>
      <c r="KUN11" s="392"/>
      <c r="KUO11" s="392"/>
      <c r="KUP11" s="392"/>
      <c r="KUQ11" s="392"/>
      <c r="KUR11" s="392"/>
      <c r="KUS11" s="392"/>
      <c r="KUT11" s="392"/>
      <c r="KUU11" s="392"/>
      <c r="KUV11" s="392"/>
      <c r="KUW11" s="392"/>
      <c r="KUX11" s="392"/>
      <c r="KUY11" s="392"/>
      <c r="KUZ11" s="392"/>
      <c r="KVA11" s="392"/>
      <c r="KVB11" s="392"/>
      <c r="KVC11" s="392"/>
      <c r="KVD11" s="392"/>
      <c r="KVE11" s="392"/>
      <c r="KVF11" s="392"/>
      <c r="KVG11" s="392"/>
      <c r="KVH11" s="392"/>
      <c r="KVI11" s="392"/>
      <c r="KVJ11" s="392"/>
      <c r="KVK11" s="392"/>
      <c r="KVL11" s="392"/>
      <c r="KVM11" s="392"/>
      <c r="KVN11" s="392"/>
      <c r="KVO11" s="392"/>
      <c r="KVP11" s="392"/>
      <c r="KVQ11" s="392"/>
      <c r="KVR11" s="392"/>
      <c r="KVS11" s="392"/>
      <c r="KVT11" s="392"/>
      <c r="KVU11" s="392"/>
      <c r="KVV11" s="392"/>
      <c r="KVW11" s="392"/>
      <c r="KVX11" s="392"/>
      <c r="KVY11" s="392"/>
      <c r="KVZ11" s="392"/>
      <c r="KWA11" s="392"/>
      <c r="KWB11" s="392"/>
      <c r="KWC11" s="392"/>
      <c r="KWD11" s="392"/>
      <c r="KWE11" s="392"/>
      <c r="KWF11" s="392"/>
      <c r="KWG11" s="392"/>
      <c r="KWH11" s="392"/>
      <c r="KWI11" s="392"/>
      <c r="KWJ11" s="392"/>
      <c r="KWK11" s="392"/>
      <c r="KWL11" s="392"/>
      <c r="KWM11" s="392"/>
      <c r="KWN11" s="392"/>
      <c r="KWO11" s="392"/>
      <c r="KWP11" s="392"/>
      <c r="KWQ11" s="392"/>
      <c r="KWR11" s="392"/>
      <c r="KWS11" s="392"/>
      <c r="KWT11" s="392"/>
      <c r="KWU11" s="392"/>
      <c r="KWV11" s="392"/>
      <c r="KWW11" s="392"/>
      <c r="KWX11" s="392"/>
      <c r="KWY11" s="392"/>
      <c r="KWZ11" s="392"/>
      <c r="KXA11" s="392"/>
      <c r="KXB11" s="392"/>
      <c r="KXC11" s="392"/>
      <c r="KXD11" s="392"/>
      <c r="KXE11" s="392"/>
      <c r="KXF11" s="392"/>
      <c r="KXG11" s="392"/>
      <c r="KXH11" s="392"/>
      <c r="KXI11" s="392"/>
      <c r="KXJ11" s="392"/>
      <c r="KXK11" s="392"/>
      <c r="KXL11" s="392"/>
      <c r="KXM11" s="392"/>
      <c r="KXN11" s="392"/>
      <c r="KXO11" s="392"/>
      <c r="KXP11" s="392"/>
      <c r="KXQ11" s="392"/>
      <c r="KXR11" s="392"/>
      <c r="KXS11" s="392"/>
      <c r="KXT11" s="392"/>
      <c r="KXU11" s="392"/>
      <c r="KXV11" s="392"/>
      <c r="KXW11" s="392"/>
      <c r="KXX11" s="392"/>
      <c r="KXY11" s="392"/>
      <c r="KXZ11" s="392"/>
      <c r="KYA11" s="392"/>
      <c r="KYB11" s="392"/>
      <c r="KYC11" s="392"/>
      <c r="KYD11" s="392"/>
      <c r="KYE11" s="392"/>
      <c r="KYF11" s="392"/>
      <c r="KYG11" s="392"/>
      <c r="KYH11" s="392"/>
      <c r="KYI11" s="392"/>
      <c r="KYJ11" s="392"/>
      <c r="KYK11" s="392"/>
      <c r="KYL11" s="392"/>
      <c r="KYM11" s="392"/>
      <c r="KYN11" s="392"/>
      <c r="KYO11" s="392"/>
      <c r="KYP11" s="392"/>
      <c r="KYQ11" s="392"/>
      <c r="KYR11" s="392"/>
      <c r="KYS11" s="392"/>
      <c r="KYT11" s="392"/>
      <c r="KYU11" s="392"/>
      <c r="KYV11" s="392"/>
      <c r="KYW11" s="392"/>
      <c r="KYX11" s="392"/>
      <c r="KYY11" s="392"/>
      <c r="KYZ11" s="392"/>
      <c r="KZA11" s="392"/>
      <c r="KZB11" s="392"/>
      <c r="KZC11" s="392"/>
      <c r="KZD11" s="392"/>
      <c r="KZE11" s="392"/>
      <c r="KZF11" s="392"/>
      <c r="KZG11" s="392"/>
      <c r="KZH11" s="392"/>
      <c r="KZI11" s="392"/>
      <c r="KZJ11" s="392"/>
      <c r="KZK11" s="392"/>
      <c r="KZL11" s="392"/>
      <c r="KZM11" s="392"/>
      <c r="KZN11" s="392"/>
      <c r="KZO11" s="392"/>
      <c r="KZP11" s="392"/>
      <c r="KZQ11" s="392"/>
      <c r="KZR11" s="392"/>
      <c r="KZS11" s="392"/>
      <c r="KZT11" s="392"/>
      <c r="KZU11" s="392"/>
      <c r="KZV11" s="392"/>
      <c r="KZW11" s="392"/>
      <c r="KZX11" s="392"/>
      <c r="KZY11" s="392"/>
      <c r="KZZ11" s="392"/>
      <c r="LAA11" s="392"/>
      <c r="LAB11" s="392"/>
      <c r="LAC11" s="392"/>
      <c r="LAD11" s="392"/>
      <c r="LAE11" s="392"/>
      <c r="LAF11" s="392"/>
      <c r="LAG11" s="392"/>
      <c r="LAH11" s="392"/>
      <c r="LAI11" s="392"/>
      <c r="LAJ11" s="392"/>
      <c r="LAK11" s="392"/>
      <c r="LAL11" s="392"/>
      <c r="LAM11" s="392"/>
      <c r="LAN11" s="392"/>
      <c r="LAO11" s="392"/>
      <c r="LAP11" s="392"/>
      <c r="LAQ11" s="392"/>
      <c r="LAR11" s="392"/>
      <c r="LAS11" s="392"/>
      <c r="LAT11" s="392"/>
      <c r="LAU11" s="392"/>
      <c r="LAV11" s="392"/>
      <c r="LAW11" s="392"/>
      <c r="LAX11" s="392"/>
      <c r="LAY11" s="392"/>
      <c r="LAZ11" s="392"/>
      <c r="LBA11" s="392"/>
      <c r="LBB11" s="392"/>
      <c r="LBC11" s="392"/>
      <c r="LBD11" s="392"/>
      <c r="LBE11" s="392"/>
      <c r="LBF11" s="392"/>
      <c r="LBG11" s="392"/>
      <c r="LBH11" s="392"/>
      <c r="LBI11" s="392"/>
      <c r="LBJ11" s="392"/>
      <c r="LBK11" s="392"/>
      <c r="LBL11" s="392"/>
      <c r="LBM11" s="392"/>
      <c r="LBN11" s="392"/>
      <c r="LBO11" s="392"/>
      <c r="LBP11" s="392"/>
      <c r="LBQ11" s="392"/>
      <c r="LBR11" s="392"/>
      <c r="LBS11" s="392"/>
      <c r="LBT11" s="392"/>
      <c r="LBU11" s="392"/>
      <c r="LBV11" s="392"/>
      <c r="LBW11" s="392"/>
      <c r="LBX11" s="392"/>
      <c r="LBY11" s="392"/>
      <c r="LBZ11" s="392"/>
      <c r="LCA11" s="392"/>
      <c r="LCB11" s="392"/>
      <c r="LCC11" s="392"/>
      <c r="LCD11" s="392"/>
      <c r="LCE11" s="392"/>
      <c r="LCF11" s="392"/>
      <c r="LCG11" s="392"/>
      <c r="LCH11" s="392"/>
      <c r="LCI11" s="392"/>
      <c r="LCJ11" s="392"/>
      <c r="LCK11" s="392"/>
      <c r="LCL11" s="392"/>
      <c r="LCM11" s="392"/>
      <c r="LCN11" s="392"/>
      <c r="LCO11" s="392"/>
      <c r="LCP11" s="392"/>
      <c r="LCQ11" s="392"/>
      <c r="LCR11" s="392"/>
      <c r="LCS11" s="392"/>
      <c r="LCT11" s="392"/>
      <c r="LCU11" s="392"/>
      <c r="LCV11" s="392"/>
      <c r="LCW11" s="392"/>
      <c r="LCX11" s="392"/>
      <c r="LCY11" s="392"/>
      <c r="LCZ11" s="392"/>
      <c r="LDA11" s="392"/>
      <c r="LDB11" s="392"/>
      <c r="LDC11" s="392"/>
      <c r="LDD11" s="392"/>
      <c r="LDE11" s="392"/>
      <c r="LDF11" s="392"/>
      <c r="LDG11" s="392"/>
      <c r="LDH11" s="392"/>
      <c r="LDI11" s="392"/>
      <c r="LDJ11" s="392"/>
      <c r="LDK11" s="392"/>
      <c r="LDL11" s="392"/>
      <c r="LDM11" s="392"/>
      <c r="LDN11" s="392"/>
      <c r="LDO11" s="392"/>
      <c r="LDP11" s="392"/>
      <c r="LDQ11" s="392"/>
      <c r="LDR11" s="392"/>
      <c r="LDS11" s="392"/>
      <c r="LDT11" s="392"/>
      <c r="LDU11" s="392"/>
      <c r="LDV11" s="392"/>
      <c r="LDW11" s="392"/>
      <c r="LDX11" s="392"/>
      <c r="LDY11" s="392"/>
      <c r="LDZ11" s="392"/>
      <c r="LEA11" s="392"/>
      <c r="LEB11" s="392"/>
      <c r="LEC11" s="392"/>
      <c r="LED11" s="392"/>
      <c r="LEE11" s="392"/>
      <c r="LEF11" s="392"/>
      <c r="LEG11" s="392"/>
      <c r="LEH11" s="392"/>
      <c r="LEI11" s="392"/>
      <c r="LEJ11" s="392"/>
      <c r="LEK11" s="392"/>
      <c r="LEL11" s="392"/>
      <c r="LEM11" s="392"/>
      <c r="LEN11" s="392"/>
      <c r="LEO11" s="392"/>
      <c r="LEP11" s="392"/>
      <c r="LEQ11" s="392"/>
      <c r="LER11" s="392"/>
      <c r="LES11" s="392"/>
      <c r="LET11" s="392"/>
      <c r="LEU11" s="392"/>
      <c r="LEV11" s="392"/>
      <c r="LEW11" s="392"/>
      <c r="LEX11" s="392"/>
      <c r="LEY11" s="392"/>
      <c r="LEZ11" s="392"/>
      <c r="LFA11" s="392"/>
      <c r="LFB11" s="392"/>
      <c r="LFC11" s="392"/>
      <c r="LFD11" s="392"/>
      <c r="LFE11" s="392"/>
      <c r="LFF11" s="392"/>
      <c r="LFG11" s="392"/>
      <c r="LFH11" s="392"/>
      <c r="LFI11" s="392"/>
      <c r="LFJ11" s="392"/>
      <c r="LFK11" s="392"/>
      <c r="LFL11" s="392"/>
      <c r="LFM11" s="392"/>
      <c r="LFN11" s="392"/>
      <c r="LFO11" s="392"/>
      <c r="LFP11" s="392"/>
      <c r="LFQ11" s="392"/>
      <c r="LFR11" s="392"/>
      <c r="LFS11" s="392"/>
      <c r="LFT11" s="392"/>
      <c r="LFU11" s="392"/>
      <c r="LFV11" s="392"/>
      <c r="LFW11" s="392"/>
      <c r="LFX11" s="392"/>
      <c r="LFY11" s="392"/>
      <c r="LFZ11" s="392"/>
      <c r="LGA11" s="392"/>
      <c r="LGB11" s="392"/>
      <c r="LGC11" s="392"/>
      <c r="LGD11" s="392"/>
      <c r="LGE11" s="392"/>
      <c r="LGF11" s="392"/>
      <c r="LGG11" s="392"/>
      <c r="LGH11" s="392"/>
      <c r="LGI11" s="392"/>
      <c r="LGJ11" s="392"/>
      <c r="LGK11" s="392"/>
      <c r="LGL11" s="392"/>
      <c r="LGM11" s="392"/>
      <c r="LGN11" s="392"/>
      <c r="LGO11" s="392"/>
      <c r="LGP11" s="392"/>
      <c r="LGQ11" s="392"/>
      <c r="LGR11" s="392"/>
      <c r="LGS11" s="392"/>
      <c r="LGT11" s="392"/>
      <c r="LGU11" s="392"/>
      <c r="LGV11" s="392"/>
      <c r="LGW11" s="392"/>
      <c r="LGX11" s="392"/>
      <c r="LGY11" s="392"/>
      <c r="LGZ11" s="392"/>
      <c r="LHA11" s="392"/>
      <c r="LHB11" s="392"/>
      <c r="LHC11" s="392"/>
      <c r="LHD11" s="392"/>
      <c r="LHE11" s="392"/>
      <c r="LHF11" s="392"/>
      <c r="LHG11" s="392"/>
      <c r="LHH11" s="392"/>
      <c r="LHI11" s="392"/>
      <c r="LHJ11" s="392"/>
      <c r="LHK11" s="392"/>
      <c r="LHL11" s="392"/>
      <c r="LHM11" s="392"/>
      <c r="LHN11" s="392"/>
      <c r="LHO11" s="392"/>
      <c r="LHP11" s="392"/>
      <c r="LHQ11" s="392"/>
      <c r="LHR11" s="392"/>
      <c r="LHS11" s="392"/>
      <c r="LHT11" s="392"/>
      <c r="LHU11" s="392"/>
      <c r="LHV11" s="392"/>
      <c r="LHW11" s="392"/>
      <c r="LHX11" s="392"/>
      <c r="LHY11" s="392"/>
      <c r="LHZ11" s="392"/>
      <c r="LIA11" s="392"/>
      <c r="LIB11" s="392"/>
      <c r="LIC11" s="392"/>
      <c r="LID11" s="392"/>
      <c r="LIE11" s="392"/>
      <c r="LIF11" s="392"/>
      <c r="LIG11" s="392"/>
      <c r="LIH11" s="392"/>
      <c r="LII11" s="392"/>
      <c r="LIJ11" s="392"/>
      <c r="LIK11" s="392"/>
      <c r="LIL11" s="392"/>
      <c r="LIM11" s="392"/>
      <c r="LIN11" s="392"/>
      <c r="LIO11" s="392"/>
      <c r="LIP11" s="392"/>
      <c r="LIQ11" s="392"/>
      <c r="LIR11" s="392"/>
      <c r="LIS11" s="392"/>
      <c r="LIT11" s="392"/>
      <c r="LIU11" s="392"/>
      <c r="LIV11" s="392"/>
      <c r="LIW11" s="392"/>
      <c r="LIX11" s="392"/>
      <c r="LIY11" s="392"/>
      <c r="LIZ11" s="392"/>
      <c r="LJA11" s="392"/>
      <c r="LJB11" s="392"/>
      <c r="LJC11" s="392"/>
      <c r="LJD11" s="392"/>
      <c r="LJE11" s="392"/>
      <c r="LJF11" s="392"/>
      <c r="LJG11" s="392"/>
      <c r="LJH11" s="392"/>
      <c r="LJI11" s="392"/>
      <c r="LJJ11" s="392"/>
      <c r="LJK11" s="392"/>
      <c r="LJL11" s="392"/>
      <c r="LJM11" s="392"/>
      <c r="LJN11" s="392"/>
      <c r="LJO11" s="392"/>
      <c r="LJP11" s="392"/>
      <c r="LJQ11" s="392"/>
      <c r="LJR11" s="392"/>
      <c r="LJS11" s="392"/>
      <c r="LJT11" s="392"/>
      <c r="LJU11" s="392"/>
      <c r="LJV11" s="392"/>
      <c r="LJW11" s="392"/>
      <c r="LJX11" s="392"/>
      <c r="LJY11" s="392"/>
      <c r="LJZ11" s="392"/>
      <c r="LKA11" s="392"/>
      <c r="LKB11" s="392"/>
      <c r="LKC11" s="392"/>
      <c r="LKD11" s="392"/>
      <c r="LKE11" s="392"/>
      <c r="LKF11" s="392"/>
      <c r="LKG11" s="392"/>
      <c r="LKH11" s="392"/>
      <c r="LKI11" s="392"/>
      <c r="LKJ11" s="392"/>
      <c r="LKK11" s="392"/>
      <c r="LKL11" s="392"/>
      <c r="LKM11" s="392"/>
      <c r="LKN11" s="392"/>
      <c r="LKO11" s="392"/>
      <c r="LKP11" s="392"/>
      <c r="LKQ11" s="392"/>
      <c r="LKR11" s="392"/>
      <c r="LKS11" s="392"/>
      <c r="LKT11" s="392"/>
      <c r="LKU11" s="392"/>
      <c r="LKV11" s="392"/>
      <c r="LKW11" s="392"/>
      <c r="LKX11" s="392"/>
      <c r="LKY11" s="392"/>
      <c r="LKZ11" s="392"/>
      <c r="LLA11" s="392"/>
      <c r="LLB11" s="392"/>
      <c r="LLC11" s="392"/>
      <c r="LLD11" s="392"/>
      <c r="LLE11" s="392"/>
      <c r="LLF11" s="392"/>
      <c r="LLG11" s="392"/>
      <c r="LLH11" s="392"/>
      <c r="LLI11" s="392"/>
      <c r="LLJ11" s="392"/>
      <c r="LLK11" s="392"/>
      <c r="LLL11" s="392"/>
      <c r="LLM11" s="392"/>
      <c r="LLN11" s="392"/>
      <c r="LLO11" s="392"/>
      <c r="LLP11" s="392"/>
      <c r="LLQ11" s="392"/>
      <c r="LLR11" s="392"/>
      <c r="LLS11" s="392"/>
      <c r="LLT11" s="392"/>
      <c r="LLU11" s="392"/>
      <c r="LLV11" s="392"/>
      <c r="LLW11" s="392"/>
      <c r="LLX11" s="392"/>
      <c r="LLY11" s="392"/>
      <c r="LLZ11" s="392"/>
      <c r="LMA11" s="392"/>
      <c r="LMB11" s="392"/>
      <c r="LMC11" s="392"/>
      <c r="LMD11" s="392"/>
      <c r="LME11" s="392"/>
      <c r="LMF11" s="392"/>
      <c r="LMG11" s="392"/>
      <c r="LMH11" s="392"/>
      <c r="LMI11" s="392"/>
      <c r="LMJ11" s="392"/>
      <c r="LMK11" s="392"/>
      <c r="LML11" s="392"/>
      <c r="LMM11" s="392"/>
      <c r="LMN11" s="392"/>
      <c r="LMO11" s="392"/>
      <c r="LMP11" s="392"/>
      <c r="LMQ11" s="392"/>
      <c r="LMR11" s="392"/>
      <c r="LMS11" s="392"/>
      <c r="LMT11" s="392"/>
      <c r="LMU11" s="392"/>
      <c r="LMV11" s="392"/>
      <c r="LMW11" s="392"/>
      <c r="LMX11" s="392"/>
      <c r="LMY11" s="392"/>
      <c r="LMZ11" s="392"/>
      <c r="LNA11" s="392"/>
      <c r="LNB11" s="392"/>
      <c r="LNC11" s="392"/>
      <c r="LND11" s="392"/>
      <c r="LNE11" s="392"/>
      <c r="LNF11" s="392"/>
      <c r="LNG11" s="392"/>
      <c r="LNH11" s="392"/>
      <c r="LNI11" s="392"/>
      <c r="LNJ11" s="392"/>
      <c r="LNK11" s="392"/>
      <c r="LNL11" s="392"/>
      <c r="LNM11" s="392"/>
      <c r="LNN11" s="392"/>
      <c r="LNO11" s="392"/>
      <c r="LNP11" s="392"/>
      <c r="LNQ11" s="392"/>
      <c r="LNR11" s="392"/>
      <c r="LNS11" s="392"/>
      <c r="LNT11" s="392"/>
      <c r="LNU11" s="392"/>
      <c r="LNV11" s="392"/>
      <c r="LNW11" s="392"/>
      <c r="LNX11" s="392"/>
      <c r="LNY11" s="392"/>
      <c r="LNZ11" s="392"/>
      <c r="LOA11" s="392"/>
      <c r="LOB11" s="392"/>
      <c r="LOC11" s="392"/>
      <c r="LOD11" s="392"/>
      <c r="LOE11" s="392"/>
      <c r="LOF11" s="392"/>
      <c r="LOG11" s="392"/>
      <c r="LOH11" s="392"/>
      <c r="LOI11" s="392"/>
      <c r="LOJ11" s="392"/>
      <c r="LOK11" s="392"/>
      <c r="LOL11" s="392"/>
      <c r="LOM11" s="392"/>
      <c r="LON11" s="392"/>
      <c r="LOO11" s="392"/>
      <c r="LOP11" s="392"/>
      <c r="LOQ11" s="392"/>
      <c r="LOR11" s="392"/>
      <c r="LOS11" s="392"/>
      <c r="LOT11" s="392"/>
      <c r="LOU11" s="392"/>
      <c r="LOV11" s="392"/>
      <c r="LOW11" s="392"/>
      <c r="LOX11" s="392"/>
      <c r="LOY11" s="392"/>
      <c r="LOZ11" s="392"/>
      <c r="LPA11" s="392"/>
      <c r="LPB11" s="392"/>
      <c r="LPC11" s="392"/>
      <c r="LPD11" s="392"/>
      <c r="LPE11" s="392"/>
      <c r="LPF11" s="392"/>
      <c r="LPG11" s="392"/>
      <c r="LPH11" s="392"/>
      <c r="LPI11" s="392"/>
      <c r="LPJ11" s="392"/>
      <c r="LPK11" s="392"/>
      <c r="LPL11" s="392"/>
      <c r="LPM11" s="392"/>
      <c r="LPN11" s="392"/>
      <c r="LPO11" s="392"/>
      <c r="LPP11" s="392"/>
      <c r="LPQ11" s="392"/>
      <c r="LPR11" s="392"/>
      <c r="LPS11" s="392"/>
      <c r="LPT11" s="392"/>
      <c r="LPU11" s="392"/>
      <c r="LPV11" s="392"/>
      <c r="LPW11" s="392"/>
      <c r="LPX11" s="392"/>
      <c r="LPY11" s="392"/>
      <c r="LPZ11" s="392"/>
      <c r="LQA11" s="392"/>
      <c r="LQB11" s="392"/>
      <c r="LQC11" s="392"/>
      <c r="LQD11" s="392"/>
      <c r="LQE11" s="392"/>
      <c r="LQF11" s="392"/>
      <c r="LQG11" s="392"/>
      <c r="LQH11" s="392"/>
      <c r="LQI11" s="392"/>
      <c r="LQJ11" s="392"/>
      <c r="LQK11" s="392"/>
      <c r="LQL11" s="392"/>
      <c r="LQM11" s="392"/>
      <c r="LQN11" s="392"/>
      <c r="LQO11" s="392"/>
      <c r="LQP11" s="392"/>
      <c r="LQQ11" s="392"/>
      <c r="LQR11" s="392"/>
      <c r="LQS11" s="392"/>
      <c r="LQT11" s="392"/>
      <c r="LQU11" s="392"/>
      <c r="LQV11" s="392"/>
      <c r="LQW11" s="392"/>
      <c r="LQX11" s="392"/>
      <c r="LQY11" s="392"/>
      <c r="LQZ11" s="392"/>
      <c r="LRA11" s="392"/>
      <c r="LRB11" s="392"/>
      <c r="LRC11" s="392"/>
      <c r="LRD11" s="392"/>
      <c r="LRE11" s="392"/>
      <c r="LRF11" s="392"/>
      <c r="LRG11" s="392"/>
      <c r="LRH11" s="392"/>
      <c r="LRI11" s="392"/>
      <c r="LRJ11" s="392"/>
      <c r="LRK11" s="392"/>
      <c r="LRL11" s="392"/>
      <c r="LRM11" s="392"/>
      <c r="LRN11" s="392"/>
      <c r="LRO11" s="392"/>
      <c r="LRP11" s="392"/>
      <c r="LRQ11" s="392"/>
      <c r="LRR11" s="392"/>
      <c r="LRS11" s="392"/>
      <c r="LRT11" s="392"/>
      <c r="LRU11" s="392"/>
      <c r="LRV11" s="392"/>
      <c r="LRW11" s="392"/>
      <c r="LRX11" s="392"/>
      <c r="LRY11" s="392"/>
      <c r="LRZ11" s="392"/>
      <c r="LSA11" s="392"/>
      <c r="LSB11" s="392"/>
      <c r="LSC11" s="392"/>
      <c r="LSD11" s="392"/>
      <c r="LSE11" s="392"/>
      <c r="LSF11" s="392"/>
      <c r="LSG11" s="392"/>
      <c r="LSH11" s="392"/>
      <c r="LSI11" s="392"/>
      <c r="LSJ11" s="392"/>
      <c r="LSK11" s="392"/>
      <c r="LSL11" s="392"/>
      <c r="LSM11" s="392"/>
      <c r="LSN11" s="392"/>
      <c r="LSO11" s="392"/>
      <c r="LSP11" s="392"/>
      <c r="LSQ11" s="392"/>
      <c r="LSR11" s="392"/>
      <c r="LSS11" s="392"/>
      <c r="LST11" s="392"/>
      <c r="LSU11" s="392"/>
      <c r="LSV11" s="392"/>
      <c r="LSW11" s="392"/>
      <c r="LSX11" s="392"/>
      <c r="LSY11" s="392"/>
      <c r="LSZ11" s="392"/>
      <c r="LTA11" s="392"/>
      <c r="LTB11" s="392"/>
      <c r="LTC11" s="392"/>
      <c r="LTD11" s="392"/>
      <c r="LTE11" s="392"/>
      <c r="LTF11" s="392"/>
      <c r="LTG11" s="392"/>
      <c r="LTH11" s="392"/>
      <c r="LTI11" s="392"/>
      <c r="LTJ11" s="392"/>
      <c r="LTK11" s="392"/>
      <c r="LTL11" s="392"/>
      <c r="LTM11" s="392"/>
      <c r="LTN11" s="392"/>
      <c r="LTO11" s="392"/>
      <c r="LTP11" s="392"/>
      <c r="LTQ11" s="392"/>
      <c r="LTR11" s="392"/>
      <c r="LTS11" s="392"/>
      <c r="LTT11" s="392"/>
      <c r="LTU11" s="392"/>
      <c r="LTV11" s="392"/>
      <c r="LTW11" s="392"/>
      <c r="LTX11" s="392"/>
      <c r="LTY11" s="392"/>
      <c r="LTZ11" s="392"/>
      <c r="LUA11" s="392"/>
      <c r="LUB11" s="392"/>
      <c r="LUC11" s="392"/>
      <c r="LUD11" s="392"/>
      <c r="LUE11" s="392"/>
      <c r="LUF11" s="392"/>
      <c r="LUG11" s="392"/>
      <c r="LUH11" s="392"/>
      <c r="LUI11" s="392"/>
      <c r="LUJ11" s="392"/>
      <c r="LUK11" s="392"/>
      <c r="LUL11" s="392"/>
      <c r="LUM11" s="392"/>
      <c r="LUN11" s="392"/>
      <c r="LUO11" s="392"/>
      <c r="LUP11" s="392"/>
      <c r="LUQ11" s="392"/>
      <c r="LUR11" s="392"/>
      <c r="LUS11" s="392"/>
      <c r="LUT11" s="392"/>
      <c r="LUU11" s="392"/>
      <c r="LUV11" s="392"/>
      <c r="LUW11" s="392"/>
      <c r="LUX11" s="392"/>
      <c r="LUY11" s="392"/>
      <c r="LUZ11" s="392"/>
      <c r="LVA11" s="392"/>
      <c r="LVB11" s="392"/>
      <c r="LVC11" s="392"/>
      <c r="LVD11" s="392"/>
      <c r="LVE11" s="392"/>
      <c r="LVF11" s="392"/>
      <c r="LVG11" s="392"/>
      <c r="LVH11" s="392"/>
      <c r="LVI11" s="392"/>
      <c r="LVJ11" s="392"/>
      <c r="LVK11" s="392"/>
      <c r="LVL11" s="392"/>
      <c r="LVM11" s="392"/>
      <c r="LVN11" s="392"/>
      <c r="LVO11" s="392"/>
      <c r="LVP11" s="392"/>
      <c r="LVQ11" s="392"/>
      <c r="LVR11" s="392"/>
      <c r="LVS11" s="392"/>
      <c r="LVT11" s="392"/>
      <c r="LVU11" s="392"/>
      <c r="LVV11" s="392"/>
      <c r="LVW11" s="392"/>
      <c r="LVX11" s="392"/>
      <c r="LVY11" s="392"/>
      <c r="LVZ11" s="392"/>
      <c r="LWA11" s="392"/>
      <c r="LWB11" s="392"/>
      <c r="LWC11" s="392"/>
      <c r="LWD11" s="392"/>
      <c r="LWE11" s="392"/>
      <c r="LWF11" s="392"/>
      <c r="LWG11" s="392"/>
      <c r="LWH11" s="392"/>
      <c r="LWI11" s="392"/>
      <c r="LWJ11" s="392"/>
      <c r="LWK11" s="392"/>
      <c r="LWL11" s="392"/>
      <c r="LWM11" s="392"/>
      <c r="LWN11" s="392"/>
      <c r="LWO11" s="392"/>
      <c r="LWP11" s="392"/>
      <c r="LWQ11" s="392"/>
      <c r="LWR11" s="392"/>
      <c r="LWS11" s="392"/>
      <c r="LWT11" s="392"/>
      <c r="LWU11" s="392"/>
      <c r="LWV11" s="392"/>
      <c r="LWW11" s="392"/>
      <c r="LWX11" s="392"/>
      <c r="LWY11" s="392"/>
      <c r="LWZ11" s="392"/>
      <c r="LXA11" s="392"/>
      <c r="LXB11" s="392"/>
      <c r="LXC11" s="392"/>
      <c r="LXD11" s="392"/>
      <c r="LXE11" s="392"/>
      <c r="LXF11" s="392"/>
      <c r="LXG11" s="392"/>
      <c r="LXH11" s="392"/>
      <c r="LXI11" s="392"/>
      <c r="LXJ11" s="392"/>
      <c r="LXK11" s="392"/>
      <c r="LXL11" s="392"/>
      <c r="LXM11" s="392"/>
      <c r="LXN11" s="392"/>
      <c r="LXO11" s="392"/>
      <c r="LXP11" s="392"/>
      <c r="LXQ11" s="392"/>
      <c r="LXR11" s="392"/>
      <c r="LXS11" s="392"/>
      <c r="LXT11" s="392"/>
      <c r="LXU11" s="392"/>
      <c r="LXV11" s="392"/>
      <c r="LXW11" s="392"/>
      <c r="LXX11" s="392"/>
      <c r="LXY11" s="392"/>
      <c r="LXZ11" s="392"/>
      <c r="LYA11" s="392"/>
      <c r="LYB11" s="392"/>
      <c r="LYC11" s="392"/>
      <c r="LYD11" s="392"/>
      <c r="LYE11" s="392"/>
      <c r="LYF11" s="392"/>
      <c r="LYG11" s="392"/>
      <c r="LYH11" s="392"/>
      <c r="LYI11" s="392"/>
      <c r="LYJ11" s="392"/>
      <c r="LYK11" s="392"/>
      <c r="LYL11" s="392"/>
      <c r="LYM11" s="392"/>
      <c r="LYN11" s="392"/>
      <c r="LYO11" s="392"/>
      <c r="LYP11" s="392"/>
      <c r="LYQ11" s="392"/>
      <c r="LYR11" s="392"/>
      <c r="LYS11" s="392"/>
      <c r="LYT11" s="392"/>
      <c r="LYU11" s="392"/>
      <c r="LYV11" s="392"/>
      <c r="LYW11" s="392"/>
      <c r="LYX11" s="392"/>
      <c r="LYY11" s="392"/>
      <c r="LYZ11" s="392"/>
      <c r="LZA11" s="392"/>
      <c r="LZB11" s="392"/>
      <c r="LZC11" s="392"/>
      <c r="LZD11" s="392"/>
      <c r="LZE11" s="392"/>
      <c r="LZF11" s="392"/>
      <c r="LZG11" s="392"/>
      <c r="LZH11" s="392"/>
      <c r="LZI11" s="392"/>
      <c r="LZJ11" s="392"/>
      <c r="LZK11" s="392"/>
      <c r="LZL11" s="392"/>
      <c r="LZM11" s="392"/>
      <c r="LZN11" s="392"/>
      <c r="LZO11" s="392"/>
      <c r="LZP11" s="392"/>
      <c r="LZQ11" s="392"/>
      <c r="LZR11" s="392"/>
      <c r="LZS11" s="392"/>
      <c r="LZT11" s="392"/>
      <c r="LZU11" s="392"/>
      <c r="LZV11" s="392"/>
      <c r="LZW11" s="392"/>
      <c r="LZX11" s="392"/>
      <c r="LZY11" s="392"/>
      <c r="LZZ11" s="392"/>
      <c r="MAA11" s="392"/>
      <c r="MAB11" s="392"/>
      <c r="MAC11" s="392"/>
      <c r="MAD11" s="392"/>
      <c r="MAE11" s="392"/>
      <c r="MAF11" s="392"/>
      <c r="MAG11" s="392"/>
      <c r="MAH11" s="392"/>
      <c r="MAI11" s="392"/>
      <c r="MAJ11" s="392"/>
      <c r="MAK11" s="392"/>
      <c r="MAL11" s="392"/>
      <c r="MAM11" s="392"/>
      <c r="MAN11" s="392"/>
      <c r="MAO11" s="392"/>
      <c r="MAP11" s="392"/>
      <c r="MAQ11" s="392"/>
      <c r="MAR11" s="392"/>
      <c r="MAS11" s="392"/>
      <c r="MAT11" s="392"/>
      <c r="MAU11" s="392"/>
      <c r="MAV11" s="392"/>
      <c r="MAW11" s="392"/>
      <c r="MAX11" s="392"/>
      <c r="MAY11" s="392"/>
      <c r="MAZ11" s="392"/>
      <c r="MBA11" s="392"/>
      <c r="MBB11" s="392"/>
      <c r="MBC11" s="392"/>
      <c r="MBD11" s="392"/>
      <c r="MBE11" s="392"/>
      <c r="MBF11" s="392"/>
      <c r="MBG11" s="392"/>
      <c r="MBH11" s="392"/>
      <c r="MBI11" s="392"/>
      <c r="MBJ11" s="392"/>
      <c r="MBK11" s="392"/>
      <c r="MBL11" s="392"/>
      <c r="MBM11" s="392"/>
      <c r="MBN11" s="392"/>
      <c r="MBO11" s="392"/>
      <c r="MBP11" s="392"/>
      <c r="MBQ11" s="392"/>
      <c r="MBR11" s="392"/>
      <c r="MBS11" s="392"/>
      <c r="MBT11" s="392"/>
      <c r="MBU11" s="392"/>
      <c r="MBV11" s="392"/>
      <c r="MBW11" s="392"/>
      <c r="MBX11" s="392"/>
      <c r="MBY11" s="392"/>
      <c r="MBZ11" s="392"/>
      <c r="MCA11" s="392"/>
      <c r="MCB11" s="392"/>
      <c r="MCC11" s="392"/>
      <c r="MCD11" s="392"/>
      <c r="MCE11" s="392"/>
      <c r="MCF11" s="392"/>
      <c r="MCG11" s="392"/>
      <c r="MCH11" s="392"/>
      <c r="MCI11" s="392"/>
      <c r="MCJ11" s="392"/>
      <c r="MCK11" s="392"/>
      <c r="MCL11" s="392"/>
      <c r="MCM11" s="392"/>
      <c r="MCN11" s="392"/>
      <c r="MCO11" s="392"/>
      <c r="MCP11" s="392"/>
      <c r="MCQ11" s="392"/>
      <c r="MCR11" s="392"/>
      <c r="MCS11" s="392"/>
      <c r="MCT11" s="392"/>
      <c r="MCU11" s="392"/>
      <c r="MCV11" s="392"/>
      <c r="MCW11" s="392"/>
      <c r="MCX11" s="392"/>
      <c r="MCY11" s="392"/>
      <c r="MCZ11" s="392"/>
      <c r="MDA11" s="392"/>
      <c r="MDB11" s="392"/>
      <c r="MDC11" s="392"/>
      <c r="MDD11" s="392"/>
      <c r="MDE11" s="392"/>
      <c r="MDF11" s="392"/>
      <c r="MDG11" s="392"/>
      <c r="MDH11" s="392"/>
      <c r="MDI11" s="392"/>
      <c r="MDJ11" s="392"/>
      <c r="MDK11" s="392"/>
      <c r="MDL11" s="392"/>
      <c r="MDM11" s="392"/>
      <c r="MDN11" s="392"/>
      <c r="MDO11" s="392"/>
      <c r="MDP11" s="392"/>
      <c r="MDQ11" s="392"/>
      <c r="MDR11" s="392"/>
      <c r="MDS11" s="392"/>
      <c r="MDT11" s="392"/>
      <c r="MDU11" s="392"/>
      <c r="MDV11" s="392"/>
      <c r="MDW11" s="392"/>
      <c r="MDX11" s="392"/>
      <c r="MDY11" s="392"/>
      <c r="MDZ11" s="392"/>
      <c r="MEA11" s="392"/>
      <c r="MEB11" s="392"/>
      <c r="MEC11" s="392"/>
      <c r="MED11" s="392"/>
      <c r="MEE11" s="392"/>
      <c r="MEF11" s="392"/>
      <c r="MEG11" s="392"/>
      <c r="MEH11" s="392"/>
      <c r="MEI11" s="392"/>
      <c r="MEJ11" s="392"/>
      <c r="MEK11" s="392"/>
      <c r="MEL11" s="392"/>
      <c r="MEM11" s="392"/>
      <c r="MEN11" s="392"/>
      <c r="MEO11" s="392"/>
      <c r="MEP11" s="392"/>
      <c r="MEQ11" s="392"/>
      <c r="MER11" s="392"/>
      <c r="MES11" s="392"/>
      <c r="MET11" s="392"/>
      <c r="MEU11" s="392"/>
      <c r="MEV11" s="392"/>
      <c r="MEW11" s="392"/>
      <c r="MEX11" s="392"/>
      <c r="MEY11" s="392"/>
      <c r="MEZ11" s="392"/>
      <c r="MFA11" s="392"/>
      <c r="MFB11" s="392"/>
      <c r="MFC11" s="392"/>
      <c r="MFD11" s="392"/>
      <c r="MFE11" s="392"/>
      <c r="MFF11" s="392"/>
      <c r="MFG11" s="392"/>
      <c r="MFH11" s="392"/>
      <c r="MFI11" s="392"/>
      <c r="MFJ11" s="392"/>
      <c r="MFK11" s="392"/>
      <c r="MFL11" s="392"/>
      <c r="MFM11" s="392"/>
      <c r="MFN11" s="392"/>
      <c r="MFO11" s="392"/>
      <c r="MFP11" s="392"/>
      <c r="MFQ11" s="392"/>
      <c r="MFR11" s="392"/>
      <c r="MFS11" s="392"/>
      <c r="MFT11" s="392"/>
      <c r="MFU11" s="392"/>
      <c r="MFV11" s="392"/>
      <c r="MFW11" s="392"/>
      <c r="MFX11" s="392"/>
      <c r="MFY11" s="392"/>
      <c r="MFZ11" s="392"/>
      <c r="MGA11" s="392"/>
      <c r="MGB11" s="392"/>
      <c r="MGC11" s="392"/>
      <c r="MGD11" s="392"/>
      <c r="MGE11" s="392"/>
      <c r="MGF11" s="392"/>
      <c r="MGG11" s="392"/>
      <c r="MGH11" s="392"/>
      <c r="MGI11" s="392"/>
      <c r="MGJ11" s="392"/>
      <c r="MGK11" s="392"/>
      <c r="MGL11" s="392"/>
      <c r="MGM11" s="392"/>
      <c r="MGN11" s="392"/>
      <c r="MGO11" s="392"/>
      <c r="MGP11" s="392"/>
      <c r="MGQ11" s="392"/>
      <c r="MGR11" s="392"/>
      <c r="MGS11" s="392"/>
      <c r="MGT11" s="392"/>
      <c r="MGU11" s="392"/>
      <c r="MGV11" s="392"/>
      <c r="MGW11" s="392"/>
      <c r="MGX11" s="392"/>
      <c r="MGY11" s="392"/>
      <c r="MGZ11" s="392"/>
      <c r="MHA11" s="392"/>
      <c r="MHB11" s="392"/>
      <c r="MHC11" s="392"/>
      <c r="MHD11" s="392"/>
      <c r="MHE11" s="392"/>
      <c r="MHF11" s="392"/>
      <c r="MHG11" s="392"/>
      <c r="MHH11" s="392"/>
      <c r="MHI11" s="392"/>
      <c r="MHJ11" s="392"/>
      <c r="MHK11" s="392"/>
      <c r="MHL11" s="392"/>
      <c r="MHM11" s="392"/>
      <c r="MHN11" s="392"/>
      <c r="MHO11" s="392"/>
      <c r="MHP11" s="392"/>
      <c r="MHQ11" s="392"/>
      <c r="MHR11" s="392"/>
      <c r="MHS11" s="392"/>
      <c r="MHT11" s="392"/>
      <c r="MHU11" s="392"/>
      <c r="MHV11" s="392"/>
      <c r="MHW11" s="392"/>
      <c r="MHX11" s="392"/>
      <c r="MHY11" s="392"/>
      <c r="MHZ11" s="392"/>
      <c r="MIA11" s="392"/>
      <c r="MIB11" s="392"/>
      <c r="MIC11" s="392"/>
      <c r="MID11" s="392"/>
      <c r="MIE11" s="392"/>
      <c r="MIF11" s="392"/>
      <c r="MIG11" s="392"/>
      <c r="MIH11" s="392"/>
      <c r="MII11" s="392"/>
      <c r="MIJ11" s="392"/>
      <c r="MIK11" s="392"/>
      <c r="MIL11" s="392"/>
      <c r="MIM11" s="392"/>
      <c r="MIN11" s="392"/>
      <c r="MIO11" s="392"/>
      <c r="MIP11" s="392"/>
      <c r="MIQ11" s="392"/>
      <c r="MIR11" s="392"/>
      <c r="MIS11" s="392"/>
      <c r="MIT11" s="392"/>
      <c r="MIU11" s="392"/>
      <c r="MIV11" s="392"/>
      <c r="MIW11" s="392"/>
      <c r="MIX11" s="392"/>
      <c r="MIY11" s="392"/>
      <c r="MIZ11" s="392"/>
      <c r="MJA11" s="392"/>
      <c r="MJB11" s="392"/>
      <c r="MJC11" s="392"/>
      <c r="MJD11" s="392"/>
      <c r="MJE11" s="392"/>
      <c r="MJF11" s="392"/>
      <c r="MJG11" s="392"/>
      <c r="MJH11" s="392"/>
      <c r="MJI11" s="392"/>
      <c r="MJJ11" s="392"/>
      <c r="MJK11" s="392"/>
      <c r="MJL11" s="392"/>
      <c r="MJM11" s="392"/>
      <c r="MJN11" s="392"/>
      <c r="MJO11" s="392"/>
      <c r="MJP11" s="392"/>
      <c r="MJQ11" s="392"/>
      <c r="MJR11" s="392"/>
      <c r="MJS11" s="392"/>
      <c r="MJT11" s="392"/>
      <c r="MJU11" s="392"/>
      <c r="MJV11" s="392"/>
      <c r="MJW11" s="392"/>
      <c r="MJX11" s="392"/>
      <c r="MJY11" s="392"/>
      <c r="MJZ11" s="392"/>
      <c r="MKA11" s="392"/>
      <c r="MKB11" s="392"/>
      <c r="MKC11" s="392"/>
      <c r="MKD11" s="392"/>
      <c r="MKE11" s="392"/>
      <c r="MKF11" s="392"/>
      <c r="MKG11" s="392"/>
      <c r="MKH11" s="392"/>
      <c r="MKI11" s="392"/>
      <c r="MKJ11" s="392"/>
      <c r="MKK11" s="392"/>
      <c r="MKL11" s="392"/>
      <c r="MKM11" s="392"/>
      <c r="MKN11" s="392"/>
      <c r="MKO11" s="392"/>
      <c r="MKP11" s="392"/>
      <c r="MKQ11" s="392"/>
      <c r="MKR11" s="392"/>
      <c r="MKS11" s="392"/>
      <c r="MKT11" s="392"/>
      <c r="MKU11" s="392"/>
      <c r="MKV11" s="392"/>
      <c r="MKW11" s="392"/>
      <c r="MKX11" s="392"/>
      <c r="MKY11" s="392"/>
      <c r="MKZ11" s="392"/>
      <c r="MLA11" s="392"/>
      <c r="MLB11" s="392"/>
      <c r="MLC11" s="392"/>
      <c r="MLD11" s="392"/>
      <c r="MLE11" s="392"/>
      <c r="MLF11" s="392"/>
      <c r="MLG11" s="392"/>
      <c r="MLH11" s="392"/>
      <c r="MLI11" s="392"/>
      <c r="MLJ11" s="392"/>
      <c r="MLK11" s="392"/>
      <c r="MLL11" s="392"/>
      <c r="MLM11" s="392"/>
      <c r="MLN11" s="392"/>
      <c r="MLO11" s="392"/>
      <c r="MLP11" s="392"/>
      <c r="MLQ11" s="392"/>
      <c r="MLR11" s="392"/>
      <c r="MLS11" s="392"/>
      <c r="MLT11" s="392"/>
      <c r="MLU11" s="392"/>
      <c r="MLV11" s="392"/>
      <c r="MLW11" s="392"/>
      <c r="MLX11" s="392"/>
      <c r="MLY11" s="392"/>
      <c r="MLZ11" s="392"/>
      <c r="MMA11" s="392"/>
      <c r="MMB11" s="392"/>
      <c r="MMC11" s="392"/>
      <c r="MMD11" s="392"/>
      <c r="MME11" s="392"/>
      <c r="MMF11" s="392"/>
      <c r="MMG11" s="392"/>
      <c r="MMH11" s="392"/>
      <c r="MMI11" s="392"/>
      <c r="MMJ11" s="392"/>
      <c r="MMK11" s="392"/>
      <c r="MML11" s="392"/>
      <c r="MMM11" s="392"/>
      <c r="MMN11" s="392"/>
      <c r="MMO11" s="392"/>
      <c r="MMP11" s="392"/>
      <c r="MMQ11" s="392"/>
      <c r="MMR11" s="392"/>
      <c r="MMS11" s="392"/>
      <c r="MMT11" s="392"/>
      <c r="MMU11" s="392"/>
      <c r="MMV11" s="392"/>
      <c r="MMW11" s="392"/>
      <c r="MMX11" s="392"/>
      <c r="MMY11" s="392"/>
      <c r="MMZ11" s="392"/>
      <c r="MNA11" s="392"/>
      <c r="MNB11" s="392"/>
      <c r="MNC11" s="392"/>
      <c r="MND11" s="392"/>
      <c r="MNE11" s="392"/>
      <c r="MNF11" s="392"/>
      <c r="MNG11" s="392"/>
      <c r="MNH11" s="392"/>
      <c r="MNI11" s="392"/>
      <c r="MNJ11" s="392"/>
      <c r="MNK11" s="392"/>
      <c r="MNL11" s="392"/>
      <c r="MNM11" s="392"/>
      <c r="MNN11" s="392"/>
      <c r="MNO11" s="392"/>
      <c r="MNP11" s="392"/>
      <c r="MNQ11" s="392"/>
      <c r="MNR11" s="392"/>
      <c r="MNS11" s="392"/>
      <c r="MNT11" s="392"/>
      <c r="MNU11" s="392"/>
      <c r="MNV11" s="392"/>
      <c r="MNW11" s="392"/>
      <c r="MNX11" s="392"/>
      <c r="MNY11" s="392"/>
      <c r="MNZ11" s="392"/>
      <c r="MOA11" s="392"/>
      <c r="MOB11" s="392"/>
      <c r="MOC11" s="392"/>
      <c r="MOD11" s="392"/>
      <c r="MOE11" s="392"/>
      <c r="MOF11" s="392"/>
      <c r="MOG11" s="392"/>
      <c r="MOH11" s="392"/>
      <c r="MOI11" s="392"/>
      <c r="MOJ11" s="392"/>
      <c r="MOK11" s="392"/>
      <c r="MOL11" s="392"/>
      <c r="MOM11" s="392"/>
      <c r="MON11" s="392"/>
      <c r="MOO11" s="392"/>
      <c r="MOP11" s="392"/>
      <c r="MOQ11" s="392"/>
      <c r="MOR11" s="392"/>
      <c r="MOS11" s="392"/>
      <c r="MOT11" s="392"/>
      <c r="MOU11" s="392"/>
      <c r="MOV11" s="392"/>
      <c r="MOW11" s="392"/>
      <c r="MOX11" s="392"/>
      <c r="MOY11" s="392"/>
      <c r="MOZ11" s="392"/>
      <c r="MPA11" s="392"/>
      <c r="MPB11" s="392"/>
      <c r="MPC11" s="392"/>
      <c r="MPD11" s="392"/>
      <c r="MPE11" s="392"/>
      <c r="MPF11" s="392"/>
      <c r="MPG11" s="392"/>
      <c r="MPH11" s="392"/>
      <c r="MPI11" s="392"/>
      <c r="MPJ11" s="392"/>
      <c r="MPK11" s="392"/>
      <c r="MPL11" s="392"/>
      <c r="MPM11" s="392"/>
      <c r="MPN11" s="392"/>
      <c r="MPO11" s="392"/>
      <c r="MPP11" s="392"/>
      <c r="MPQ11" s="392"/>
      <c r="MPR11" s="392"/>
      <c r="MPS11" s="392"/>
      <c r="MPT11" s="392"/>
      <c r="MPU11" s="392"/>
      <c r="MPV11" s="392"/>
      <c r="MPW11" s="392"/>
      <c r="MPX11" s="392"/>
      <c r="MPY11" s="392"/>
      <c r="MPZ11" s="392"/>
      <c r="MQA11" s="392"/>
      <c r="MQB11" s="392"/>
      <c r="MQC11" s="392"/>
      <c r="MQD11" s="392"/>
      <c r="MQE11" s="392"/>
      <c r="MQF11" s="392"/>
      <c r="MQG11" s="392"/>
      <c r="MQH11" s="392"/>
      <c r="MQI11" s="392"/>
      <c r="MQJ11" s="392"/>
      <c r="MQK11" s="392"/>
      <c r="MQL11" s="392"/>
      <c r="MQM11" s="392"/>
      <c r="MQN11" s="392"/>
      <c r="MQO11" s="392"/>
      <c r="MQP11" s="392"/>
      <c r="MQQ11" s="392"/>
      <c r="MQR11" s="392"/>
      <c r="MQS11" s="392"/>
      <c r="MQT11" s="392"/>
      <c r="MQU11" s="392"/>
      <c r="MQV11" s="392"/>
      <c r="MQW11" s="392"/>
      <c r="MQX11" s="392"/>
      <c r="MQY11" s="392"/>
      <c r="MQZ11" s="392"/>
      <c r="MRA11" s="392"/>
      <c r="MRB11" s="392"/>
      <c r="MRC11" s="392"/>
      <c r="MRD11" s="392"/>
      <c r="MRE11" s="392"/>
      <c r="MRF11" s="392"/>
      <c r="MRG11" s="392"/>
      <c r="MRH11" s="392"/>
      <c r="MRI11" s="392"/>
      <c r="MRJ11" s="392"/>
      <c r="MRK11" s="392"/>
      <c r="MRL11" s="392"/>
      <c r="MRM11" s="392"/>
      <c r="MRN11" s="392"/>
      <c r="MRO11" s="392"/>
      <c r="MRP11" s="392"/>
      <c r="MRQ11" s="392"/>
      <c r="MRR11" s="392"/>
      <c r="MRS11" s="392"/>
      <c r="MRT11" s="392"/>
      <c r="MRU11" s="392"/>
      <c r="MRV11" s="392"/>
      <c r="MRW11" s="392"/>
      <c r="MRX11" s="392"/>
      <c r="MRY11" s="392"/>
      <c r="MRZ11" s="392"/>
      <c r="MSA11" s="392"/>
      <c r="MSB11" s="392"/>
      <c r="MSC11" s="392"/>
      <c r="MSD11" s="392"/>
      <c r="MSE11" s="392"/>
      <c r="MSF11" s="392"/>
      <c r="MSG11" s="392"/>
      <c r="MSH11" s="392"/>
      <c r="MSI11" s="392"/>
      <c r="MSJ11" s="392"/>
      <c r="MSK11" s="392"/>
      <c r="MSL11" s="392"/>
      <c r="MSM11" s="392"/>
      <c r="MSN11" s="392"/>
      <c r="MSO11" s="392"/>
      <c r="MSP11" s="392"/>
      <c r="MSQ11" s="392"/>
      <c r="MSR11" s="392"/>
      <c r="MSS11" s="392"/>
      <c r="MST11" s="392"/>
      <c r="MSU11" s="392"/>
      <c r="MSV11" s="392"/>
      <c r="MSW11" s="392"/>
      <c r="MSX11" s="392"/>
      <c r="MSY11" s="392"/>
      <c r="MSZ11" s="392"/>
      <c r="MTA11" s="392"/>
      <c r="MTB11" s="392"/>
      <c r="MTC11" s="392"/>
      <c r="MTD11" s="392"/>
      <c r="MTE11" s="392"/>
      <c r="MTF11" s="392"/>
      <c r="MTG11" s="392"/>
      <c r="MTH11" s="392"/>
      <c r="MTI11" s="392"/>
      <c r="MTJ11" s="392"/>
      <c r="MTK11" s="392"/>
      <c r="MTL11" s="392"/>
      <c r="MTM11" s="392"/>
      <c r="MTN11" s="392"/>
      <c r="MTO11" s="392"/>
      <c r="MTP11" s="392"/>
      <c r="MTQ11" s="392"/>
      <c r="MTR11" s="392"/>
      <c r="MTS11" s="392"/>
      <c r="MTT11" s="392"/>
      <c r="MTU11" s="392"/>
      <c r="MTV11" s="392"/>
      <c r="MTW11" s="392"/>
      <c r="MTX11" s="392"/>
      <c r="MTY11" s="392"/>
      <c r="MTZ11" s="392"/>
      <c r="MUA11" s="392"/>
      <c r="MUB11" s="392"/>
      <c r="MUC11" s="392"/>
      <c r="MUD11" s="392"/>
      <c r="MUE11" s="392"/>
      <c r="MUF11" s="392"/>
      <c r="MUG11" s="392"/>
      <c r="MUH11" s="392"/>
      <c r="MUI11" s="392"/>
      <c r="MUJ11" s="392"/>
      <c r="MUK11" s="392"/>
      <c r="MUL11" s="392"/>
      <c r="MUM11" s="392"/>
      <c r="MUN11" s="392"/>
      <c r="MUO11" s="392"/>
      <c r="MUP11" s="392"/>
      <c r="MUQ11" s="392"/>
      <c r="MUR11" s="392"/>
      <c r="MUS11" s="392"/>
      <c r="MUT11" s="392"/>
      <c r="MUU11" s="392"/>
      <c r="MUV11" s="392"/>
      <c r="MUW11" s="392"/>
      <c r="MUX11" s="392"/>
      <c r="MUY11" s="392"/>
      <c r="MUZ11" s="392"/>
      <c r="MVA11" s="392"/>
      <c r="MVB11" s="392"/>
      <c r="MVC11" s="392"/>
      <c r="MVD11" s="392"/>
      <c r="MVE11" s="392"/>
      <c r="MVF11" s="392"/>
      <c r="MVG11" s="392"/>
      <c r="MVH11" s="392"/>
      <c r="MVI11" s="392"/>
      <c r="MVJ11" s="392"/>
      <c r="MVK11" s="392"/>
      <c r="MVL11" s="392"/>
      <c r="MVM11" s="392"/>
      <c r="MVN11" s="392"/>
      <c r="MVO11" s="392"/>
      <c r="MVP11" s="392"/>
      <c r="MVQ11" s="392"/>
      <c r="MVR11" s="392"/>
      <c r="MVS11" s="392"/>
      <c r="MVT11" s="392"/>
      <c r="MVU11" s="392"/>
      <c r="MVV11" s="392"/>
      <c r="MVW11" s="392"/>
      <c r="MVX11" s="392"/>
      <c r="MVY11" s="392"/>
      <c r="MVZ11" s="392"/>
      <c r="MWA11" s="392"/>
      <c r="MWB11" s="392"/>
      <c r="MWC11" s="392"/>
      <c r="MWD11" s="392"/>
      <c r="MWE11" s="392"/>
      <c r="MWF11" s="392"/>
      <c r="MWG11" s="392"/>
      <c r="MWH11" s="392"/>
      <c r="MWI11" s="392"/>
      <c r="MWJ11" s="392"/>
      <c r="MWK11" s="392"/>
      <c r="MWL11" s="392"/>
      <c r="MWM11" s="392"/>
      <c r="MWN11" s="392"/>
      <c r="MWO11" s="392"/>
      <c r="MWP11" s="392"/>
      <c r="MWQ11" s="392"/>
      <c r="MWR11" s="392"/>
      <c r="MWS11" s="392"/>
      <c r="MWT11" s="392"/>
      <c r="MWU11" s="392"/>
      <c r="MWV11" s="392"/>
      <c r="MWW11" s="392"/>
      <c r="MWX11" s="392"/>
      <c r="MWY11" s="392"/>
      <c r="MWZ11" s="392"/>
      <c r="MXA11" s="392"/>
      <c r="MXB11" s="392"/>
      <c r="MXC11" s="392"/>
      <c r="MXD11" s="392"/>
      <c r="MXE11" s="392"/>
      <c r="MXF11" s="392"/>
      <c r="MXG11" s="392"/>
      <c r="MXH11" s="392"/>
      <c r="MXI11" s="392"/>
      <c r="MXJ11" s="392"/>
      <c r="MXK11" s="392"/>
      <c r="MXL11" s="392"/>
      <c r="MXM11" s="392"/>
      <c r="MXN11" s="392"/>
      <c r="MXO11" s="392"/>
      <c r="MXP11" s="392"/>
      <c r="MXQ11" s="392"/>
      <c r="MXR11" s="392"/>
      <c r="MXS11" s="392"/>
      <c r="MXT11" s="392"/>
      <c r="MXU11" s="392"/>
      <c r="MXV11" s="392"/>
      <c r="MXW11" s="392"/>
      <c r="MXX11" s="392"/>
      <c r="MXY11" s="392"/>
      <c r="MXZ11" s="392"/>
      <c r="MYA11" s="392"/>
      <c r="MYB11" s="392"/>
      <c r="MYC11" s="392"/>
      <c r="MYD11" s="392"/>
      <c r="MYE11" s="392"/>
      <c r="MYF11" s="392"/>
      <c r="MYG11" s="392"/>
      <c r="MYH11" s="392"/>
      <c r="MYI11" s="392"/>
      <c r="MYJ11" s="392"/>
      <c r="MYK11" s="392"/>
      <c r="MYL11" s="392"/>
      <c r="MYM11" s="392"/>
      <c r="MYN11" s="392"/>
      <c r="MYO11" s="392"/>
      <c r="MYP11" s="392"/>
      <c r="MYQ11" s="392"/>
      <c r="MYR11" s="392"/>
      <c r="MYS11" s="392"/>
      <c r="MYT11" s="392"/>
      <c r="MYU11" s="392"/>
      <c r="MYV11" s="392"/>
      <c r="MYW11" s="392"/>
      <c r="MYX11" s="392"/>
      <c r="MYY11" s="392"/>
      <c r="MYZ11" s="392"/>
      <c r="MZA11" s="392"/>
      <c r="MZB11" s="392"/>
      <c r="MZC11" s="392"/>
      <c r="MZD11" s="392"/>
      <c r="MZE11" s="392"/>
      <c r="MZF11" s="392"/>
      <c r="MZG11" s="392"/>
      <c r="MZH11" s="392"/>
      <c r="MZI11" s="392"/>
      <c r="MZJ11" s="392"/>
      <c r="MZK11" s="392"/>
      <c r="MZL11" s="392"/>
      <c r="MZM11" s="392"/>
      <c r="MZN11" s="392"/>
      <c r="MZO11" s="392"/>
      <c r="MZP11" s="392"/>
      <c r="MZQ11" s="392"/>
      <c r="MZR11" s="392"/>
      <c r="MZS11" s="392"/>
      <c r="MZT11" s="392"/>
      <c r="MZU11" s="392"/>
      <c r="MZV11" s="392"/>
      <c r="MZW11" s="392"/>
      <c r="MZX11" s="392"/>
      <c r="MZY11" s="392"/>
      <c r="MZZ11" s="392"/>
      <c r="NAA11" s="392"/>
      <c r="NAB11" s="392"/>
      <c r="NAC11" s="392"/>
      <c r="NAD11" s="392"/>
      <c r="NAE11" s="392"/>
      <c r="NAF11" s="392"/>
      <c r="NAG11" s="392"/>
      <c r="NAH11" s="392"/>
      <c r="NAI11" s="392"/>
      <c r="NAJ11" s="392"/>
      <c r="NAK11" s="392"/>
      <c r="NAL11" s="392"/>
      <c r="NAM11" s="392"/>
      <c r="NAN11" s="392"/>
      <c r="NAO11" s="392"/>
      <c r="NAP11" s="392"/>
      <c r="NAQ11" s="392"/>
      <c r="NAR11" s="392"/>
      <c r="NAS11" s="392"/>
      <c r="NAT11" s="392"/>
      <c r="NAU11" s="392"/>
      <c r="NAV11" s="392"/>
      <c r="NAW11" s="392"/>
      <c r="NAX11" s="392"/>
      <c r="NAY11" s="392"/>
      <c r="NAZ11" s="392"/>
      <c r="NBA11" s="392"/>
      <c r="NBB11" s="392"/>
      <c r="NBC11" s="392"/>
      <c r="NBD11" s="392"/>
      <c r="NBE11" s="392"/>
      <c r="NBF11" s="392"/>
      <c r="NBG11" s="392"/>
      <c r="NBH11" s="392"/>
      <c r="NBI11" s="392"/>
      <c r="NBJ11" s="392"/>
      <c r="NBK11" s="392"/>
      <c r="NBL11" s="392"/>
      <c r="NBM11" s="392"/>
      <c r="NBN11" s="392"/>
      <c r="NBO11" s="392"/>
      <c r="NBP11" s="392"/>
      <c r="NBQ11" s="392"/>
      <c r="NBR11" s="392"/>
      <c r="NBS11" s="392"/>
      <c r="NBT11" s="392"/>
      <c r="NBU11" s="392"/>
      <c r="NBV11" s="392"/>
      <c r="NBW11" s="392"/>
      <c r="NBX11" s="392"/>
      <c r="NBY11" s="392"/>
      <c r="NBZ11" s="392"/>
      <c r="NCA11" s="392"/>
      <c r="NCB11" s="392"/>
      <c r="NCC11" s="392"/>
      <c r="NCD11" s="392"/>
      <c r="NCE11" s="392"/>
      <c r="NCF11" s="392"/>
      <c r="NCG11" s="392"/>
      <c r="NCH11" s="392"/>
      <c r="NCI11" s="392"/>
      <c r="NCJ11" s="392"/>
      <c r="NCK11" s="392"/>
      <c r="NCL11" s="392"/>
      <c r="NCM11" s="392"/>
      <c r="NCN11" s="392"/>
      <c r="NCO11" s="392"/>
      <c r="NCP11" s="392"/>
      <c r="NCQ11" s="392"/>
      <c r="NCR11" s="392"/>
      <c r="NCS11" s="392"/>
      <c r="NCT11" s="392"/>
      <c r="NCU11" s="392"/>
      <c r="NCV11" s="392"/>
      <c r="NCW11" s="392"/>
      <c r="NCX11" s="392"/>
      <c r="NCY11" s="392"/>
      <c r="NCZ11" s="392"/>
      <c r="NDA11" s="392"/>
      <c r="NDB11" s="392"/>
      <c r="NDC11" s="392"/>
      <c r="NDD11" s="392"/>
      <c r="NDE11" s="392"/>
      <c r="NDF11" s="392"/>
      <c r="NDG11" s="392"/>
      <c r="NDH11" s="392"/>
      <c r="NDI11" s="392"/>
      <c r="NDJ11" s="392"/>
      <c r="NDK11" s="392"/>
      <c r="NDL11" s="392"/>
      <c r="NDM11" s="392"/>
      <c r="NDN11" s="392"/>
      <c r="NDO11" s="392"/>
      <c r="NDP11" s="392"/>
      <c r="NDQ11" s="392"/>
      <c r="NDR11" s="392"/>
      <c r="NDS11" s="392"/>
      <c r="NDT11" s="392"/>
      <c r="NDU11" s="392"/>
      <c r="NDV11" s="392"/>
      <c r="NDW11" s="392"/>
      <c r="NDX11" s="392"/>
      <c r="NDY11" s="392"/>
      <c r="NDZ11" s="392"/>
      <c r="NEA11" s="392"/>
      <c r="NEB11" s="392"/>
      <c r="NEC11" s="392"/>
      <c r="NED11" s="392"/>
      <c r="NEE11" s="392"/>
      <c r="NEF11" s="392"/>
      <c r="NEG11" s="392"/>
      <c r="NEH11" s="392"/>
      <c r="NEI11" s="392"/>
      <c r="NEJ11" s="392"/>
      <c r="NEK11" s="392"/>
      <c r="NEL11" s="392"/>
      <c r="NEM11" s="392"/>
      <c r="NEN11" s="392"/>
      <c r="NEO11" s="392"/>
      <c r="NEP11" s="392"/>
      <c r="NEQ11" s="392"/>
      <c r="NER11" s="392"/>
      <c r="NES11" s="392"/>
      <c r="NET11" s="392"/>
      <c r="NEU11" s="392"/>
      <c r="NEV11" s="392"/>
      <c r="NEW11" s="392"/>
      <c r="NEX11" s="392"/>
      <c r="NEY11" s="392"/>
      <c r="NEZ11" s="392"/>
      <c r="NFA11" s="392"/>
      <c r="NFB11" s="392"/>
      <c r="NFC11" s="392"/>
      <c r="NFD11" s="392"/>
      <c r="NFE11" s="392"/>
      <c r="NFF11" s="392"/>
      <c r="NFG11" s="392"/>
      <c r="NFH11" s="392"/>
      <c r="NFI11" s="392"/>
      <c r="NFJ11" s="392"/>
      <c r="NFK11" s="392"/>
      <c r="NFL11" s="392"/>
      <c r="NFM11" s="392"/>
      <c r="NFN11" s="392"/>
      <c r="NFO11" s="392"/>
      <c r="NFP11" s="392"/>
      <c r="NFQ11" s="392"/>
      <c r="NFR11" s="392"/>
      <c r="NFS11" s="392"/>
      <c r="NFT11" s="392"/>
      <c r="NFU11" s="392"/>
      <c r="NFV11" s="392"/>
      <c r="NFW11" s="392"/>
      <c r="NFX11" s="392"/>
      <c r="NFY11" s="392"/>
      <c r="NFZ11" s="392"/>
      <c r="NGA11" s="392"/>
      <c r="NGB11" s="392"/>
      <c r="NGC11" s="392"/>
      <c r="NGD11" s="392"/>
      <c r="NGE11" s="392"/>
      <c r="NGF11" s="392"/>
      <c r="NGG11" s="392"/>
      <c r="NGH11" s="392"/>
      <c r="NGI11" s="392"/>
      <c r="NGJ11" s="392"/>
      <c r="NGK11" s="392"/>
      <c r="NGL11" s="392"/>
      <c r="NGM11" s="392"/>
      <c r="NGN11" s="392"/>
      <c r="NGO11" s="392"/>
      <c r="NGP11" s="392"/>
      <c r="NGQ11" s="392"/>
      <c r="NGR11" s="392"/>
      <c r="NGS11" s="392"/>
      <c r="NGT11" s="392"/>
      <c r="NGU11" s="392"/>
      <c r="NGV11" s="392"/>
      <c r="NGW11" s="392"/>
      <c r="NGX11" s="392"/>
      <c r="NGY11" s="392"/>
      <c r="NGZ11" s="392"/>
      <c r="NHA11" s="392"/>
      <c r="NHB11" s="392"/>
      <c r="NHC11" s="392"/>
      <c r="NHD11" s="392"/>
      <c r="NHE11" s="392"/>
      <c r="NHF11" s="392"/>
      <c r="NHG11" s="392"/>
      <c r="NHH11" s="392"/>
      <c r="NHI11" s="392"/>
      <c r="NHJ11" s="392"/>
      <c r="NHK11" s="392"/>
      <c r="NHL11" s="392"/>
      <c r="NHM11" s="392"/>
      <c r="NHN11" s="392"/>
      <c r="NHO11" s="392"/>
      <c r="NHP11" s="392"/>
      <c r="NHQ11" s="392"/>
      <c r="NHR11" s="392"/>
      <c r="NHS11" s="392"/>
      <c r="NHT11" s="392"/>
      <c r="NHU11" s="392"/>
      <c r="NHV11" s="392"/>
      <c r="NHW11" s="392"/>
      <c r="NHX11" s="392"/>
      <c r="NHY11" s="392"/>
      <c r="NHZ11" s="392"/>
      <c r="NIA11" s="392"/>
      <c r="NIB11" s="392"/>
      <c r="NIC11" s="392"/>
      <c r="NID11" s="392"/>
      <c r="NIE11" s="392"/>
      <c r="NIF11" s="392"/>
      <c r="NIG11" s="392"/>
      <c r="NIH11" s="392"/>
      <c r="NII11" s="392"/>
      <c r="NIJ11" s="392"/>
      <c r="NIK11" s="392"/>
      <c r="NIL11" s="392"/>
      <c r="NIM11" s="392"/>
      <c r="NIN11" s="392"/>
      <c r="NIO11" s="392"/>
      <c r="NIP11" s="392"/>
      <c r="NIQ11" s="392"/>
      <c r="NIR11" s="392"/>
      <c r="NIS11" s="392"/>
      <c r="NIT11" s="392"/>
      <c r="NIU11" s="392"/>
      <c r="NIV11" s="392"/>
      <c r="NIW11" s="392"/>
      <c r="NIX11" s="392"/>
      <c r="NIY11" s="392"/>
      <c r="NIZ11" s="392"/>
      <c r="NJA11" s="392"/>
      <c r="NJB11" s="392"/>
      <c r="NJC11" s="392"/>
      <c r="NJD11" s="392"/>
      <c r="NJE11" s="392"/>
      <c r="NJF11" s="392"/>
      <c r="NJG11" s="392"/>
      <c r="NJH11" s="392"/>
      <c r="NJI11" s="392"/>
      <c r="NJJ11" s="392"/>
      <c r="NJK11" s="392"/>
      <c r="NJL11" s="392"/>
      <c r="NJM11" s="392"/>
      <c r="NJN11" s="392"/>
      <c r="NJO11" s="392"/>
      <c r="NJP11" s="392"/>
      <c r="NJQ11" s="392"/>
      <c r="NJR11" s="392"/>
      <c r="NJS11" s="392"/>
      <c r="NJT11" s="392"/>
      <c r="NJU11" s="392"/>
      <c r="NJV11" s="392"/>
      <c r="NJW11" s="392"/>
      <c r="NJX11" s="392"/>
      <c r="NJY11" s="392"/>
      <c r="NJZ11" s="392"/>
      <c r="NKA11" s="392"/>
      <c r="NKB11" s="392"/>
      <c r="NKC11" s="392"/>
      <c r="NKD11" s="392"/>
      <c r="NKE11" s="392"/>
      <c r="NKF11" s="392"/>
      <c r="NKG11" s="392"/>
      <c r="NKH11" s="392"/>
      <c r="NKI11" s="392"/>
      <c r="NKJ11" s="392"/>
      <c r="NKK11" s="392"/>
      <c r="NKL11" s="392"/>
      <c r="NKM11" s="392"/>
      <c r="NKN11" s="392"/>
      <c r="NKO11" s="392"/>
      <c r="NKP11" s="392"/>
      <c r="NKQ11" s="392"/>
      <c r="NKR11" s="392"/>
      <c r="NKS11" s="392"/>
      <c r="NKT11" s="392"/>
      <c r="NKU11" s="392"/>
      <c r="NKV11" s="392"/>
      <c r="NKW11" s="392"/>
      <c r="NKX11" s="392"/>
      <c r="NKY11" s="392"/>
      <c r="NKZ11" s="392"/>
      <c r="NLA11" s="392"/>
      <c r="NLB11" s="392"/>
      <c r="NLC11" s="392"/>
      <c r="NLD11" s="392"/>
      <c r="NLE11" s="392"/>
      <c r="NLF11" s="392"/>
      <c r="NLG11" s="392"/>
      <c r="NLH11" s="392"/>
      <c r="NLI11" s="392"/>
      <c r="NLJ11" s="392"/>
      <c r="NLK11" s="392"/>
      <c r="NLL11" s="392"/>
      <c r="NLM11" s="392"/>
      <c r="NLN11" s="392"/>
      <c r="NLO11" s="392"/>
      <c r="NLP11" s="392"/>
      <c r="NLQ11" s="392"/>
      <c r="NLR11" s="392"/>
      <c r="NLS11" s="392"/>
      <c r="NLT11" s="392"/>
      <c r="NLU11" s="392"/>
      <c r="NLV11" s="392"/>
      <c r="NLW11" s="392"/>
      <c r="NLX11" s="392"/>
      <c r="NLY11" s="392"/>
      <c r="NLZ11" s="392"/>
      <c r="NMA11" s="392"/>
      <c r="NMB11" s="392"/>
      <c r="NMC11" s="392"/>
      <c r="NMD11" s="392"/>
      <c r="NME11" s="392"/>
      <c r="NMF11" s="392"/>
      <c r="NMG11" s="392"/>
      <c r="NMH11" s="392"/>
      <c r="NMI11" s="392"/>
      <c r="NMJ11" s="392"/>
      <c r="NMK11" s="392"/>
      <c r="NML11" s="392"/>
      <c r="NMM11" s="392"/>
      <c r="NMN11" s="392"/>
      <c r="NMO11" s="392"/>
      <c r="NMP11" s="392"/>
      <c r="NMQ11" s="392"/>
      <c r="NMR11" s="392"/>
      <c r="NMS11" s="392"/>
      <c r="NMT11" s="392"/>
      <c r="NMU11" s="392"/>
      <c r="NMV11" s="392"/>
      <c r="NMW11" s="392"/>
      <c r="NMX11" s="392"/>
      <c r="NMY11" s="392"/>
      <c r="NMZ11" s="392"/>
      <c r="NNA11" s="392"/>
      <c r="NNB11" s="392"/>
      <c r="NNC11" s="392"/>
      <c r="NND11" s="392"/>
      <c r="NNE11" s="392"/>
      <c r="NNF11" s="392"/>
      <c r="NNG11" s="392"/>
      <c r="NNH11" s="392"/>
      <c r="NNI11" s="392"/>
      <c r="NNJ11" s="392"/>
      <c r="NNK11" s="392"/>
      <c r="NNL11" s="392"/>
      <c r="NNM11" s="392"/>
      <c r="NNN11" s="392"/>
      <c r="NNO11" s="392"/>
      <c r="NNP11" s="392"/>
      <c r="NNQ11" s="392"/>
      <c r="NNR11" s="392"/>
      <c r="NNS11" s="392"/>
      <c r="NNT11" s="392"/>
      <c r="NNU11" s="392"/>
      <c r="NNV11" s="392"/>
      <c r="NNW11" s="392"/>
      <c r="NNX11" s="392"/>
      <c r="NNY11" s="392"/>
      <c r="NNZ11" s="392"/>
      <c r="NOA11" s="392"/>
      <c r="NOB11" s="392"/>
      <c r="NOC11" s="392"/>
      <c r="NOD11" s="392"/>
      <c r="NOE11" s="392"/>
      <c r="NOF11" s="392"/>
      <c r="NOG11" s="392"/>
      <c r="NOH11" s="392"/>
      <c r="NOI11" s="392"/>
      <c r="NOJ11" s="392"/>
      <c r="NOK11" s="392"/>
      <c r="NOL11" s="392"/>
      <c r="NOM11" s="392"/>
      <c r="NON11" s="392"/>
      <c r="NOO11" s="392"/>
      <c r="NOP11" s="392"/>
      <c r="NOQ11" s="392"/>
      <c r="NOR11" s="392"/>
      <c r="NOS11" s="392"/>
      <c r="NOT11" s="392"/>
      <c r="NOU11" s="392"/>
      <c r="NOV11" s="392"/>
      <c r="NOW11" s="392"/>
      <c r="NOX11" s="392"/>
      <c r="NOY11" s="392"/>
      <c r="NOZ11" s="392"/>
      <c r="NPA11" s="392"/>
      <c r="NPB11" s="392"/>
      <c r="NPC11" s="392"/>
      <c r="NPD11" s="392"/>
      <c r="NPE11" s="392"/>
      <c r="NPF11" s="392"/>
      <c r="NPG11" s="392"/>
      <c r="NPH11" s="392"/>
      <c r="NPI11" s="392"/>
      <c r="NPJ11" s="392"/>
      <c r="NPK11" s="392"/>
      <c r="NPL11" s="392"/>
      <c r="NPM11" s="392"/>
      <c r="NPN11" s="392"/>
      <c r="NPO11" s="392"/>
      <c r="NPP11" s="392"/>
      <c r="NPQ11" s="392"/>
      <c r="NPR11" s="392"/>
      <c r="NPS11" s="392"/>
      <c r="NPT11" s="392"/>
      <c r="NPU11" s="392"/>
      <c r="NPV11" s="392"/>
      <c r="NPW11" s="392"/>
      <c r="NPX11" s="392"/>
      <c r="NPY11" s="392"/>
      <c r="NPZ11" s="392"/>
      <c r="NQA11" s="392"/>
      <c r="NQB11" s="392"/>
      <c r="NQC11" s="392"/>
      <c r="NQD11" s="392"/>
      <c r="NQE11" s="392"/>
      <c r="NQF11" s="392"/>
      <c r="NQG11" s="392"/>
      <c r="NQH11" s="392"/>
      <c r="NQI11" s="392"/>
      <c r="NQJ11" s="392"/>
      <c r="NQK11" s="392"/>
      <c r="NQL11" s="392"/>
      <c r="NQM11" s="392"/>
      <c r="NQN11" s="392"/>
      <c r="NQO11" s="392"/>
      <c r="NQP11" s="392"/>
      <c r="NQQ11" s="392"/>
      <c r="NQR11" s="392"/>
      <c r="NQS11" s="392"/>
      <c r="NQT11" s="392"/>
      <c r="NQU11" s="392"/>
      <c r="NQV11" s="392"/>
      <c r="NQW11" s="392"/>
      <c r="NQX11" s="392"/>
      <c r="NQY11" s="392"/>
      <c r="NQZ11" s="392"/>
      <c r="NRA11" s="392"/>
      <c r="NRB11" s="392"/>
      <c r="NRC11" s="392"/>
      <c r="NRD11" s="392"/>
      <c r="NRE11" s="392"/>
      <c r="NRF11" s="392"/>
      <c r="NRG11" s="392"/>
      <c r="NRH11" s="392"/>
      <c r="NRI11" s="392"/>
      <c r="NRJ11" s="392"/>
      <c r="NRK11" s="392"/>
      <c r="NRL11" s="392"/>
      <c r="NRM11" s="392"/>
      <c r="NRN11" s="392"/>
      <c r="NRO11" s="392"/>
      <c r="NRP11" s="392"/>
      <c r="NRQ11" s="392"/>
      <c r="NRR11" s="392"/>
      <c r="NRS11" s="392"/>
      <c r="NRT11" s="392"/>
      <c r="NRU11" s="392"/>
      <c r="NRV11" s="392"/>
      <c r="NRW11" s="392"/>
      <c r="NRX11" s="392"/>
      <c r="NRY11" s="392"/>
      <c r="NRZ11" s="392"/>
      <c r="NSA11" s="392"/>
      <c r="NSB11" s="392"/>
      <c r="NSC11" s="392"/>
      <c r="NSD11" s="392"/>
      <c r="NSE11" s="392"/>
      <c r="NSF11" s="392"/>
      <c r="NSG11" s="392"/>
      <c r="NSH11" s="392"/>
      <c r="NSI11" s="392"/>
      <c r="NSJ11" s="392"/>
      <c r="NSK11" s="392"/>
      <c r="NSL11" s="392"/>
      <c r="NSM11" s="392"/>
      <c r="NSN11" s="392"/>
      <c r="NSO11" s="392"/>
      <c r="NSP11" s="392"/>
      <c r="NSQ11" s="392"/>
      <c r="NSR11" s="392"/>
      <c r="NSS11" s="392"/>
      <c r="NST11" s="392"/>
      <c r="NSU11" s="392"/>
      <c r="NSV11" s="392"/>
      <c r="NSW11" s="392"/>
      <c r="NSX11" s="392"/>
      <c r="NSY11" s="392"/>
      <c r="NSZ11" s="392"/>
      <c r="NTA11" s="392"/>
      <c r="NTB11" s="392"/>
      <c r="NTC11" s="392"/>
      <c r="NTD11" s="392"/>
      <c r="NTE11" s="392"/>
      <c r="NTF11" s="392"/>
      <c r="NTG11" s="392"/>
      <c r="NTH11" s="392"/>
      <c r="NTI11" s="392"/>
      <c r="NTJ11" s="392"/>
      <c r="NTK11" s="392"/>
      <c r="NTL11" s="392"/>
      <c r="NTM11" s="392"/>
      <c r="NTN11" s="392"/>
      <c r="NTO11" s="392"/>
      <c r="NTP11" s="392"/>
      <c r="NTQ11" s="392"/>
      <c r="NTR11" s="392"/>
      <c r="NTS11" s="392"/>
      <c r="NTT11" s="392"/>
      <c r="NTU11" s="392"/>
      <c r="NTV11" s="392"/>
      <c r="NTW11" s="392"/>
      <c r="NTX11" s="392"/>
      <c r="NTY11" s="392"/>
      <c r="NTZ11" s="392"/>
      <c r="NUA11" s="392"/>
      <c r="NUB11" s="392"/>
      <c r="NUC11" s="392"/>
      <c r="NUD11" s="392"/>
      <c r="NUE11" s="392"/>
      <c r="NUF11" s="392"/>
      <c r="NUG11" s="392"/>
      <c r="NUH11" s="392"/>
      <c r="NUI11" s="392"/>
      <c r="NUJ11" s="392"/>
      <c r="NUK11" s="392"/>
      <c r="NUL11" s="392"/>
      <c r="NUM11" s="392"/>
      <c r="NUN11" s="392"/>
      <c r="NUO11" s="392"/>
      <c r="NUP11" s="392"/>
      <c r="NUQ11" s="392"/>
      <c r="NUR11" s="392"/>
      <c r="NUS11" s="392"/>
      <c r="NUT11" s="392"/>
      <c r="NUU11" s="392"/>
      <c r="NUV11" s="392"/>
      <c r="NUW11" s="392"/>
      <c r="NUX11" s="392"/>
      <c r="NUY11" s="392"/>
      <c r="NUZ11" s="392"/>
      <c r="NVA11" s="392"/>
      <c r="NVB11" s="392"/>
      <c r="NVC11" s="392"/>
      <c r="NVD11" s="392"/>
      <c r="NVE11" s="392"/>
      <c r="NVF11" s="392"/>
      <c r="NVG11" s="392"/>
      <c r="NVH11" s="392"/>
      <c r="NVI11" s="392"/>
      <c r="NVJ11" s="392"/>
      <c r="NVK11" s="392"/>
      <c r="NVL11" s="392"/>
      <c r="NVM11" s="392"/>
      <c r="NVN11" s="392"/>
      <c r="NVO11" s="392"/>
      <c r="NVP11" s="392"/>
      <c r="NVQ11" s="392"/>
      <c r="NVR11" s="392"/>
      <c r="NVS11" s="392"/>
      <c r="NVT11" s="392"/>
      <c r="NVU11" s="392"/>
      <c r="NVV11" s="392"/>
      <c r="NVW11" s="392"/>
      <c r="NVX11" s="392"/>
      <c r="NVY11" s="392"/>
      <c r="NVZ11" s="392"/>
      <c r="NWA11" s="392"/>
      <c r="NWB11" s="392"/>
      <c r="NWC11" s="392"/>
      <c r="NWD11" s="392"/>
      <c r="NWE11" s="392"/>
      <c r="NWF11" s="392"/>
      <c r="NWG11" s="392"/>
      <c r="NWH11" s="392"/>
      <c r="NWI11" s="392"/>
      <c r="NWJ11" s="392"/>
      <c r="NWK11" s="392"/>
      <c r="NWL11" s="392"/>
      <c r="NWM11" s="392"/>
      <c r="NWN11" s="392"/>
      <c r="NWO11" s="392"/>
      <c r="NWP11" s="392"/>
      <c r="NWQ11" s="392"/>
      <c r="NWR11" s="392"/>
      <c r="NWS11" s="392"/>
      <c r="NWT11" s="392"/>
      <c r="NWU11" s="392"/>
      <c r="NWV11" s="392"/>
      <c r="NWW11" s="392"/>
      <c r="NWX11" s="392"/>
      <c r="NWY11" s="392"/>
      <c r="NWZ11" s="392"/>
      <c r="NXA11" s="392"/>
      <c r="NXB11" s="392"/>
      <c r="NXC11" s="392"/>
      <c r="NXD11" s="392"/>
      <c r="NXE11" s="392"/>
      <c r="NXF11" s="392"/>
      <c r="NXG11" s="392"/>
      <c r="NXH11" s="392"/>
      <c r="NXI11" s="392"/>
      <c r="NXJ11" s="392"/>
      <c r="NXK11" s="392"/>
      <c r="NXL11" s="392"/>
      <c r="NXM11" s="392"/>
      <c r="NXN11" s="392"/>
      <c r="NXO11" s="392"/>
      <c r="NXP11" s="392"/>
      <c r="NXQ11" s="392"/>
      <c r="NXR11" s="392"/>
      <c r="NXS11" s="392"/>
      <c r="NXT11" s="392"/>
      <c r="NXU11" s="392"/>
      <c r="NXV11" s="392"/>
      <c r="NXW11" s="392"/>
      <c r="NXX11" s="392"/>
      <c r="NXY11" s="392"/>
      <c r="NXZ11" s="392"/>
      <c r="NYA11" s="392"/>
      <c r="NYB11" s="392"/>
      <c r="NYC11" s="392"/>
      <c r="NYD11" s="392"/>
      <c r="NYE11" s="392"/>
      <c r="NYF11" s="392"/>
      <c r="NYG11" s="392"/>
      <c r="NYH11" s="392"/>
      <c r="NYI11" s="392"/>
      <c r="NYJ11" s="392"/>
      <c r="NYK11" s="392"/>
      <c r="NYL11" s="392"/>
      <c r="NYM11" s="392"/>
      <c r="NYN11" s="392"/>
      <c r="NYO11" s="392"/>
      <c r="NYP11" s="392"/>
      <c r="NYQ11" s="392"/>
      <c r="NYR11" s="392"/>
      <c r="NYS11" s="392"/>
      <c r="NYT11" s="392"/>
      <c r="NYU11" s="392"/>
      <c r="NYV11" s="392"/>
      <c r="NYW11" s="392"/>
      <c r="NYX11" s="392"/>
      <c r="NYY11" s="392"/>
      <c r="NYZ11" s="392"/>
      <c r="NZA11" s="392"/>
      <c r="NZB11" s="392"/>
      <c r="NZC11" s="392"/>
      <c r="NZD11" s="392"/>
      <c r="NZE11" s="392"/>
      <c r="NZF11" s="392"/>
      <c r="NZG11" s="392"/>
      <c r="NZH11" s="392"/>
      <c r="NZI11" s="392"/>
      <c r="NZJ11" s="392"/>
      <c r="NZK11" s="392"/>
      <c r="NZL11" s="392"/>
      <c r="NZM11" s="392"/>
      <c r="NZN11" s="392"/>
      <c r="NZO11" s="392"/>
      <c r="NZP11" s="392"/>
      <c r="NZQ11" s="392"/>
      <c r="NZR11" s="392"/>
      <c r="NZS11" s="392"/>
      <c r="NZT11" s="392"/>
      <c r="NZU11" s="392"/>
      <c r="NZV11" s="392"/>
      <c r="NZW11" s="392"/>
      <c r="NZX11" s="392"/>
      <c r="NZY11" s="392"/>
      <c r="NZZ11" s="392"/>
      <c r="OAA11" s="392"/>
      <c r="OAB11" s="392"/>
      <c r="OAC11" s="392"/>
      <c r="OAD11" s="392"/>
      <c r="OAE11" s="392"/>
      <c r="OAF11" s="392"/>
      <c r="OAG11" s="392"/>
      <c r="OAH11" s="392"/>
      <c r="OAI11" s="392"/>
      <c r="OAJ11" s="392"/>
      <c r="OAK11" s="392"/>
      <c r="OAL11" s="392"/>
      <c r="OAM11" s="392"/>
      <c r="OAN11" s="392"/>
      <c r="OAO11" s="392"/>
      <c r="OAP11" s="392"/>
      <c r="OAQ11" s="392"/>
      <c r="OAR11" s="392"/>
      <c r="OAS11" s="392"/>
      <c r="OAT11" s="392"/>
      <c r="OAU11" s="392"/>
      <c r="OAV11" s="392"/>
      <c r="OAW11" s="392"/>
      <c r="OAX11" s="392"/>
      <c r="OAY11" s="392"/>
      <c r="OAZ11" s="392"/>
      <c r="OBA11" s="392"/>
      <c r="OBB11" s="392"/>
      <c r="OBC11" s="392"/>
      <c r="OBD11" s="392"/>
      <c r="OBE11" s="392"/>
      <c r="OBF11" s="392"/>
      <c r="OBG11" s="392"/>
      <c r="OBH11" s="392"/>
      <c r="OBI11" s="392"/>
      <c r="OBJ11" s="392"/>
      <c r="OBK11" s="392"/>
      <c r="OBL11" s="392"/>
      <c r="OBM11" s="392"/>
      <c r="OBN11" s="392"/>
      <c r="OBO11" s="392"/>
      <c r="OBP11" s="392"/>
      <c r="OBQ11" s="392"/>
      <c r="OBR11" s="392"/>
      <c r="OBS11" s="392"/>
      <c r="OBT11" s="392"/>
      <c r="OBU11" s="392"/>
      <c r="OBV11" s="392"/>
      <c r="OBW11" s="392"/>
      <c r="OBX11" s="392"/>
      <c r="OBY11" s="392"/>
      <c r="OBZ11" s="392"/>
      <c r="OCA11" s="392"/>
      <c r="OCB11" s="392"/>
      <c r="OCC11" s="392"/>
      <c r="OCD11" s="392"/>
      <c r="OCE11" s="392"/>
      <c r="OCF11" s="392"/>
      <c r="OCG11" s="392"/>
      <c r="OCH11" s="392"/>
      <c r="OCI11" s="392"/>
      <c r="OCJ11" s="392"/>
      <c r="OCK11" s="392"/>
      <c r="OCL11" s="392"/>
      <c r="OCM11" s="392"/>
      <c r="OCN11" s="392"/>
      <c r="OCO11" s="392"/>
      <c r="OCP11" s="392"/>
      <c r="OCQ11" s="392"/>
      <c r="OCR11" s="392"/>
      <c r="OCS11" s="392"/>
      <c r="OCT11" s="392"/>
      <c r="OCU11" s="392"/>
      <c r="OCV11" s="392"/>
      <c r="OCW11" s="392"/>
      <c r="OCX11" s="392"/>
      <c r="OCY11" s="392"/>
      <c r="OCZ11" s="392"/>
      <c r="ODA11" s="392"/>
      <c r="ODB11" s="392"/>
      <c r="ODC11" s="392"/>
      <c r="ODD11" s="392"/>
      <c r="ODE11" s="392"/>
      <c r="ODF11" s="392"/>
      <c r="ODG11" s="392"/>
      <c r="ODH11" s="392"/>
      <c r="ODI11" s="392"/>
      <c r="ODJ11" s="392"/>
      <c r="ODK11" s="392"/>
      <c r="ODL11" s="392"/>
      <c r="ODM11" s="392"/>
      <c r="ODN11" s="392"/>
      <c r="ODO11" s="392"/>
      <c r="ODP11" s="392"/>
      <c r="ODQ11" s="392"/>
      <c r="ODR11" s="392"/>
      <c r="ODS11" s="392"/>
      <c r="ODT11" s="392"/>
      <c r="ODU11" s="392"/>
      <c r="ODV11" s="392"/>
      <c r="ODW11" s="392"/>
      <c r="ODX11" s="392"/>
      <c r="ODY11" s="392"/>
      <c r="ODZ11" s="392"/>
      <c r="OEA11" s="392"/>
      <c r="OEB11" s="392"/>
      <c r="OEC11" s="392"/>
      <c r="OED11" s="392"/>
      <c r="OEE11" s="392"/>
      <c r="OEF11" s="392"/>
      <c r="OEG11" s="392"/>
      <c r="OEH11" s="392"/>
      <c r="OEI11" s="392"/>
      <c r="OEJ11" s="392"/>
      <c r="OEK11" s="392"/>
      <c r="OEL11" s="392"/>
      <c r="OEM11" s="392"/>
      <c r="OEN11" s="392"/>
      <c r="OEO11" s="392"/>
      <c r="OEP11" s="392"/>
      <c r="OEQ11" s="392"/>
      <c r="OER11" s="392"/>
      <c r="OES11" s="392"/>
      <c r="OET11" s="392"/>
      <c r="OEU11" s="392"/>
      <c r="OEV11" s="392"/>
      <c r="OEW11" s="392"/>
      <c r="OEX11" s="392"/>
      <c r="OEY11" s="392"/>
      <c r="OEZ11" s="392"/>
      <c r="OFA11" s="392"/>
      <c r="OFB11" s="392"/>
      <c r="OFC11" s="392"/>
      <c r="OFD11" s="392"/>
      <c r="OFE11" s="392"/>
      <c r="OFF11" s="392"/>
      <c r="OFG11" s="392"/>
      <c r="OFH11" s="392"/>
      <c r="OFI11" s="392"/>
      <c r="OFJ11" s="392"/>
      <c r="OFK11" s="392"/>
      <c r="OFL11" s="392"/>
      <c r="OFM11" s="392"/>
      <c r="OFN11" s="392"/>
      <c r="OFO11" s="392"/>
      <c r="OFP11" s="392"/>
      <c r="OFQ11" s="392"/>
      <c r="OFR11" s="392"/>
      <c r="OFS11" s="392"/>
      <c r="OFT11" s="392"/>
      <c r="OFU11" s="392"/>
      <c r="OFV11" s="392"/>
      <c r="OFW11" s="392"/>
      <c r="OFX11" s="392"/>
      <c r="OFY11" s="392"/>
      <c r="OFZ11" s="392"/>
      <c r="OGA11" s="392"/>
      <c r="OGB11" s="392"/>
      <c r="OGC11" s="392"/>
      <c r="OGD11" s="392"/>
      <c r="OGE11" s="392"/>
      <c r="OGF11" s="392"/>
      <c r="OGG11" s="392"/>
      <c r="OGH11" s="392"/>
      <c r="OGI11" s="392"/>
      <c r="OGJ11" s="392"/>
      <c r="OGK11" s="392"/>
      <c r="OGL11" s="392"/>
      <c r="OGM11" s="392"/>
      <c r="OGN11" s="392"/>
      <c r="OGO11" s="392"/>
      <c r="OGP11" s="392"/>
      <c r="OGQ11" s="392"/>
      <c r="OGR11" s="392"/>
      <c r="OGS11" s="392"/>
      <c r="OGT11" s="392"/>
      <c r="OGU11" s="392"/>
      <c r="OGV11" s="392"/>
      <c r="OGW11" s="392"/>
      <c r="OGX11" s="392"/>
      <c r="OGY11" s="392"/>
      <c r="OGZ11" s="392"/>
      <c r="OHA11" s="392"/>
      <c r="OHB11" s="392"/>
      <c r="OHC11" s="392"/>
      <c r="OHD11" s="392"/>
      <c r="OHE11" s="392"/>
      <c r="OHF11" s="392"/>
      <c r="OHG11" s="392"/>
      <c r="OHH11" s="392"/>
      <c r="OHI11" s="392"/>
      <c r="OHJ11" s="392"/>
      <c r="OHK11" s="392"/>
      <c r="OHL11" s="392"/>
      <c r="OHM11" s="392"/>
      <c r="OHN11" s="392"/>
      <c r="OHO11" s="392"/>
      <c r="OHP11" s="392"/>
      <c r="OHQ11" s="392"/>
      <c r="OHR11" s="392"/>
      <c r="OHS11" s="392"/>
      <c r="OHT11" s="392"/>
      <c r="OHU11" s="392"/>
      <c r="OHV11" s="392"/>
      <c r="OHW11" s="392"/>
      <c r="OHX11" s="392"/>
      <c r="OHY11" s="392"/>
      <c r="OHZ11" s="392"/>
      <c r="OIA11" s="392"/>
      <c r="OIB11" s="392"/>
      <c r="OIC11" s="392"/>
      <c r="OID11" s="392"/>
      <c r="OIE11" s="392"/>
      <c r="OIF11" s="392"/>
      <c r="OIG11" s="392"/>
      <c r="OIH11" s="392"/>
      <c r="OII11" s="392"/>
      <c r="OIJ11" s="392"/>
      <c r="OIK11" s="392"/>
      <c r="OIL11" s="392"/>
      <c r="OIM11" s="392"/>
      <c r="OIN11" s="392"/>
      <c r="OIO11" s="392"/>
      <c r="OIP11" s="392"/>
      <c r="OIQ11" s="392"/>
      <c r="OIR11" s="392"/>
      <c r="OIS11" s="392"/>
      <c r="OIT11" s="392"/>
      <c r="OIU11" s="392"/>
      <c r="OIV11" s="392"/>
      <c r="OIW11" s="392"/>
      <c r="OIX11" s="392"/>
      <c r="OIY11" s="392"/>
      <c r="OIZ11" s="392"/>
      <c r="OJA11" s="392"/>
      <c r="OJB11" s="392"/>
      <c r="OJC11" s="392"/>
      <c r="OJD11" s="392"/>
      <c r="OJE11" s="392"/>
      <c r="OJF11" s="392"/>
      <c r="OJG11" s="392"/>
      <c r="OJH11" s="392"/>
      <c r="OJI11" s="392"/>
      <c r="OJJ11" s="392"/>
      <c r="OJK11" s="392"/>
      <c r="OJL11" s="392"/>
      <c r="OJM11" s="392"/>
      <c r="OJN11" s="392"/>
      <c r="OJO11" s="392"/>
      <c r="OJP11" s="392"/>
      <c r="OJQ11" s="392"/>
      <c r="OJR11" s="392"/>
      <c r="OJS11" s="392"/>
      <c r="OJT11" s="392"/>
      <c r="OJU11" s="392"/>
      <c r="OJV11" s="392"/>
      <c r="OJW11" s="392"/>
      <c r="OJX11" s="392"/>
      <c r="OJY11" s="392"/>
      <c r="OJZ11" s="392"/>
      <c r="OKA11" s="392"/>
      <c r="OKB11" s="392"/>
      <c r="OKC11" s="392"/>
      <c r="OKD11" s="392"/>
      <c r="OKE11" s="392"/>
      <c r="OKF11" s="392"/>
      <c r="OKG11" s="392"/>
      <c r="OKH11" s="392"/>
      <c r="OKI11" s="392"/>
      <c r="OKJ11" s="392"/>
      <c r="OKK11" s="392"/>
      <c r="OKL11" s="392"/>
      <c r="OKM11" s="392"/>
      <c r="OKN11" s="392"/>
      <c r="OKO11" s="392"/>
      <c r="OKP11" s="392"/>
      <c r="OKQ11" s="392"/>
      <c r="OKR11" s="392"/>
      <c r="OKS11" s="392"/>
      <c r="OKT11" s="392"/>
      <c r="OKU11" s="392"/>
      <c r="OKV11" s="392"/>
      <c r="OKW11" s="392"/>
      <c r="OKX11" s="392"/>
      <c r="OKY11" s="392"/>
      <c r="OKZ11" s="392"/>
      <c r="OLA11" s="392"/>
      <c r="OLB11" s="392"/>
      <c r="OLC11" s="392"/>
      <c r="OLD11" s="392"/>
      <c r="OLE11" s="392"/>
      <c r="OLF11" s="392"/>
      <c r="OLG11" s="392"/>
      <c r="OLH11" s="392"/>
      <c r="OLI11" s="392"/>
      <c r="OLJ11" s="392"/>
      <c r="OLK11" s="392"/>
      <c r="OLL11" s="392"/>
      <c r="OLM11" s="392"/>
      <c r="OLN11" s="392"/>
      <c r="OLO11" s="392"/>
      <c r="OLP11" s="392"/>
      <c r="OLQ11" s="392"/>
      <c r="OLR11" s="392"/>
      <c r="OLS11" s="392"/>
      <c r="OLT11" s="392"/>
      <c r="OLU11" s="392"/>
      <c r="OLV11" s="392"/>
      <c r="OLW11" s="392"/>
      <c r="OLX11" s="392"/>
      <c r="OLY11" s="392"/>
      <c r="OLZ11" s="392"/>
      <c r="OMA11" s="392"/>
      <c r="OMB11" s="392"/>
      <c r="OMC11" s="392"/>
      <c r="OMD11" s="392"/>
      <c r="OME11" s="392"/>
      <c r="OMF11" s="392"/>
      <c r="OMG11" s="392"/>
      <c r="OMH11" s="392"/>
      <c r="OMI11" s="392"/>
      <c r="OMJ11" s="392"/>
      <c r="OMK11" s="392"/>
      <c r="OML11" s="392"/>
      <c r="OMM11" s="392"/>
      <c r="OMN11" s="392"/>
      <c r="OMO11" s="392"/>
      <c r="OMP11" s="392"/>
      <c r="OMQ11" s="392"/>
      <c r="OMR11" s="392"/>
      <c r="OMS11" s="392"/>
      <c r="OMT11" s="392"/>
      <c r="OMU11" s="392"/>
      <c r="OMV11" s="392"/>
      <c r="OMW11" s="392"/>
      <c r="OMX11" s="392"/>
      <c r="OMY11" s="392"/>
      <c r="OMZ11" s="392"/>
      <c r="ONA11" s="392"/>
      <c r="ONB11" s="392"/>
      <c r="ONC11" s="392"/>
      <c r="OND11" s="392"/>
      <c r="ONE11" s="392"/>
      <c r="ONF11" s="392"/>
      <c r="ONG11" s="392"/>
      <c r="ONH11" s="392"/>
      <c r="ONI11" s="392"/>
      <c r="ONJ11" s="392"/>
      <c r="ONK11" s="392"/>
      <c r="ONL11" s="392"/>
      <c r="ONM11" s="392"/>
      <c r="ONN11" s="392"/>
      <c r="ONO11" s="392"/>
      <c r="ONP11" s="392"/>
      <c r="ONQ11" s="392"/>
      <c r="ONR11" s="392"/>
      <c r="ONS11" s="392"/>
      <c r="ONT11" s="392"/>
      <c r="ONU11" s="392"/>
      <c r="ONV11" s="392"/>
      <c r="ONW11" s="392"/>
      <c r="ONX11" s="392"/>
      <c r="ONY11" s="392"/>
      <c r="ONZ11" s="392"/>
      <c r="OOA11" s="392"/>
      <c r="OOB11" s="392"/>
      <c r="OOC11" s="392"/>
      <c r="OOD11" s="392"/>
      <c r="OOE11" s="392"/>
      <c r="OOF11" s="392"/>
      <c r="OOG11" s="392"/>
      <c r="OOH11" s="392"/>
      <c r="OOI11" s="392"/>
      <c r="OOJ11" s="392"/>
      <c r="OOK11" s="392"/>
      <c r="OOL11" s="392"/>
      <c r="OOM11" s="392"/>
      <c r="OON11" s="392"/>
      <c r="OOO11" s="392"/>
      <c r="OOP11" s="392"/>
      <c r="OOQ11" s="392"/>
      <c r="OOR11" s="392"/>
      <c r="OOS11" s="392"/>
      <c r="OOT11" s="392"/>
      <c r="OOU11" s="392"/>
      <c r="OOV11" s="392"/>
      <c r="OOW11" s="392"/>
      <c r="OOX11" s="392"/>
      <c r="OOY11" s="392"/>
      <c r="OOZ11" s="392"/>
      <c r="OPA11" s="392"/>
      <c r="OPB11" s="392"/>
      <c r="OPC11" s="392"/>
      <c r="OPD11" s="392"/>
      <c r="OPE11" s="392"/>
      <c r="OPF11" s="392"/>
      <c r="OPG11" s="392"/>
      <c r="OPH11" s="392"/>
      <c r="OPI11" s="392"/>
      <c r="OPJ11" s="392"/>
      <c r="OPK11" s="392"/>
      <c r="OPL11" s="392"/>
      <c r="OPM11" s="392"/>
      <c r="OPN11" s="392"/>
      <c r="OPO11" s="392"/>
      <c r="OPP11" s="392"/>
      <c r="OPQ11" s="392"/>
      <c r="OPR11" s="392"/>
      <c r="OPS11" s="392"/>
      <c r="OPT11" s="392"/>
      <c r="OPU11" s="392"/>
      <c r="OPV11" s="392"/>
      <c r="OPW11" s="392"/>
      <c r="OPX11" s="392"/>
      <c r="OPY11" s="392"/>
      <c r="OPZ11" s="392"/>
      <c r="OQA11" s="392"/>
      <c r="OQB11" s="392"/>
      <c r="OQC11" s="392"/>
      <c r="OQD11" s="392"/>
      <c r="OQE11" s="392"/>
      <c r="OQF11" s="392"/>
      <c r="OQG11" s="392"/>
      <c r="OQH11" s="392"/>
      <c r="OQI11" s="392"/>
      <c r="OQJ11" s="392"/>
      <c r="OQK11" s="392"/>
      <c r="OQL11" s="392"/>
      <c r="OQM11" s="392"/>
      <c r="OQN11" s="392"/>
      <c r="OQO11" s="392"/>
      <c r="OQP11" s="392"/>
      <c r="OQQ11" s="392"/>
      <c r="OQR11" s="392"/>
      <c r="OQS11" s="392"/>
      <c r="OQT11" s="392"/>
      <c r="OQU11" s="392"/>
      <c r="OQV11" s="392"/>
      <c r="OQW11" s="392"/>
      <c r="OQX11" s="392"/>
      <c r="OQY11" s="392"/>
      <c r="OQZ11" s="392"/>
      <c r="ORA11" s="392"/>
      <c r="ORB11" s="392"/>
      <c r="ORC11" s="392"/>
      <c r="ORD11" s="392"/>
      <c r="ORE11" s="392"/>
      <c r="ORF11" s="392"/>
      <c r="ORG11" s="392"/>
      <c r="ORH11" s="392"/>
      <c r="ORI11" s="392"/>
      <c r="ORJ11" s="392"/>
      <c r="ORK11" s="392"/>
      <c r="ORL11" s="392"/>
      <c r="ORM11" s="392"/>
      <c r="ORN11" s="392"/>
      <c r="ORO11" s="392"/>
      <c r="ORP11" s="392"/>
      <c r="ORQ11" s="392"/>
      <c r="ORR11" s="392"/>
      <c r="ORS11" s="392"/>
      <c r="ORT11" s="392"/>
      <c r="ORU11" s="392"/>
      <c r="ORV11" s="392"/>
      <c r="ORW11" s="392"/>
      <c r="ORX11" s="392"/>
      <c r="ORY11" s="392"/>
      <c r="ORZ11" s="392"/>
      <c r="OSA11" s="392"/>
      <c r="OSB11" s="392"/>
      <c r="OSC11" s="392"/>
      <c r="OSD11" s="392"/>
      <c r="OSE11" s="392"/>
      <c r="OSF11" s="392"/>
      <c r="OSG11" s="392"/>
      <c r="OSH11" s="392"/>
      <c r="OSI11" s="392"/>
      <c r="OSJ11" s="392"/>
      <c r="OSK11" s="392"/>
      <c r="OSL11" s="392"/>
      <c r="OSM11" s="392"/>
      <c r="OSN11" s="392"/>
      <c r="OSO11" s="392"/>
      <c r="OSP11" s="392"/>
      <c r="OSQ11" s="392"/>
      <c r="OSR11" s="392"/>
      <c r="OSS11" s="392"/>
      <c r="OST11" s="392"/>
      <c r="OSU11" s="392"/>
      <c r="OSV11" s="392"/>
      <c r="OSW11" s="392"/>
      <c r="OSX11" s="392"/>
      <c r="OSY11" s="392"/>
      <c r="OSZ11" s="392"/>
      <c r="OTA11" s="392"/>
      <c r="OTB11" s="392"/>
      <c r="OTC11" s="392"/>
      <c r="OTD11" s="392"/>
      <c r="OTE11" s="392"/>
      <c r="OTF11" s="392"/>
      <c r="OTG11" s="392"/>
      <c r="OTH11" s="392"/>
      <c r="OTI11" s="392"/>
      <c r="OTJ11" s="392"/>
      <c r="OTK11" s="392"/>
      <c r="OTL11" s="392"/>
      <c r="OTM11" s="392"/>
      <c r="OTN11" s="392"/>
      <c r="OTO11" s="392"/>
      <c r="OTP11" s="392"/>
      <c r="OTQ11" s="392"/>
      <c r="OTR11" s="392"/>
      <c r="OTS11" s="392"/>
      <c r="OTT11" s="392"/>
      <c r="OTU11" s="392"/>
      <c r="OTV11" s="392"/>
      <c r="OTW11" s="392"/>
      <c r="OTX11" s="392"/>
      <c r="OTY11" s="392"/>
      <c r="OTZ11" s="392"/>
      <c r="OUA11" s="392"/>
      <c r="OUB11" s="392"/>
      <c r="OUC11" s="392"/>
      <c r="OUD11" s="392"/>
      <c r="OUE11" s="392"/>
      <c r="OUF11" s="392"/>
      <c r="OUG11" s="392"/>
      <c r="OUH11" s="392"/>
      <c r="OUI11" s="392"/>
      <c r="OUJ11" s="392"/>
      <c r="OUK11" s="392"/>
      <c r="OUL11" s="392"/>
      <c r="OUM11" s="392"/>
      <c r="OUN11" s="392"/>
      <c r="OUO11" s="392"/>
      <c r="OUP11" s="392"/>
      <c r="OUQ11" s="392"/>
      <c r="OUR11" s="392"/>
      <c r="OUS11" s="392"/>
      <c r="OUT11" s="392"/>
      <c r="OUU11" s="392"/>
      <c r="OUV11" s="392"/>
      <c r="OUW11" s="392"/>
      <c r="OUX11" s="392"/>
      <c r="OUY11" s="392"/>
      <c r="OUZ11" s="392"/>
      <c r="OVA11" s="392"/>
      <c r="OVB11" s="392"/>
      <c r="OVC11" s="392"/>
      <c r="OVD11" s="392"/>
      <c r="OVE11" s="392"/>
      <c r="OVF11" s="392"/>
      <c r="OVG11" s="392"/>
      <c r="OVH11" s="392"/>
      <c r="OVI11" s="392"/>
      <c r="OVJ11" s="392"/>
      <c r="OVK11" s="392"/>
      <c r="OVL11" s="392"/>
      <c r="OVM11" s="392"/>
      <c r="OVN11" s="392"/>
      <c r="OVO11" s="392"/>
      <c r="OVP11" s="392"/>
      <c r="OVQ11" s="392"/>
      <c r="OVR11" s="392"/>
      <c r="OVS11" s="392"/>
      <c r="OVT11" s="392"/>
      <c r="OVU11" s="392"/>
      <c r="OVV11" s="392"/>
      <c r="OVW11" s="392"/>
      <c r="OVX11" s="392"/>
      <c r="OVY11" s="392"/>
      <c r="OVZ11" s="392"/>
      <c r="OWA11" s="392"/>
      <c r="OWB11" s="392"/>
      <c r="OWC11" s="392"/>
      <c r="OWD11" s="392"/>
      <c r="OWE11" s="392"/>
      <c r="OWF11" s="392"/>
      <c r="OWG11" s="392"/>
      <c r="OWH11" s="392"/>
      <c r="OWI11" s="392"/>
      <c r="OWJ11" s="392"/>
      <c r="OWK11" s="392"/>
      <c r="OWL11" s="392"/>
      <c r="OWM11" s="392"/>
      <c r="OWN11" s="392"/>
      <c r="OWO11" s="392"/>
      <c r="OWP11" s="392"/>
      <c r="OWQ11" s="392"/>
      <c r="OWR11" s="392"/>
      <c r="OWS11" s="392"/>
      <c r="OWT11" s="392"/>
      <c r="OWU11" s="392"/>
      <c r="OWV11" s="392"/>
      <c r="OWW11" s="392"/>
      <c r="OWX11" s="392"/>
      <c r="OWY11" s="392"/>
      <c r="OWZ11" s="392"/>
      <c r="OXA11" s="392"/>
      <c r="OXB11" s="392"/>
      <c r="OXC11" s="392"/>
      <c r="OXD11" s="392"/>
      <c r="OXE11" s="392"/>
      <c r="OXF11" s="392"/>
      <c r="OXG11" s="392"/>
      <c r="OXH11" s="392"/>
      <c r="OXI11" s="392"/>
      <c r="OXJ11" s="392"/>
      <c r="OXK11" s="392"/>
      <c r="OXL11" s="392"/>
      <c r="OXM11" s="392"/>
      <c r="OXN11" s="392"/>
      <c r="OXO11" s="392"/>
      <c r="OXP11" s="392"/>
      <c r="OXQ11" s="392"/>
      <c r="OXR11" s="392"/>
      <c r="OXS11" s="392"/>
      <c r="OXT11" s="392"/>
      <c r="OXU11" s="392"/>
      <c r="OXV11" s="392"/>
      <c r="OXW11" s="392"/>
      <c r="OXX11" s="392"/>
      <c r="OXY11" s="392"/>
      <c r="OXZ11" s="392"/>
      <c r="OYA11" s="392"/>
      <c r="OYB11" s="392"/>
      <c r="OYC11" s="392"/>
      <c r="OYD11" s="392"/>
      <c r="OYE11" s="392"/>
      <c r="OYF11" s="392"/>
      <c r="OYG11" s="392"/>
      <c r="OYH11" s="392"/>
      <c r="OYI11" s="392"/>
      <c r="OYJ11" s="392"/>
      <c r="OYK11" s="392"/>
      <c r="OYL11" s="392"/>
      <c r="OYM11" s="392"/>
      <c r="OYN11" s="392"/>
      <c r="OYO11" s="392"/>
      <c r="OYP11" s="392"/>
      <c r="OYQ11" s="392"/>
      <c r="OYR11" s="392"/>
      <c r="OYS11" s="392"/>
      <c r="OYT11" s="392"/>
      <c r="OYU11" s="392"/>
      <c r="OYV11" s="392"/>
      <c r="OYW11" s="392"/>
      <c r="OYX11" s="392"/>
      <c r="OYY11" s="392"/>
      <c r="OYZ11" s="392"/>
      <c r="OZA11" s="392"/>
      <c r="OZB11" s="392"/>
      <c r="OZC11" s="392"/>
      <c r="OZD11" s="392"/>
      <c r="OZE11" s="392"/>
      <c r="OZF11" s="392"/>
      <c r="OZG11" s="392"/>
      <c r="OZH11" s="392"/>
      <c r="OZI11" s="392"/>
      <c r="OZJ11" s="392"/>
      <c r="OZK11" s="392"/>
      <c r="OZL11" s="392"/>
      <c r="OZM11" s="392"/>
      <c r="OZN11" s="392"/>
      <c r="OZO11" s="392"/>
      <c r="OZP11" s="392"/>
      <c r="OZQ11" s="392"/>
      <c r="OZR11" s="392"/>
      <c r="OZS11" s="392"/>
      <c r="OZT11" s="392"/>
      <c r="OZU11" s="392"/>
      <c r="OZV11" s="392"/>
      <c r="OZW11" s="392"/>
      <c r="OZX11" s="392"/>
      <c r="OZY11" s="392"/>
      <c r="OZZ11" s="392"/>
      <c r="PAA11" s="392"/>
      <c r="PAB11" s="392"/>
      <c r="PAC11" s="392"/>
      <c r="PAD11" s="392"/>
      <c r="PAE11" s="392"/>
      <c r="PAF11" s="392"/>
      <c r="PAG11" s="392"/>
      <c r="PAH11" s="392"/>
      <c r="PAI11" s="392"/>
      <c r="PAJ11" s="392"/>
      <c r="PAK11" s="392"/>
      <c r="PAL11" s="392"/>
      <c r="PAM11" s="392"/>
      <c r="PAN11" s="392"/>
      <c r="PAO11" s="392"/>
      <c r="PAP11" s="392"/>
      <c r="PAQ11" s="392"/>
      <c r="PAR11" s="392"/>
      <c r="PAS11" s="392"/>
      <c r="PAT11" s="392"/>
      <c r="PAU11" s="392"/>
      <c r="PAV11" s="392"/>
      <c r="PAW11" s="392"/>
      <c r="PAX11" s="392"/>
      <c r="PAY11" s="392"/>
      <c r="PAZ11" s="392"/>
      <c r="PBA11" s="392"/>
      <c r="PBB11" s="392"/>
      <c r="PBC11" s="392"/>
      <c r="PBD11" s="392"/>
      <c r="PBE11" s="392"/>
      <c r="PBF11" s="392"/>
      <c r="PBG11" s="392"/>
      <c r="PBH11" s="392"/>
      <c r="PBI11" s="392"/>
      <c r="PBJ11" s="392"/>
      <c r="PBK11" s="392"/>
      <c r="PBL11" s="392"/>
      <c r="PBM11" s="392"/>
      <c r="PBN11" s="392"/>
      <c r="PBO11" s="392"/>
      <c r="PBP11" s="392"/>
      <c r="PBQ11" s="392"/>
      <c r="PBR11" s="392"/>
      <c r="PBS11" s="392"/>
      <c r="PBT11" s="392"/>
      <c r="PBU11" s="392"/>
      <c r="PBV11" s="392"/>
      <c r="PBW11" s="392"/>
      <c r="PBX11" s="392"/>
      <c r="PBY11" s="392"/>
      <c r="PBZ11" s="392"/>
      <c r="PCA11" s="392"/>
      <c r="PCB11" s="392"/>
      <c r="PCC11" s="392"/>
      <c r="PCD11" s="392"/>
      <c r="PCE11" s="392"/>
      <c r="PCF11" s="392"/>
      <c r="PCG11" s="392"/>
      <c r="PCH11" s="392"/>
      <c r="PCI11" s="392"/>
      <c r="PCJ11" s="392"/>
      <c r="PCK11" s="392"/>
      <c r="PCL11" s="392"/>
      <c r="PCM11" s="392"/>
      <c r="PCN11" s="392"/>
      <c r="PCO11" s="392"/>
      <c r="PCP11" s="392"/>
      <c r="PCQ11" s="392"/>
      <c r="PCR11" s="392"/>
      <c r="PCS11" s="392"/>
      <c r="PCT11" s="392"/>
      <c r="PCU11" s="392"/>
      <c r="PCV11" s="392"/>
      <c r="PCW11" s="392"/>
      <c r="PCX11" s="392"/>
      <c r="PCY11" s="392"/>
      <c r="PCZ11" s="392"/>
      <c r="PDA11" s="392"/>
      <c r="PDB11" s="392"/>
      <c r="PDC11" s="392"/>
      <c r="PDD11" s="392"/>
      <c r="PDE11" s="392"/>
      <c r="PDF11" s="392"/>
      <c r="PDG11" s="392"/>
      <c r="PDH11" s="392"/>
      <c r="PDI11" s="392"/>
      <c r="PDJ11" s="392"/>
      <c r="PDK11" s="392"/>
      <c r="PDL11" s="392"/>
      <c r="PDM11" s="392"/>
      <c r="PDN11" s="392"/>
      <c r="PDO11" s="392"/>
      <c r="PDP11" s="392"/>
      <c r="PDQ11" s="392"/>
      <c r="PDR11" s="392"/>
      <c r="PDS11" s="392"/>
      <c r="PDT11" s="392"/>
      <c r="PDU11" s="392"/>
      <c r="PDV11" s="392"/>
      <c r="PDW11" s="392"/>
      <c r="PDX11" s="392"/>
      <c r="PDY11" s="392"/>
      <c r="PDZ11" s="392"/>
      <c r="PEA11" s="392"/>
      <c r="PEB11" s="392"/>
      <c r="PEC11" s="392"/>
      <c r="PED11" s="392"/>
      <c r="PEE11" s="392"/>
      <c r="PEF11" s="392"/>
      <c r="PEG11" s="392"/>
      <c r="PEH11" s="392"/>
      <c r="PEI11" s="392"/>
      <c r="PEJ11" s="392"/>
      <c r="PEK11" s="392"/>
      <c r="PEL11" s="392"/>
      <c r="PEM11" s="392"/>
      <c r="PEN11" s="392"/>
      <c r="PEO11" s="392"/>
      <c r="PEP11" s="392"/>
      <c r="PEQ11" s="392"/>
      <c r="PER11" s="392"/>
      <c r="PES11" s="392"/>
      <c r="PET11" s="392"/>
      <c r="PEU11" s="392"/>
      <c r="PEV11" s="392"/>
      <c r="PEW11" s="392"/>
      <c r="PEX11" s="392"/>
      <c r="PEY11" s="392"/>
      <c r="PEZ11" s="392"/>
      <c r="PFA11" s="392"/>
      <c r="PFB11" s="392"/>
      <c r="PFC11" s="392"/>
      <c r="PFD11" s="392"/>
      <c r="PFE11" s="392"/>
      <c r="PFF11" s="392"/>
      <c r="PFG11" s="392"/>
      <c r="PFH11" s="392"/>
      <c r="PFI11" s="392"/>
      <c r="PFJ11" s="392"/>
      <c r="PFK11" s="392"/>
      <c r="PFL11" s="392"/>
      <c r="PFM11" s="392"/>
      <c r="PFN11" s="392"/>
      <c r="PFO11" s="392"/>
      <c r="PFP11" s="392"/>
      <c r="PFQ11" s="392"/>
      <c r="PFR11" s="392"/>
      <c r="PFS11" s="392"/>
      <c r="PFT11" s="392"/>
      <c r="PFU11" s="392"/>
      <c r="PFV11" s="392"/>
      <c r="PFW11" s="392"/>
      <c r="PFX11" s="392"/>
      <c r="PFY11" s="392"/>
      <c r="PFZ11" s="392"/>
      <c r="PGA11" s="392"/>
      <c r="PGB11" s="392"/>
      <c r="PGC11" s="392"/>
      <c r="PGD11" s="392"/>
      <c r="PGE11" s="392"/>
      <c r="PGF11" s="392"/>
      <c r="PGG11" s="392"/>
      <c r="PGH11" s="392"/>
      <c r="PGI11" s="392"/>
      <c r="PGJ11" s="392"/>
      <c r="PGK11" s="392"/>
      <c r="PGL11" s="392"/>
      <c r="PGM11" s="392"/>
      <c r="PGN11" s="392"/>
      <c r="PGO11" s="392"/>
      <c r="PGP11" s="392"/>
      <c r="PGQ11" s="392"/>
      <c r="PGR11" s="392"/>
      <c r="PGS11" s="392"/>
      <c r="PGT11" s="392"/>
      <c r="PGU11" s="392"/>
      <c r="PGV11" s="392"/>
      <c r="PGW11" s="392"/>
      <c r="PGX11" s="392"/>
      <c r="PGY11" s="392"/>
      <c r="PGZ11" s="392"/>
      <c r="PHA11" s="392"/>
      <c r="PHB11" s="392"/>
      <c r="PHC11" s="392"/>
      <c r="PHD11" s="392"/>
      <c r="PHE11" s="392"/>
      <c r="PHF11" s="392"/>
      <c r="PHG11" s="392"/>
      <c r="PHH11" s="392"/>
      <c r="PHI11" s="392"/>
      <c r="PHJ11" s="392"/>
      <c r="PHK11" s="392"/>
      <c r="PHL11" s="392"/>
      <c r="PHM11" s="392"/>
      <c r="PHN11" s="392"/>
      <c r="PHO11" s="392"/>
      <c r="PHP11" s="392"/>
      <c r="PHQ11" s="392"/>
      <c r="PHR11" s="392"/>
      <c r="PHS11" s="392"/>
      <c r="PHT11" s="392"/>
      <c r="PHU11" s="392"/>
      <c r="PHV11" s="392"/>
      <c r="PHW11" s="392"/>
      <c r="PHX11" s="392"/>
      <c r="PHY11" s="392"/>
      <c r="PHZ11" s="392"/>
      <c r="PIA11" s="392"/>
      <c r="PIB11" s="392"/>
      <c r="PIC11" s="392"/>
      <c r="PID11" s="392"/>
      <c r="PIE11" s="392"/>
      <c r="PIF11" s="392"/>
      <c r="PIG11" s="392"/>
      <c r="PIH11" s="392"/>
      <c r="PII11" s="392"/>
      <c r="PIJ11" s="392"/>
      <c r="PIK11" s="392"/>
      <c r="PIL11" s="392"/>
      <c r="PIM11" s="392"/>
      <c r="PIN11" s="392"/>
      <c r="PIO11" s="392"/>
      <c r="PIP11" s="392"/>
      <c r="PIQ11" s="392"/>
      <c r="PIR11" s="392"/>
      <c r="PIS11" s="392"/>
      <c r="PIT11" s="392"/>
      <c r="PIU11" s="392"/>
      <c r="PIV11" s="392"/>
      <c r="PIW11" s="392"/>
      <c r="PIX11" s="392"/>
      <c r="PIY11" s="392"/>
      <c r="PIZ11" s="392"/>
      <c r="PJA11" s="392"/>
      <c r="PJB11" s="392"/>
      <c r="PJC11" s="392"/>
      <c r="PJD11" s="392"/>
      <c r="PJE11" s="392"/>
      <c r="PJF11" s="392"/>
      <c r="PJG11" s="392"/>
      <c r="PJH11" s="392"/>
      <c r="PJI11" s="392"/>
      <c r="PJJ11" s="392"/>
      <c r="PJK11" s="392"/>
      <c r="PJL11" s="392"/>
      <c r="PJM11" s="392"/>
      <c r="PJN11" s="392"/>
      <c r="PJO11" s="392"/>
      <c r="PJP11" s="392"/>
      <c r="PJQ11" s="392"/>
      <c r="PJR11" s="392"/>
      <c r="PJS11" s="392"/>
      <c r="PJT11" s="392"/>
      <c r="PJU11" s="392"/>
      <c r="PJV11" s="392"/>
      <c r="PJW11" s="392"/>
      <c r="PJX11" s="392"/>
      <c r="PJY11" s="392"/>
      <c r="PJZ11" s="392"/>
      <c r="PKA11" s="392"/>
      <c r="PKB11" s="392"/>
      <c r="PKC11" s="392"/>
      <c r="PKD11" s="392"/>
      <c r="PKE11" s="392"/>
      <c r="PKF11" s="392"/>
      <c r="PKG11" s="392"/>
      <c r="PKH11" s="392"/>
      <c r="PKI11" s="392"/>
      <c r="PKJ11" s="392"/>
      <c r="PKK11" s="392"/>
      <c r="PKL11" s="392"/>
      <c r="PKM11" s="392"/>
      <c r="PKN11" s="392"/>
      <c r="PKO11" s="392"/>
      <c r="PKP11" s="392"/>
      <c r="PKQ11" s="392"/>
      <c r="PKR11" s="392"/>
      <c r="PKS11" s="392"/>
      <c r="PKT11" s="392"/>
      <c r="PKU11" s="392"/>
      <c r="PKV11" s="392"/>
      <c r="PKW11" s="392"/>
      <c r="PKX11" s="392"/>
      <c r="PKY11" s="392"/>
      <c r="PKZ11" s="392"/>
      <c r="PLA11" s="392"/>
      <c r="PLB11" s="392"/>
      <c r="PLC11" s="392"/>
      <c r="PLD11" s="392"/>
      <c r="PLE11" s="392"/>
      <c r="PLF11" s="392"/>
      <c r="PLG11" s="392"/>
      <c r="PLH11" s="392"/>
      <c r="PLI11" s="392"/>
      <c r="PLJ11" s="392"/>
      <c r="PLK11" s="392"/>
      <c r="PLL11" s="392"/>
      <c r="PLM11" s="392"/>
      <c r="PLN11" s="392"/>
      <c r="PLO11" s="392"/>
      <c r="PLP11" s="392"/>
      <c r="PLQ11" s="392"/>
      <c r="PLR11" s="392"/>
      <c r="PLS11" s="392"/>
      <c r="PLT11" s="392"/>
      <c r="PLU11" s="392"/>
      <c r="PLV11" s="392"/>
      <c r="PLW11" s="392"/>
      <c r="PLX11" s="392"/>
      <c r="PLY11" s="392"/>
      <c r="PLZ11" s="392"/>
      <c r="PMA11" s="392"/>
      <c r="PMB11" s="392"/>
      <c r="PMC11" s="392"/>
      <c r="PMD11" s="392"/>
      <c r="PME11" s="392"/>
      <c r="PMF11" s="392"/>
      <c r="PMG11" s="392"/>
      <c r="PMH11" s="392"/>
      <c r="PMI11" s="392"/>
      <c r="PMJ11" s="392"/>
      <c r="PMK11" s="392"/>
      <c r="PML11" s="392"/>
      <c r="PMM11" s="392"/>
      <c r="PMN11" s="392"/>
      <c r="PMO11" s="392"/>
      <c r="PMP11" s="392"/>
      <c r="PMQ11" s="392"/>
      <c r="PMR11" s="392"/>
      <c r="PMS11" s="392"/>
      <c r="PMT11" s="392"/>
      <c r="PMU11" s="392"/>
      <c r="PMV11" s="392"/>
      <c r="PMW11" s="392"/>
      <c r="PMX11" s="392"/>
      <c r="PMY11" s="392"/>
      <c r="PMZ11" s="392"/>
      <c r="PNA11" s="392"/>
      <c r="PNB11" s="392"/>
      <c r="PNC11" s="392"/>
      <c r="PND11" s="392"/>
      <c r="PNE11" s="392"/>
      <c r="PNF11" s="392"/>
      <c r="PNG11" s="392"/>
      <c r="PNH11" s="392"/>
      <c r="PNI11" s="392"/>
      <c r="PNJ11" s="392"/>
      <c r="PNK11" s="392"/>
      <c r="PNL11" s="392"/>
      <c r="PNM11" s="392"/>
      <c r="PNN11" s="392"/>
      <c r="PNO11" s="392"/>
      <c r="PNP11" s="392"/>
      <c r="PNQ11" s="392"/>
      <c r="PNR11" s="392"/>
      <c r="PNS11" s="392"/>
      <c r="PNT11" s="392"/>
      <c r="PNU11" s="392"/>
      <c r="PNV11" s="392"/>
      <c r="PNW11" s="392"/>
      <c r="PNX11" s="392"/>
      <c r="PNY11" s="392"/>
      <c r="PNZ11" s="392"/>
      <c r="POA11" s="392"/>
      <c r="POB11" s="392"/>
      <c r="POC11" s="392"/>
      <c r="POD11" s="392"/>
      <c r="POE11" s="392"/>
      <c r="POF11" s="392"/>
      <c r="POG11" s="392"/>
      <c r="POH11" s="392"/>
      <c r="POI11" s="392"/>
      <c r="POJ11" s="392"/>
      <c r="POK11" s="392"/>
      <c r="POL11" s="392"/>
      <c r="POM11" s="392"/>
      <c r="PON11" s="392"/>
      <c r="POO11" s="392"/>
      <c r="POP11" s="392"/>
      <c r="POQ11" s="392"/>
      <c r="POR11" s="392"/>
      <c r="POS11" s="392"/>
      <c r="POT11" s="392"/>
      <c r="POU11" s="392"/>
      <c r="POV11" s="392"/>
      <c r="POW11" s="392"/>
      <c r="POX11" s="392"/>
      <c r="POY11" s="392"/>
      <c r="POZ11" s="392"/>
      <c r="PPA11" s="392"/>
      <c r="PPB11" s="392"/>
      <c r="PPC11" s="392"/>
      <c r="PPD11" s="392"/>
      <c r="PPE11" s="392"/>
      <c r="PPF11" s="392"/>
      <c r="PPG11" s="392"/>
      <c r="PPH11" s="392"/>
      <c r="PPI11" s="392"/>
      <c r="PPJ11" s="392"/>
      <c r="PPK11" s="392"/>
      <c r="PPL11" s="392"/>
      <c r="PPM11" s="392"/>
      <c r="PPN11" s="392"/>
      <c r="PPO11" s="392"/>
      <c r="PPP11" s="392"/>
      <c r="PPQ11" s="392"/>
      <c r="PPR11" s="392"/>
      <c r="PPS11" s="392"/>
      <c r="PPT11" s="392"/>
      <c r="PPU11" s="392"/>
      <c r="PPV11" s="392"/>
      <c r="PPW11" s="392"/>
      <c r="PPX11" s="392"/>
      <c r="PPY11" s="392"/>
      <c r="PPZ11" s="392"/>
      <c r="PQA11" s="392"/>
      <c r="PQB11" s="392"/>
      <c r="PQC11" s="392"/>
      <c r="PQD11" s="392"/>
      <c r="PQE11" s="392"/>
      <c r="PQF11" s="392"/>
      <c r="PQG11" s="392"/>
      <c r="PQH11" s="392"/>
      <c r="PQI11" s="392"/>
      <c r="PQJ11" s="392"/>
      <c r="PQK11" s="392"/>
      <c r="PQL11" s="392"/>
      <c r="PQM11" s="392"/>
      <c r="PQN11" s="392"/>
      <c r="PQO11" s="392"/>
      <c r="PQP11" s="392"/>
      <c r="PQQ11" s="392"/>
      <c r="PQR11" s="392"/>
      <c r="PQS11" s="392"/>
      <c r="PQT11" s="392"/>
      <c r="PQU11" s="392"/>
      <c r="PQV11" s="392"/>
      <c r="PQW11" s="392"/>
      <c r="PQX11" s="392"/>
      <c r="PQY11" s="392"/>
      <c r="PQZ11" s="392"/>
      <c r="PRA11" s="392"/>
      <c r="PRB11" s="392"/>
      <c r="PRC11" s="392"/>
      <c r="PRD11" s="392"/>
      <c r="PRE11" s="392"/>
      <c r="PRF11" s="392"/>
      <c r="PRG11" s="392"/>
      <c r="PRH11" s="392"/>
      <c r="PRI11" s="392"/>
      <c r="PRJ11" s="392"/>
      <c r="PRK11" s="392"/>
      <c r="PRL11" s="392"/>
      <c r="PRM11" s="392"/>
      <c r="PRN11" s="392"/>
      <c r="PRO11" s="392"/>
      <c r="PRP11" s="392"/>
      <c r="PRQ11" s="392"/>
      <c r="PRR11" s="392"/>
      <c r="PRS11" s="392"/>
      <c r="PRT11" s="392"/>
      <c r="PRU11" s="392"/>
      <c r="PRV11" s="392"/>
      <c r="PRW11" s="392"/>
      <c r="PRX11" s="392"/>
      <c r="PRY11" s="392"/>
      <c r="PRZ11" s="392"/>
      <c r="PSA11" s="392"/>
      <c r="PSB11" s="392"/>
      <c r="PSC11" s="392"/>
      <c r="PSD11" s="392"/>
      <c r="PSE11" s="392"/>
      <c r="PSF11" s="392"/>
      <c r="PSG11" s="392"/>
      <c r="PSH11" s="392"/>
      <c r="PSI11" s="392"/>
      <c r="PSJ11" s="392"/>
      <c r="PSK11" s="392"/>
      <c r="PSL11" s="392"/>
      <c r="PSM11" s="392"/>
      <c r="PSN11" s="392"/>
      <c r="PSO11" s="392"/>
      <c r="PSP11" s="392"/>
      <c r="PSQ11" s="392"/>
      <c r="PSR11" s="392"/>
      <c r="PSS11" s="392"/>
      <c r="PST11" s="392"/>
      <c r="PSU11" s="392"/>
      <c r="PSV11" s="392"/>
      <c r="PSW11" s="392"/>
      <c r="PSX11" s="392"/>
      <c r="PSY11" s="392"/>
      <c r="PSZ11" s="392"/>
      <c r="PTA11" s="392"/>
      <c r="PTB11" s="392"/>
      <c r="PTC11" s="392"/>
      <c r="PTD11" s="392"/>
      <c r="PTE11" s="392"/>
      <c r="PTF11" s="392"/>
      <c r="PTG11" s="392"/>
      <c r="PTH11" s="392"/>
      <c r="PTI11" s="392"/>
      <c r="PTJ11" s="392"/>
      <c r="PTK11" s="392"/>
      <c r="PTL11" s="392"/>
      <c r="PTM11" s="392"/>
      <c r="PTN11" s="392"/>
      <c r="PTO11" s="392"/>
      <c r="PTP11" s="392"/>
      <c r="PTQ11" s="392"/>
      <c r="PTR11" s="392"/>
      <c r="PTS11" s="392"/>
      <c r="PTT11" s="392"/>
      <c r="PTU11" s="392"/>
      <c r="PTV11" s="392"/>
      <c r="PTW11" s="392"/>
      <c r="PTX11" s="392"/>
      <c r="PTY11" s="392"/>
      <c r="PTZ11" s="392"/>
      <c r="PUA11" s="392"/>
      <c r="PUB11" s="392"/>
      <c r="PUC11" s="392"/>
      <c r="PUD11" s="392"/>
      <c r="PUE11" s="392"/>
      <c r="PUF11" s="392"/>
      <c r="PUG11" s="392"/>
      <c r="PUH11" s="392"/>
      <c r="PUI11" s="392"/>
      <c r="PUJ11" s="392"/>
      <c r="PUK11" s="392"/>
      <c r="PUL11" s="392"/>
      <c r="PUM11" s="392"/>
      <c r="PUN11" s="392"/>
      <c r="PUO11" s="392"/>
      <c r="PUP11" s="392"/>
      <c r="PUQ11" s="392"/>
      <c r="PUR11" s="392"/>
      <c r="PUS11" s="392"/>
      <c r="PUT11" s="392"/>
      <c r="PUU11" s="392"/>
      <c r="PUV11" s="392"/>
      <c r="PUW11" s="392"/>
      <c r="PUX11" s="392"/>
      <c r="PUY11" s="392"/>
      <c r="PUZ11" s="392"/>
      <c r="PVA11" s="392"/>
      <c r="PVB11" s="392"/>
      <c r="PVC11" s="392"/>
      <c r="PVD11" s="392"/>
      <c r="PVE11" s="392"/>
      <c r="PVF11" s="392"/>
      <c r="PVG11" s="392"/>
      <c r="PVH11" s="392"/>
      <c r="PVI11" s="392"/>
      <c r="PVJ11" s="392"/>
      <c r="PVK11" s="392"/>
      <c r="PVL11" s="392"/>
      <c r="PVM11" s="392"/>
      <c r="PVN11" s="392"/>
      <c r="PVO11" s="392"/>
      <c r="PVP11" s="392"/>
      <c r="PVQ11" s="392"/>
      <c r="PVR11" s="392"/>
      <c r="PVS11" s="392"/>
      <c r="PVT11" s="392"/>
      <c r="PVU11" s="392"/>
      <c r="PVV11" s="392"/>
      <c r="PVW11" s="392"/>
      <c r="PVX11" s="392"/>
      <c r="PVY11" s="392"/>
      <c r="PVZ11" s="392"/>
      <c r="PWA11" s="392"/>
      <c r="PWB11" s="392"/>
      <c r="PWC11" s="392"/>
      <c r="PWD11" s="392"/>
      <c r="PWE11" s="392"/>
      <c r="PWF11" s="392"/>
      <c r="PWG11" s="392"/>
      <c r="PWH11" s="392"/>
      <c r="PWI11" s="392"/>
      <c r="PWJ11" s="392"/>
      <c r="PWK11" s="392"/>
      <c r="PWL11" s="392"/>
      <c r="PWM11" s="392"/>
      <c r="PWN11" s="392"/>
      <c r="PWO11" s="392"/>
      <c r="PWP11" s="392"/>
      <c r="PWQ11" s="392"/>
      <c r="PWR11" s="392"/>
      <c r="PWS11" s="392"/>
      <c r="PWT11" s="392"/>
      <c r="PWU11" s="392"/>
      <c r="PWV11" s="392"/>
      <c r="PWW11" s="392"/>
      <c r="PWX11" s="392"/>
      <c r="PWY11" s="392"/>
      <c r="PWZ11" s="392"/>
      <c r="PXA11" s="392"/>
      <c r="PXB11" s="392"/>
      <c r="PXC11" s="392"/>
      <c r="PXD11" s="392"/>
      <c r="PXE11" s="392"/>
      <c r="PXF11" s="392"/>
      <c r="PXG11" s="392"/>
      <c r="PXH11" s="392"/>
      <c r="PXI11" s="392"/>
      <c r="PXJ11" s="392"/>
      <c r="PXK11" s="392"/>
      <c r="PXL11" s="392"/>
      <c r="PXM11" s="392"/>
      <c r="PXN11" s="392"/>
      <c r="PXO11" s="392"/>
      <c r="PXP11" s="392"/>
      <c r="PXQ11" s="392"/>
      <c r="PXR11" s="392"/>
      <c r="PXS11" s="392"/>
      <c r="PXT11" s="392"/>
      <c r="PXU11" s="392"/>
      <c r="PXV11" s="392"/>
      <c r="PXW11" s="392"/>
      <c r="PXX11" s="392"/>
      <c r="PXY11" s="392"/>
      <c r="PXZ11" s="392"/>
      <c r="PYA11" s="392"/>
      <c r="PYB11" s="392"/>
      <c r="PYC11" s="392"/>
      <c r="PYD11" s="392"/>
      <c r="PYE11" s="392"/>
      <c r="PYF11" s="392"/>
      <c r="PYG11" s="392"/>
      <c r="PYH11" s="392"/>
      <c r="PYI11" s="392"/>
      <c r="PYJ11" s="392"/>
      <c r="PYK11" s="392"/>
      <c r="PYL11" s="392"/>
      <c r="PYM11" s="392"/>
      <c r="PYN11" s="392"/>
      <c r="PYO11" s="392"/>
      <c r="PYP11" s="392"/>
      <c r="PYQ11" s="392"/>
      <c r="PYR11" s="392"/>
      <c r="PYS11" s="392"/>
      <c r="PYT11" s="392"/>
      <c r="PYU11" s="392"/>
      <c r="PYV11" s="392"/>
      <c r="PYW11" s="392"/>
      <c r="PYX11" s="392"/>
      <c r="PYY11" s="392"/>
      <c r="PYZ11" s="392"/>
      <c r="PZA11" s="392"/>
      <c r="PZB11" s="392"/>
      <c r="PZC11" s="392"/>
      <c r="PZD11" s="392"/>
      <c r="PZE11" s="392"/>
      <c r="PZF11" s="392"/>
      <c r="PZG11" s="392"/>
      <c r="PZH11" s="392"/>
      <c r="PZI11" s="392"/>
      <c r="PZJ11" s="392"/>
      <c r="PZK11" s="392"/>
      <c r="PZL11" s="392"/>
      <c r="PZM11" s="392"/>
      <c r="PZN11" s="392"/>
      <c r="PZO11" s="392"/>
      <c r="PZP11" s="392"/>
      <c r="PZQ11" s="392"/>
      <c r="PZR11" s="392"/>
      <c r="PZS11" s="392"/>
      <c r="PZT11" s="392"/>
      <c r="PZU11" s="392"/>
      <c r="PZV11" s="392"/>
      <c r="PZW11" s="392"/>
      <c r="PZX11" s="392"/>
      <c r="PZY11" s="392"/>
      <c r="PZZ11" s="392"/>
      <c r="QAA11" s="392"/>
      <c r="QAB11" s="392"/>
      <c r="QAC11" s="392"/>
      <c r="QAD11" s="392"/>
      <c r="QAE11" s="392"/>
      <c r="QAF11" s="392"/>
      <c r="QAG11" s="392"/>
      <c r="QAH11" s="392"/>
      <c r="QAI11" s="392"/>
      <c r="QAJ11" s="392"/>
      <c r="QAK11" s="392"/>
      <c r="QAL11" s="392"/>
      <c r="QAM11" s="392"/>
      <c r="QAN11" s="392"/>
      <c r="QAO11" s="392"/>
      <c r="QAP11" s="392"/>
      <c r="QAQ11" s="392"/>
      <c r="QAR11" s="392"/>
      <c r="QAS11" s="392"/>
      <c r="QAT11" s="392"/>
      <c r="QAU11" s="392"/>
      <c r="QAV11" s="392"/>
      <c r="QAW11" s="392"/>
      <c r="QAX11" s="392"/>
      <c r="QAY11" s="392"/>
      <c r="QAZ11" s="392"/>
      <c r="QBA11" s="392"/>
      <c r="QBB11" s="392"/>
      <c r="QBC11" s="392"/>
      <c r="QBD11" s="392"/>
      <c r="QBE11" s="392"/>
      <c r="QBF11" s="392"/>
      <c r="QBG11" s="392"/>
      <c r="QBH11" s="392"/>
      <c r="QBI11" s="392"/>
      <c r="QBJ11" s="392"/>
      <c r="QBK11" s="392"/>
      <c r="QBL11" s="392"/>
      <c r="QBM11" s="392"/>
      <c r="QBN11" s="392"/>
      <c r="QBO11" s="392"/>
      <c r="QBP11" s="392"/>
      <c r="QBQ11" s="392"/>
      <c r="QBR11" s="392"/>
      <c r="QBS11" s="392"/>
      <c r="QBT11" s="392"/>
      <c r="QBU11" s="392"/>
      <c r="QBV11" s="392"/>
      <c r="QBW11" s="392"/>
      <c r="QBX11" s="392"/>
      <c r="QBY11" s="392"/>
      <c r="QBZ11" s="392"/>
      <c r="QCA11" s="392"/>
      <c r="QCB11" s="392"/>
      <c r="QCC11" s="392"/>
      <c r="QCD11" s="392"/>
      <c r="QCE11" s="392"/>
      <c r="QCF11" s="392"/>
      <c r="QCG11" s="392"/>
      <c r="QCH11" s="392"/>
      <c r="QCI11" s="392"/>
      <c r="QCJ11" s="392"/>
      <c r="QCK11" s="392"/>
      <c r="QCL11" s="392"/>
      <c r="QCM11" s="392"/>
      <c r="QCN11" s="392"/>
      <c r="QCO11" s="392"/>
      <c r="QCP11" s="392"/>
      <c r="QCQ11" s="392"/>
      <c r="QCR11" s="392"/>
      <c r="QCS11" s="392"/>
      <c r="QCT11" s="392"/>
      <c r="QCU11" s="392"/>
      <c r="QCV11" s="392"/>
      <c r="QCW11" s="392"/>
      <c r="QCX11" s="392"/>
      <c r="QCY11" s="392"/>
      <c r="QCZ11" s="392"/>
      <c r="QDA11" s="392"/>
      <c r="QDB11" s="392"/>
      <c r="QDC11" s="392"/>
      <c r="QDD11" s="392"/>
      <c r="QDE11" s="392"/>
      <c r="QDF11" s="392"/>
      <c r="QDG11" s="392"/>
      <c r="QDH11" s="392"/>
      <c r="QDI11" s="392"/>
      <c r="QDJ11" s="392"/>
      <c r="QDK11" s="392"/>
      <c r="QDL11" s="392"/>
      <c r="QDM11" s="392"/>
      <c r="QDN11" s="392"/>
      <c r="QDO11" s="392"/>
      <c r="QDP11" s="392"/>
      <c r="QDQ11" s="392"/>
      <c r="QDR11" s="392"/>
      <c r="QDS11" s="392"/>
      <c r="QDT11" s="392"/>
      <c r="QDU11" s="392"/>
      <c r="QDV11" s="392"/>
      <c r="QDW11" s="392"/>
      <c r="QDX11" s="392"/>
      <c r="QDY11" s="392"/>
      <c r="QDZ11" s="392"/>
      <c r="QEA11" s="392"/>
      <c r="QEB11" s="392"/>
      <c r="QEC11" s="392"/>
      <c r="QED11" s="392"/>
      <c r="QEE11" s="392"/>
      <c r="QEF11" s="392"/>
      <c r="QEG11" s="392"/>
      <c r="QEH11" s="392"/>
      <c r="QEI11" s="392"/>
      <c r="QEJ11" s="392"/>
      <c r="QEK11" s="392"/>
      <c r="QEL11" s="392"/>
      <c r="QEM11" s="392"/>
      <c r="QEN11" s="392"/>
      <c r="QEO11" s="392"/>
      <c r="QEP11" s="392"/>
      <c r="QEQ11" s="392"/>
      <c r="QER11" s="392"/>
      <c r="QES11" s="392"/>
      <c r="QET11" s="392"/>
      <c r="QEU11" s="392"/>
      <c r="QEV11" s="392"/>
      <c r="QEW11" s="392"/>
      <c r="QEX11" s="392"/>
      <c r="QEY11" s="392"/>
      <c r="QEZ11" s="392"/>
      <c r="QFA11" s="392"/>
      <c r="QFB11" s="392"/>
      <c r="QFC11" s="392"/>
      <c r="QFD11" s="392"/>
      <c r="QFE11" s="392"/>
      <c r="QFF11" s="392"/>
      <c r="QFG11" s="392"/>
      <c r="QFH11" s="392"/>
      <c r="QFI11" s="392"/>
      <c r="QFJ11" s="392"/>
      <c r="QFK11" s="392"/>
      <c r="QFL11" s="392"/>
      <c r="QFM11" s="392"/>
      <c r="QFN11" s="392"/>
      <c r="QFO11" s="392"/>
      <c r="QFP11" s="392"/>
      <c r="QFQ11" s="392"/>
      <c r="QFR11" s="392"/>
      <c r="QFS11" s="392"/>
      <c r="QFT11" s="392"/>
      <c r="QFU11" s="392"/>
      <c r="QFV11" s="392"/>
      <c r="QFW11" s="392"/>
      <c r="QFX11" s="392"/>
      <c r="QFY11" s="392"/>
      <c r="QFZ11" s="392"/>
      <c r="QGA11" s="392"/>
      <c r="QGB11" s="392"/>
      <c r="QGC11" s="392"/>
      <c r="QGD11" s="392"/>
      <c r="QGE11" s="392"/>
      <c r="QGF11" s="392"/>
      <c r="QGG11" s="392"/>
      <c r="QGH11" s="392"/>
      <c r="QGI11" s="392"/>
      <c r="QGJ11" s="392"/>
      <c r="QGK11" s="392"/>
      <c r="QGL11" s="392"/>
      <c r="QGM11" s="392"/>
      <c r="QGN11" s="392"/>
      <c r="QGO11" s="392"/>
      <c r="QGP11" s="392"/>
      <c r="QGQ11" s="392"/>
      <c r="QGR11" s="392"/>
      <c r="QGS11" s="392"/>
      <c r="QGT11" s="392"/>
      <c r="QGU11" s="392"/>
      <c r="QGV11" s="392"/>
      <c r="QGW11" s="392"/>
      <c r="QGX11" s="392"/>
      <c r="QGY11" s="392"/>
      <c r="QGZ11" s="392"/>
      <c r="QHA11" s="392"/>
      <c r="QHB11" s="392"/>
      <c r="QHC11" s="392"/>
      <c r="QHD11" s="392"/>
      <c r="QHE11" s="392"/>
      <c r="QHF11" s="392"/>
      <c r="QHG11" s="392"/>
      <c r="QHH11" s="392"/>
      <c r="QHI11" s="392"/>
      <c r="QHJ11" s="392"/>
      <c r="QHK11" s="392"/>
      <c r="QHL11" s="392"/>
      <c r="QHM11" s="392"/>
      <c r="QHN11" s="392"/>
      <c r="QHO11" s="392"/>
      <c r="QHP11" s="392"/>
      <c r="QHQ11" s="392"/>
      <c r="QHR11" s="392"/>
      <c r="QHS11" s="392"/>
      <c r="QHT11" s="392"/>
      <c r="QHU11" s="392"/>
      <c r="QHV11" s="392"/>
      <c r="QHW11" s="392"/>
      <c r="QHX11" s="392"/>
      <c r="QHY11" s="392"/>
      <c r="QHZ11" s="392"/>
      <c r="QIA11" s="392"/>
      <c r="QIB11" s="392"/>
      <c r="QIC11" s="392"/>
      <c r="QID11" s="392"/>
      <c r="QIE11" s="392"/>
      <c r="QIF11" s="392"/>
      <c r="QIG11" s="392"/>
      <c r="QIH11" s="392"/>
      <c r="QII11" s="392"/>
      <c r="QIJ11" s="392"/>
      <c r="QIK11" s="392"/>
      <c r="QIL11" s="392"/>
      <c r="QIM11" s="392"/>
      <c r="QIN11" s="392"/>
      <c r="QIO11" s="392"/>
      <c r="QIP11" s="392"/>
      <c r="QIQ11" s="392"/>
      <c r="QIR11" s="392"/>
      <c r="QIS11" s="392"/>
      <c r="QIT11" s="392"/>
      <c r="QIU11" s="392"/>
      <c r="QIV11" s="392"/>
      <c r="QIW11" s="392"/>
      <c r="QIX11" s="392"/>
      <c r="QIY11" s="392"/>
      <c r="QIZ11" s="392"/>
      <c r="QJA11" s="392"/>
      <c r="QJB11" s="392"/>
      <c r="QJC11" s="392"/>
      <c r="QJD11" s="392"/>
      <c r="QJE11" s="392"/>
      <c r="QJF11" s="392"/>
      <c r="QJG11" s="392"/>
      <c r="QJH11" s="392"/>
      <c r="QJI11" s="392"/>
      <c r="QJJ11" s="392"/>
      <c r="QJK11" s="392"/>
      <c r="QJL11" s="392"/>
      <c r="QJM11" s="392"/>
      <c r="QJN11" s="392"/>
      <c r="QJO11" s="392"/>
      <c r="QJP11" s="392"/>
      <c r="QJQ11" s="392"/>
      <c r="QJR11" s="392"/>
      <c r="QJS11" s="392"/>
      <c r="QJT11" s="392"/>
      <c r="QJU11" s="392"/>
      <c r="QJV11" s="392"/>
      <c r="QJW11" s="392"/>
      <c r="QJX11" s="392"/>
      <c r="QJY11" s="392"/>
      <c r="QJZ11" s="392"/>
      <c r="QKA11" s="392"/>
      <c r="QKB11" s="392"/>
      <c r="QKC11" s="392"/>
      <c r="QKD11" s="392"/>
      <c r="QKE11" s="392"/>
      <c r="QKF11" s="392"/>
      <c r="QKG11" s="392"/>
      <c r="QKH11" s="392"/>
      <c r="QKI11" s="392"/>
      <c r="QKJ11" s="392"/>
      <c r="QKK11" s="392"/>
      <c r="QKL11" s="392"/>
      <c r="QKM11" s="392"/>
      <c r="QKN11" s="392"/>
      <c r="QKO11" s="392"/>
      <c r="QKP11" s="392"/>
      <c r="QKQ11" s="392"/>
      <c r="QKR11" s="392"/>
      <c r="QKS11" s="392"/>
      <c r="QKT11" s="392"/>
      <c r="QKU11" s="392"/>
      <c r="QKV11" s="392"/>
      <c r="QKW11" s="392"/>
      <c r="QKX11" s="392"/>
      <c r="QKY11" s="392"/>
      <c r="QKZ11" s="392"/>
      <c r="QLA11" s="392"/>
      <c r="QLB11" s="392"/>
      <c r="QLC11" s="392"/>
      <c r="QLD11" s="392"/>
      <c r="QLE11" s="392"/>
      <c r="QLF11" s="392"/>
      <c r="QLG11" s="392"/>
      <c r="QLH11" s="392"/>
      <c r="QLI11" s="392"/>
      <c r="QLJ11" s="392"/>
      <c r="QLK11" s="392"/>
      <c r="QLL11" s="392"/>
      <c r="QLM11" s="392"/>
      <c r="QLN11" s="392"/>
      <c r="QLO11" s="392"/>
      <c r="QLP11" s="392"/>
      <c r="QLQ11" s="392"/>
      <c r="QLR11" s="392"/>
      <c r="QLS11" s="392"/>
      <c r="QLT11" s="392"/>
      <c r="QLU11" s="392"/>
      <c r="QLV11" s="392"/>
      <c r="QLW11" s="392"/>
      <c r="QLX11" s="392"/>
      <c r="QLY11" s="392"/>
      <c r="QLZ11" s="392"/>
      <c r="QMA11" s="392"/>
      <c r="QMB11" s="392"/>
      <c r="QMC11" s="392"/>
      <c r="QMD11" s="392"/>
      <c r="QME11" s="392"/>
      <c r="QMF11" s="392"/>
      <c r="QMG11" s="392"/>
      <c r="QMH11" s="392"/>
      <c r="QMI11" s="392"/>
      <c r="QMJ11" s="392"/>
      <c r="QMK11" s="392"/>
      <c r="QML11" s="392"/>
      <c r="QMM11" s="392"/>
      <c r="QMN11" s="392"/>
      <c r="QMO11" s="392"/>
      <c r="QMP11" s="392"/>
      <c r="QMQ11" s="392"/>
      <c r="QMR11" s="392"/>
      <c r="QMS11" s="392"/>
      <c r="QMT11" s="392"/>
      <c r="QMU11" s="392"/>
      <c r="QMV11" s="392"/>
      <c r="QMW11" s="392"/>
      <c r="QMX11" s="392"/>
      <c r="QMY11" s="392"/>
      <c r="QMZ11" s="392"/>
      <c r="QNA11" s="392"/>
      <c r="QNB11" s="392"/>
      <c r="QNC11" s="392"/>
      <c r="QND11" s="392"/>
      <c r="QNE11" s="392"/>
      <c r="QNF11" s="392"/>
      <c r="QNG11" s="392"/>
      <c r="QNH11" s="392"/>
      <c r="QNI11" s="392"/>
      <c r="QNJ11" s="392"/>
      <c r="QNK11" s="392"/>
      <c r="QNL11" s="392"/>
      <c r="QNM11" s="392"/>
      <c r="QNN11" s="392"/>
      <c r="QNO11" s="392"/>
      <c r="QNP11" s="392"/>
      <c r="QNQ11" s="392"/>
      <c r="QNR11" s="392"/>
      <c r="QNS11" s="392"/>
      <c r="QNT11" s="392"/>
      <c r="QNU11" s="392"/>
      <c r="QNV11" s="392"/>
      <c r="QNW11" s="392"/>
      <c r="QNX11" s="392"/>
      <c r="QNY11" s="392"/>
      <c r="QNZ11" s="392"/>
      <c r="QOA11" s="392"/>
      <c r="QOB11" s="392"/>
      <c r="QOC11" s="392"/>
      <c r="QOD11" s="392"/>
      <c r="QOE11" s="392"/>
      <c r="QOF11" s="392"/>
      <c r="QOG11" s="392"/>
      <c r="QOH11" s="392"/>
      <c r="QOI11" s="392"/>
      <c r="QOJ11" s="392"/>
      <c r="QOK11" s="392"/>
      <c r="QOL11" s="392"/>
      <c r="QOM11" s="392"/>
      <c r="QON11" s="392"/>
      <c r="QOO11" s="392"/>
      <c r="QOP11" s="392"/>
      <c r="QOQ11" s="392"/>
      <c r="QOR11" s="392"/>
      <c r="QOS11" s="392"/>
      <c r="QOT11" s="392"/>
      <c r="QOU11" s="392"/>
      <c r="QOV11" s="392"/>
      <c r="QOW11" s="392"/>
      <c r="QOX11" s="392"/>
      <c r="QOY11" s="392"/>
      <c r="QOZ11" s="392"/>
      <c r="QPA11" s="392"/>
      <c r="QPB11" s="392"/>
      <c r="QPC11" s="392"/>
      <c r="QPD11" s="392"/>
      <c r="QPE11" s="392"/>
      <c r="QPF11" s="392"/>
      <c r="QPG11" s="392"/>
      <c r="QPH11" s="392"/>
      <c r="QPI11" s="392"/>
      <c r="QPJ11" s="392"/>
      <c r="QPK11" s="392"/>
      <c r="QPL11" s="392"/>
      <c r="QPM11" s="392"/>
      <c r="QPN11" s="392"/>
      <c r="QPO11" s="392"/>
      <c r="QPP11" s="392"/>
      <c r="QPQ11" s="392"/>
      <c r="QPR11" s="392"/>
      <c r="QPS11" s="392"/>
      <c r="QPT11" s="392"/>
      <c r="QPU11" s="392"/>
      <c r="QPV11" s="392"/>
      <c r="QPW11" s="392"/>
      <c r="QPX11" s="392"/>
      <c r="QPY11" s="392"/>
      <c r="QPZ11" s="392"/>
      <c r="QQA11" s="392"/>
      <c r="QQB11" s="392"/>
      <c r="QQC11" s="392"/>
      <c r="QQD11" s="392"/>
      <c r="QQE11" s="392"/>
      <c r="QQF11" s="392"/>
      <c r="QQG11" s="392"/>
      <c r="QQH11" s="392"/>
      <c r="QQI11" s="392"/>
      <c r="QQJ11" s="392"/>
      <c r="QQK11" s="392"/>
      <c r="QQL11" s="392"/>
      <c r="QQM11" s="392"/>
      <c r="QQN11" s="392"/>
      <c r="QQO11" s="392"/>
      <c r="QQP11" s="392"/>
      <c r="QQQ11" s="392"/>
      <c r="QQR11" s="392"/>
      <c r="QQS11" s="392"/>
      <c r="QQT11" s="392"/>
      <c r="QQU11" s="392"/>
      <c r="QQV11" s="392"/>
      <c r="QQW11" s="392"/>
      <c r="QQX11" s="392"/>
      <c r="QQY11" s="392"/>
      <c r="QQZ11" s="392"/>
      <c r="QRA11" s="392"/>
      <c r="QRB11" s="392"/>
      <c r="QRC11" s="392"/>
      <c r="QRD11" s="392"/>
      <c r="QRE11" s="392"/>
      <c r="QRF11" s="392"/>
      <c r="QRG11" s="392"/>
      <c r="QRH11" s="392"/>
      <c r="QRI11" s="392"/>
      <c r="QRJ11" s="392"/>
      <c r="QRK11" s="392"/>
      <c r="QRL11" s="392"/>
      <c r="QRM11" s="392"/>
      <c r="QRN11" s="392"/>
      <c r="QRO11" s="392"/>
      <c r="QRP11" s="392"/>
      <c r="QRQ11" s="392"/>
      <c r="QRR11" s="392"/>
      <c r="QRS11" s="392"/>
      <c r="QRT11" s="392"/>
      <c r="QRU11" s="392"/>
      <c r="QRV11" s="392"/>
      <c r="QRW11" s="392"/>
      <c r="QRX11" s="392"/>
      <c r="QRY11" s="392"/>
      <c r="QRZ11" s="392"/>
      <c r="QSA11" s="392"/>
      <c r="QSB11" s="392"/>
      <c r="QSC11" s="392"/>
      <c r="QSD11" s="392"/>
      <c r="QSE11" s="392"/>
      <c r="QSF11" s="392"/>
      <c r="QSG11" s="392"/>
      <c r="QSH11" s="392"/>
      <c r="QSI11" s="392"/>
      <c r="QSJ11" s="392"/>
      <c r="QSK11" s="392"/>
      <c r="QSL11" s="392"/>
      <c r="QSM11" s="392"/>
      <c r="QSN11" s="392"/>
      <c r="QSO11" s="392"/>
      <c r="QSP11" s="392"/>
      <c r="QSQ11" s="392"/>
      <c r="QSR11" s="392"/>
      <c r="QSS11" s="392"/>
      <c r="QST11" s="392"/>
      <c r="QSU11" s="392"/>
      <c r="QSV11" s="392"/>
      <c r="QSW11" s="392"/>
      <c r="QSX11" s="392"/>
      <c r="QSY11" s="392"/>
      <c r="QSZ11" s="392"/>
      <c r="QTA11" s="392"/>
      <c r="QTB11" s="392"/>
      <c r="QTC11" s="392"/>
      <c r="QTD11" s="392"/>
      <c r="QTE11" s="392"/>
      <c r="QTF11" s="392"/>
      <c r="QTG11" s="392"/>
      <c r="QTH11" s="392"/>
      <c r="QTI11" s="392"/>
      <c r="QTJ11" s="392"/>
      <c r="QTK11" s="392"/>
      <c r="QTL11" s="392"/>
      <c r="QTM11" s="392"/>
      <c r="QTN11" s="392"/>
      <c r="QTO11" s="392"/>
      <c r="QTP11" s="392"/>
      <c r="QTQ11" s="392"/>
      <c r="QTR11" s="392"/>
      <c r="QTS11" s="392"/>
      <c r="QTT11" s="392"/>
      <c r="QTU11" s="392"/>
      <c r="QTV11" s="392"/>
      <c r="QTW11" s="392"/>
      <c r="QTX11" s="392"/>
      <c r="QTY11" s="392"/>
      <c r="QTZ11" s="392"/>
      <c r="QUA11" s="392"/>
      <c r="QUB11" s="392"/>
      <c r="QUC11" s="392"/>
      <c r="QUD11" s="392"/>
      <c r="QUE11" s="392"/>
      <c r="QUF11" s="392"/>
      <c r="QUG11" s="392"/>
      <c r="QUH11" s="392"/>
      <c r="QUI11" s="392"/>
      <c r="QUJ11" s="392"/>
      <c r="QUK11" s="392"/>
      <c r="QUL11" s="392"/>
      <c r="QUM11" s="392"/>
      <c r="QUN11" s="392"/>
      <c r="QUO11" s="392"/>
      <c r="QUP11" s="392"/>
      <c r="QUQ11" s="392"/>
      <c r="QUR11" s="392"/>
      <c r="QUS11" s="392"/>
      <c r="QUT11" s="392"/>
      <c r="QUU11" s="392"/>
      <c r="QUV11" s="392"/>
      <c r="QUW11" s="392"/>
      <c r="QUX11" s="392"/>
      <c r="QUY11" s="392"/>
      <c r="QUZ11" s="392"/>
      <c r="QVA11" s="392"/>
      <c r="QVB11" s="392"/>
      <c r="QVC11" s="392"/>
      <c r="QVD11" s="392"/>
      <c r="QVE11" s="392"/>
      <c r="QVF11" s="392"/>
      <c r="QVG11" s="392"/>
      <c r="QVH11" s="392"/>
      <c r="QVI11" s="392"/>
      <c r="QVJ11" s="392"/>
      <c r="QVK11" s="392"/>
      <c r="QVL11" s="392"/>
      <c r="QVM11" s="392"/>
      <c r="QVN11" s="392"/>
      <c r="QVO11" s="392"/>
      <c r="QVP11" s="392"/>
      <c r="QVQ11" s="392"/>
      <c r="QVR11" s="392"/>
      <c r="QVS11" s="392"/>
      <c r="QVT11" s="392"/>
      <c r="QVU11" s="392"/>
      <c r="QVV11" s="392"/>
      <c r="QVW11" s="392"/>
      <c r="QVX11" s="392"/>
      <c r="QVY11" s="392"/>
      <c r="QVZ11" s="392"/>
      <c r="QWA11" s="392"/>
      <c r="QWB11" s="392"/>
      <c r="QWC11" s="392"/>
      <c r="QWD11" s="392"/>
      <c r="QWE11" s="392"/>
      <c r="QWF11" s="392"/>
      <c r="QWG11" s="392"/>
      <c r="QWH11" s="392"/>
      <c r="QWI11" s="392"/>
      <c r="QWJ11" s="392"/>
      <c r="QWK11" s="392"/>
      <c r="QWL11" s="392"/>
      <c r="QWM11" s="392"/>
      <c r="QWN11" s="392"/>
      <c r="QWO11" s="392"/>
      <c r="QWP11" s="392"/>
      <c r="QWQ11" s="392"/>
      <c r="QWR11" s="392"/>
      <c r="QWS11" s="392"/>
      <c r="QWT11" s="392"/>
      <c r="QWU11" s="392"/>
      <c r="QWV11" s="392"/>
      <c r="QWW11" s="392"/>
      <c r="QWX11" s="392"/>
      <c r="QWY11" s="392"/>
      <c r="QWZ11" s="392"/>
      <c r="QXA11" s="392"/>
      <c r="QXB11" s="392"/>
      <c r="QXC11" s="392"/>
      <c r="QXD11" s="392"/>
      <c r="QXE11" s="392"/>
      <c r="QXF11" s="392"/>
      <c r="QXG11" s="392"/>
      <c r="QXH11" s="392"/>
      <c r="QXI11" s="392"/>
      <c r="QXJ11" s="392"/>
      <c r="QXK11" s="392"/>
      <c r="QXL11" s="392"/>
      <c r="QXM11" s="392"/>
      <c r="QXN11" s="392"/>
      <c r="QXO11" s="392"/>
      <c r="QXP11" s="392"/>
      <c r="QXQ11" s="392"/>
      <c r="QXR11" s="392"/>
      <c r="QXS11" s="392"/>
      <c r="QXT11" s="392"/>
      <c r="QXU11" s="392"/>
      <c r="QXV11" s="392"/>
      <c r="QXW11" s="392"/>
      <c r="QXX11" s="392"/>
      <c r="QXY11" s="392"/>
      <c r="QXZ11" s="392"/>
      <c r="QYA11" s="392"/>
      <c r="QYB11" s="392"/>
      <c r="QYC11" s="392"/>
      <c r="QYD11" s="392"/>
      <c r="QYE11" s="392"/>
      <c r="QYF11" s="392"/>
      <c r="QYG11" s="392"/>
      <c r="QYH11" s="392"/>
      <c r="QYI11" s="392"/>
      <c r="QYJ11" s="392"/>
      <c r="QYK11" s="392"/>
      <c r="QYL11" s="392"/>
      <c r="QYM11" s="392"/>
      <c r="QYN11" s="392"/>
      <c r="QYO11" s="392"/>
      <c r="QYP11" s="392"/>
      <c r="QYQ11" s="392"/>
      <c r="QYR11" s="392"/>
      <c r="QYS11" s="392"/>
      <c r="QYT11" s="392"/>
      <c r="QYU11" s="392"/>
      <c r="QYV11" s="392"/>
      <c r="QYW11" s="392"/>
      <c r="QYX11" s="392"/>
      <c r="QYY11" s="392"/>
      <c r="QYZ11" s="392"/>
      <c r="QZA11" s="392"/>
      <c r="QZB11" s="392"/>
      <c r="QZC11" s="392"/>
      <c r="QZD11" s="392"/>
      <c r="QZE11" s="392"/>
      <c r="QZF11" s="392"/>
      <c r="QZG11" s="392"/>
      <c r="QZH11" s="392"/>
      <c r="QZI11" s="392"/>
      <c r="QZJ11" s="392"/>
      <c r="QZK11" s="392"/>
      <c r="QZL11" s="392"/>
      <c r="QZM11" s="392"/>
      <c r="QZN11" s="392"/>
      <c r="QZO11" s="392"/>
      <c r="QZP11" s="392"/>
      <c r="QZQ11" s="392"/>
      <c r="QZR11" s="392"/>
      <c r="QZS11" s="392"/>
      <c r="QZT11" s="392"/>
      <c r="QZU11" s="392"/>
      <c r="QZV11" s="392"/>
      <c r="QZW11" s="392"/>
      <c r="QZX11" s="392"/>
      <c r="QZY11" s="392"/>
      <c r="QZZ11" s="392"/>
      <c r="RAA11" s="392"/>
      <c r="RAB11" s="392"/>
      <c r="RAC11" s="392"/>
      <c r="RAD11" s="392"/>
      <c r="RAE11" s="392"/>
      <c r="RAF11" s="392"/>
      <c r="RAG11" s="392"/>
      <c r="RAH11" s="392"/>
      <c r="RAI11" s="392"/>
      <c r="RAJ11" s="392"/>
      <c r="RAK11" s="392"/>
      <c r="RAL11" s="392"/>
      <c r="RAM11" s="392"/>
      <c r="RAN11" s="392"/>
      <c r="RAO11" s="392"/>
      <c r="RAP11" s="392"/>
      <c r="RAQ11" s="392"/>
      <c r="RAR11" s="392"/>
      <c r="RAS11" s="392"/>
      <c r="RAT11" s="392"/>
      <c r="RAU11" s="392"/>
      <c r="RAV11" s="392"/>
      <c r="RAW11" s="392"/>
      <c r="RAX11" s="392"/>
      <c r="RAY11" s="392"/>
      <c r="RAZ11" s="392"/>
      <c r="RBA11" s="392"/>
      <c r="RBB11" s="392"/>
      <c r="RBC11" s="392"/>
      <c r="RBD11" s="392"/>
      <c r="RBE11" s="392"/>
      <c r="RBF11" s="392"/>
      <c r="RBG11" s="392"/>
      <c r="RBH11" s="392"/>
      <c r="RBI11" s="392"/>
      <c r="RBJ11" s="392"/>
      <c r="RBK11" s="392"/>
      <c r="RBL11" s="392"/>
      <c r="RBM11" s="392"/>
      <c r="RBN11" s="392"/>
      <c r="RBO11" s="392"/>
      <c r="RBP11" s="392"/>
      <c r="RBQ11" s="392"/>
      <c r="RBR11" s="392"/>
      <c r="RBS11" s="392"/>
      <c r="RBT11" s="392"/>
      <c r="RBU11" s="392"/>
      <c r="RBV11" s="392"/>
      <c r="RBW11" s="392"/>
      <c r="RBX11" s="392"/>
      <c r="RBY11" s="392"/>
      <c r="RBZ11" s="392"/>
      <c r="RCA11" s="392"/>
      <c r="RCB11" s="392"/>
      <c r="RCC11" s="392"/>
      <c r="RCD11" s="392"/>
      <c r="RCE11" s="392"/>
      <c r="RCF11" s="392"/>
      <c r="RCG11" s="392"/>
      <c r="RCH11" s="392"/>
      <c r="RCI11" s="392"/>
      <c r="RCJ11" s="392"/>
      <c r="RCK11" s="392"/>
      <c r="RCL11" s="392"/>
      <c r="RCM11" s="392"/>
      <c r="RCN11" s="392"/>
      <c r="RCO11" s="392"/>
      <c r="RCP11" s="392"/>
      <c r="RCQ11" s="392"/>
      <c r="RCR11" s="392"/>
      <c r="RCS11" s="392"/>
      <c r="RCT11" s="392"/>
      <c r="RCU11" s="392"/>
      <c r="RCV11" s="392"/>
      <c r="RCW11" s="392"/>
      <c r="RCX11" s="392"/>
      <c r="RCY11" s="392"/>
      <c r="RCZ11" s="392"/>
      <c r="RDA11" s="392"/>
      <c r="RDB11" s="392"/>
      <c r="RDC11" s="392"/>
      <c r="RDD11" s="392"/>
      <c r="RDE11" s="392"/>
      <c r="RDF11" s="392"/>
      <c r="RDG11" s="392"/>
      <c r="RDH11" s="392"/>
      <c r="RDI11" s="392"/>
      <c r="RDJ11" s="392"/>
      <c r="RDK11" s="392"/>
      <c r="RDL11" s="392"/>
      <c r="RDM11" s="392"/>
      <c r="RDN11" s="392"/>
      <c r="RDO11" s="392"/>
      <c r="RDP11" s="392"/>
      <c r="RDQ11" s="392"/>
      <c r="RDR11" s="392"/>
      <c r="RDS11" s="392"/>
      <c r="RDT11" s="392"/>
      <c r="RDU11" s="392"/>
      <c r="RDV11" s="392"/>
      <c r="RDW11" s="392"/>
      <c r="RDX11" s="392"/>
      <c r="RDY11" s="392"/>
      <c r="RDZ11" s="392"/>
      <c r="REA11" s="392"/>
      <c r="REB11" s="392"/>
      <c r="REC11" s="392"/>
      <c r="RED11" s="392"/>
      <c r="REE11" s="392"/>
      <c r="REF11" s="392"/>
      <c r="REG11" s="392"/>
      <c r="REH11" s="392"/>
      <c r="REI11" s="392"/>
      <c r="REJ11" s="392"/>
      <c r="REK11" s="392"/>
      <c r="REL11" s="392"/>
      <c r="REM11" s="392"/>
      <c r="REN11" s="392"/>
      <c r="REO11" s="392"/>
      <c r="REP11" s="392"/>
      <c r="REQ11" s="392"/>
      <c r="RER11" s="392"/>
      <c r="RES11" s="392"/>
      <c r="RET11" s="392"/>
      <c r="REU11" s="392"/>
      <c r="REV11" s="392"/>
      <c r="REW11" s="392"/>
      <c r="REX11" s="392"/>
      <c r="REY11" s="392"/>
      <c r="REZ11" s="392"/>
      <c r="RFA11" s="392"/>
      <c r="RFB11" s="392"/>
      <c r="RFC11" s="392"/>
      <c r="RFD11" s="392"/>
      <c r="RFE11" s="392"/>
      <c r="RFF11" s="392"/>
      <c r="RFG11" s="392"/>
      <c r="RFH11" s="392"/>
      <c r="RFI11" s="392"/>
      <c r="RFJ11" s="392"/>
      <c r="RFK11" s="392"/>
      <c r="RFL11" s="392"/>
      <c r="RFM11" s="392"/>
      <c r="RFN11" s="392"/>
      <c r="RFO11" s="392"/>
      <c r="RFP11" s="392"/>
      <c r="RFQ11" s="392"/>
      <c r="RFR11" s="392"/>
      <c r="RFS11" s="392"/>
      <c r="RFT11" s="392"/>
      <c r="RFU11" s="392"/>
      <c r="RFV11" s="392"/>
      <c r="RFW11" s="392"/>
      <c r="RFX11" s="392"/>
      <c r="RFY11" s="392"/>
      <c r="RFZ11" s="392"/>
      <c r="RGA11" s="392"/>
      <c r="RGB11" s="392"/>
      <c r="RGC11" s="392"/>
      <c r="RGD11" s="392"/>
      <c r="RGE11" s="392"/>
      <c r="RGF11" s="392"/>
      <c r="RGG11" s="392"/>
      <c r="RGH11" s="392"/>
      <c r="RGI11" s="392"/>
      <c r="RGJ11" s="392"/>
      <c r="RGK11" s="392"/>
      <c r="RGL11" s="392"/>
      <c r="RGM11" s="392"/>
      <c r="RGN11" s="392"/>
      <c r="RGO11" s="392"/>
      <c r="RGP11" s="392"/>
      <c r="RGQ11" s="392"/>
      <c r="RGR11" s="392"/>
      <c r="RGS11" s="392"/>
      <c r="RGT11" s="392"/>
      <c r="RGU11" s="392"/>
      <c r="RGV11" s="392"/>
      <c r="RGW11" s="392"/>
      <c r="RGX11" s="392"/>
      <c r="RGY11" s="392"/>
      <c r="RGZ11" s="392"/>
      <c r="RHA11" s="392"/>
      <c r="RHB11" s="392"/>
      <c r="RHC11" s="392"/>
      <c r="RHD11" s="392"/>
      <c r="RHE11" s="392"/>
      <c r="RHF11" s="392"/>
      <c r="RHG11" s="392"/>
      <c r="RHH11" s="392"/>
      <c r="RHI11" s="392"/>
      <c r="RHJ11" s="392"/>
      <c r="RHK11" s="392"/>
      <c r="RHL11" s="392"/>
      <c r="RHM11" s="392"/>
      <c r="RHN11" s="392"/>
      <c r="RHO11" s="392"/>
      <c r="RHP11" s="392"/>
      <c r="RHQ11" s="392"/>
      <c r="RHR11" s="392"/>
      <c r="RHS11" s="392"/>
      <c r="RHT11" s="392"/>
      <c r="RHU11" s="392"/>
      <c r="RHV11" s="392"/>
      <c r="RHW11" s="392"/>
      <c r="RHX11" s="392"/>
      <c r="RHY11" s="392"/>
      <c r="RHZ11" s="392"/>
      <c r="RIA11" s="392"/>
      <c r="RIB11" s="392"/>
      <c r="RIC11" s="392"/>
      <c r="RID11" s="392"/>
      <c r="RIE11" s="392"/>
      <c r="RIF11" s="392"/>
      <c r="RIG11" s="392"/>
      <c r="RIH11" s="392"/>
      <c r="RII11" s="392"/>
      <c r="RIJ11" s="392"/>
      <c r="RIK11" s="392"/>
      <c r="RIL11" s="392"/>
      <c r="RIM11" s="392"/>
      <c r="RIN11" s="392"/>
      <c r="RIO11" s="392"/>
      <c r="RIP11" s="392"/>
      <c r="RIQ11" s="392"/>
      <c r="RIR11" s="392"/>
      <c r="RIS11" s="392"/>
      <c r="RIT11" s="392"/>
      <c r="RIU11" s="392"/>
      <c r="RIV11" s="392"/>
      <c r="RIW11" s="392"/>
      <c r="RIX11" s="392"/>
      <c r="RIY11" s="392"/>
      <c r="RIZ11" s="392"/>
      <c r="RJA11" s="392"/>
      <c r="RJB11" s="392"/>
      <c r="RJC11" s="392"/>
      <c r="RJD11" s="392"/>
      <c r="RJE11" s="392"/>
      <c r="RJF11" s="392"/>
      <c r="RJG11" s="392"/>
      <c r="RJH11" s="392"/>
      <c r="RJI11" s="392"/>
      <c r="RJJ11" s="392"/>
      <c r="RJK11" s="392"/>
      <c r="RJL11" s="392"/>
      <c r="RJM11" s="392"/>
      <c r="RJN11" s="392"/>
      <c r="RJO11" s="392"/>
      <c r="RJP11" s="392"/>
      <c r="RJQ11" s="392"/>
      <c r="RJR11" s="392"/>
      <c r="RJS11" s="392"/>
      <c r="RJT11" s="392"/>
      <c r="RJU11" s="392"/>
      <c r="RJV11" s="392"/>
      <c r="RJW11" s="392"/>
      <c r="RJX11" s="392"/>
      <c r="RJY11" s="392"/>
      <c r="RJZ11" s="392"/>
      <c r="RKA11" s="392"/>
      <c r="RKB11" s="392"/>
      <c r="RKC11" s="392"/>
      <c r="RKD11" s="392"/>
      <c r="RKE11" s="392"/>
      <c r="RKF11" s="392"/>
      <c r="RKG11" s="392"/>
      <c r="RKH11" s="392"/>
      <c r="RKI11" s="392"/>
      <c r="RKJ11" s="392"/>
      <c r="RKK11" s="392"/>
      <c r="RKL11" s="392"/>
      <c r="RKM11" s="392"/>
      <c r="RKN11" s="392"/>
      <c r="RKO11" s="392"/>
      <c r="RKP11" s="392"/>
      <c r="RKQ11" s="392"/>
      <c r="RKR11" s="392"/>
      <c r="RKS11" s="392"/>
      <c r="RKT11" s="392"/>
      <c r="RKU11" s="392"/>
      <c r="RKV11" s="392"/>
      <c r="RKW11" s="392"/>
      <c r="RKX11" s="392"/>
      <c r="RKY11" s="392"/>
      <c r="RKZ11" s="392"/>
      <c r="RLA11" s="392"/>
      <c r="RLB11" s="392"/>
      <c r="RLC11" s="392"/>
      <c r="RLD11" s="392"/>
      <c r="RLE11" s="392"/>
      <c r="RLF11" s="392"/>
      <c r="RLG11" s="392"/>
      <c r="RLH11" s="392"/>
      <c r="RLI11" s="392"/>
      <c r="RLJ11" s="392"/>
      <c r="RLK11" s="392"/>
      <c r="RLL11" s="392"/>
      <c r="RLM11" s="392"/>
      <c r="RLN11" s="392"/>
      <c r="RLO11" s="392"/>
      <c r="RLP11" s="392"/>
      <c r="RLQ11" s="392"/>
      <c r="RLR11" s="392"/>
      <c r="RLS11" s="392"/>
      <c r="RLT11" s="392"/>
      <c r="RLU11" s="392"/>
      <c r="RLV11" s="392"/>
      <c r="RLW11" s="392"/>
      <c r="RLX11" s="392"/>
      <c r="RLY11" s="392"/>
      <c r="RLZ11" s="392"/>
      <c r="RMA11" s="392"/>
      <c r="RMB11" s="392"/>
      <c r="RMC11" s="392"/>
      <c r="RMD11" s="392"/>
      <c r="RME11" s="392"/>
      <c r="RMF11" s="392"/>
      <c r="RMG11" s="392"/>
      <c r="RMH11" s="392"/>
      <c r="RMI11" s="392"/>
      <c r="RMJ11" s="392"/>
      <c r="RMK11" s="392"/>
      <c r="RML11" s="392"/>
      <c r="RMM11" s="392"/>
      <c r="RMN11" s="392"/>
      <c r="RMO11" s="392"/>
      <c r="RMP11" s="392"/>
      <c r="RMQ11" s="392"/>
      <c r="RMR11" s="392"/>
      <c r="RMS11" s="392"/>
      <c r="RMT11" s="392"/>
      <c r="RMU11" s="392"/>
      <c r="RMV11" s="392"/>
      <c r="RMW11" s="392"/>
      <c r="RMX11" s="392"/>
      <c r="RMY11" s="392"/>
      <c r="RMZ11" s="392"/>
      <c r="RNA11" s="392"/>
      <c r="RNB11" s="392"/>
      <c r="RNC11" s="392"/>
      <c r="RND11" s="392"/>
      <c r="RNE11" s="392"/>
      <c r="RNF11" s="392"/>
      <c r="RNG11" s="392"/>
      <c r="RNH11" s="392"/>
      <c r="RNI11" s="392"/>
      <c r="RNJ11" s="392"/>
      <c r="RNK11" s="392"/>
      <c r="RNL11" s="392"/>
      <c r="RNM11" s="392"/>
      <c r="RNN11" s="392"/>
      <c r="RNO11" s="392"/>
      <c r="RNP11" s="392"/>
      <c r="RNQ11" s="392"/>
      <c r="RNR11" s="392"/>
      <c r="RNS11" s="392"/>
      <c r="RNT11" s="392"/>
      <c r="RNU11" s="392"/>
      <c r="RNV11" s="392"/>
      <c r="RNW11" s="392"/>
      <c r="RNX11" s="392"/>
      <c r="RNY11" s="392"/>
      <c r="RNZ11" s="392"/>
      <c r="ROA11" s="392"/>
      <c r="ROB11" s="392"/>
      <c r="ROC11" s="392"/>
      <c r="ROD11" s="392"/>
      <c r="ROE11" s="392"/>
      <c r="ROF11" s="392"/>
      <c r="ROG11" s="392"/>
      <c r="ROH11" s="392"/>
      <c r="ROI11" s="392"/>
      <c r="ROJ11" s="392"/>
      <c r="ROK11" s="392"/>
      <c r="ROL11" s="392"/>
      <c r="ROM11" s="392"/>
      <c r="RON11" s="392"/>
      <c r="ROO11" s="392"/>
      <c r="ROP11" s="392"/>
      <c r="ROQ11" s="392"/>
      <c r="ROR11" s="392"/>
      <c r="ROS11" s="392"/>
      <c r="ROT11" s="392"/>
      <c r="ROU11" s="392"/>
      <c r="ROV11" s="392"/>
      <c r="ROW11" s="392"/>
      <c r="ROX11" s="392"/>
      <c r="ROY11" s="392"/>
      <c r="ROZ11" s="392"/>
      <c r="RPA11" s="392"/>
      <c r="RPB11" s="392"/>
      <c r="RPC11" s="392"/>
      <c r="RPD11" s="392"/>
      <c r="RPE11" s="392"/>
      <c r="RPF11" s="392"/>
      <c r="RPG11" s="392"/>
      <c r="RPH11" s="392"/>
      <c r="RPI11" s="392"/>
      <c r="RPJ11" s="392"/>
      <c r="RPK11" s="392"/>
      <c r="RPL11" s="392"/>
      <c r="RPM11" s="392"/>
      <c r="RPN11" s="392"/>
      <c r="RPO11" s="392"/>
      <c r="RPP11" s="392"/>
      <c r="RPQ11" s="392"/>
      <c r="RPR11" s="392"/>
      <c r="RPS11" s="392"/>
      <c r="RPT11" s="392"/>
      <c r="RPU11" s="392"/>
      <c r="RPV11" s="392"/>
      <c r="RPW11" s="392"/>
      <c r="RPX11" s="392"/>
      <c r="RPY11" s="392"/>
      <c r="RPZ11" s="392"/>
      <c r="RQA11" s="392"/>
      <c r="RQB11" s="392"/>
      <c r="RQC11" s="392"/>
      <c r="RQD11" s="392"/>
      <c r="RQE11" s="392"/>
      <c r="RQF11" s="392"/>
      <c r="RQG11" s="392"/>
      <c r="RQH11" s="392"/>
      <c r="RQI11" s="392"/>
      <c r="RQJ11" s="392"/>
      <c r="RQK11" s="392"/>
      <c r="RQL11" s="392"/>
      <c r="RQM11" s="392"/>
      <c r="RQN11" s="392"/>
      <c r="RQO11" s="392"/>
      <c r="RQP11" s="392"/>
      <c r="RQQ11" s="392"/>
      <c r="RQR11" s="392"/>
      <c r="RQS11" s="392"/>
      <c r="RQT11" s="392"/>
      <c r="RQU11" s="392"/>
      <c r="RQV11" s="392"/>
      <c r="RQW11" s="392"/>
      <c r="RQX11" s="392"/>
      <c r="RQY11" s="392"/>
      <c r="RQZ11" s="392"/>
      <c r="RRA11" s="392"/>
      <c r="RRB11" s="392"/>
      <c r="RRC11" s="392"/>
      <c r="RRD11" s="392"/>
      <c r="RRE11" s="392"/>
      <c r="RRF11" s="392"/>
      <c r="RRG11" s="392"/>
      <c r="RRH11" s="392"/>
      <c r="RRI11" s="392"/>
      <c r="RRJ11" s="392"/>
      <c r="RRK11" s="392"/>
      <c r="RRL11" s="392"/>
      <c r="RRM11" s="392"/>
      <c r="RRN11" s="392"/>
      <c r="RRO11" s="392"/>
      <c r="RRP11" s="392"/>
      <c r="RRQ11" s="392"/>
      <c r="RRR11" s="392"/>
      <c r="RRS11" s="392"/>
      <c r="RRT11" s="392"/>
      <c r="RRU11" s="392"/>
      <c r="RRV11" s="392"/>
      <c r="RRW11" s="392"/>
      <c r="RRX11" s="392"/>
      <c r="RRY11" s="392"/>
      <c r="RRZ11" s="392"/>
      <c r="RSA11" s="392"/>
      <c r="RSB11" s="392"/>
      <c r="RSC11" s="392"/>
      <c r="RSD11" s="392"/>
      <c r="RSE11" s="392"/>
      <c r="RSF11" s="392"/>
      <c r="RSG11" s="392"/>
      <c r="RSH11" s="392"/>
      <c r="RSI11" s="392"/>
      <c r="RSJ11" s="392"/>
      <c r="RSK11" s="392"/>
      <c r="RSL11" s="392"/>
      <c r="RSM11" s="392"/>
      <c r="RSN11" s="392"/>
      <c r="RSO11" s="392"/>
      <c r="RSP11" s="392"/>
      <c r="RSQ11" s="392"/>
      <c r="RSR11" s="392"/>
      <c r="RSS11" s="392"/>
      <c r="RST11" s="392"/>
      <c r="RSU11" s="392"/>
      <c r="RSV11" s="392"/>
      <c r="RSW11" s="392"/>
      <c r="RSX11" s="392"/>
      <c r="RSY11" s="392"/>
      <c r="RSZ11" s="392"/>
      <c r="RTA11" s="392"/>
      <c r="RTB11" s="392"/>
      <c r="RTC11" s="392"/>
      <c r="RTD11" s="392"/>
      <c r="RTE11" s="392"/>
      <c r="RTF11" s="392"/>
      <c r="RTG11" s="392"/>
      <c r="RTH11" s="392"/>
      <c r="RTI11" s="392"/>
      <c r="RTJ11" s="392"/>
      <c r="RTK11" s="392"/>
      <c r="RTL11" s="392"/>
      <c r="RTM11" s="392"/>
      <c r="RTN11" s="392"/>
      <c r="RTO11" s="392"/>
      <c r="RTP11" s="392"/>
      <c r="RTQ11" s="392"/>
      <c r="RTR11" s="392"/>
      <c r="RTS11" s="392"/>
      <c r="RTT11" s="392"/>
      <c r="RTU11" s="392"/>
      <c r="RTV11" s="392"/>
      <c r="RTW11" s="392"/>
      <c r="RTX11" s="392"/>
      <c r="RTY11" s="392"/>
      <c r="RTZ11" s="392"/>
      <c r="RUA11" s="392"/>
      <c r="RUB11" s="392"/>
      <c r="RUC11" s="392"/>
      <c r="RUD11" s="392"/>
      <c r="RUE11" s="392"/>
      <c r="RUF11" s="392"/>
      <c r="RUG11" s="392"/>
      <c r="RUH11" s="392"/>
      <c r="RUI11" s="392"/>
      <c r="RUJ11" s="392"/>
      <c r="RUK11" s="392"/>
      <c r="RUL11" s="392"/>
      <c r="RUM11" s="392"/>
      <c r="RUN11" s="392"/>
      <c r="RUO11" s="392"/>
      <c r="RUP11" s="392"/>
      <c r="RUQ11" s="392"/>
      <c r="RUR11" s="392"/>
      <c r="RUS11" s="392"/>
      <c r="RUT11" s="392"/>
      <c r="RUU11" s="392"/>
      <c r="RUV11" s="392"/>
      <c r="RUW11" s="392"/>
      <c r="RUX11" s="392"/>
      <c r="RUY11" s="392"/>
      <c r="RUZ11" s="392"/>
      <c r="RVA11" s="392"/>
      <c r="RVB11" s="392"/>
      <c r="RVC11" s="392"/>
      <c r="RVD11" s="392"/>
      <c r="RVE11" s="392"/>
      <c r="RVF11" s="392"/>
      <c r="RVG11" s="392"/>
      <c r="RVH11" s="392"/>
      <c r="RVI11" s="392"/>
      <c r="RVJ11" s="392"/>
      <c r="RVK11" s="392"/>
      <c r="RVL11" s="392"/>
      <c r="RVM11" s="392"/>
      <c r="RVN11" s="392"/>
      <c r="RVO11" s="392"/>
      <c r="RVP11" s="392"/>
      <c r="RVQ11" s="392"/>
      <c r="RVR11" s="392"/>
      <c r="RVS11" s="392"/>
      <c r="RVT11" s="392"/>
      <c r="RVU11" s="392"/>
      <c r="RVV11" s="392"/>
      <c r="RVW11" s="392"/>
      <c r="RVX11" s="392"/>
      <c r="RVY11" s="392"/>
      <c r="RVZ11" s="392"/>
      <c r="RWA11" s="392"/>
      <c r="RWB11" s="392"/>
      <c r="RWC11" s="392"/>
      <c r="RWD11" s="392"/>
      <c r="RWE11" s="392"/>
      <c r="RWF11" s="392"/>
      <c r="RWG11" s="392"/>
      <c r="RWH11" s="392"/>
      <c r="RWI11" s="392"/>
      <c r="RWJ11" s="392"/>
      <c r="RWK11" s="392"/>
      <c r="RWL11" s="392"/>
      <c r="RWM11" s="392"/>
      <c r="RWN11" s="392"/>
      <c r="RWO11" s="392"/>
      <c r="RWP11" s="392"/>
      <c r="RWQ11" s="392"/>
      <c r="RWR11" s="392"/>
      <c r="RWS11" s="392"/>
      <c r="RWT11" s="392"/>
      <c r="RWU11" s="392"/>
      <c r="RWV11" s="392"/>
      <c r="RWW11" s="392"/>
      <c r="RWX11" s="392"/>
      <c r="RWY11" s="392"/>
      <c r="RWZ11" s="392"/>
      <c r="RXA11" s="392"/>
      <c r="RXB11" s="392"/>
      <c r="RXC11" s="392"/>
      <c r="RXD11" s="392"/>
      <c r="RXE11" s="392"/>
      <c r="RXF11" s="392"/>
      <c r="RXG11" s="392"/>
      <c r="RXH11" s="392"/>
      <c r="RXI11" s="392"/>
      <c r="RXJ11" s="392"/>
      <c r="RXK11" s="392"/>
      <c r="RXL11" s="392"/>
      <c r="RXM11" s="392"/>
      <c r="RXN11" s="392"/>
      <c r="RXO11" s="392"/>
      <c r="RXP11" s="392"/>
      <c r="RXQ11" s="392"/>
      <c r="RXR11" s="392"/>
      <c r="RXS11" s="392"/>
      <c r="RXT11" s="392"/>
      <c r="RXU11" s="392"/>
      <c r="RXV11" s="392"/>
      <c r="RXW11" s="392"/>
      <c r="RXX11" s="392"/>
      <c r="RXY11" s="392"/>
      <c r="RXZ11" s="392"/>
      <c r="RYA11" s="392"/>
      <c r="RYB11" s="392"/>
      <c r="RYC11" s="392"/>
      <c r="RYD11" s="392"/>
      <c r="RYE11" s="392"/>
      <c r="RYF11" s="392"/>
      <c r="RYG11" s="392"/>
      <c r="RYH11" s="392"/>
      <c r="RYI11" s="392"/>
      <c r="RYJ11" s="392"/>
      <c r="RYK11" s="392"/>
      <c r="RYL11" s="392"/>
      <c r="RYM11" s="392"/>
      <c r="RYN11" s="392"/>
      <c r="RYO11" s="392"/>
      <c r="RYP11" s="392"/>
      <c r="RYQ11" s="392"/>
      <c r="RYR11" s="392"/>
      <c r="RYS11" s="392"/>
      <c r="RYT11" s="392"/>
      <c r="RYU11" s="392"/>
      <c r="RYV11" s="392"/>
      <c r="RYW11" s="392"/>
      <c r="RYX11" s="392"/>
      <c r="RYY11" s="392"/>
      <c r="RYZ11" s="392"/>
      <c r="RZA11" s="392"/>
      <c r="RZB11" s="392"/>
      <c r="RZC11" s="392"/>
      <c r="RZD11" s="392"/>
      <c r="RZE11" s="392"/>
      <c r="RZF11" s="392"/>
      <c r="RZG11" s="392"/>
      <c r="RZH11" s="392"/>
      <c r="RZI11" s="392"/>
      <c r="RZJ11" s="392"/>
      <c r="RZK11" s="392"/>
      <c r="RZL11" s="392"/>
      <c r="RZM11" s="392"/>
      <c r="RZN11" s="392"/>
      <c r="RZO11" s="392"/>
      <c r="RZP11" s="392"/>
      <c r="RZQ11" s="392"/>
      <c r="RZR11" s="392"/>
      <c r="RZS11" s="392"/>
      <c r="RZT11" s="392"/>
      <c r="RZU11" s="392"/>
      <c r="RZV11" s="392"/>
      <c r="RZW11" s="392"/>
      <c r="RZX11" s="392"/>
      <c r="RZY11" s="392"/>
      <c r="RZZ11" s="392"/>
      <c r="SAA11" s="392"/>
      <c r="SAB11" s="392"/>
      <c r="SAC11" s="392"/>
      <c r="SAD11" s="392"/>
      <c r="SAE11" s="392"/>
      <c r="SAF11" s="392"/>
      <c r="SAG11" s="392"/>
      <c r="SAH11" s="392"/>
      <c r="SAI11" s="392"/>
      <c r="SAJ11" s="392"/>
      <c r="SAK11" s="392"/>
      <c r="SAL11" s="392"/>
      <c r="SAM11" s="392"/>
      <c r="SAN11" s="392"/>
      <c r="SAO11" s="392"/>
      <c r="SAP11" s="392"/>
      <c r="SAQ11" s="392"/>
      <c r="SAR11" s="392"/>
      <c r="SAS11" s="392"/>
      <c r="SAT11" s="392"/>
      <c r="SAU11" s="392"/>
      <c r="SAV11" s="392"/>
      <c r="SAW11" s="392"/>
      <c r="SAX11" s="392"/>
      <c r="SAY11" s="392"/>
      <c r="SAZ11" s="392"/>
      <c r="SBA11" s="392"/>
      <c r="SBB11" s="392"/>
      <c r="SBC11" s="392"/>
      <c r="SBD11" s="392"/>
      <c r="SBE11" s="392"/>
      <c r="SBF11" s="392"/>
      <c r="SBG11" s="392"/>
      <c r="SBH11" s="392"/>
      <c r="SBI11" s="392"/>
      <c r="SBJ11" s="392"/>
      <c r="SBK11" s="392"/>
      <c r="SBL11" s="392"/>
      <c r="SBM11" s="392"/>
      <c r="SBN11" s="392"/>
      <c r="SBO11" s="392"/>
      <c r="SBP11" s="392"/>
      <c r="SBQ11" s="392"/>
      <c r="SBR11" s="392"/>
      <c r="SBS11" s="392"/>
      <c r="SBT11" s="392"/>
      <c r="SBU11" s="392"/>
      <c r="SBV11" s="392"/>
      <c r="SBW11" s="392"/>
      <c r="SBX11" s="392"/>
      <c r="SBY11" s="392"/>
      <c r="SBZ11" s="392"/>
      <c r="SCA11" s="392"/>
      <c r="SCB11" s="392"/>
      <c r="SCC11" s="392"/>
      <c r="SCD11" s="392"/>
      <c r="SCE11" s="392"/>
      <c r="SCF11" s="392"/>
      <c r="SCG11" s="392"/>
      <c r="SCH11" s="392"/>
      <c r="SCI11" s="392"/>
      <c r="SCJ11" s="392"/>
      <c r="SCK11" s="392"/>
      <c r="SCL11" s="392"/>
      <c r="SCM11" s="392"/>
      <c r="SCN11" s="392"/>
      <c r="SCO11" s="392"/>
      <c r="SCP11" s="392"/>
      <c r="SCQ11" s="392"/>
      <c r="SCR11" s="392"/>
      <c r="SCS11" s="392"/>
      <c r="SCT11" s="392"/>
      <c r="SCU11" s="392"/>
      <c r="SCV11" s="392"/>
      <c r="SCW11" s="392"/>
      <c r="SCX11" s="392"/>
      <c r="SCY11" s="392"/>
      <c r="SCZ11" s="392"/>
      <c r="SDA11" s="392"/>
      <c r="SDB11" s="392"/>
      <c r="SDC11" s="392"/>
      <c r="SDD11" s="392"/>
      <c r="SDE11" s="392"/>
      <c r="SDF11" s="392"/>
      <c r="SDG11" s="392"/>
      <c r="SDH11" s="392"/>
      <c r="SDI11" s="392"/>
      <c r="SDJ11" s="392"/>
      <c r="SDK11" s="392"/>
      <c r="SDL11" s="392"/>
      <c r="SDM11" s="392"/>
      <c r="SDN11" s="392"/>
      <c r="SDO11" s="392"/>
      <c r="SDP11" s="392"/>
      <c r="SDQ11" s="392"/>
      <c r="SDR11" s="392"/>
      <c r="SDS11" s="392"/>
      <c r="SDT11" s="392"/>
      <c r="SDU11" s="392"/>
      <c r="SDV11" s="392"/>
      <c r="SDW11" s="392"/>
      <c r="SDX11" s="392"/>
      <c r="SDY11" s="392"/>
      <c r="SDZ11" s="392"/>
      <c r="SEA11" s="392"/>
      <c r="SEB11" s="392"/>
      <c r="SEC11" s="392"/>
      <c r="SED11" s="392"/>
      <c r="SEE11" s="392"/>
      <c r="SEF11" s="392"/>
      <c r="SEG11" s="392"/>
      <c r="SEH11" s="392"/>
      <c r="SEI11" s="392"/>
      <c r="SEJ11" s="392"/>
      <c r="SEK11" s="392"/>
      <c r="SEL11" s="392"/>
      <c r="SEM11" s="392"/>
      <c r="SEN11" s="392"/>
      <c r="SEO11" s="392"/>
      <c r="SEP11" s="392"/>
      <c r="SEQ11" s="392"/>
      <c r="SER11" s="392"/>
      <c r="SES11" s="392"/>
      <c r="SET11" s="392"/>
      <c r="SEU11" s="392"/>
      <c r="SEV11" s="392"/>
      <c r="SEW11" s="392"/>
      <c r="SEX11" s="392"/>
      <c r="SEY11" s="392"/>
      <c r="SEZ11" s="392"/>
      <c r="SFA11" s="392"/>
      <c r="SFB11" s="392"/>
      <c r="SFC11" s="392"/>
      <c r="SFD11" s="392"/>
      <c r="SFE11" s="392"/>
      <c r="SFF11" s="392"/>
      <c r="SFG11" s="392"/>
      <c r="SFH11" s="392"/>
      <c r="SFI11" s="392"/>
      <c r="SFJ11" s="392"/>
      <c r="SFK11" s="392"/>
      <c r="SFL11" s="392"/>
      <c r="SFM11" s="392"/>
      <c r="SFN11" s="392"/>
      <c r="SFO11" s="392"/>
      <c r="SFP11" s="392"/>
      <c r="SFQ11" s="392"/>
      <c r="SFR11" s="392"/>
      <c r="SFS11" s="392"/>
      <c r="SFT11" s="392"/>
      <c r="SFU11" s="392"/>
      <c r="SFV11" s="392"/>
      <c r="SFW11" s="392"/>
      <c r="SFX11" s="392"/>
      <c r="SFY11" s="392"/>
      <c r="SFZ11" s="392"/>
      <c r="SGA11" s="392"/>
      <c r="SGB11" s="392"/>
      <c r="SGC11" s="392"/>
      <c r="SGD11" s="392"/>
      <c r="SGE11" s="392"/>
      <c r="SGF11" s="392"/>
      <c r="SGG11" s="392"/>
      <c r="SGH11" s="392"/>
      <c r="SGI11" s="392"/>
      <c r="SGJ11" s="392"/>
      <c r="SGK11" s="392"/>
      <c r="SGL11" s="392"/>
      <c r="SGM11" s="392"/>
      <c r="SGN11" s="392"/>
      <c r="SGO11" s="392"/>
      <c r="SGP11" s="392"/>
      <c r="SGQ11" s="392"/>
      <c r="SGR11" s="392"/>
      <c r="SGS11" s="392"/>
      <c r="SGT11" s="392"/>
      <c r="SGU11" s="392"/>
      <c r="SGV11" s="392"/>
      <c r="SGW11" s="392"/>
      <c r="SGX11" s="392"/>
      <c r="SGY11" s="392"/>
      <c r="SGZ11" s="392"/>
      <c r="SHA11" s="392"/>
      <c r="SHB11" s="392"/>
      <c r="SHC11" s="392"/>
      <c r="SHD11" s="392"/>
      <c r="SHE11" s="392"/>
      <c r="SHF11" s="392"/>
      <c r="SHG11" s="392"/>
      <c r="SHH11" s="392"/>
      <c r="SHI11" s="392"/>
      <c r="SHJ11" s="392"/>
      <c r="SHK11" s="392"/>
      <c r="SHL11" s="392"/>
      <c r="SHM11" s="392"/>
      <c r="SHN11" s="392"/>
      <c r="SHO11" s="392"/>
      <c r="SHP11" s="392"/>
      <c r="SHQ11" s="392"/>
      <c r="SHR11" s="392"/>
      <c r="SHS11" s="392"/>
      <c r="SHT11" s="392"/>
      <c r="SHU11" s="392"/>
      <c r="SHV11" s="392"/>
      <c r="SHW11" s="392"/>
      <c r="SHX11" s="392"/>
      <c r="SHY11" s="392"/>
      <c r="SHZ11" s="392"/>
      <c r="SIA11" s="392"/>
      <c r="SIB11" s="392"/>
      <c r="SIC11" s="392"/>
      <c r="SID11" s="392"/>
      <c r="SIE11" s="392"/>
      <c r="SIF11" s="392"/>
      <c r="SIG11" s="392"/>
      <c r="SIH11" s="392"/>
      <c r="SII11" s="392"/>
      <c r="SIJ11" s="392"/>
      <c r="SIK11" s="392"/>
      <c r="SIL11" s="392"/>
      <c r="SIM11" s="392"/>
      <c r="SIN11" s="392"/>
      <c r="SIO11" s="392"/>
      <c r="SIP11" s="392"/>
      <c r="SIQ11" s="392"/>
      <c r="SIR11" s="392"/>
      <c r="SIS11" s="392"/>
      <c r="SIT11" s="392"/>
      <c r="SIU11" s="392"/>
      <c r="SIV11" s="392"/>
      <c r="SIW11" s="392"/>
      <c r="SIX11" s="392"/>
      <c r="SIY11" s="392"/>
      <c r="SIZ11" s="392"/>
      <c r="SJA11" s="392"/>
      <c r="SJB11" s="392"/>
      <c r="SJC11" s="392"/>
      <c r="SJD11" s="392"/>
      <c r="SJE11" s="392"/>
      <c r="SJF11" s="392"/>
      <c r="SJG11" s="392"/>
      <c r="SJH11" s="392"/>
      <c r="SJI11" s="392"/>
      <c r="SJJ11" s="392"/>
      <c r="SJK11" s="392"/>
      <c r="SJL11" s="392"/>
      <c r="SJM11" s="392"/>
      <c r="SJN11" s="392"/>
      <c r="SJO11" s="392"/>
      <c r="SJP11" s="392"/>
      <c r="SJQ11" s="392"/>
      <c r="SJR11" s="392"/>
      <c r="SJS11" s="392"/>
      <c r="SJT11" s="392"/>
      <c r="SJU11" s="392"/>
      <c r="SJV11" s="392"/>
      <c r="SJW11" s="392"/>
      <c r="SJX11" s="392"/>
      <c r="SJY11" s="392"/>
      <c r="SJZ11" s="392"/>
      <c r="SKA11" s="392"/>
      <c r="SKB11" s="392"/>
      <c r="SKC11" s="392"/>
      <c r="SKD11" s="392"/>
      <c r="SKE11" s="392"/>
      <c r="SKF11" s="392"/>
      <c r="SKG11" s="392"/>
      <c r="SKH11" s="392"/>
      <c r="SKI11" s="392"/>
      <c r="SKJ11" s="392"/>
      <c r="SKK11" s="392"/>
      <c r="SKL11" s="392"/>
      <c r="SKM11" s="392"/>
      <c r="SKN11" s="392"/>
      <c r="SKO11" s="392"/>
      <c r="SKP11" s="392"/>
      <c r="SKQ11" s="392"/>
      <c r="SKR11" s="392"/>
      <c r="SKS11" s="392"/>
      <c r="SKT11" s="392"/>
      <c r="SKU11" s="392"/>
      <c r="SKV11" s="392"/>
      <c r="SKW11" s="392"/>
      <c r="SKX11" s="392"/>
      <c r="SKY11" s="392"/>
      <c r="SKZ11" s="392"/>
      <c r="SLA11" s="392"/>
      <c r="SLB11" s="392"/>
      <c r="SLC11" s="392"/>
      <c r="SLD11" s="392"/>
      <c r="SLE11" s="392"/>
      <c r="SLF11" s="392"/>
      <c r="SLG11" s="392"/>
      <c r="SLH11" s="392"/>
      <c r="SLI11" s="392"/>
      <c r="SLJ11" s="392"/>
      <c r="SLK11" s="392"/>
      <c r="SLL11" s="392"/>
      <c r="SLM11" s="392"/>
      <c r="SLN11" s="392"/>
      <c r="SLO11" s="392"/>
      <c r="SLP11" s="392"/>
      <c r="SLQ11" s="392"/>
      <c r="SLR11" s="392"/>
      <c r="SLS11" s="392"/>
      <c r="SLT11" s="392"/>
      <c r="SLU11" s="392"/>
      <c r="SLV11" s="392"/>
      <c r="SLW11" s="392"/>
      <c r="SLX11" s="392"/>
      <c r="SLY11" s="392"/>
      <c r="SLZ11" s="392"/>
      <c r="SMA11" s="392"/>
      <c r="SMB11" s="392"/>
      <c r="SMC11" s="392"/>
      <c r="SMD11" s="392"/>
      <c r="SME11" s="392"/>
      <c r="SMF11" s="392"/>
      <c r="SMG11" s="392"/>
      <c r="SMH11" s="392"/>
      <c r="SMI11" s="392"/>
      <c r="SMJ11" s="392"/>
      <c r="SMK11" s="392"/>
      <c r="SML11" s="392"/>
      <c r="SMM11" s="392"/>
      <c r="SMN11" s="392"/>
      <c r="SMO11" s="392"/>
      <c r="SMP11" s="392"/>
      <c r="SMQ11" s="392"/>
      <c r="SMR11" s="392"/>
      <c r="SMS11" s="392"/>
      <c r="SMT11" s="392"/>
      <c r="SMU11" s="392"/>
      <c r="SMV11" s="392"/>
      <c r="SMW11" s="392"/>
      <c r="SMX11" s="392"/>
      <c r="SMY11" s="392"/>
      <c r="SMZ11" s="392"/>
      <c r="SNA11" s="392"/>
      <c r="SNB11" s="392"/>
      <c r="SNC11" s="392"/>
      <c r="SND11" s="392"/>
      <c r="SNE11" s="392"/>
      <c r="SNF11" s="392"/>
      <c r="SNG11" s="392"/>
      <c r="SNH11" s="392"/>
      <c r="SNI11" s="392"/>
      <c r="SNJ11" s="392"/>
      <c r="SNK11" s="392"/>
      <c r="SNL11" s="392"/>
      <c r="SNM11" s="392"/>
      <c r="SNN11" s="392"/>
      <c r="SNO11" s="392"/>
      <c r="SNP11" s="392"/>
      <c r="SNQ11" s="392"/>
      <c r="SNR11" s="392"/>
      <c r="SNS11" s="392"/>
      <c r="SNT11" s="392"/>
      <c r="SNU11" s="392"/>
      <c r="SNV11" s="392"/>
      <c r="SNW11" s="392"/>
      <c r="SNX11" s="392"/>
      <c r="SNY11" s="392"/>
      <c r="SNZ11" s="392"/>
      <c r="SOA11" s="392"/>
      <c r="SOB11" s="392"/>
      <c r="SOC11" s="392"/>
      <c r="SOD11" s="392"/>
      <c r="SOE11" s="392"/>
      <c r="SOF11" s="392"/>
      <c r="SOG11" s="392"/>
      <c r="SOH11" s="392"/>
      <c r="SOI11" s="392"/>
      <c r="SOJ11" s="392"/>
      <c r="SOK11" s="392"/>
      <c r="SOL11" s="392"/>
      <c r="SOM11" s="392"/>
      <c r="SON11" s="392"/>
      <c r="SOO11" s="392"/>
      <c r="SOP11" s="392"/>
      <c r="SOQ11" s="392"/>
      <c r="SOR11" s="392"/>
      <c r="SOS11" s="392"/>
      <c r="SOT11" s="392"/>
      <c r="SOU11" s="392"/>
      <c r="SOV11" s="392"/>
      <c r="SOW11" s="392"/>
      <c r="SOX11" s="392"/>
      <c r="SOY11" s="392"/>
      <c r="SOZ11" s="392"/>
      <c r="SPA11" s="392"/>
      <c r="SPB11" s="392"/>
      <c r="SPC11" s="392"/>
      <c r="SPD11" s="392"/>
      <c r="SPE11" s="392"/>
      <c r="SPF11" s="392"/>
      <c r="SPG11" s="392"/>
      <c r="SPH11" s="392"/>
      <c r="SPI11" s="392"/>
      <c r="SPJ11" s="392"/>
      <c r="SPK11" s="392"/>
      <c r="SPL11" s="392"/>
      <c r="SPM11" s="392"/>
      <c r="SPN11" s="392"/>
      <c r="SPO11" s="392"/>
      <c r="SPP11" s="392"/>
      <c r="SPQ11" s="392"/>
      <c r="SPR11" s="392"/>
      <c r="SPS11" s="392"/>
      <c r="SPT11" s="392"/>
      <c r="SPU11" s="392"/>
      <c r="SPV11" s="392"/>
      <c r="SPW11" s="392"/>
      <c r="SPX11" s="392"/>
      <c r="SPY11" s="392"/>
      <c r="SPZ11" s="392"/>
      <c r="SQA11" s="392"/>
      <c r="SQB11" s="392"/>
      <c r="SQC11" s="392"/>
      <c r="SQD11" s="392"/>
      <c r="SQE11" s="392"/>
      <c r="SQF11" s="392"/>
      <c r="SQG11" s="392"/>
      <c r="SQH11" s="392"/>
      <c r="SQI11" s="392"/>
      <c r="SQJ11" s="392"/>
      <c r="SQK11" s="392"/>
      <c r="SQL11" s="392"/>
      <c r="SQM11" s="392"/>
      <c r="SQN11" s="392"/>
      <c r="SQO11" s="392"/>
      <c r="SQP11" s="392"/>
      <c r="SQQ11" s="392"/>
      <c r="SQR11" s="392"/>
      <c r="SQS11" s="392"/>
      <c r="SQT11" s="392"/>
      <c r="SQU11" s="392"/>
      <c r="SQV11" s="392"/>
      <c r="SQW11" s="392"/>
      <c r="SQX11" s="392"/>
      <c r="SQY11" s="392"/>
      <c r="SQZ11" s="392"/>
      <c r="SRA11" s="392"/>
      <c r="SRB11" s="392"/>
      <c r="SRC11" s="392"/>
      <c r="SRD11" s="392"/>
      <c r="SRE11" s="392"/>
      <c r="SRF11" s="392"/>
      <c r="SRG11" s="392"/>
      <c r="SRH11" s="392"/>
      <c r="SRI11" s="392"/>
      <c r="SRJ11" s="392"/>
      <c r="SRK11" s="392"/>
      <c r="SRL11" s="392"/>
      <c r="SRM11" s="392"/>
      <c r="SRN11" s="392"/>
      <c r="SRO11" s="392"/>
      <c r="SRP11" s="392"/>
      <c r="SRQ11" s="392"/>
      <c r="SRR11" s="392"/>
      <c r="SRS11" s="392"/>
      <c r="SRT11" s="392"/>
      <c r="SRU11" s="392"/>
      <c r="SRV11" s="392"/>
      <c r="SRW11" s="392"/>
      <c r="SRX11" s="392"/>
      <c r="SRY11" s="392"/>
      <c r="SRZ11" s="392"/>
      <c r="SSA11" s="392"/>
      <c r="SSB11" s="392"/>
      <c r="SSC11" s="392"/>
      <c r="SSD11" s="392"/>
      <c r="SSE11" s="392"/>
      <c r="SSF11" s="392"/>
      <c r="SSG11" s="392"/>
      <c r="SSH11" s="392"/>
      <c r="SSI11" s="392"/>
      <c r="SSJ11" s="392"/>
      <c r="SSK11" s="392"/>
      <c r="SSL11" s="392"/>
      <c r="SSM11" s="392"/>
      <c r="SSN11" s="392"/>
      <c r="SSO11" s="392"/>
      <c r="SSP11" s="392"/>
      <c r="SSQ11" s="392"/>
      <c r="SSR11" s="392"/>
      <c r="SSS11" s="392"/>
      <c r="SST11" s="392"/>
      <c r="SSU11" s="392"/>
      <c r="SSV11" s="392"/>
      <c r="SSW11" s="392"/>
      <c r="SSX11" s="392"/>
      <c r="SSY11" s="392"/>
      <c r="SSZ11" s="392"/>
      <c r="STA11" s="392"/>
      <c r="STB11" s="392"/>
      <c r="STC11" s="392"/>
      <c r="STD11" s="392"/>
      <c r="STE11" s="392"/>
      <c r="STF11" s="392"/>
      <c r="STG11" s="392"/>
      <c r="STH11" s="392"/>
      <c r="STI11" s="392"/>
      <c r="STJ11" s="392"/>
      <c r="STK11" s="392"/>
      <c r="STL11" s="392"/>
      <c r="STM11" s="392"/>
      <c r="STN11" s="392"/>
      <c r="STO11" s="392"/>
      <c r="STP11" s="392"/>
      <c r="STQ11" s="392"/>
      <c r="STR11" s="392"/>
      <c r="STS11" s="392"/>
      <c r="STT11" s="392"/>
      <c r="STU11" s="392"/>
      <c r="STV11" s="392"/>
      <c r="STW11" s="392"/>
      <c r="STX11" s="392"/>
      <c r="STY11" s="392"/>
      <c r="STZ11" s="392"/>
      <c r="SUA11" s="392"/>
      <c r="SUB11" s="392"/>
      <c r="SUC11" s="392"/>
      <c r="SUD11" s="392"/>
      <c r="SUE11" s="392"/>
      <c r="SUF11" s="392"/>
      <c r="SUG11" s="392"/>
      <c r="SUH11" s="392"/>
      <c r="SUI11" s="392"/>
      <c r="SUJ11" s="392"/>
      <c r="SUK11" s="392"/>
      <c r="SUL11" s="392"/>
      <c r="SUM11" s="392"/>
      <c r="SUN11" s="392"/>
      <c r="SUO11" s="392"/>
      <c r="SUP11" s="392"/>
      <c r="SUQ11" s="392"/>
      <c r="SUR11" s="392"/>
      <c r="SUS11" s="392"/>
      <c r="SUT11" s="392"/>
      <c r="SUU11" s="392"/>
      <c r="SUV11" s="392"/>
      <c r="SUW11" s="392"/>
      <c r="SUX11" s="392"/>
      <c r="SUY11" s="392"/>
      <c r="SUZ11" s="392"/>
      <c r="SVA11" s="392"/>
      <c r="SVB11" s="392"/>
      <c r="SVC11" s="392"/>
      <c r="SVD11" s="392"/>
      <c r="SVE11" s="392"/>
      <c r="SVF11" s="392"/>
      <c r="SVG11" s="392"/>
      <c r="SVH11" s="392"/>
      <c r="SVI11" s="392"/>
      <c r="SVJ11" s="392"/>
      <c r="SVK11" s="392"/>
      <c r="SVL11" s="392"/>
      <c r="SVM11" s="392"/>
      <c r="SVN11" s="392"/>
      <c r="SVO11" s="392"/>
      <c r="SVP11" s="392"/>
      <c r="SVQ11" s="392"/>
      <c r="SVR11" s="392"/>
      <c r="SVS11" s="392"/>
      <c r="SVT11" s="392"/>
      <c r="SVU11" s="392"/>
      <c r="SVV11" s="392"/>
      <c r="SVW11" s="392"/>
      <c r="SVX11" s="392"/>
      <c r="SVY11" s="392"/>
      <c r="SVZ11" s="392"/>
      <c r="SWA11" s="392"/>
      <c r="SWB11" s="392"/>
      <c r="SWC11" s="392"/>
      <c r="SWD11" s="392"/>
      <c r="SWE11" s="392"/>
      <c r="SWF11" s="392"/>
      <c r="SWG11" s="392"/>
      <c r="SWH11" s="392"/>
      <c r="SWI11" s="392"/>
      <c r="SWJ11" s="392"/>
      <c r="SWK11" s="392"/>
      <c r="SWL11" s="392"/>
      <c r="SWM11" s="392"/>
      <c r="SWN11" s="392"/>
      <c r="SWO11" s="392"/>
      <c r="SWP11" s="392"/>
      <c r="SWQ11" s="392"/>
      <c r="SWR11" s="392"/>
      <c r="SWS11" s="392"/>
      <c r="SWT11" s="392"/>
      <c r="SWU11" s="392"/>
      <c r="SWV11" s="392"/>
      <c r="SWW11" s="392"/>
      <c r="SWX11" s="392"/>
      <c r="SWY11" s="392"/>
      <c r="SWZ11" s="392"/>
      <c r="SXA11" s="392"/>
      <c r="SXB11" s="392"/>
      <c r="SXC11" s="392"/>
      <c r="SXD11" s="392"/>
      <c r="SXE11" s="392"/>
      <c r="SXF11" s="392"/>
      <c r="SXG11" s="392"/>
      <c r="SXH11" s="392"/>
      <c r="SXI11" s="392"/>
      <c r="SXJ11" s="392"/>
      <c r="SXK11" s="392"/>
      <c r="SXL11" s="392"/>
      <c r="SXM11" s="392"/>
      <c r="SXN11" s="392"/>
      <c r="SXO11" s="392"/>
      <c r="SXP11" s="392"/>
      <c r="SXQ11" s="392"/>
      <c r="SXR11" s="392"/>
      <c r="SXS11" s="392"/>
      <c r="SXT11" s="392"/>
      <c r="SXU11" s="392"/>
      <c r="SXV11" s="392"/>
      <c r="SXW11" s="392"/>
      <c r="SXX11" s="392"/>
      <c r="SXY11" s="392"/>
      <c r="SXZ11" s="392"/>
      <c r="SYA11" s="392"/>
      <c r="SYB11" s="392"/>
      <c r="SYC11" s="392"/>
      <c r="SYD11" s="392"/>
      <c r="SYE11" s="392"/>
      <c r="SYF11" s="392"/>
      <c r="SYG11" s="392"/>
      <c r="SYH11" s="392"/>
      <c r="SYI11" s="392"/>
      <c r="SYJ11" s="392"/>
      <c r="SYK11" s="392"/>
      <c r="SYL11" s="392"/>
      <c r="SYM11" s="392"/>
      <c r="SYN11" s="392"/>
      <c r="SYO11" s="392"/>
      <c r="SYP11" s="392"/>
      <c r="SYQ11" s="392"/>
      <c r="SYR11" s="392"/>
      <c r="SYS11" s="392"/>
      <c r="SYT11" s="392"/>
      <c r="SYU11" s="392"/>
      <c r="SYV11" s="392"/>
      <c r="SYW11" s="392"/>
      <c r="SYX11" s="392"/>
      <c r="SYY11" s="392"/>
      <c r="SYZ11" s="392"/>
      <c r="SZA11" s="392"/>
      <c r="SZB11" s="392"/>
      <c r="SZC11" s="392"/>
      <c r="SZD11" s="392"/>
      <c r="SZE11" s="392"/>
      <c r="SZF11" s="392"/>
      <c r="SZG11" s="392"/>
      <c r="SZH11" s="392"/>
      <c r="SZI11" s="392"/>
      <c r="SZJ11" s="392"/>
      <c r="SZK11" s="392"/>
      <c r="SZL11" s="392"/>
      <c r="SZM11" s="392"/>
      <c r="SZN11" s="392"/>
      <c r="SZO11" s="392"/>
      <c r="SZP11" s="392"/>
      <c r="SZQ11" s="392"/>
      <c r="SZR11" s="392"/>
      <c r="SZS11" s="392"/>
      <c r="SZT11" s="392"/>
      <c r="SZU11" s="392"/>
      <c r="SZV11" s="392"/>
      <c r="SZW11" s="392"/>
      <c r="SZX11" s="392"/>
      <c r="SZY11" s="392"/>
      <c r="SZZ11" s="392"/>
      <c r="TAA11" s="392"/>
      <c r="TAB11" s="392"/>
      <c r="TAC11" s="392"/>
      <c r="TAD11" s="392"/>
      <c r="TAE11" s="392"/>
      <c r="TAF11" s="392"/>
      <c r="TAG11" s="392"/>
      <c r="TAH11" s="392"/>
      <c r="TAI11" s="392"/>
      <c r="TAJ11" s="392"/>
      <c r="TAK11" s="392"/>
      <c r="TAL11" s="392"/>
      <c r="TAM11" s="392"/>
      <c r="TAN11" s="392"/>
      <c r="TAO11" s="392"/>
      <c r="TAP11" s="392"/>
      <c r="TAQ11" s="392"/>
      <c r="TAR11" s="392"/>
      <c r="TAS11" s="392"/>
      <c r="TAT11" s="392"/>
      <c r="TAU11" s="392"/>
      <c r="TAV11" s="392"/>
      <c r="TAW11" s="392"/>
      <c r="TAX11" s="392"/>
      <c r="TAY11" s="392"/>
      <c r="TAZ11" s="392"/>
      <c r="TBA11" s="392"/>
      <c r="TBB11" s="392"/>
      <c r="TBC11" s="392"/>
      <c r="TBD11" s="392"/>
      <c r="TBE11" s="392"/>
      <c r="TBF11" s="392"/>
      <c r="TBG11" s="392"/>
      <c r="TBH11" s="392"/>
      <c r="TBI11" s="392"/>
      <c r="TBJ11" s="392"/>
      <c r="TBK11" s="392"/>
      <c r="TBL11" s="392"/>
      <c r="TBM11" s="392"/>
      <c r="TBN11" s="392"/>
      <c r="TBO11" s="392"/>
      <c r="TBP11" s="392"/>
      <c r="TBQ11" s="392"/>
      <c r="TBR11" s="392"/>
      <c r="TBS11" s="392"/>
      <c r="TBT11" s="392"/>
      <c r="TBU11" s="392"/>
      <c r="TBV11" s="392"/>
      <c r="TBW11" s="392"/>
      <c r="TBX11" s="392"/>
      <c r="TBY11" s="392"/>
      <c r="TBZ11" s="392"/>
      <c r="TCA11" s="392"/>
      <c r="TCB11" s="392"/>
      <c r="TCC11" s="392"/>
      <c r="TCD11" s="392"/>
      <c r="TCE11" s="392"/>
      <c r="TCF11" s="392"/>
      <c r="TCG11" s="392"/>
      <c r="TCH11" s="392"/>
      <c r="TCI11" s="392"/>
      <c r="TCJ11" s="392"/>
      <c r="TCK11" s="392"/>
      <c r="TCL11" s="392"/>
      <c r="TCM11" s="392"/>
      <c r="TCN11" s="392"/>
      <c r="TCO11" s="392"/>
      <c r="TCP11" s="392"/>
      <c r="TCQ11" s="392"/>
      <c r="TCR11" s="392"/>
      <c r="TCS11" s="392"/>
      <c r="TCT11" s="392"/>
      <c r="TCU11" s="392"/>
      <c r="TCV11" s="392"/>
      <c r="TCW11" s="392"/>
      <c r="TCX11" s="392"/>
      <c r="TCY11" s="392"/>
      <c r="TCZ11" s="392"/>
      <c r="TDA11" s="392"/>
      <c r="TDB11" s="392"/>
      <c r="TDC11" s="392"/>
      <c r="TDD11" s="392"/>
      <c r="TDE11" s="392"/>
      <c r="TDF11" s="392"/>
      <c r="TDG11" s="392"/>
      <c r="TDH11" s="392"/>
      <c r="TDI11" s="392"/>
      <c r="TDJ11" s="392"/>
      <c r="TDK11" s="392"/>
      <c r="TDL11" s="392"/>
      <c r="TDM11" s="392"/>
      <c r="TDN11" s="392"/>
      <c r="TDO11" s="392"/>
      <c r="TDP11" s="392"/>
      <c r="TDQ11" s="392"/>
      <c r="TDR11" s="392"/>
      <c r="TDS11" s="392"/>
      <c r="TDT11" s="392"/>
      <c r="TDU11" s="392"/>
      <c r="TDV11" s="392"/>
      <c r="TDW11" s="392"/>
      <c r="TDX11" s="392"/>
      <c r="TDY11" s="392"/>
      <c r="TDZ11" s="392"/>
      <c r="TEA11" s="392"/>
      <c r="TEB11" s="392"/>
      <c r="TEC11" s="392"/>
      <c r="TED11" s="392"/>
      <c r="TEE11" s="392"/>
      <c r="TEF11" s="392"/>
      <c r="TEG11" s="392"/>
      <c r="TEH11" s="392"/>
      <c r="TEI11" s="392"/>
      <c r="TEJ11" s="392"/>
      <c r="TEK11" s="392"/>
      <c r="TEL11" s="392"/>
      <c r="TEM11" s="392"/>
      <c r="TEN11" s="392"/>
      <c r="TEO11" s="392"/>
      <c r="TEP11" s="392"/>
      <c r="TEQ11" s="392"/>
      <c r="TER11" s="392"/>
      <c r="TES11" s="392"/>
      <c r="TET11" s="392"/>
      <c r="TEU11" s="392"/>
      <c r="TEV11" s="392"/>
      <c r="TEW11" s="392"/>
      <c r="TEX11" s="392"/>
      <c r="TEY11" s="392"/>
      <c r="TEZ11" s="392"/>
      <c r="TFA11" s="392"/>
      <c r="TFB11" s="392"/>
      <c r="TFC11" s="392"/>
      <c r="TFD11" s="392"/>
      <c r="TFE11" s="392"/>
      <c r="TFF11" s="392"/>
      <c r="TFG11" s="392"/>
      <c r="TFH11" s="392"/>
      <c r="TFI11" s="392"/>
      <c r="TFJ11" s="392"/>
      <c r="TFK11" s="392"/>
      <c r="TFL11" s="392"/>
      <c r="TFM11" s="392"/>
      <c r="TFN11" s="392"/>
      <c r="TFO11" s="392"/>
      <c r="TFP11" s="392"/>
      <c r="TFQ11" s="392"/>
      <c r="TFR11" s="392"/>
      <c r="TFS11" s="392"/>
      <c r="TFT11" s="392"/>
      <c r="TFU11" s="392"/>
      <c r="TFV11" s="392"/>
      <c r="TFW11" s="392"/>
      <c r="TFX11" s="392"/>
      <c r="TFY11" s="392"/>
      <c r="TFZ11" s="392"/>
      <c r="TGA11" s="392"/>
      <c r="TGB11" s="392"/>
      <c r="TGC11" s="392"/>
      <c r="TGD11" s="392"/>
      <c r="TGE11" s="392"/>
      <c r="TGF11" s="392"/>
      <c r="TGG11" s="392"/>
      <c r="TGH11" s="392"/>
      <c r="TGI11" s="392"/>
      <c r="TGJ11" s="392"/>
      <c r="TGK11" s="392"/>
      <c r="TGL11" s="392"/>
      <c r="TGM11" s="392"/>
      <c r="TGN11" s="392"/>
      <c r="TGO11" s="392"/>
      <c r="TGP11" s="392"/>
      <c r="TGQ11" s="392"/>
      <c r="TGR11" s="392"/>
      <c r="TGS11" s="392"/>
      <c r="TGT11" s="392"/>
      <c r="TGU11" s="392"/>
      <c r="TGV11" s="392"/>
      <c r="TGW11" s="392"/>
      <c r="TGX11" s="392"/>
      <c r="TGY11" s="392"/>
      <c r="TGZ11" s="392"/>
      <c r="THA11" s="392"/>
      <c r="THB11" s="392"/>
      <c r="THC11" s="392"/>
      <c r="THD11" s="392"/>
      <c r="THE11" s="392"/>
      <c r="THF11" s="392"/>
      <c r="THG11" s="392"/>
      <c r="THH11" s="392"/>
      <c r="THI11" s="392"/>
      <c r="THJ11" s="392"/>
      <c r="THK11" s="392"/>
      <c r="THL11" s="392"/>
      <c r="THM11" s="392"/>
      <c r="THN11" s="392"/>
      <c r="THO11" s="392"/>
      <c r="THP11" s="392"/>
      <c r="THQ11" s="392"/>
      <c r="THR11" s="392"/>
      <c r="THS11" s="392"/>
      <c r="THT11" s="392"/>
      <c r="THU11" s="392"/>
      <c r="THV11" s="392"/>
      <c r="THW11" s="392"/>
      <c r="THX11" s="392"/>
      <c r="THY11" s="392"/>
      <c r="THZ11" s="392"/>
      <c r="TIA11" s="392"/>
      <c r="TIB11" s="392"/>
      <c r="TIC11" s="392"/>
      <c r="TID11" s="392"/>
      <c r="TIE11" s="392"/>
      <c r="TIF11" s="392"/>
      <c r="TIG11" s="392"/>
      <c r="TIH11" s="392"/>
      <c r="TII11" s="392"/>
      <c r="TIJ11" s="392"/>
      <c r="TIK11" s="392"/>
      <c r="TIL11" s="392"/>
      <c r="TIM11" s="392"/>
      <c r="TIN11" s="392"/>
      <c r="TIO11" s="392"/>
      <c r="TIP11" s="392"/>
      <c r="TIQ11" s="392"/>
      <c r="TIR11" s="392"/>
      <c r="TIS11" s="392"/>
      <c r="TIT11" s="392"/>
      <c r="TIU11" s="392"/>
      <c r="TIV11" s="392"/>
      <c r="TIW11" s="392"/>
      <c r="TIX11" s="392"/>
      <c r="TIY11" s="392"/>
      <c r="TIZ11" s="392"/>
      <c r="TJA11" s="392"/>
      <c r="TJB11" s="392"/>
      <c r="TJC11" s="392"/>
      <c r="TJD11" s="392"/>
      <c r="TJE11" s="392"/>
      <c r="TJF11" s="392"/>
      <c r="TJG11" s="392"/>
      <c r="TJH11" s="392"/>
      <c r="TJI11" s="392"/>
      <c r="TJJ11" s="392"/>
      <c r="TJK11" s="392"/>
      <c r="TJL11" s="392"/>
      <c r="TJM11" s="392"/>
      <c r="TJN11" s="392"/>
      <c r="TJO11" s="392"/>
      <c r="TJP11" s="392"/>
      <c r="TJQ11" s="392"/>
      <c r="TJR11" s="392"/>
      <c r="TJS11" s="392"/>
      <c r="TJT11" s="392"/>
      <c r="TJU11" s="392"/>
      <c r="TJV11" s="392"/>
      <c r="TJW11" s="392"/>
      <c r="TJX11" s="392"/>
      <c r="TJY11" s="392"/>
      <c r="TJZ11" s="392"/>
      <c r="TKA11" s="392"/>
      <c r="TKB11" s="392"/>
      <c r="TKC11" s="392"/>
      <c r="TKD11" s="392"/>
      <c r="TKE11" s="392"/>
      <c r="TKF11" s="392"/>
      <c r="TKG11" s="392"/>
      <c r="TKH11" s="392"/>
      <c r="TKI11" s="392"/>
      <c r="TKJ11" s="392"/>
      <c r="TKK11" s="392"/>
      <c r="TKL11" s="392"/>
      <c r="TKM11" s="392"/>
      <c r="TKN11" s="392"/>
      <c r="TKO11" s="392"/>
      <c r="TKP11" s="392"/>
      <c r="TKQ11" s="392"/>
      <c r="TKR11" s="392"/>
      <c r="TKS11" s="392"/>
      <c r="TKT11" s="392"/>
      <c r="TKU11" s="392"/>
      <c r="TKV11" s="392"/>
      <c r="TKW11" s="392"/>
      <c r="TKX11" s="392"/>
      <c r="TKY11" s="392"/>
      <c r="TKZ11" s="392"/>
      <c r="TLA11" s="392"/>
      <c r="TLB11" s="392"/>
      <c r="TLC11" s="392"/>
      <c r="TLD11" s="392"/>
      <c r="TLE11" s="392"/>
      <c r="TLF11" s="392"/>
      <c r="TLG11" s="392"/>
      <c r="TLH11" s="392"/>
      <c r="TLI11" s="392"/>
      <c r="TLJ11" s="392"/>
      <c r="TLK11" s="392"/>
      <c r="TLL11" s="392"/>
      <c r="TLM11" s="392"/>
      <c r="TLN11" s="392"/>
      <c r="TLO11" s="392"/>
      <c r="TLP11" s="392"/>
      <c r="TLQ11" s="392"/>
      <c r="TLR11" s="392"/>
      <c r="TLS11" s="392"/>
      <c r="TLT11" s="392"/>
      <c r="TLU11" s="392"/>
      <c r="TLV11" s="392"/>
      <c r="TLW11" s="392"/>
      <c r="TLX11" s="392"/>
      <c r="TLY11" s="392"/>
      <c r="TLZ11" s="392"/>
      <c r="TMA11" s="392"/>
      <c r="TMB11" s="392"/>
      <c r="TMC11" s="392"/>
      <c r="TMD11" s="392"/>
      <c r="TME11" s="392"/>
      <c r="TMF11" s="392"/>
      <c r="TMG11" s="392"/>
      <c r="TMH11" s="392"/>
      <c r="TMI11" s="392"/>
      <c r="TMJ11" s="392"/>
      <c r="TMK11" s="392"/>
      <c r="TML11" s="392"/>
      <c r="TMM11" s="392"/>
      <c r="TMN11" s="392"/>
      <c r="TMO11" s="392"/>
      <c r="TMP11" s="392"/>
      <c r="TMQ11" s="392"/>
      <c r="TMR11" s="392"/>
      <c r="TMS11" s="392"/>
      <c r="TMT11" s="392"/>
      <c r="TMU11" s="392"/>
      <c r="TMV11" s="392"/>
      <c r="TMW11" s="392"/>
      <c r="TMX11" s="392"/>
      <c r="TMY11" s="392"/>
      <c r="TMZ11" s="392"/>
      <c r="TNA11" s="392"/>
      <c r="TNB11" s="392"/>
      <c r="TNC11" s="392"/>
      <c r="TND11" s="392"/>
      <c r="TNE11" s="392"/>
      <c r="TNF11" s="392"/>
      <c r="TNG11" s="392"/>
      <c r="TNH11" s="392"/>
      <c r="TNI11" s="392"/>
      <c r="TNJ11" s="392"/>
      <c r="TNK11" s="392"/>
      <c r="TNL11" s="392"/>
      <c r="TNM11" s="392"/>
      <c r="TNN11" s="392"/>
      <c r="TNO11" s="392"/>
      <c r="TNP11" s="392"/>
      <c r="TNQ11" s="392"/>
      <c r="TNR11" s="392"/>
      <c r="TNS11" s="392"/>
      <c r="TNT11" s="392"/>
      <c r="TNU11" s="392"/>
      <c r="TNV11" s="392"/>
      <c r="TNW11" s="392"/>
      <c r="TNX11" s="392"/>
      <c r="TNY11" s="392"/>
      <c r="TNZ11" s="392"/>
      <c r="TOA11" s="392"/>
      <c r="TOB11" s="392"/>
      <c r="TOC11" s="392"/>
      <c r="TOD11" s="392"/>
      <c r="TOE11" s="392"/>
      <c r="TOF11" s="392"/>
      <c r="TOG11" s="392"/>
      <c r="TOH11" s="392"/>
      <c r="TOI11" s="392"/>
      <c r="TOJ11" s="392"/>
      <c r="TOK11" s="392"/>
      <c r="TOL11" s="392"/>
      <c r="TOM11" s="392"/>
      <c r="TON11" s="392"/>
      <c r="TOO11" s="392"/>
      <c r="TOP11" s="392"/>
      <c r="TOQ11" s="392"/>
      <c r="TOR11" s="392"/>
      <c r="TOS11" s="392"/>
      <c r="TOT11" s="392"/>
      <c r="TOU11" s="392"/>
      <c r="TOV11" s="392"/>
      <c r="TOW11" s="392"/>
      <c r="TOX11" s="392"/>
      <c r="TOY11" s="392"/>
      <c r="TOZ11" s="392"/>
      <c r="TPA11" s="392"/>
      <c r="TPB11" s="392"/>
      <c r="TPC11" s="392"/>
      <c r="TPD11" s="392"/>
      <c r="TPE11" s="392"/>
      <c r="TPF11" s="392"/>
      <c r="TPG11" s="392"/>
      <c r="TPH11" s="392"/>
      <c r="TPI11" s="392"/>
      <c r="TPJ11" s="392"/>
      <c r="TPK11" s="392"/>
      <c r="TPL11" s="392"/>
      <c r="TPM11" s="392"/>
      <c r="TPN11" s="392"/>
      <c r="TPO11" s="392"/>
      <c r="TPP11" s="392"/>
      <c r="TPQ11" s="392"/>
      <c r="TPR11" s="392"/>
      <c r="TPS11" s="392"/>
      <c r="TPT11" s="392"/>
      <c r="TPU11" s="392"/>
      <c r="TPV11" s="392"/>
      <c r="TPW11" s="392"/>
      <c r="TPX11" s="392"/>
      <c r="TPY11" s="392"/>
      <c r="TPZ11" s="392"/>
      <c r="TQA11" s="392"/>
      <c r="TQB11" s="392"/>
      <c r="TQC11" s="392"/>
      <c r="TQD11" s="392"/>
      <c r="TQE11" s="392"/>
      <c r="TQF11" s="392"/>
      <c r="TQG11" s="392"/>
      <c r="TQH11" s="392"/>
      <c r="TQI11" s="392"/>
      <c r="TQJ11" s="392"/>
      <c r="TQK11" s="392"/>
      <c r="TQL11" s="392"/>
      <c r="TQM11" s="392"/>
      <c r="TQN11" s="392"/>
      <c r="TQO11" s="392"/>
      <c r="TQP11" s="392"/>
      <c r="TQQ11" s="392"/>
      <c r="TQR11" s="392"/>
      <c r="TQS11" s="392"/>
      <c r="TQT11" s="392"/>
      <c r="TQU11" s="392"/>
      <c r="TQV11" s="392"/>
      <c r="TQW11" s="392"/>
      <c r="TQX11" s="392"/>
      <c r="TQY11" s="392"/>
      <c r="TQZ11" s="392"/>
      <c r="TRA11" s="392"/>
      <c r="TRB11" s="392"/>
      <c r="TRC11" s="392"/>
      <c r="TRD11" s="392"/>
      <c r="TRE11" s="392"/>
      <c r="TRF11" s="392"/>
      <c r="TRG11" s="392"/>
      <c r="TRH11" s="392"/>
      <c r="TRI11" s="392"/>
      <c r="TRJ11" s="392"/>
      <c r="TRK11" s="392"/>
      <c r="TRL11" s="392"/>
      <c r="TRM11" s="392"/>
      <c r="TRN11" s="392"/>
      <c r="TRO11" s="392"/>
      <c r="TRP11" s="392"/>
      <c r="TRQ11" s="392"/>
      <c r="TRR11" s="392"/>
      <c r="TRS11" s="392"/>
      <c r="TRT11" s="392"/>
      <c r="TRU11" s="392"/>
      <c r="TRV11" s="392"/>
      <c r="TRW11" s="392"/>
      <c r="TRX11" s="392"/>
      <c r="TRY11" s="392"/>
      <c r="TRZ11" s="392"/>
      <c r="TSA11" s="392"/>
      <c r="TSB11" s="392"/>
      <c r="TSC11" s="392"/>
      <c r="TSD11" s="392"/>
      <c r="TSE11" s="392"/>
      <c r="TSF11" s="392"/>
      <c r="TSG11" s="392"/>
      <c r="TSH11" s="392"/>
      <c r="TSI11" s="392"/>
      <c r="TSJ11" s="392"/>
      <c r="TSK11" s="392"/>
      <c r="TSL11" s="392"/>
      <c r="TSM11" s="392"/>
      <c r="TSN11" s="392"/>
      <c r="TSO11" s="392"/>
      <c r="TSP11" s="392"/>
      <c r="TSQ11" s="392"/>
      <c r="TSR11" s="392"/>
      <c r="TSS11" s="392"/>
      <c r="TST11" s="392"/>
      <c r="TSU11" s="392"/>
      <c r="TSV11" s="392"/>
      <c r="TSW11" s="392"/>
      <c r="TSX11" s="392"/>
      <c r="TSY11" s="392"/>
      <c r="TSZ11" s="392"/>
      <c r="TTA11" s="392"/>
      <c r="TTB11" s="392"/>
      <c r="TTC11" s="392"/>
      <c r="TTD11" s="392"/>
      <c r="TTE11" s="392"/>
      <c r="TTF11" s="392"/>
      <c r="TTG11" s="392"/>
      <c r="TTH11" s="392"/>
      <c r="TTI11" s="392"/>
      <c r="TTJ11" s="392"/>
      <c r="TTK11" s="392"/>
      <c r="TTL11" s="392"/>
      <c r="TTM11" s="392"/>
      <c r="TTN11" s="392"/>
      <c r="TTO11" s="392"/>
      <c r="TTP11" s="392"/>
      <c r="TTQ11" s="392"/>
      <c r="TTR11" s="392"/>
      <c r="TTS11" s="392"/>
      <c r="TTT11" s="392"/>
      <c r="TTU11" s="392"/>
      <c r="TTV11" s="392"/>
      <c r="TTW11" s="392"/>
      <c r="TTX11" s="392"/>
      <c r="TTY11" s="392"/>
      <c r="TTZ11" s="392"/>
      <c r="TUA11" s="392"/>
      <c r="TUB11" s="392"/>
      <c r="TUC11" s="392"/>
      <c r="TUD11" s="392"/>
      <c r="TUE11" s="392"/>
      <c r="TUF11" s="392"/>
      <c r="TUG11" s="392"/>
      <c r="TUH11" s="392"/>
      <c r="TUI11" s="392"/>
      <c r="TUJ11" s="392"/>
      <c r="TUK11" s="392"/>
      <c r="TUL11" s="392"/>
      <c r="TUM11" s="392"/>
      <c r="TUN11" s="392"/>
      <c r="TUO11" s="392"/>
      <c r="TUP11" s="392"/>
      <c r="TUQ11" s="392"/>
      <c r="TUR11" s="392"/>
      <c r="TUS11" s="392"/>
      <c r="TUT11" s="392"/>
      <c r="TUU11" s="392"/>
      <c r="TUV11" s="392"/>
      <c r="TUW11" s="392"/>
      <c r="TUX11" s="392"/>
      <c r="TUY11" s="392"/>
      <c r="TUZ11" s="392"/>
      <c r="TVA11" s="392"/>
      <c r="TVB11" s="392"/>
      <c r="TVC11" s="392"/>
      <c r="TVD11" s="392"/>
      <c r="TVE11" s="392"/>
      <c r="TVF11" s="392"/>
      <c r="TVG11" s="392"/>
      <c r="TVH11" s="392"/>
      <c r="TVI11" s="392"/>
      <c r="TVJ11" s="392"/>
      <c r="TVK11" s="392"/>
      <c r="TVL11" s="392"/>
      <c r="TVM11" s="392"/>
      <c r="TVN11" s="392"/>
      <c r="TVO11" s="392"/>
      <c r="TVP11" s="392"/>
      <c r="TVQ11" s="392"/>
      <c r="TVR11" s="392"/>
      <c r="TVS11" s="392"/>
      <c r="TVT11" s="392"/>
      <c r="TVU11" s="392"/>
      <c r="TVV11" s="392"/>
      <c r="TVW11" s="392"/>
      <c r="TVX11" s="392"/>
      <c r="TVY11" s="392"/>
      <c r="TVZ11" s="392"/>
      <c r="TWA11" s="392"/>
      <c r="TWB11" s="392"/>
      <c r="TWC11" s="392"/>
      <c r="TWD11" s="392"/>
      <c r="TWE11" s="392"/>
      <c r="TWF11" s="392"/>
      <c r="TWG11" s="392"/>
      <c r="TWH11" s="392"/>
      <c r="TWI11" s="392"/>
      <c r="TWJ11" s="392"/>
      <c r="TWK11" s="392"/>
      <c r="TWL11" s="392"/>
      <c r="TWM11" s="392"/>
      <c r="TWN11" s="392"/>
      <c r="TWO11" s="392"/>
      <c r="TWP11" s="392"/>
      <c r="TWQ11" s="392"/>
      <c r="TWR11" s="392"/>
      <c r="TWS11" s="392"/>
      <c r="TWT11" s="392"/>
      <c r="TWU11" s="392"/>
      <c r="TWV11" s="392"/>
      <c r="TWW11" s="392"/>
      <c r="TWX11" s="392"/>
      <c r="TWY11" s="392"/>
      <c r="TWZ11" s="392"/>
      <c r="TXA11" s="392"/>
      <c r="TXB11" s="392"/>
      <c r="TXC11" s="392"/>
      <c r="TXD11" s="392"/>
      <c r="TXE11" s="392"/>
      <c r="TXF11" s="392"/>
      <c r="TXG11" s="392"/>
      <c r="TXH11" s="392"/>
      <c r="TXI11" s="392"/>
      <c r="TXJ11" s="392"/>
      <c r="TXK11" s="392"/>
      <c r="TXL11" s="392"/>
      <c r="TXM11" s="392"/>
      <c r="TXN11" s="392"/>
      <c r="TXO11" s="392"/>
      <c r="TXP11" s="392"/>
      <c r="TXQ11" s="392"/>
      <c r="TXR11" s="392"/>
      <c r="TXS11" s="392"/>
      <c r="TXT11" s="392"/>
      <c r="TXU11" s="392"/>
      <c r="TXV11" s="392"/>
      <c r="TXW11" s="392"/>
      <c r="TXX11" s="392"/>
      <c r="TXY11" s="392"/>
      <c r="TXZ11" s="392"/>
      <c r="TYA11" s="392"/>
      <c r="TYB11" s="392"/>
      <c r="TYC11" s="392"/>
      <c r="TYD11" s="392"/>
      <c r="TYE11" s="392"/>
      <c r="TYF11" s="392"/>
      <c r="TYG11" s="392"/>
      <c r="TYH11" s="392"/>
      <c r="TYI11" s="392"/>
      <c r="TYJ11" s="392"/>
      <c r="TYK11" s="392"/>
      <c r="TYL11" s="392"/>
      <c r="TYM11" s="392"/>
      <c r="TYN11" s="392"/>
      <c r="TYO11" s="392"/>
      <c r="TYP11" s="392"/>
      <c r="TYQ11" s="392"/>
      <c r="TYR11" s="392"/>
      <c r="TYS11" s="392"/>
      <c r="TYT11" s="392"/>
      <c r="TYU11" s="392"/>
      <c r="TYV11" s="392"/>
      <c r="TYW11" s="392"/>
      <c r="TYX11" s="392"/>
      <c r="TYY11" s="392"/>
      <c r="TYZ11" s="392"/>
      <c r="TZA11" s="392"/>
      <c r="TZB11" s="392"/>
      <c r="TZC11" s="392"/>
      <c r="TZD11" s="392"/>
      <c r="TZE11" s="392"/>
      <c r="TZF11" s="392"/>
      <c r="TZG11" s="392"/>
      <c r="TZH11" s="392"/>
      <c r="TZI11" s="392"/>
      <c r="TZJ11" s="392"/>
      <c r="TZK11" s="392"/>
      <c r="TZL11" s="392"/>
      <c r="TZM11" s="392"/>
      <c r="TZN11" s="392"/>
      <c r="TZO11" s="392"/>
      <c r="TZP11" s="392"/>
      <c r="TZQ11" s="392"/>
      <c r="TZR11" s="392"/>
      <c r="TZS11" s="392"/>
      <c r="TZT11" s="392"/>
      <c r="TZU11" s="392"/>
      <c r="TZV11" s="392"/>
      <c r="TZW11" s="392"/>
      <c r="TZX11" s="392"/>
      <c r="TZY11" s="392"/>
      <c r="TZZ11" s="392"/>
      <c r="UAA11" s="392"/>
      <c r="UAB11" s="392"/>
      <c r="UAC11" s="392"/>
      <c r="UAD11" s="392"/>
      <c r="UAE11" s="392"/>
      <c r="UAF11" s="392"/>
      <c r="UAG11" s="392"/>
      <c r="UAH11" s="392"/>
      <c r="UAI11" s="392"/>
      <c r="UAJ11" s="392"/>
      <c r="UAK11" s="392"/>
      <c r="UAL11" s="392"/>
      <c r="UAM11" s="392"/>
      <c r="UAN11" s="392"/>
      <c r="UAO11" s="392"/>
      <c r="UAP11" s="392"/>
      <c r="UAQ11" s="392"/>
      <c r="UAR11" s="392"/>
      <c r="UAS11" s="392"/>
      <c r="UAT11" s="392"/>
      <c r="UAU11" s="392"/>
      <c r="UAV11" s="392"/>
      <c r="UAW11" s="392"/>
      <c r="UAX11" s="392"/>
      <c r="UAY11" s="392"/>
      <c r="UAZ11" s="392"/>
      <c r="UBA11" s="392"/>
      <c r="UBB11" s="392"/>
      <c r="UBC11" s="392"/>
      <c r="UBD11" s="392"/>
      <c r="UBE11" s="392"/>
      <c r="UBF11" s="392"/>
      <c r="UBG11" s="392"/>
      <c r="UBH11" s="392"/>
      <c r="UBI11" s="392"/>
      <c r="UBJ11" s="392"/>
      <c r="UBK11" s="392"/>
      <c r="UBL11" s="392"/>
      <c r="UBM11" s="392"/>
      <c r="UBN11" s="392"/>
      <c r="UBO11" s="392"/>
      <c r="UBP11" s="392"/>
      <c r="UBQ11" s="392"/>
      <c r="UBR11" s="392"/>
      <c r="UBS11" s="392"/>
      <c r="UBT11" s="392"/>
      <c r="UBU11" s="392"/>
      <c r="UBV11" s="392"/>
      <c r="UBW11" s="392"/>
      <c r="UBX11" s="392"/>
      <c r="UBY11" s="392"/>
      <c r="UBZ11" s="392"/>
      <c r="UCA11" s="392"/>
      <c r="UCB11" s="392"/>
      <c r="UCC11" s="392"/>
      <c r="UCD11" s="392"/>
      <c r="UCE11" s="392"/>
      <c r="UCF11" s="392"/>
      <c r="UCG11" s="392"/>
      <c r="UCH11" s="392"/>
      <c r="UCI11" s="392"/>
      <c r="UCJ11" s="392"/>
      <c r="UCK11" s="392"/>
      <c r="UCL11" s="392"/>
      <c r="UCM11" s="392"/>
      <c r="UCN11" s="392"/>
      <c r="UCO11" s="392"/>
      <c r="UCP11" s="392"/>
      <c r="UCQ11" s="392"/>
      <c r="UCR11" s="392"/>
      <c r="UCS11" s="392"/>
      <c r="UCT11" s="392"/>
      <c r="UCU11" s="392"/>
      <c r="UCV11" s="392"/>
      <c r="UCW11" s="392"/>
      <c r="UCX11" s="392"/>
      <c r="UCY11" s="392"/>
      <c r="UCZ11" s="392"/>
      <c r="UDA11" s="392"/>
      <c r="UDB11" s="392"/>
      <c r="UDC11" s="392"/>
      <c r="UDD11" s="392"/>
      <c r="UDE11" s="392"/>
      <c r="UDF11" s="392"/>
      <c r="UDG11" s="392"/>
      <c r="UDH11" s="392"/>
      <c r="UDI11" s="392"/>
      <c r="UDJ11" s="392"/>
      <c r="UDK11" s="392"/>
      <c r="UDL11" s="392"/>
      <c r="UDM11" s="392"/>
      <c r="UDN11" s="392"/>
      <c r="UDO11" s="392"/>
      <c r="UDP11" s="392"/>
      <c r="UDQ11" s="392"/>
      <c r="UDR11" s="392"/>
      <c r="UDS11" s="392"/>
      <c r="UDT11" s="392"/>
      <c r="UDU11" s="392"/>
      <c r="UDV11" s="392"/>
      <c r="UDW11" s="392"/>
      <c r="UDX11" s="392"/>
      <c r="UDY11" s="392"/>
      <c r="UDZ11" s="392"/>
      <c r="UEA11" s="392"/>
      <c r="UEB11" s="392"/>
      <c r="UEC11" s="392"/>
      <c r="UED11" s="392"/>
      <c r="UEE11" s="392"/>
      <c r="UEF11" s="392"/>
      <c r="UEG11" s="392"/>
      <c r="UEH11" s="392"/>
      <c r="UEI11" s="392"/>
      <c r="UEJ11" s="392"/>
      <c r="UEK11" s="392"/>
      <c r="UEL11" s="392"/>
      <c r="UEM11" s="392"/>
      <c r="UEN11" s="392"/>
      <c r="UEO11" s="392"/>
      <c r="UEP11" s="392"/>
      <c r="UEQ11" s="392"/>
      <c r="UER11" s="392"/>
      <c r="UES11" s="392"/>
      <c r="UET11" s="392"/>
      <c r="UEU11" s="392"/>
      <c r="UEV11" s="392"/>
      <c r="UEW11" s="392"/>
      <c r="UEX11" s="392"/>
      <c r="UEY11" s="392"/>
      <c r="UEZ11" s="392"/>
      <c r="UFA11" s="392"/>
      <c r="UFB11" s="392"/>
      <c r="UFC11" s="392"/>
      <c r="UFD11" s="392"/>
      <c r="UFE11" s="392"/>
      <c r="UFF11" s="392"/>
      <c r="UFG11" s="392"/>
      <c r="UFH11" s="392"/>
      <c r="UFI11" s="392"/>
      <c r="UFJ11" s="392"/>
      <c r="UFK11" s="392"/>
      <c r="UFL11" s="392"/>
      <c r="UFM11" s="392"/>
      <c r="UFN11" s="392"/>
      <c r="UFO11" s="392"/>
      <c r="UFP11" s="392"/>
      <c r="UFQ11" s="392"/>
      <c r="UFR11" s="392"/>
      <c r="UFS11" s="392"/>
      <c r="UFT11" s="392"/>
      <c r="UFU11" s="392"/>
      <c r="UFV11" s="392"/>
      <c r="UFW11" s="392"/>
      <c r="UFX11" s="392"/>
      <c r="UFY11" s="392"/>
      <c r="UFZ11" s="392"/>
      <c r="UGA11" s="392"/>
      <c r="UGB11" s="392"/>
      <c r="UGC11" s="392"/>
      <c r="UGD11" s="392"/>
      <c r="UGE11" s="392"/>
      <c r="UGF11" s="392"/>
      <c r="UGG11" s="392"/>
      <c r="UGH11" s="392"/>
      <c r="UGI11" s="392"/>
      <c r="UGJ11" s="392"/>
      <c r="UGK11" s="392"/>
      <c r="UGL11" s="392"/>
      <c r="UGM11" s="392"/>
      <c r="UGN11" s="392"/>
      <c r="UGO11" s="392"/>
      <c r="UGP11" s="392"/>
      <c r="UGQ11" s="392"/>
      <c r="UGR11" s="392"/>
      <c r="UGS11" s="392"/>
      <c r="UGT11" s="392"/>
      <c r="UGU11" s="392"/>
      <c r="UGV11" s="392"/>
      <c r="UGW11" s="392"/>
      <c r="UGX11" s="392"/>
      <c r="UGY11" s="392"/>
      <c r="UGZ11" s="392"/>
      <c r="UHA11" s="392"/>
      <c r="UHB11" s="392"/>
      <c r="UHC11" s="392"/>
      <c r="UHD11" s="392"/>
      <c r="UHE11" s="392"/>
      <c r="UHF11" s="392"/>
      <c r="UHG11" s="392"/>
      <c r="UHH11" s="392"/>
      <c r="UHI11" s="392"/>
      <c r="UHJ11" s="392"/>
      <c r="UHK11" s="392"/>
      <c r="UHL11" s="392"/>
      <c r="UHM11" s="392"/>
      <c r="UHN11" s="392"/>
      <c r="UHO11" s="392"/>
      <c r="UHP11" s="392"/>
      <c r="UHQ11" s="392"/>
      <c r="UHR11" s="392"/>
      <c r="UHS11" s="392"/>
      <c r="UHT11" s="392"/>
      <c r="UHU11" s="392"/>
      <c r="UHV11" s="392"/>
      <c r="UHW11" s="392"/>
      <c r="UHX11" s="392"/>
      <c r="UHY11" s="392"/>
      <c r="UHZ11" s="392"/>
      <c r="UIA11" s="392"/>
      <c r="UIB11" s="392"/>
      <c r="UIC11" s="392"/>
      <c r="UID11" s="392"/>
      <c r="UIE11" s="392"/>
      <c r="UIF11" s="392"/>
      <c r="UIG11" s="392"/>
      <c r="UIH11" s="392"/>
      <c r="UII11" s="392"/>
      <c r="UIJ11" s="392"/>
      <c r="UIK11" s="392"/>
      <c r="UIL11" s="392"/>
      <c r="UIM11" s="392"/>
      <c r="UIN11" s="392"/>
      <c r="UIO11" s="392"/>
      <c r="UIP11" s="392"/>
      <c r="UIQ11" s="392"/>
      <c r="UIR11" s="392"/>
      <c r="UIS11" s="392"/>
      <c r="UIT11" s="392"/>
      <c r="UIU11" s="392"/>
      <c r="UIV11" s="392"/>
      <c r="UIW11" s="392"/>
      <c r="UIX11" s="392"/>
      <c r="UIY11" s="392"/>
      <c r="UIZ11" s="392"/>
      <c r="UJA11" s="392"/>
      <c r="UJB11" s="392"/>
      <c r="UJC11" s="392"/>
      <c r="UJD11" s="392"/>
      <c r="UJE11" s="392"/>
      <c r="UJF11" s="392"/>
      <c r="UJG11" s="392"/>
      <c r="UJH11" s="392"/>
      <c r="UJI11" s="392"/>
      <c r="UJJ11" s="392"/>
      <c r="UJK11" s="392"/>
      <c r="UJL11" s="392"/>
      <c r="UJM11" s="392"/>
      <c r="UJN11" s="392"/>
      <c r="UJO11" s="392"/>
      <c r="UJP11" s="392"/>
      <c r="UJQ11" s="392"/>
      <c r="UJR11" s="392"/>
      <c r="UJS11" s="392"/>
      <c r="UJT11" s="392"/>
      <c r="UJU11" s="392"/>
      <c r="UJV11" s="392"/>
      <c r="UJW11" s="392"/>
      <c r="UJX11" s="392"/>
      <c r="UJY11" s="392"/>
      <c r="UJZ11" s="392"/>
      <c r="UKA11" s="392"/>
      <c r="UKB11" s="392"/>
      <c r="UKC11" s="392"/>
      <c r="UKD11" s="392"/>
      <c r="UKE11" s="392"/>
      <c r="UKF11" s="392"/>
      <c r="UKG11" s="392"/>
      <c r="UKH11" s="392"/>
      <c r="UKI11" s="392"/>
      <c r="UKJ11" s="392"/>
      <c r="UKK11" s="392"/>
      <c r="UKL11" s="392"/>
      <c r="UKM11" s="392"/>
      <c r="UKN11" s="392"/>
      <c r="UKO11" s="392"/>
      <c r="UKP11" s="392"/>
      <c r="UKQ11" s="392"/>
      <c r="UKR11" s="392"/>
      <c r="UKS11" s="392"/>
      <c r="UKT11" s="392"/>
      <c r="UKU11" s="392"/>
      <c r="UKV11" s="392"/>
      <c r="UKW11" s="392"/>
      <c r="UKX11" s="392"/>
      <c r="UKY11" s="392"/>
      <c r="UKZ11" s="392"/>
      <c r="ULA11" s="392"/>
      <c r="ULB11" s="392"/>
      <c r="ULC11" s="392"/>
      <c r="ULD11" s="392"/>
      <c r="ULE11" s="392"/>
      <c r="ULF11" s="392"/>
      <c r="ULG11" s="392"/>
      <c r="ULH11" s="392"/>
      <c r="ULI11" s="392"/>
      <c r="ULJ11" s="392"/>
      <c r="ULK11" s="392"/>
      <c r="ULL11" s="392"/>
      <c r="ULM11" s="392"/>
      <c r="ULN11" s="392"/>
      <c r="ULO11" s="392"/>
      <c r="ULP11" s="392"/>
      <c r="ULQ11" s="392"/>
      <c r="ULR11" s="392"/>
      <c r="ULS11" s="392"/>
      <c r="ULT11" s="392"/>
      <c r="ULU11" s="392"/>
      <c r="ULV11" s="392"/>
      <c r="ULW11" s="392"/>
      <c r="ULX11" s="392"/>
      <c r="ULY11" s="392"/>
      <c r="ULZ11" s="392"/>
      <c r="UMA11" s="392"/>
      <c r="UMB11" s="392"/>
      <c r="UMC11" s="392"/>
      <c r="UMD11" s="392"/>
      <c r="UME11" s="392"/>
      <c r="UMF11" s="392"/>
      <c r="UMG11" s="392"/>
      <c r="UMH11" s="392"/>
      <c r="UMI11" s="392"/>
      <c r="UMJ11" s="392"/>
      <c r="UMK11" s="392"/>
      <c r="UML11" s="392"/>
      <c r="UMM11" s="392"/>
      <c r="UMN11" s="392"/>
      <c r="UMO11" s="392"/>
      <c r="UMP11" s="392"/>
      <c r="UMQ11" s="392"/>
      <c r="UMR11" s="392"/>
      <c r="UMS11" s="392"/>
      <c r="UMT11" s="392"/>
      <c r="UMU11" s="392"/>
      <c r="UMV11" s="392"/>
      <c r="UMW11" s="392"/>
      <c r="UMX11" s="392"/>
      <c r="UMY11" s="392"/>
      <c r="UMZ11" s="392"/>
      <c r="UNA11" s="392"/>
      <c r="UNB11" s="392"/>
      <c r="UNC11" s="392"/>
      <c r="UND11" s="392"/>
      <c r="UNE11" s="392"/>
      <c r="UNF11" s="392"/>
      <c r="UNG11" s="392"/>
      <c r="UNH11" s="392"/>
      <c r="UNI11" s="392"/>
      <c r="UNJ11" s="392"/>
      <c r="UNK11" s="392"/>
      <c r="UNL11" s="392"/>
      <c r="UNM11" s="392"/>
      <c r="UNN11" s="392"/>
      <c r="UNO11" s="392"/>
      <c r="UNP11" s="392"/>
      <c r="UNQ11" s="392"/>
      <c r="UNR11" s="392"/>
      <c r="UNS11" s="392"/>
      <c r="UNT11" s="392"/>
      <c r="UNU11" s="392"/>
      <c r="UNV11" s="392"/>
      <c r="UNW11" s="392"/>
      <c r="UNX11" s="392"/>
      <c r="UNY11" s="392"/>
      <c r="UNZ11" s="392"/>
      <c r="UOA11" s="392"/>
      <c r="UOB11" s="392"/>
      <c r="UOC11" s="392"/>
      <c r="UOD11" s="392"/>
      <c r="UOE11" s="392"/>
      <c r="UOF11" s="392"/>
      <c r="UOG11" s="392"/>
      <c r="UOH11" s="392"/>
      <c r="UOI11" s="392"/>
      <c r="UOJ11" s="392"/>
      <c r="UOK11" s="392"/>
      <c r="UOL11" s="392"/>
      <c r="UOM11" s="392"/>
      <c r="UON11" s="392"/>
      <c r="UOO11" s="392"/>
      <c r="UOP11" s="392"/>
      <c r="UOQ11" s="392"/>
      <c r="UOR11" s="392"/>
      <c r="UOS11" s="392"/>
      <c r="UOT11" s="392"/>
      <c r="UOU11" s="392"/>
      <c r="UOV11" s="392"/>
      <c r="UOW11" s="392"/>
      <c r="UOX11" s="392"/>
      <c r="UOY11" s="392"/>
      <c r="UOZ11" s="392"/>
      <c r="UPA11" s="392"/>
      <c r="UPB11" s="392"/>
      <c r="UPC11" s="392"/>
      <c r="UPD11" s="392"/>
      <c r="UPE11" s="392"/>
      <c r="UPF11" s="392"/>
      <c r="UPG11" s="392"/>
      <c r="UPH11" s="392"/>
      <c r="UPI11" s="392"/>
      <c r="UPJ11" s="392"/>
      <c r="UPK11" s="392"/>
      <c r="UPL11" s="392"/>
      <c r="UPM11" s="392"/>
      <c r="UPN11" s="392"/>
      <c r="UPO11" s="392"/>
      <c r="UPP11" s="392"/>
      <c r="UPQ11" s="392"/>
      <c r="UPR11" s="392"/>
      <c r="UPS11" s="392"/>
      <c r="UPT11" s="392"/>
      <c r="UPU11" s="392"/>
      <c r="UPV11" s="392"/>
      <c r="UPW11" s="392"/>
      <c r="UPX11" s="392"/>
      <c r="UPY11" s="392"/>
      <c r="UPZ11" s="392"/>
      <c r="UQA11" s="392"/>
      <c r="UQB11" s="392"/>
      <c r="UQC11" s="392"/>
      <c r="UQD11" s="392"/>
      <c r="UQE11" s="392"/>
      <c r="UQF11" s="392"/>
      <c r="UQG11" s="392"/>
      <c r="UQH11" s="392"/>
      <c r="UQI11" s="392"/>
      <c r="UQJ11" s="392"/>
      <c r="UQK11" s="392"/>
      <c r="UQL11" s="392"/>
      <c r="UQM11" s="392"/>
      <c r="UQN11" s="392"/>
      <c r="UQO11" s="392"/>
      <c r="UQP11" s="392"/>
      <c r="UQQ11" s="392"/>
      <c r="UQR11" s="392"/>
      <c r="UQS11" s="392"/>
      <c r="UQT11" s="392"/>
      <c r="UQU11" s="392"/>
      <c r="UQV11" s="392"/>
      <c r="UQW11" s="392"/>
      <c r="UQX11" s="392"/>
      <c r="UQY11" s="392"/>
      <c r="UQZ11" s="392"/>
      <c r="URA11" s="392"/>
      <c r="URB11" s="392"/>
      <c r="URC11" s="392"/>
      <c r="URD11" s="392"/>
      <c r="URE11" s="392"/>
      <c r="URF11" s="392"/>
      <c r="URG11" s="392"/>
      <c r="URH11" s="392"/>
      <c r="URI11" s="392"/>
      <c r="URJ11" s="392"/>
      <c r="URK11" s="392"/>
      <c r="URL11" s="392"/>
      <c r="URM11" s="392"/>
      <c r="URN11" s="392"/>
      <c r="URO11" s="392"/>
      <c r="URP11" s="392"/>
      <c r="URQ11" s="392"/>
      <c r="URR11" s="392"/>
      <c r="URS11" s="392"/>
      <c r="URT11" s="392"/>
      <c r="URU11" s="392"/>
      <c r="URV11" s="392"/>
      <c r="URW11" s="392"/>
      <c r="URX11" s="392"/>
      <c r="URY11" s="392"/>
      <c r="URZ11" s="392"/>
      <c r="USA11" s="392"/>
      <c r="USB11" s="392"/>
      <c r="USC11" s="392"/>
      <c r="USD11" s="392"/>
      <c r="USE11" s="392"/>
      <c r="USF11" s="392"/>
      <c r="USG11" s="392"/>
      <c r="USH11" s="392"/>
      <c r="USI11" s="392"/>
      <c r="USJ11" s="392"/>
      <c r="USK11" s="392"/>
      <c r="USL11" s="392"/>
      <c r="USM11" s="392"/>
      <c r="USN11" s="392"/>
      <c r="USO11" s="392"/>
      <c r="USP11" s="392"/>
      <c r="USQ11" s="392"/>
      <c r="USR11" s="392"/>
      <c r="USS11" s="392"/>
      <c r="UST11" s="392"/>
      <c r="USU11" s="392"/>
      <c r="USV11" s="392"/>
      <c r="USW11" s="392"/>
      <c r="USX11" s="392"/>
      <c r="USY11" s="392"/>
      <c r="USZ11" s="392"/>
      <c r="UTA11" s="392"/>
      <c r="UTB11" s="392"/>
      <c r="UTC11" s="392"/>
      <c r="UTD11" s="392"/>
      <c r="UTE11" s="392"/>
      <c r="UTF11" s="392"/>
      <c r="UTG11" s="392"/>
      <c r="UTH11" s="392"/>
      <c r="UTI11" s="392"/>
      <c r="UTJ11" s="392"/>
      <c r="UTK11" s="392"/>
      <c r="UTL11" s="392"/>
      <c r="UTM11" s="392"/>
      <c r="UTN11" s="392"/>
      <c r="UTO11" s="392"/>
      <c r="UTP11" s="392"/>
      <c r="UTQ11" s="392"/>
      <c r="UTR11" s="392"/>
      <c r="UTS11" s="392"/>
      <c r="UTT11" s="392"/>
      <c r="UTU11" s="392"/>
      <c r="UTV11" s="392"/>
      <c r="UTW11" s="392"/>
      <c r="UTX11" s="392"/>
      <c r="UTY11" s="392"/>
      <c r="UTZ11" s="392"/>
      <c r="UUA11" s="392"/>
      <c r="UUB11" s="392"/>
      <c r="UUC11" s="392"/>
      <c r="UUD11" s="392"/>
      <c r="UUE11" s="392"/>
      <c r="UUF11" s="392"/>
      <c r="UUG11" s="392"/>
      <c r="UUH11" s="392"/>
      <c r="UUI11" s="392"/>
      <c r="UUJ11" s="392"/>
      <c r="UUK11" s="392"/>
      <c r="UUL11" s="392"/>
      <c r="UUM11" s="392"/>
      <c r="UUN11" s="392"/>
      <c r="UUO11" s="392"/>
      <c r="UUP11" s="392"/>
      <c r="UUQ11" s="392"/>
      <c r="UUR11" s="392"/>
      <c r="UUS11" s="392"/>
      <c r="UUT11" s="392"/>
      <c r="UUU11" s="392"/>
      <c r="UUV11" s="392"/>
      <c r="UUW11" s="392"/>
      <c r="UUX11" s="392"/>
      <c r="UUY11" s="392"/>
      <c r="UUZ11" s="392"/>
      <c r="UVA11" s="392"/>
      <c r="UVB11" s="392"/>
      <c r="UVC11" s="392"/>
      <c r="UVD11" s="392"/>
      <c r="UVE11" s="392"/>
      <c r="UVF11" s="392"/>
      <c r="UVG11" s="392"/>
      <c r="UVH11" s="392"/>
      <c r="UVI11" s="392"/>
      <c r="UVJ11" s="392"/>
      <c r="UVK11" s="392"/>
      <c r="UVL11" s="392"/>
      <c r="UVM11" s="392"/>
      <c r="UVN11" s="392"/>
      <c r="UVO11" s="392"/>
      <c r="UVP11" s="392"/>
      <c r="UVQ11" s="392"/>
      <c r="UVR11" s="392"/>
      <c r="UVS11" s="392"/>
      <c r="UVT11" s="392"/>
      <c r="UVU11" s="392"/>
      <c r="UVV11" s="392"/>
      <c r="UVW11" s="392"/>
      <c r="UVX11" s="392"/>
      <c r="UVY11" s="392"/>
      <c r="UVZ11" s="392"/>
      <c r="UWA11" s="392"/>
      <c r="UWB11" s="392"/>
      <c r="UWC11" s="392"/>
      <c r="UWD11" s="392"/>
      <c r="UWE11" s="392"/>
      <c r="UWF11" s="392"/>
      <c r="UWG11" s="392"/>
      <c r="UWH11" s="392"/>
      <c r="UWI11" s="392"/>
      <c r="UWJ11" s="392"/>
      <c r="UWK11" s="392"/>
      <c r="UWL11" s="392"/>
      <c r="UWM11" s="392"/>
      <c r="UWN11" s="392"/>
      <c r="UWO11" s="392"/>
      <c r="UWP11" s="392"/>
      <c r="UWQ11" s="392"/>
      <c r="UWR11" s="392"/>
      <c r="UWS11" s="392"/>
      <c r="UWT11" s="392"/>
      <c r="UWU11" s="392"/>
      <c r="UWV11" s="392"/>
      <c r="UWW11" s="392"/>
      <c r="UWX11" s="392"/>
      <c r="UWY11" s="392"/>
      <c r="UWZ11" s="392"/>
      <c r="UXA11" s="392"/>
      <c r="UXB11" s="392"/>
      <c r="UXC11" s="392"/>
      <c r="UXD11" s="392"/>
      <c r="UXE11" s="392"/>
      <c r="UXF11" s="392"/>
      <c r="UXG11" s="392"/>
      <c r="UXH11" s="392"/>
      <c r="UXI11" s="392"/>
      <c r="UXJ11" s="392"/>
      <c r="UXK11" s="392"/>
      <c r="UXL11" s="392"/>
      <c r="UXM11" s="392"/>
      <c r="UXN11" s="392"/>
      <c r="UXO11" s="392"/>
      <c r="UXP11" s="392"/>
      <c r="UXQ11" s="392"/>
      <c r="UXR11" s="392"/>
      <c r="UXS11" s="392"/>
      <c r="UXT11" s="392"/>
      <c r="UXU11" s="392"/>
      <c r="UXV11" s="392"/>
      <c r="UXW11" s="392"/>
      <c r="UXX11" s="392"/>
      <c r="UXY11" s="392"/>
      <c r="UXZ11" s="392"/>
      <c r="UYA11" s="392"/>
      <c r="UYB11" s="392"/>
      <c r="UYC11" s="392"/>
      <c r="UYD11" s="392"/>
      <c r="UYE11" s="392"/>
      <c r="UYF11" s="392"/>
      <c r="UYG11" s="392"/>
      <c r="UYH11" s="392"/>
      <c r="UYI11" s="392"/>
      <c r="UYJ11" s="392"/>
      <c r="UYK11" s="392"/>
      <c r="UYL11" s="392"/>
      <c r="UYM11" s="392"/>
      <c r="UYN11" s="392"/>
      <c r="UYO11" s="392"/>
      <c r="UYP11" s="392"/>
      <c r="UYQ11" s="392"/>
      <c r="UYR11" s="392"/>
      <c r="UYS11" s="392"/>
      <c r="UYT11" s="392"/>
      <c r="UYU11" s="392"/>
      <c r="UYV11" s="392"/>
      <c r="UYW11" s="392"/>
      <c r="UYX11" s="392"/>
      <c r="UYY11" s="392"/>
      <c r="UYZ11" s="392"/>
      <c r="UZA11" s="392"/>
      <c r="UZB11" s="392"/>
      <c r="UZC11" s="392"/>
      <c r="UZD11" s="392"/>
      <c r="UZE11" s="392"/>
      <c r="UZF11" s="392"/>
      <c r="UZG11" s="392"/>
      <c r="UZH11" s="392"/>
      <c r="UZI11" s="392"/>
      <c r="UZJ11" s="392"/>
      <c r="UZK11" s="392"/>
      <c r="UZL11" s="392"/>
      <c r="UZM11" s="392"/>
      <c r="UZN11" s="392"/>
      <c r="UZO11" s="392"/>
      <c r="UZP11" s="392"/>
      <c r="UZQ11" s="392"/>
      <c r="UZR11" s="392"/>
      <c r="UZS11" s="392"/>
      <c r="UZT11" s="392"/>
      <c r="UZU11" s="392"/>
      <c r="UZV11" s="392"/>
      <c r="UZW11" s="392"/>
      <c r="UZX11" s="392"/>
      <c r="UZY11" s="392"/>
      <c r="UZZ11" s="392"/>
      <c r="VAA11" s="392"/>
      <c r="VAB11" s="392"/>
      <c r="VAC11" s="392"/>
      <c r="VAD11" s="392"/>
      <c r="VAE11" s="392"/>
      <c r="VAF11" s="392"/>
      <c r="VAG11" s="392"/>
      <c r="VAH11" s="392"/>
      <c r="VAI11" s="392"/>
      <c r="VAJ11" s="392"/>
      <c r="VAK11" s="392"/>
      <c r="VAL11" s="392"/>
      <c r="VAM11" s="392"/>
      <c r="VAN11" s="392"/>
      <c r="VAO11" s="392"/>
      <c r="VAP11" s="392"/>
      <c r="VAQ11" s="392"/>
      <c r="VAR11" s="392"/>
      <c r="VAS11" s="392"/>
      <c r="VAT11" s="392"/>
      <c r="VAU11" s="392"/>
      <c r="VAV11" s="392"/>
      <c r="VAW11" s="392"/>
      <c r="VAX11" s="392"/>
      <c r="VAY11" s="392"/>
      <c r="VAZ11" s="392"/>
      <c r="VBA11" s="392"/>
      <c r="VBB11" s="392"/>
      <c r="VBC11" s="392"/>
      <c r="VBD11" s="392"/>
      <c r="VBE11" s="392"/>
      <c r="VBF11" s="392"/>
      <c r="VBG11" s="392"/>
      <c r="VBH11" s="392"/>
      <c r="VBI11" s="392"/>
      <c r="VBJ11" s="392"/>
      <c r="VBK11" s="392"/>
      <c r="VBL11" s="392"/>
      <c r="VBM11" s="392"/>
      <c r="VBN11" s="392"/>
      <c r="VBO11" s="392"/>
      <c r="VBP11" s="392"/>
      <c r="VBQ11" s="392"/>
      <c r="VBR11" s="392"/>
      <c r="VBS11" s="392"/>
      <c r="VBT11" s="392"/>
      <c r="VBU11" s="392"/>
      <c r="VBV11" s="392"/>
      <c r="VBW11" s="392"/>
      <c r="VBX11" s="392"/>
      <c r="VBY11" s="392"/>
      <c r="VBZ11" s="392"/>
      <c r="VCA11" s="392"/>
      <c r="VCB11" s="392"/>
      <c r="VCC11" s="392"/>
      <c r="VCD11" s="392"/>
      <c r="VCE11" s="392"/>
      <c r="VCF11" s="392"/>
      <c r="VCG11" s="392"/>
      <c r="VCH11" s="392"/>
      <c r="VCI11" s="392"/>
      <c r="VCJ11" s="392"/>
      <c r="VCK11" s="392"/>
      <c r="VCL11" s="392"/>
      <c r="VCM11" s="392"/>
      <c r="VCN11" s="392"/>
      <c r="VCO11" s="392"/>
      <c r="VCP11" s="392"/>
      <c r="VCQ11" s="392"/>
      <c r="VCR11" s="392"/>
      <c r="VCS11" s="392"/>
      <c r="VCT11" s="392"/>
      <c r="VCU11" s="392"/>
      <c r="VCV11" s="392"/>
      <c r="VCW11" s="392"/>
      <c r="VCX11" s="392"/>
      <c r="VCY11" s="392"/>
      <c r="VCZ11" s="392"/>
      <c r="VDA11" s="392"/>
      <c r="VDB11" s="392"/>
      <c r="VDC11" s="392"/>
      <c r="VDD11" s="392"/>
      <c r="VDE11" s="392"/>
      <c r="VDF11" s="392"/>
      <c r="VDG11" s="392"/>
      <c r="VDH11" s="392"/>
      <c r="VDI11" s="392"/>
      <c r="VDJ11" s="392"/>
      <c r="VDK11" s="392"/>
      <c r="VDL11" s="392"/>
      <c r="VDM11" s="392"/>
      <c r="VDN11" s="392"/>
      <c r="VDO11" s="392"/>
      <c r="VDP11" s="392"/>
      <c r="VDQ11" s="392"/>
      <c r="VDR11" s="392"/>
      <c r="VDS11" s="392"/>
      <c r="VDT11" s="392"/>
      <c r="VDU11" s="392"/>
      <c r="VDV11" s="392"/>
      <c r="VDW11" s="392"/>
      <c r="VDX11" s="392"/>
      <c r="VDY11" s="392"/>
      <c r="VDZ11" s="392"/>
      <c r="VEA11" s="392"/>
      <c r="VEB11" s="392"/>
      <c r="VEC11" s="392"/>
      <c r="VED11" s="392"/>
      <c r="VEE11" s="392"/>
      <c r="VEF11" s="392"/>
      <c r="VEG11" s="392"/>
      <c r="VEH11" s="392"/>
      <c r="VEI11" s="392"/>
      <c r="VEJ11" s="392"/>
      <c r="VEK11" s="392"/>
      <c r="VEL11" s="392"/>
      <c r="VEM11" s="392"/>
      <c r="VEN11" s="392"/>
      <c r="VEO11" s="392"/>
      <c r="VEP11" s="392"/>
      <c r="VEQ11" s="392"/>
      <c r="VER11" s="392"/>
      <c r="VES11" s="392"/>
      <c r="VET11" s="392"/>
      <c r="VEU11" s="392"/>
      <c r="VEV11" s="392"/>
      <c r="VEW11" s="392"/>
      <c r="VEX11" s="392"/>
      <c r="VEY11" s="392"/>
      <c r="VEZ11" s="392"/>
      <c r="VFA11" s="392"/>
      <c r="VFB11" s="392"/>
      <c r="VFC11" s="392"/>
      <c r="VFD11" s="392"/>
      <c r="VFE11" s="392"/>
      <c r="VFF11" s="392"/>
      <c r="VFG11" s="392"/>
      <c r="VFH11" s="392"/>
      <c r="VFI11" s="392"/>
      <c r="VFJ11" s="392"/>
      <c r="VFK11" s="392"/>
      <c r="VFL11" s="392"/>
      <c r="VFM11" s="392"/>
      <c r="VFN11" s="392"/>
      <c r="VFO11" s="392"/>
      <c r="VFP11" s="392"/>
      <c r="VFQ11" s="392"/>
      <c r="VFR11" s="392"/>
      <c r="VFS11" s="392"/>
      <c r="VFT11" s="392"/>
      <c r="VFU11" s="392"/>
      <c r="VFV11" s="392"/>
      <c r="VFW11" s="392"/>
      <c r="VFX11" s="392"/>
      <c r="VFY11" s="392"/>
      <c r="VFZ11" s="392"/>
      <c r="VGA11" s="392"/>
      <c r="VGB11" s="392"/>
      <c r="VGC11" s="392"/>
      <c r="VGD11" s="392"/>
      <c r="VGE11" s="392"/>
      <c r="VGF11" s="392"/>
      <c r="VGG11" s="392"/>
      <c r="VGH11" s="392"/>
      <c r="VGI11" s="392"/>
      <c r="VGJ11" s="392"/>
      <c r="VGK11" s="392"/>
      <c r="VGL11" s="392"/>
      <c r="VGM11" s="392"/>
      <c r="VGN11" s="392"/>
      <c r="VGO11" s="392"/>
      <c r="VGP11" s="392"/>
      <c r="VGQ11" s="392"/>
      <c r="VGR11" s="392"/>
      <c r="VGS11" s="392"/>
      <c r="VGT11" s="392"/>
      <c r="VGU11" s="392"/>
      <c r="VGV11" s="392"/>
      <c r="VGW11" s="392"/>
      <c r="VGX11" s="392"/>
      <c r="VGY11" s="392"/>
      <c r="VGZ11" s="392"/>
      <c r="VHA11" s="392"/>
      <c r="VHB11" s="392"/>
      <c r="VHC11" s="392"/>
      <c r="VHD11" s="392"/>
      <c r="VHE11" s="392"/>
      <c r="VHF11" s="392"/>
      <c r="VHG11" s="392"/>
      <c r="VHH11" s="392"/>
      <c r="VHI11" s="392"/>
      <c r="VHJ11" s="392"/>
      <c r="VHK11" s="392"/>
      <c r="VHL11" s="392"/>
      <c r="VHM11" s="392"/>
      <c r="VHN11" s="392"/>
      <c r="VHO11" s="392"/>
      <c r="VHP11" s="392"/>
      <c r="VHQ11" s="392"/>
      <c r="VHR11" s="392"/>
      <c r="VHS11" s="392"/>
      <c r="VHT11" s="392"/>
      <c r="VHU11" s="392"/>
      <c r="VHV11" s="392"/>
      <c r="VHW11" s="392"/>
      <c r="VHX11" s="392"/>
      <c r="VHY11" s="392"/>
      <c r="VHZ11" s="392"/>
      <c r="VIA11" s="392"/>
      <c r="VIB11" s="392"/>
      <c r="VIC11" s="392"/>
      <c r="VID11" s="392"/>
      <c r="VIE11" s="392"/>
      <c r="VIF11" s="392"/>
      <c r="VIG11" s="392"/>
      <c r="VIH11" s="392"/>
      <c r="VII11" s="392"/>
      <c r="VIJ11" s="392"/>
      <c r="VIK11" s="392"/>
      <c r="VIL11" s="392"/>
      <c r="VIM11" s="392"/>
      <c r="VIN11" s="392"/>
      <c r="VIO11" s="392"/>
      <c r="VIP11" s="392"/>
      <c r="VIQ11" s="392"/>
      <c r="VIR11" s="392"/>
      <c r="VIS11" s="392"/>
      <c r="VIT11" s="392"/>
      <c r="VIU11" s="392"/>
      <c r="VIV11" s="392"/>
      <c r="VIW11" s="392"/>
      <c r="VIX11" s="392"/>
      <c r="VIY11" s="392"/>
      <c r="VIZ11" s="392"/>
      <c r="VJA11" s="392"/>
      <c r="VJB11" s="392"/>
      <c r="VJC11" s="392"/>
      <c r="VJD11" s="392"/>
      <c r="VJE11" s="392"/>
      <c r="VJF11" s="392"/>
      <c r="VJG11" s="392"/>
      <c r="VJH11" s="392"/>
      <c r="VJI11" s="392"/>
      <c r="VJJ11" s="392"/>
      <c r="VJK11" s="392"/>
      <c r="VJL11" s="392"/>
      <c r="VJM11" s="392"/>
      <c r="VJN11" s="392"/>
      <c r="VJO11" s="392"/>
      <c r="VJP11" s="392"/>
      <c r="VJQ11" s="392"/>
      <c r="VJR11" s="392"/>
      <c r="VJS11" s="392"/>
      <c r="VJT11" s="392"/>
      <c r="VJU11" s="392"/>
      <c r="VJV11" s="392"/>
      <c r="VJW11" s="392"/>
      <c r="VJX11" s="392"/>
      <c r="VJY11" s="392"/>
      <c r="VJZ11" s="392"/>
      <c r="VKA11" s="392"/>
      <c r="VKB11" s="392"/>
      <c r="VKC11" s="392"/>
      <c r="VKD11" s="392"/>
      <c r="VKE11" s="392"/>
      <c r="VKF11" s="392"/>
      <c r="VKG11" s="392"/>
      <c r="VKH11" s="392"/>
      <c r="VKI11" s="392"/>
      <c r="VKJ11" s="392"/>
      <c r="VKK11" s="392"/>
      <c r="VKL11" s="392"/>
      <c r="VKM11" s="392"/>
      <c r="VKN11" s="392"/>
      <c r="VKO11" s="392"/>
      <c r="VKP11" s="392"/>
      <c r="VKQ11" s="392"/>
      <c r="VKR11" s="392"/>
      <c r="VKS11" s="392"/>
      <c r="VKT11" s="392"/>
      <c r="VKU11" s="392"/>
      <c r="VKV11" s="392"/>
      <c r="VKW11" s="392"/>
      <c r="VKX11" s="392"/>
      <c r="VKY11" s="392"/>
      <c r="VKZ11" s="392"/>
      <c r="VLA11" s="392"/>
      <c r="VLB11" s="392"/>
      <c r="VLC11" s="392"/>
      <c r="VLD11" s="392"/>
      <c r="VLE11" s="392"/>
      <c r="VLF11" s="392"/>
      <c r="VLG11" s="392"/>
      <c r="VLH11" s="392"/>
      <c r="VLI11" s="392"/>
      <c r="VLJ11" s="392"/>
      <c r="VLK11" s="392"/>
      <c r="VLL11" s="392"/>
      <c r="VLM11" s="392"/>
      <c r="VLN11" s="392"/>
      <c r="VLO11" s="392"/>
      <c r="VLP11" s="392"/>
      <c r="VLQ11" s="392"/>
      <c r="VLR11" s="392"/>
      <c r="VLS11" s="392"/>
      <c r="VLT11" s="392"/>
      <c r="VLU11" s="392"/>
      <c r="VLV11" s="392"/>
      <c r="VLW11" s="392"/>
      <c r="VLX11" s="392"/>
      <c r="VLY11" s="392"/>
      <c r="VLZ11" s="392"/>
      <c r="VMA11" s="392"/>
      <c r="VMB11" s="392"/>
      <c r="VMC11" s="392"/>
      <c r="VMD11" s="392"/>
      <c r="VME11" s="392"/>
      <c r="VMF11" s="392"/>
      <c r="VMG11" s="392"/>
      <c r="VMH11" s="392"/>
      <c r="VMI11" s="392"/>
      <c r="VMJ11" s="392"/>
      <c r="VMK11" s="392"/>
      <c r="VML11" s="392"/>
      <c r="VMM11" s="392"/>
      <c r="VMN11" s="392"/>
      <c r="VMO11" s="392"/>
      <c r="VMP11" s="392"/>
      <c r="VMQ11" s="392"/>
      <c r="VMR11" s="392"/>
      <c r="VMS11" s="392"/>
      <c r="VMT11" s="392"/>
      <c r="VMU11" s="392"/>
      <c r="VMV11" s="392"/>
      <c r="VMW11" s="392"/>
      <c r="VMX11" s="392"/>
      <c r="VMY11" s="392"/>
      <c r="VMZ11" s="392"/>
      <c r="VNA11" s="392"/>
      <c r="VNB11" s="392"/>
      <c r="VNC11" s="392"/>
      <c r="VND11" s="392"/>
      <c r="VNE11" s="392"/>
      <c r="VNF11" s="392"/>
      <c r="VNG11" s="392"/>
      <c r="VNH11" s="392"/>
      <c r="VNI11" s="392"/>
      <c r="VNJ11" s="392"/>
      <c r="VNK11" s="392"/>
      <c r="VNL11" s="392"/>
      <c r="VNM11" s="392"/>
      <c r="VNN11" s="392"/>
      <c r="VNO11" s="392"/>
      <c r="VNP11" s="392"/>
      <c r="VNQ11" s="392"/>
      <c r="VNR11" s="392"/>
      <c r="VNS11" s="392"/>
      <c r="VNT11" s="392"/>
      <c r="VNU11" s="392"/>
      <c r="VNV11" s="392"/>
      <c r="VNW11" s="392"/>
      <c r="VNX11" s="392"/>
      <c r="VNY11" s="392"/>
      <c r="VNZ11" s="392"/>
      <c r="VOA11" s="392"/>
      <c r="VOB11" s="392"/>
      <c r="VOC11" s="392"/>
      <c r="VOD11" s="392"/>
      <c r="VOE11" s="392"/>
      <c r="VOF11" s="392"/>
      <c r="VOG11" s="392"/>
      <c r="VOH11" s="392"/>
      <c r="VOI11" s="392"/>
      <c r="VOJ11" s="392"/>
      <c r="VOK11" s="392"/>
      <c r="VOL11" s="392"/>
      <c r="VOM11" s="392"/>
      <c r="VON11" s="392"/>
      <c r="VOO11" s="392"/>
      <c r="VOP11" s="392"/>
      <c r="VOQ11" s="392"/>
      <c r="VOR11" s="392"/>
      <c r="VOS11" s="392"/>
      <c r="VOT11" s="392"/>
      <c r="VOU11" s="392"/>
      <c r="VOV11" s="392"/>
      <c r="VOW11" s="392"/>
      <c r="VOX11" s="392"/>
      <c r="VOY11" s="392"/>
      <c r="VOZ11" s="392"/>
      <c r="VPA11" s="392"/>
      <c r="VPB11" s="392"/>
      <c r="VPC11" s="392"/>
      <c r="VPD11" s="392"/>
      <c r="VPE11" s="392"/>
      <c r="VPF11" s="392"/>
      <c r="VPG11" s="392"/>
      <c r="VPH11" s="392"/>
      <c r="VPI11" s="392"/>
      <c r="VPJ11" s="392"/>
      <c r="VPK11" s="392"/>
      <c r="VPL11" s="392"/>
      <c r="VPM11" s="392"/>
      <c r="VPN11" s="392"/>
      <c r="VPO11" s="392"/>
      <c r="VPP11" s="392"/>
      <c r="VPQ11" s="392"/>
      <c r="VPR11" s="392"/>
      <c r="VPS11" s="392"/>
      <c r="VPT11" s="392"/>
      <c r="VPU11" s="392"/>
      <c r="VPV11" s="392"/>
      <c r="VPW11" s="392"/>
      <c r="VPX11" s="392"/>
      <c r="VPY11" s="392"/>
      <c r="VPZ11" s="392"/>
      <c r="VQA11" s="392"/>
      <c r="VQB11" s="392"/>
      <c r="VQC11" s="392"/>
      <c r="VQD11" s="392"/>
      <c r="VQE11" s="392"/>
      <c r="VQF11" s="392"/>
      <c r="VQG11" s="392"/>
      <c r="VQH11" s="392"/>
      <c r="VQI11" s="392"/>
      <c r="VQJ11" s="392"/>
      <c r="VQK11" s="392"/>
      <c r="VQL11" s="392"/>
      <c r="VQM11" s="392"/>
      <c r="VQN11" s="392"/>
      <c r="VQO11" s="392"/>
      <c r="VQP11" s="392"/>
      <c r="VQQ11" s="392"/>
      <c r="VQR11" s="392"/>
      <c r="VQS11" s="392"/>
      <c r="VQT11" s="392"/>
      <c r="VQU11" s="392"/>
      <c r="VQV11" s="392"/>
      <c r="VQW11" s="392"/>
      <c r="VQX11" s="392"/>
      <c r="VQY11" s="392"/>
      <c r="VQZ11" s="392"/>
      <c r="VRA11" s="392"/>
      <c r="VRB11" s="392"/>
      <c r="VRC11" s="392"/>
      <c r="VRD11" s="392"/>
      <c r="VRE11" s="392"/>
      <c r="VRF11" s="392"/>
      <c r="VRG11" s="392"/>
      <c r="VRH11" s="392"/>
      <c r="VRI11" s="392"/>
      <c r="VRJ11" s="392"/>
      <c r="VRK11" s="392"/>
      <c r="VRL11" s="392"/>
      <c r="VRM11" s="392"/>
      <c r="VRN11" s="392"/>
      <c r="VRO11" s="392"/>
      <c r="VRP11" s="392"/>
      <c r="VRQ11" s="392"/>
      <c r="VRR11" s="392"/>
      <c r="VRS11" s="392"/>
      <c r="VRT11" s="392"/>
      <c r="VRU11" s="392"/>
      <c r="VRV11" s="392"/>
      <c r="VRW11" s="392"/>
      <c r="VRX11" s="392"/>
      <c r="VRY11" s="392"/>
      <c r="VRZ11" s="392"/>
      <c r="VSA11" s="392"/>
      <c r="VSB11" s="392"/>
      <c r="VSC11" s="392"/>
      <c r="VSD11" s="392"/>
      <c r="VSE11" s="392"/>
      <c r="VSF11" s="392"/>
      <c r="VSG11" s="392"/>
      <c r="VSH11" s="392"/>
      <c r="VSI11" s="392"/>
      <c r="VSJ11" s="392"/>
      <c r="VSK11" s="392"/>
      <c r="VSL11" s="392"/>
      <c r="VSM11" s="392"/>
      <c r="VSN11" s="392"/>
      <c r="VSO11" s="392"/>
      <c r="VSP11" s="392"/>
      <c r="VSQ11" s="392"/>
      <c r="VSR11" s="392"/>
      <c r="VSS11" s="392"/>
      <c r="VST11" s="392"/>
      <c r="VSU11" s="392"/>
      <c r="VSV11" s="392"/>
      <c r="VSW11" s="392"/>
      <c r="VSX11" s="392"/>
      <c r="VSY11" s="392"/>
      <c r="VSZ11" s="392"/>
      <c r="VTA11" s="392"/>
      <c r="VTB11" s="392"/>
      <c r="VTC11" s="392"/>
      <c r="VTD11" s="392"/>
      <c r="VTE11" s="392"/>
      <c r="VTF11" s="392"/>
      <c r="VTG11" s="392"/>
      <c r="VTH11" s="392"/>
      <c r="VTI11" s="392"/>
      <c r="VTJ11" s="392"/>
      <c r="VTK11" s="392"/>
      <c r="VTL11" s="392"/>
      <c r="VTM11" s="392"/>
      <c r="VTN11" s="392"/>
      <c r="VTO11" s="392"/>
      <c r="VTP11" s="392"/>
      <c r="VTQ11" s="392"/>
      <c r="VTR11" s="392"/>
      <c r="VTS11" s="392"/>
      <c r="VTT11" s="392"/>
      <c r="VTU11" s="392"/>
      <c r="VTV11" s="392"/>
      <c r="VTW11" s="392"/>
      <c r="VTX11" s="392"/>
      <c r="VTY11" s="392"/>
      <c r="VTZ11" s="392"/>
      <c r="VUA11" s="392"/>
      <c r="VUB11" s="392"/>
      <c r="VUC11" s="392"/>
      <c r="VUD11" s="392"/>
      <c r="VUE11" s="392"/>
      <c r="VUF11" s="392"/>
      <c r="VUG11" s="392"/>
      <c r="VUH11" s="392"/>
      <c r="VUI11" s="392"/>
      <c r="VUJ11" s="392"/>
      <c r="VUK11" s="392"/>
      <c r="VUL11" s="392"/>
      <c r="VUM11" s="392"/>
      <c r="VUN11" s="392"/>
      <c r="VUO11" s="392"/>
      <c r="VUP11" s="392"/>
      <c r="VUQ11" s="392"/>
      <c r="VUR11" s="392"/>
      <c r="VUS11" s="392"/>
      <c r="VUT11" s="392"/>
      <c r="VUU11" s="392"/>
      <c r="VUV11" s="392"/>
      <c r="VUW11" s="392"/>
      <c r="VUX11" s="392"/>
      <c r="VUY11" s="392"/>
      <c r="VUZ11" s="392"/>
      <c r="VVA11" s="392"/>
      <c r="VVB11" s="392"/>
      <c r="VVC11" s="392"/>
      <c r="VVD11" s="392"/>
      <c r="VVE11" s="392"/>
      <c r="VVF11" s="392"/>
      <c r="VVG11" s="392"/>
      <c r="VVH11" s="392"/>
      <c r="VVI11" s="392"/>
      <c r="VVJ11" s="392"/>
      <c r="VVK11" s="392"/>
      <c r="VVL11" s="392"/>
      <c r="VVM11" s="392"/>
      <c r="VVN11" s="392"/>
      <c r="VVO11" s="392"/>
      <c r="VVP11" s="392"/>
      <c r="VVQ11" s="392"/>
      <c r="VVR11" s="392"/>
      <c r="VVS11" s="392"/>
      <c r="VVT11" s="392"/>
      <c r="VVU11" s="392"/>
      <c r="VVV11" s="392"/>
      <c r="VVW11" s="392"/>
      <c r="VVX11" s="392"/>
      <c r="VVY11" s="392"/>
      <c r="VVZ11" s="392"/>
      <c r="VWA11" s="392"/>
      <c r="VWB11" s="392"/>
      <c r="VWC11" s="392"/>
      <c r="VWD11" s="392"/>
      <c r="VWE11" s="392"/>
      <c r="VWF11" s="392"/>
      <c r="VWG11" s="392"/>
      <c r="VWH11" s="392"/>
      <c r="VWI11" s="392"/>
      <c r="VWJ11" s="392"/>
      <c r="VWK11" s="392"/>
      <c r="VWL11" s="392"/>
      <c r="VWM11" s="392"/>
      <c r="VWN11" s="392"/>
      <c r="VWO11" s="392"/>
      <c r="VWP11" s="392"/>
      <c r="VWQ11" s="392"/>
      <c r="VWR11" s="392"/>
      <c r="VWS11" s="392"/>
      <c r="VWT11" s="392"/>
      <c r="VWU11" s="392"/>
      <c r="VWV11" s="392"/>
      <c r="VWW11" s="392"/>
      <c r="VWX11" s="392"/>
      <c r="VWY11" s="392"/>
      <c r="VWZ11" s="392"/>
      <c r="VXA11" s="392"/>
      <c r="VXB11" s="392"/>
      <c r="VXC11" s="392"/>
      <c r="VXD11" s="392"/>
      <c r="VXE11" s="392"/>
      <c r="VXF11" s="392"/>
      <c r="VXG11" s="392"/>
      <c r="VXH11" s="392"/>
      <c r="VXI11" s="392"/>
      <c r="VXJ11" s="392"/>
      <c r="VXK11" s="392"/>
      <c r="VXL11" s="392"/>
      <c r="VXM11" s="392"/>
      <c r="VXN11" s="392"/>
      <c r="VXO11" s="392"/>
      <c r="VXP11" s="392"/>
      <c r="VXQ11" s="392"/>
      <c r="VXR11" s="392"/>
      <c r="VXS11" s="392"/>
      <c r="VXT11" s="392"/>
      <c r="VXU11" s="392"/>
      <c r="VXV11" s="392"/>
      <c r="VXW11" s="392"/>
      <c r="VXX11" s="392"/>
      <c r="VXY11" s="392"/>
      <c r="VXZ11" s="392"/>
      <c r="VYA11" s="392"/>
      <c r="VYB11" s="392"/>
      <c r="VYC11" s="392"/>
      <c r="VYD11" s="392"/>
      <c r="VYE11" s="392"/>
      <c r="VYF11" s="392"/>
      <c r="VYG11" s="392"/>
      <c r="VYH11" s="392"/>
      <c r="VYI11" s="392"/>
      <c r="VYJ11" s="392"/>
      <c r="VYK11" s="392"/>
      <c r="VYL11" s="392"/>
      <c r="VYM11" s="392"/>
      <c r="VYN11" s="392"/>
      <c r="VYO11" s="392"/>
      <c r="VYP11" s="392"/>
      <c r="VYQ11" s="392"/>
      <c r="VYR11" s="392"/>
      <c r="VYS11" s="392"/>
      <c r="VYT11" s="392"/>
      <c r="VYU11" s="392"/>
      <c r="VYV11" s="392"/>
      <c r="VYW11" s="392"/>
      <c r="VYX11" s="392"/>
      <c r="VYY11" s="392"/>
      <c r="VYZ11" s="392"/>
      <c r="VZA11" s="392"/>
      <c r="VZB11" s="392"/>
      <c r="VZC11" s="392"/>
      <c r="VZD11" s="392"/>
      <c r="VZE11" s="392"/>
      <c r="VZF11" s="392"/>
      <c r="VZG11" s="392"/>
      <c r="VZH11" s="392"/>
      <c r="VZI11" s="392"/>
      <c r="VZJ11" s="392"/>
      <c r="VZK11" s="392"/>
      <c r="VZL11" s="392"/>
      <c r="VZM11" s="392"/>
      <c r="VZN11" s="392"/>
      <c r="VZO11" s="392"/>
      <c r="VZP11" s="392"/>
      <c r="VZQ11" s="392"/>
      <c r="VZR11" s="392"/>
      <c r="VZS11" s="392"/>
      <c r="VZT11" s="392"/>
      <c r="VZU11" s="392"/>
      <c r="VZV11" s="392"/>
      <c r="VZW11" s="392"/>
      <c r="VZX11" s="392"/>
      <c r="VZY11" s="392"/>
      <c r="VZZ11" s="392"/>
      <c r="WAA11" s="392"/>
      <c r="WAB11" s="392"/>
      <c r="WAC11" s="392"/>
      <c r="WAD11" s="392"/>
      <c r="WAE11" s="392"/>
      <c r="WAF11" s="392"/>
      <c r="WAG11" s="392"/>
      <c r="WAH11" s="392"/>
      <c r="WAI11" s="392"/>
      <c r="WAJ11" s="392"/>
      <c r="WAK11" s="392"/>
      <c r="WAL11" s="392"/>
      <c r="WAM11" s="392"/>
      <c r="WAN11" s="392"/>
      <c r="WAO11" s="392"/>
      <c r="WAP11" s="392"/>
      <c r="WAQ11" s="392"/>
      <c r="WAR11" s="392"/>
      <c r="WAS11" s="392"/>
      <c r="WAT11" s="392"/>
      <c r="WAU11" s="392"/>
      <c r="WAV11" s="392"/>
      <c r="WAW11" s="392"/>
      <c r="WAX11" s="392"/>
      <c r="WAY11" s="392"/>
      <c r="WAZ11" s="392"/>
      <c r="WBA11" s="392"/>
      <c r="WBB11" s="392"/>
      <c r="WBC11" s="392"/>
      <c r="WBD11" s="392"/>
      <c r="WBE11" s="392"/>
      <c r="WBF11" s="392"/>
      <c r="WBG11" s="392"/>
      <c r="WBH11" s="392"/>
      <c r="WBI11" s="392"/>
      <c r="WBJ11" s="392"/>
      <c r="WBK11" s="392"/>
      <c r="WBL11" s="392"/>
      <c r="WBM11" s="392"/>
      <c r="WBN11" s="392"/>
      <c r="WBO11" s="392"/>
      <c r="WBP11" s="392"/>
      <c r="WBQ11" s="392"/>
      <c r="WBR11" s="392"/>
      <c r="WBS11" s="392"/>
      <c r="WBT11" s="392"/>
      <c r="WBU11" s="392"/>
      <c r="WBV11" s="392"/>
      <c r="WBW11" s="392"/>
      <c r="WBX11" s="392"/>
      <c r="WBY11" s="392"/>
      <c r="WBZ11" s="392"/>
      <c r="WCA11" s="392"/>
      <c r="WCB11" s="392"/>
      <c r="WCC11" s="392"/>
      <c r="WCD11" s="392"/>
      <c r="WCE11" s="392"/>
      <c r="WCF11" s="392"/>
      <c r="WCG11" s="392"/>
      <c r="WCH11" s="392"/>
      <c r="WCI11" s="392"/>
      <c r="WCJ11" s="392"/>
      <c r="WCK11" s="392"/>
      <c r="WCL11" s="392"/>
      <c r="WCM11" s="392"/>
      <c r="WCN11" s="392"/>
      <c r="WCO11" s="392"/>
      <c r="WCP11" s="392"/>
      <c r="WCQ11" s="392"/>
      <c r="WCR11" s="392"/>
      <c r="WCS11" s="392"/>
      <c r="WCT11" s="392"/>
      <c r="WCU11" s="392"/>
      <c r="WCV11" s="392"/>
      <c r="WCW11" s="392"/>
      <c r="WCX11" s="392"/>
      <c r="WCY11" s="392"/>
      <c r="WCZ11" s="392"/>
      <c r="WDA11" s="392"/>
      <c r="WDB11" s="392"/>
      <c r="WDC11" s="392"/>
      <c r="WDD11" s="392"/>
      <c r="WDE11" s="392"/>
      <c r="WDF11" s="392"/>
      <c r="WDG11" s="392"/>
      <c r="WDH11" s="392"/>
      <c r="WDI11" s="392"/>
      <c r="WDJ11" s="392"/>
      <c r="WDK11" s="392"/>
      <c r="WDL11" s="392"/>
      <c r="WDM11" s="392"/>
      <c r="WDN11" s="392"/>
      <c r="WDO11" s="392"/>
      <c r="WDP11" s="392"/>
      <c r="WDQ11" s="392"/>
      <c r="WDR11" s="392"/>
      <c r="WDS11" s="392"/>
      <c r="WDT11" s="392"/>
      <c r="WDU11" s="392"/>
      <c r="WDV11" s="392"/>
      <c r="WDW11" s="392"/>
      <c r="WDX11" s="392"/>
      <c r="WDY11" s="392"/>
      <c r="WDZ11" s="392"/>
      <c r="WEA11" s="392"/>
      <c r="WEB11" s="392"/>
      <c r="WEC11" s="392"/>
      <c r="WED11" s="392"/>
      <c r="WEE11" s="392"/>
      <c r="WEF11" s="392"/>
      <c r="WEG11" s="392"/>
      <c r="WEH11" s="392"/>
      <c r="WEI11" s="392"/>
      <c r="WEJ11" s="392"/>
      <c r="WEK11" s="392"/>
      <c r="WEL11" s="392"/>
      <c r="WEM11" s="392"/>
      <c r="WEN11" s="392"/>
      <c r="WEO11" s="392"/>
      <c r="WEP11" s="392"/>
      <c r="WEQ11" s="392"/>
      <c r="WER11" s="392"/>
      <c r="WES11" s="392"/>
      <c r="WET11" s="392"/>
      <c r="WEU11" s="392"/>
      <c r="WEV11" s="392"/>
      <c r="WEW11" s="392"/>
      <c r="WEX11" s="392"/>
      <c r="WEY11" s="392"/>
      <c r="WEZ11" s="392"/>
      <c r="WFA11" s="392"/>
      <c r="WFB11" s="392"/>
      <c r="WFC11" s="392"/>
      <c r="WFD11" s="392"/>
      <c r="WFE11" s="392"/>
      <c r="WFF11" s="392"/>
      <c r="WFG11" s="392"/>
      <c r="WFH11" s="392"/>
      <c r="WFI11" s="392"/>
      <c r="WFJ11" s="392"/>
      <c r="WFK11" s="392"/>
      <c r="WFL11" s="392"/>
      <c r="WFM11" s="392"/>
      <c r="WFN11" s="392"/>
      <c r="WFO11" s="392"/>
      <c r="WFP11" s="392"/>
      <c r="WFQ11" s="392"/>
      <c r="WFR11" s="392"/>
      <c r="WFS11" s="392"/>
      <c r="WFT11" s="392"/>
      <c r="WFU11" s="392"/>
      <c r="WFV11" s="392"/>
      <c r="WFW11" s="392"/>
      <c r="WFX11" s="392"/>
      <c r="WFY11" s="392"/>
      <c r="WFZ11" s="392"/>
      <c r="WGA11" s="392"/>
      <c r="WGB11" s="392"/>
      <c r="WGC11" s="392"/>
      <c r="WGD11" s="392"/>
      <c r="WGE11" s="392"/>
      <c r="WGF11" s="392"/>
      <c r="WGG11" s="392"/>
      <c r="WGH11" s="392"/>
      <c r="WGI11" s="392"/>
      <c r="WGJ11" s="392"/>
      <c r="WGK11" s="392"/>
      <c r="WGL11" s="392"/>
      <c r="WGM11" s="392"/>
      <c r="WGN11" s="392"/>
      <c r="WGO11" s="392"/>
      <c r="WGP11" s="392"/>
      <c r="WGQ11" s="392"/>
      <c r="WGR11" s="392"/>
      <c r="WGS11" s="392"/>
      <c r="WGT11" s="392"/>
      <c r="WGU11" s="392"/>
      <c r="WGV11" s="392"/>
      <c r="WGW11" s="392"/>
      <c r="WGX11" s="392"/>
      <c r="WGY11" s="392"/>
      <c r="WGZ11" s="392"/>
      <c r="WHA11" s="392"/>
      <c r="WHB11" s="392"/>
      <c r="WHC11" s="392"/>
      <c r="WHD11" s="392"/>
      <c r="WHE11" s="392"/>
      <c r="WHF11" s="392"/>
      <c r="WHG11" s="392"/>
      <c r="WHH11" s="392"/>
      <c r="WHI11" s="392"/>
      <c r="WHJ11" s="392"/>
      <c r="WHK11" s="392"/>
      <c r="WHL11" s="392"/>
      <c r="WHM11" s="392"/>
      <c r="WHN11" s="392"/>
      <c r="WHO11" s="392"/>
      <c r="WHP11" s="392"/>
      <c r="WHQ11" s="392"/>
      <c r="WHR11" s="392"/>
      <c r="WHS11" s="392"/>
      <c r="WHT11" s="392"/>
      <c r="WHU11" s="392"/>
      <c r="WHV11" s="392"/>
      <c r="WHW11" s="392"/>
      <c r="WHX11" s="392"/>
      <c r="WHY11" s="392"/>
      <c r="WHZ11" s="392"/>
      <c r="WIA11" s="392"/>
      <c r="WIB11" s="392"/>
      <c r="WIC11" s="392"/>
      <c r="WID11" s="392"/>
      <c r="WIE11" s="392"/>
      <c r="WIF11" s="392"/>
      <c r="WIG11" s="392"/>
      <c r="WIH11" s="392"/>
      <c r="WII11" s="392"/>
      <c r="WIJ11" s="392"/>
      <c r="WIK11" s="392"/>
      <c r="WIL11" s="392"/>
      <c r="WIM11" s="392"/>
      <c r="WIN11" s="392"/>
      <c r="WIO11" s="392"/>
      <c r="WIP11" s="392"/>
      <c r="WIQ11" s="392"/>
      <c r="WIR11" s="392"/>
      <c r="WIS11" s="392"/>
      <c r="WIT11" s="392"/>
      <c r="WIU11" s="392"/>
      <c r="WIV11" s="392"/>
      <c r="WIW11" s="392"/>
      <c r="WIX11" s="392"/>
      <c r="WIY11" s="392"/>
      <c r="WIZ11" s="392"/>
      <c r="WJA11" s="392"/>
      <c r="WJB11" s="392"/>
      <c r="WJC11" s="392"/>
      <c r="WJD11" s="392"/>
      <c r="WJE11" s="392"/>
      <c r="WJF11" s="392"/>
      <c r="WJG11" s="392"/>
      <c r="WJH11" s="392"/>
      <c r="WJI11" s="392"/>
      <c r="WJJ11" s="392"/>
      <c r="WJK11" s="392"/>
      <c r="WJL11" s="392"/>
      <c r="WJM11" s="392"/>
      <c r="WJN11" s="392"/>
      <c r="WJO11" s="392"/>
      <c r="WJP11" s="392"/>
      <c r="WJQ11" s="392"/>
      <c r="WJR11" s="392"/>
      <c r="WJS11" s="392"/>
      <c r="WJT11" s="392"/>
      <c r="WJU11" s="392"/>
      <c r="WJV11" s="392"/>
      <c r="WJW11" s="392"/>
      <c r="WJX11" s="392"/>
      <c r="WJY11" s="392"/>
      <c r="WJZ11" s="392"/>
      <c r="WKA11" s="392"/>
      <c r="WKB11" s="392"/>
      <c r="WKC11" s="392"/>
      <c r="WKD11" s="392"/>
      <c r="WKE11" s="392"/>
      <c r="WKF11" s="392"/>
      <c r="WKG11" s="392"/>
      <c r="WKH11" s="392"/>
      <c r="WKI11" s="392"/>
      <c r="WKJ11" s="392"/>
      <c r="WKK11" s="392"/>
      <c r="WKL11" s="392"/>
      <c r="WKM11" s="392"/>
      <c r="WKN11" s="392"/>
      <c r="WKO11" s="392"/>
      <c r="WKP11" s="392"/>
      <c r="WKQ11" s="392"/>
      <c r="WKR11" s="392"/>
      <c r="WKS11" s="392"/>
      <c r="WKT11" s="392"/>
      <c r="WKU11" s="392"/>
      <c r="WKV11" s="392"/>
      <c r="WKW11" s="392"/>
      <c r="WKX11" s="392"/>
      <c r="WKY11" s="392"/>
      <c r="WKZ11" s="392"/>
      <c r="WLA11" s="392"/>
      <c r="WLB11" s="392"/>
      <c r="WLC11" s="392"/>
      <c r="WLD11" s="392"/>
      <c r="WLE11" s="392"/>
      <c r="WLF11" s="392"/>
      <c r="WLG11" s="392"/>
      <c r="WLH11" s="392"/>
      <c r="WLI11" s="392"/>
      <c r="WLJ11" s="392"/>
      <c r="WLK11" s="392"/>
      <c r="WLL11" s="392"/>
      <c r="WLM11" s="392"/>
      <c r="WLN11" s="392"/>
      <c r="WLO11" s="392"/>
      <c r="WLP11" s="392"/>
      <c r="WLQ11" s="392"/>
      <c r="WLR11" s="392"/>
      <c r="WLS11" s="392"/>
      <c r="WLT11" s="392"/>
      <c r="WLU11" s="392"/>
      <c r="WLV11" s="392"/>
      <c r="WLW11" s="392"/>
      <c r="WLX11" s="392"/>
      <c r="WLY11" s="392"/>
      <c r="WLZ11" s="392"/>
      <c r="WMA11" s="392"/>
      <c r="WMB11" s="392"/>
      <c r="WMC11" s="392"/>
      <c r="WMD11" s="392"/>
      <c r="WME11" s="392"/>
      <c r="WMF11" s="392"/>
      <c r="WMG11" s="392"/>
      <c r="WMH11" s="392"/>
      <c r="WMI11" s="392"/>
      <c r="WMJ11" s="392"/>
      <c r="WMK11" s="392"/>
      <c r="WML11" s="392"/>
      <c r="WMM11" s="392"/>
      <c r="WMN11" s="392"/>
      <c r="WMO11" s="392"/>
      <c r="WMP11" s="392"/>
      <c r="WMQ11" s="392"/>
      <c r="WMR11" s="392"/>
      <c r="WMS11" s="392"/>
      <c r="WMT11" s="392"/>
      <c r="WMU11" s="392"/>
      <c r="WMV11" s="392"/>
      <c r="WMW11" s="392"/>
      <c r="WMX11" s="392"/>
      <c r="WMY11" s="392"/>
      <c r="WMZ11" s="392"/>
      <c r="WNA11" s="392"/>
      <c r="WNB11" s="392"/>
      <c r="WNC11" s="392"/>
      <c r="WND11" s="392"/>
      <c r="WNE11" s="392"/>
      <c r="WNF11" s="392"/>
      <c r="WNG11" s="392"/>
      <c r="WNH11" s="392"/>
      <c r="WNI11" s="392"/>
      <c r="WNJ11" s="392"/>
      <c r="WNK11" s="392"/>
      <c r="WNL11" s="392"/>
      <c r="WNM11" s="392"/>
      <c r="WNN11" s="392"/>
      <c r="WNO11" s="392"/>
      <c r="WNP11" s="392"/>
      <c r="WNQ11" s="392"/>
      <c r="WNR11" s="392"/>
      <c r="WNS11" s="392"/>
      <c r="WNT11" s="392"/>
      <c r="WNU11" s="392"/>
      <c r="WNV11" s="392"/>
      <c r="WNW11" s="392"/>
      <c r="WNX11" s="392"/>
      <c r="WNY11" s="392"/>
      <c r="WNZ11" s="392"/>
      <c r="WOA11" s="392"/>
      <c r="WOB11" s="392"/>
      <c r="WOC11" s="392"/>
      <c r="WOD11" s="392"/>
      <c r="WOE11" s="392"/>
      <c r="WOF11" s="392"/>
      <c r="WOG11" s="392"/>
      <c r="WOH11" s="392"/>
      <c r="WOI11" s="392"/>
      <c r="WOJ11" s="392"/>
      <c r="WOK11" s="392"/>
      <c r="WOL11" s="392"/>
      <c r="WOM11" s="392"/>
      <c r="WON11" s="392"/>
      <c r="WOO11" s="392"/>
      <c r="WOP11" s="392"/>
      <c r="WOQ11" s="392"/>
      <c r="WOR11" s="392"/>
      <c r="WOS11" s="392"/>
      <c r="WOT11" s="392"/>
      <c r="WOU11" s="392"/>
      <c r="WOV11" s="392"/>
      <c r="WOW11" s="392"/>
      <c r="WOX11" s="392"/>
      <c r="WOY11" s="392"/>
      <c r="WOZ11" s="392"/>
      <c r="WPA11" s="392"/>
      <c r="WPB11" s="392"/>
      <c r="WPC11" s="392"/>
      <c r="WPD11" s="392"/>
      <c r="WPE11" s="392"/>
      <c r="WPF11" s="392"/>
      <c r="WPG11" s="392"/>
      <c r="WPH11" s="392"/>
      <c r="WPI11" s="392"/>
      <c r="WPJ11" s="392"/>
      <c r="WPK11" s="392"/>
      <c r="WPL11" s="392"/>
      <c r="WPM11" s="392"/>
      <c r="WPN11" s="392"/>
      <c r="WPO11" s="392"/>
      <c r="WPP11" s="392"/>
      <c r="WPQ11" s="392"/>
      <c r="WPR11" s="392"/>
      <c r="WPS11" s="392"/>
      <c r="WPT11" s="392"/>
      <c r="WPU11" s="392"/>
      <c r="WPV11" s="392"/>
      <c r="WPW11" s="392"/>
      <c r="WPX11" s="392"/>
      <c r="WPY11" s="392"/>
      <c r="WPZ11" s="392"/>
      <c r="WQA11" s="392"/>
      <c r="WQB11" s="392"/>
      <c r="WQC11" s="392"/>
      <c r="WQD11" s="392"/>
      <c r="WQE11" s="392"/>
      <c r="WQF11" s="392"/>
      <c r="WQG11" s="392"/>
      <c r="WQH11" s="392"/>
      <c r="WQI11" s="392"/>
      <c r="WQJ11" s="392"/>
      <c r="WQK11" s="392"/>
      <c r="WQL11" s="392"/>
      <c r="WQM11" s="392"/>
      <c r="WQN11" s="392"/>
      <c r="WQO11" s="392"/>
      <c r="WQP11" s="392"/>
      <c r="WQQ11" s="392"/>
      <c r="WQR11" s="392"/>
      <c r="WQS11" s="392"/>
      <c r="WQT11" s="392"/>
      <c r="WQU11" s="392"/>
      <c r="WQV11" s="392"/>
      <c r="WQW11" s="392"/>
      <c r="WQX11" s="392"/>
      <c r="WQY11" s="392"/>
      <c r="WQZ11" s="392"/>
      <c r="WRA11" s="392"/>
      <c r="WRB11" s="392"/>
      <c r="WRC11" s="392"/>
      <c r="WRD11" s="392"/>
      <c r="WRE11" s="392"/>
      <c r="WRF11" s="392"/>
      <c r="WRG11" s="392"/>
      <c r="WRH11" s="392"/>
      <c r="WRI11" s="392"/>
      <c r="WRJ11" s="392"/>
      <c r="WRK11" s="392"/>
      <c r="WRL11" s="392"/>
      <c r="WRM11" s="392"/>
      <c r="WRN11" s="392"/>
      <c r="WRO11" s="392"/>
      <c r="WRP11" s="392"/>
      <c r="WRQ11" s="392"/>
      <c r="WRR11" s="392"/>
      <c r="WRS11" s="392"/>
      <c r="WRT11" s="392"/>
      <c r="WRU11" s="392"/>
      <c r="WRV11" s="392"/>
      <c r="WRW11" s="392"/>
      <c r="WRX11" s="392"/>
      <c r="WRY11" s="392"/>
      <c r="WRZ11" s="392"/>
      <c r="WSA11" s="392"/>
      <c r="WSB11" s="392"/>
      <c r="WSC11" s="392"/>
      <c r="WSD11" s="392"/>
      <c r="WSE11" s="392"/>
      <c r="WSF11" s="392"/>
      <c r="WSG11" s="392"/>
      <c r="WSH11" s="392"/>
      <c r="WSI11" s="392"/>
      <c r="WSJ11" s="392"/>
      <c r="WSK11" s="392"/>
      <c r="WSL11" s="392"/>
      <c r="WSM11" s="392"/>
      <c r="WSN11" s="392"/>
      <c r="WSO11" s="392"/>
      <c r="WSP11" s="392"/>
      <c r="WSQ11" s="392"/>
      <c r="WSR11" s="392"/>
      <c r="WSS11" s="392"/>
      <c r="WST11" s="392"/>
      <c r="WSU11" s="392"/>
      <c r="WSV11" s="392"/>
      <c r="WSW11" s="392"/>
      <c r="WSX11" s="392"/>
      <c r="WSY11" s="392"/>
      <c r="WSZ11" s="392"/>
      <c r="WTA11" s="392"/>
      <c r="WTB11" s="392"/>
      <c r="WTC11" s="392"/>
      <c r="WTD11" s="392"/>
      <c r="WTE11" s="392"/>
      <c r="WTF11" s="392"/>
      <c r="WTG11" s="392"/>
      <c r="WTH11" s="392"/>
      <c r="WTI11" s="392"/>
      <c r="WTJ11" s="392"/>
      <c r="WTK11" s="392"/>
      <c r="WTL11" s="392"/>
      <c r="WTM11" s="392"/>
      <c r="WTN11" s="392"/>
      <c r="WTO11" s="392"/>
      <c r="WTP11" s="392"/>
      <c r="WTQ11" s="392"/>
      <c r="WTR11" s="392"/>
      <c r="WTS11" s="392"/>
      <c r="WTT11" s="392"/>
      <c r="WTU11" s="392"/>
      <c r="WTV11" s="392"/>
      <c r="WTW11" s="392"/>
      <c r="WTX11" s="392"/>
      <c r="WTY11" s="392"/>
      <c r="WTZ11" s="392"/>
      <c r="WUA11" s="392"/>
      <c r="WUB11" s="392"/>
      <c r="WUC11" s="392"/>
      <c r="WUD11" s="392"/>
      <c r="WUE11" s="392"/>
      <c r="WUF11" s="392"/>
      <c r="WUG11" s="392"/>
      <c r="WUH11" s="392"/>
      <c r="WUI11" s="392"/>
      <c r="WUJ11" s="392"/>
      <c r="WUK11" s="392"/>
      <c r="WUL11" s="392"/>
      <c r="WUM11" s="392"/>
      <c r="WUN11" s="392"/>
      <c r="WUO11" s="392"/>
      <c r="WUP11" s="392"/>
      <c r="WUQ11" s="392"/>
      <c r="WUR11" s="392"/>
      <c r="WUS11" s="392"/>
      <c r="WUT11" s="392"/>
      <c r="WUU11" s="392"/>
      <c r="WUV11" s="392"/>
      <c r="WUW11" s="392"/>
      <c r="WUX11" s="392"/>
      <c r="WUY11" s="392"/>
      <c r="WUZ11" s="392"/>
      <c r="WVA11" s="392"/>
      <c r="WVB11" s="392"/>
      <c r="WVC11" s="392"/>
      <c r="WVD11" s="392"/>
      <c r="WVE11" s="392"/>
      <c r="WVF11" s="392"/>
      <c r="WVG11" s="392"/>
      <c r="WVH11" s="392"/>
      <c r="WVI11" s="392"/>
      <c r="WVJ11" s="392"/>
      <c r="WVK11" s="392"/>
      <c r="WVL11" s="392"/>
      <c r="WVM11" s="392"/>
      <c r="WVN11" s="392"/>
      <c r="WVO11" s="392"/>
      <c r="WVP11" s="392"/>
      <c r="WVQ11" s="392"/>
      <c r="WVR11" s="392"/>
      <c r="WVS11" s="392"/>
      <c r="WVT11" s="392"/>
      <c r="WVU11" s="392"/>
      <c r="WVV11" s="392"/>
      <c r="WVW11" s="392"/>
      <c r="WVX11" s="392"/>
      <c r="WVY11" s="392"/>
      <c r="WVZ11" s="392"/>
      <c r="WWA11" s="392"/>
      <c r="WWB11" s="392"/>
      <c r="WWC11" s="392"/>
      <c r="WWD11" s="392"/>
      <c r="WWE11" s="392"/>
      <c r="WWF11" s="392"/>
      <c r="WWG11" s="392"/>
      <c r="WWH11" s="392"/>
      <c r="WWI11" s="392"/>
      <c r="WWJ11" s="392"/>
      <c r="WWK11" s="392"/>
      <c r="WWL11" s="392"/>
      <c r="WWM11" s="392"/>
      <c r="WWN11" s="392"/>
      <c r="WWO11" s="392"/>
      <c r="WWP11" s="392"/>
      <c r="WWQ11" s="392"/>
      <c r="WWR11" s="392"/>
      <c r="WWS11" s="392"/>
      <c r="WWT11" s="392"/>
      <c r="WWU11" s="392"/>
      <c r="WWV11" s="392"/>
      <c r="WWW11" s="392"/>
      <c r="WWX11" s="392"/>
      <c r="WWY11" s="392"/>
      <c r="WWZ11" s="392"/>
      <c r="WXA11" s="392"/>
      <c r="WXB11" s="392"/>
      <c r="WXC11" s="392"/>
      <c r="WXD11" s="392"/>
      <c r="WXE11" s="392"/>
      <c r="WXF11" s="392"/>
      <c r="WXG11" s="392"/>
      <c r="WXH11" s="392"/>
      <c r="WXI11" s="392"/>
      <c r="WXJ11" s="392"/>
      <c r="WXK11" s="392"/>
      <c r="WXL11" s="392"/>
      <c r="WXM11" s="392"/>
      <c r="WXN11" s="392"/>
      <c r="WXO11" s="392"/>
      <c r="WXP11" s="392"/>
      <c r="WXQ11" s="392"/>
      <c r="WXR11" s="392"/>
      <c r="WXS11" s="392"/>
      <c r="WXT11" s="392"/>
      <c r="WXU11" s="392"/>
      <c r="WXV11" s="392"/>
      <c r="WXW11" s="392"/>
      <c r="WXX11" s="392"/>
      <c r="WXY11" s="392"/>
      <c r="WXZ11" s="392"/>
      <c r="WYA11" s="392"/>
      <c r="WYB11" s="392"/>
      <c r="WYC11" s="392"/>
      <c r="WYD11" s="392"/>
      <c r="WYE11" s="392"/>
      <c r="WYF11" s="392"/>
      <c r="WYG11" s="392"/>
      <c r="WYH11" s="392"/>
      <c r="WYI11" s="392"/>
      <c r="WYJ11" s="392"/>
      <c r="WYK11" s="392"/>
      <c r="WYL11" s="392"/>
      <c r="WYM11" s="392"/>
      <c r="WYN11" s="392"/>
      <c r="WYO11" s="392"/>
      <c r="WYP11" s="392"/>
      <c r="WYQ11" s="392"/>
      <c r="WYR11" s="392"/>
      <c r="WYS11" s="392"/>
      <c r="WYT11" s="392"/>
      <c r="WYU11" s="392"/>
      <c r="WYV11" s="392"/>
      <c r="WYW11" s="392"/>
      <c r="WYX11" s="392"/>
      <c r="WYY11" s="392"/>
      <c r="WYZ11" s="392"/>
      <c r="WZA11" s="392"/>
      <c r="WZB11" s="392"/>
      <c r="WZC11" s="392"/>
      <c r="WZD11" s="392"/>
      <c r="WZE11" s="392"/>
      <c r="WZF11" s="392"/>
      <c r="WZG11" s="392"/>
      <c r="WZH11" s="392"/>
      <c r="WZI11" s="392"/>
      <c r="WZJ11" s="392"/>
      <c r="WZK11" s="392"/>
      <c r="WZL11" s="392"/>
      <c r="WZM11" s="392"/>
      <c r="WZN11" s="392"/>
      <c r="WZO11" s="392"/>
      <c r="WZP11" s="392"/>
      <c r="WZQ11" s="392"/>
      <c r="WZR11" s="392"/>
      <c r="WZS11" s="392"/>
      <c r="WZT11" s="392"/>
      <c r="WZU11" s="392"/>
      <c r="WZV11" s="392"/>
      <c r="WZW11" s="392"/>
      <c r="WZX11" s="392"/>
      <c r="WZY11" s="392"/>
      <c r="WZZ11" s="392"/>
      <c r="XAA11" s="392"/>
      <c r="XAB11" s="392"/>
      <c r="XAC11" s="392"/>
      <c r="XAD11" s="392"/>
      <c r="XAE11" s="392"/>
      <c r="XAF11" s="392"/>
      <c r="XAG11" s="392"/>
      <c r="XAH11" s="392"/>
      <c r="XAI11" s="392"/>
      <c r="XAJ11" s="392"/>
      <c r="XAK11" s="392"/>
      <c r="XAL11" s="392"/>
      <c r="XAM11" s="392"/>
      <c r="XAN11" s="392"/>
      <c r="XAO11" s="392"/>
      <c r="XAP11" s="392"/>
      <c r="XAQ11" s="392"/>
      <c r="XAR11" s="392"/>
      <c r="XAS11" s="392"/>
      <c r="XAT11" s="392"/>
      <c r="XAU11" s="392"/>
      <c r="XAV11" s="392"/>
      <c r="XAW11" s="392"/>
      <c r="XAX11" s="392"/>
      <c r="XAY11" s="392"/>
      <c r="XAZ11" s="392"/>
      <c r="XBA11" s="392"/>
      <c r="XBB11" s="392"/>
      <c r="XBC11" s="392"/>
      <c r="XBD11" s="392"/>
      <c r="XBE11" s="392"/>
      <c r="XBF11" s="392"/>
      <c r="XBG11" s="392"/>
      <c r="XBH11" s="392"/>
      <c r="XBI11" s="392"/>
      <c r="XBJ11" s="392"/>
      <c r="XBK11" s="392"/>
      <c r="XBL11" s="392"/>
      <c r="XBM11" s="392"/>
      <c r="XBN11" s="392"/>
      <c r="XBO11" s="392"/>
      <c r="XBP11" s="392"/>
      <c r="XBQ11" s="392"/>
      <c r="XBR11" s="392"/>
      <c r="XBS11" s="392"/>
      <c r="XBT11" s="392"/>
      <c r="XBU11" s="392"/>
      <c r="XBV11" s="392"/>
      <c r="XBW11" s="392"/>
      <c r="XBX11" s="392"/>
      <c r="XBY11" s="392"/>
      <c r="XBZ11" s="392"/>
      <c r="XCA11" s="392"/>
      <c r="XCB11" s="392"/>
      <c r="XCC11" s="392"/>
      <c r="XCD11" s="392"/>
      <c r="XCE11" s="392"/>
      <c r="XCF11" s="392"/>
      <c r="XCG11" s="392"/>
      <c r="XCH11" s="392"/>
      <c r="XCI11" s="392"/>
      <c r="XCJ11" s="392"/>
      <c r="XCK11" s="392"/>
      <c r="XCL11" s="392"/>
      <c r="XCM11" s="392"/>
      <c r="XCN11" s="392"/>
      <c r="XCO11" s="392"/>
      <c r="XCP11" s="392"/>
      <c r="XCQ11" s="392"/>
      <c r="XCR11" s="392"/>
      <c r="XCS11" s="392"/>
      <c r="XCT11" s="392"/>
      <c r="XCU11" s="392"/>
      <c r="XCV11" s="392"/>
      <c r="XCW11" s="392"/>
      <c r="XCX11" s="392"/>
      <c r="XCY11" s="392"/>
      <c r="XCZ11" s="392"/>
      <c r="XDA11" s="392"/>
      <c r="XDB11" s="392"/>
      <c r="XDC11" s="392"/>
      <c r="XDD11" s="392"/>
      <c r="XDE11" s="392"/>
      <c r="XDF11" s="392"/>
      <c r="XDG11" s="392"/>
      <c r="XDH11" s="392"/>
      <c r="XDI11" s="392"/>
      <c r="XDJ11" s="392"/>
      <c r="XDK11" s="392"/>
      <c r="XDL11" s="392"/>
      <c r="XDM11" s="392"/>
      <c r="XDN11" s="392"/>
      <c r="XDO11" s="392"/>
      <c r="XDP11" s="392"/>
      <c r="XDQ11" s="392"/>
      <c r="XDR11" s="392"/>
      <c r="XDS11" s="392"/>
      <c r="XDT11" s="392"/>
      <c r="XDU11" s="392"/>
      <c r="XDV11" s="392"/>
      <c r="XDW11" s="392"/>
      <c r="XDX11" s="392"/>
      <c r="XDY11" s="392"/>
      <c r="XDZ11" s="392"/>
      <c r="XEA11" s="392"/>
      <c r="XEB11" s="392"/>
      <c r="XEC11" s="392"/>
      <c r="XED11" s="392"/>
      <c r="XEE11" s="392"/>
      <c r="XEF11" s="392"/>
      <c r="XEG11" s="392"/>
      <c r="XEH11" s="392"/>
      <c r="XEI11" s="392"/>
      <c r="XEJ11" s="392"/>
      <c r="XEK11" s="392"/>
      <c r="XEL11" s="392"/>
      <c r="XEM11" s="392"/>
      <c r="XEN11" s="392"/>
      <c r="XEO11" s="392"/>
      <c r="XEP11" s="392"/>
      <c r="XEQ11" s="392"/>
      <c r="XER11" s="392"/>
      <c r="XES11" s="392"/>
      <c r="XET11" s="392"/>
      <c r="XEU11" s="392"/>
      <c r="XEV11" s="392"/>
      <c r="XEW11" s="392"/>
      <c r="XEX11" s="392"/>
      <c r="XEY11" s="392"/>
      <c r="XEZ11" s="392"/>
      <c r="XFA11" s="392"/>
    </row>
    <row r="12" spans="1:16381" s="586" customFormat="1" ht="25.5">
      <c r="A12" s="586" t="str">
        <f t="shared" si="0"/>
        <v>Allianz Klinik-Rente v. 01.12.2012</v>
      </c>
      <c r="B12" s="586">
        <f>ROW()</f>
        <v>12</v>
      </c>
      <c r="C12" s="611" t="s">
        <v>1136</v>
      </c>
      <c r="D12" s="1120">
        <v>41244</v>
      </c>
      <c r="E12" s="612" t="s">
        <v>762</v>
      </c>
      <c r="F12" s="613" t="str">
        <f t="shared" si="1"/>
        <v/>
      </c>
      <c r="G12" s="610" t="str">
        <f t="shared" si="2"/>
        <v xml:space="preserve">TO ermöglicht: doppelten Kostenabzug; </v>
      </c>
      <c r="I12" s="610"/>
      <c r="J12" s="755">
        <v>1</v>
      </c>
      <c r="K12" s="1118"/>
      <c r="L12" s="1118">
        <v>2</v>
      </c>
      <c r="M12" s="1118"/>
      <c r="N12" s="1118"/>
      <c r="O12" s="756" t="s">
        <v>803</v>
      </c>
      <c r="P12" s="140">
        <f t="shared" si="3"/>
        <v>2</v>
      </c>
      <c r="S12" s="586">
        <f>IFERROR(SEARCH(MID(+Fallerfassung!D31,1,5),S$6),1)</f>
        <v>1</v>
      </c>
    </row>
    <row r="13" spans="1:16381" s="586" customFormat="1" ht="25.5">
      <c r="A13" s="586" t="str">
        <f t="shared" si="0"/>
        <v>Allianz Lebensversicherung AG (Klinik-Rente) v. 01.12.2012</v>
      </c>
      <c r="B13" s="586">
        <f>ROW()</f>
        <v>13</v>
      </c>
      <c r="C13" s="611" t="s">
        <v>755</v>
      </c>
      <c r="D13" s="1120">
        <v>41244</v>
      </c>
      <c r="E13" s="612" t="s">
        <v>672</v>
      </c>
      <c r="F13" s="613" t="str">
        <f t="shared" si="1"/>
        <v>Ja</v>
      </c>
      <c r="G13" s="610" t="str">
        <f t="shared" si="2"/>
        <v xml:space="preserve">TO ermöglicht: Tarifwechel; doppelten Kostenabzug; </v>
      </c>
      <c r="I13" s="610"/>
      <c r="J13" s="755"/>
      <c r="K13" s="1118">
        <v>1</v>
      </c>
      <c r="L13" s="1118">
        <v>2</v>
      </c>
      <c r="M13" s="1118"/>
      <c r="N13" s="1118"/>
      <c r="O13" s="758" t="s">
        <v>673</v>
      </c>
      <c r="P13" s="140">
        <f t="shared" si="3"/>
        <v>3</v>
      </c>
      <c r="S13" s="586">
        <f>IFERROR(SEARCH(MID(+Fallerfassung!D32,1,5),S$6),1)</f>
        <v>1</v>
      </c>
    </row>
    <row r="14" spans="1:16381" s="586" customFormat="1" ht="45">
      <c r="A14" s="586" t="str">
        <f t="shared" si="0"/>
        <v>Allianz Lebensversicherung AG v. 01.12.2012</v>
      </c>
      <c r="B14" s="586">
        <f>ROW()</f>
        <v>14</v>
      </c>
      <c r="C14" s="611" t="s">
        <v>671</v>
      </c>
      <c r="D14" s="1120">
        <v>41244</v>
      </c>
      <c r="E14" s="612" t="s">
        <v>752</v>
      </c>
      <c r="F14" s="613" t="str">
        <f t="shared" si="1"/>
        <v>Ja</v>
      </c>
      <c r="G14" s="610" t="str">
        <f t="shared" si="2"/>
        <v>TO ermöglicht: Tarifwechel; doppelten Kostenabzug;  Abweichungen vom gerichtl. festgelegten Ausgleichswert;  Wertteilhabe (z.B. Verzinsung) zwischen EzE und RK geltend machen</v>
      </c>
      <c r="I14" s="610"/>
      <c r="J14" s="756" t="s">
        <v>753</v>
      </c>
      <c r="K14" s="1118">
        <v>1</v>
      </c>
      <c r="L14" s="1118">
        <v>2</v>
      </c>
      <c r="M14" s="1118">
        <v>3</v>
      </c>
      <c r="N14" s="1118">
        <v>4</v>
      </c>
      <c r="O14" s="758"/>
      <c r="P14" s="140">
        <f t="shared" si="3"/>
        <v>10</v>
      </c>
      <c r="S14" s="586">
        <f>IFERROR(SEARCH(MID(+Fallerfassung!D33,1,5),S$6),1)</f>
        <v>1</v>
      </c>
    </row>
    <row r="15" spans="1:16381" s="586" customFormat="1" ht="33.75">
      <c r="A15" s="586" t="str">
        <f t="shared" si="0"/>
        <v>Allianz Lebensversicherung AG v. 01.12.2018</v>
      </c>
      <c r="B15" s="586">
        <f>ROW()</f>
        <v>15</v>
      </c>
      <c r="C15" s="611" t="s">
        <v>671</v>
      </c>
      <c r="D15" s="1120">
        <v>43435</v>
      </c>
      <c r="E15" s="612" t="s">
        <v>1687</v>
      </c>
      <c r="F15" s="613" t="s">
        <v>463</v>
      </c>
      <c r="G15" s="610" t="str">
        <f t="shared" si="2"/>
        <v>TO ermöglicht: Tarifwechel; doppelten Kostenabzug;  Wertteilhabe (z.B. Verzinsung) zwischen EzE und RK geltend machen</v>
      </c>
      <c r="I15" s="610"/>
      <c r="J15" s="756"/>
      <c r="K15" s="1118">
        <v>1</v>
      </c>
      <c r="L15" s="1118">
        <v>2</v>
      </c>
      <c r="M15" s="1118"/>
      <c r="N15" s="1118">
        <v>4</v>
      </c>
      <c r="O15" s="758"/>
      <c r="P15" s="140"/>
    </row>
    <row r="16" spans="1:16381" s="586" customFormat="1" ht="45">
      <c r="A16" s="586" t="str">
        <f t="shared" si="0"/>
        <v>Allianz Lebensversicherung AG v. 01.12.2020</v>
      </c>
      <c r="B16" s="586">
        <f>ROW()</f>
        <v>16</v>
      </c>
      <c r="C16" s="611" t="s">
        <v>671</v>
      </c>
      <c r="D16" s="1120">
        <v>44166</v>
      </c>
      <c r="E16" s="630" t="s">
        <v>808</v>
      </c>
      <c r="F16" s="613" t="str">
        <f t="shared" si="1"/>
        <v/>
      </c>
      <c r="G16" s="610" t="str">
        <f t="shared" si="2"/>
        <v>TO ermöglicht: doppelten Kostenabzug;  Abweichungen vom gerichtl. festgelegten Ausgleichswert;  Wertteilhabe (z.B. Verzinsung) zwischen EzE und RK geltend machen</v>
      </c>
      <c r="I16" s="610"/>
      <c r="J16" s="751"/>
      <c r="K16" s="1118"/>
      <c r="L16" s="1118">
        <v>2</v>
      </c>
      <c r="M16" s="1118">
        <v>3</v>
      </c>
      <c r="N16" s="1118">
        <v>4</v>
      </c>
      <c r="O16" s="752"/>
      <c r="P16" s="140">
        <f t="shared" si="3"/>
        <v>9</v>
      </c>
      <c r="S16" s="586">
        <f>IFERROR(SEARCH(MID(+Fallerfassung!D34,1,5),S$6),1)</f>
        <v>1</v>
      </c>
    </row>
    <row r="17" spans="1:19" s="586" customFormat="1">
      <c r="A17" s="586" t="str">
        <f t="shared" si="0"/>
        <v>Allianz Lebensversicherung AG v. 21.07.2021</v>
      </c>
      <c r="B17" s="586">
        <f>ROW()</f>
        <v>17</v>
      </c>
      <c r="C17" s="611" t="s">
        <v>671</v>
      </c>
      <c r="D17" s="1120">
        <v>44398</v>
      </c>
      <c r="E17" s="612"/>
      <c r="F17" s="613" t="str">
        <f t="shared" si="1"/>
        <v/>
      </c>
      <c r="G17" s="610" t="str">
        <f t="shared" si="2"/>
        <v xml:space="preserve">TO ermöglicht: doppelten Kostenabzug; </v>
      </c>
      <c r="I17" s="610"/>
      <c r="J17" s="755"/>
      <c r="K17" s="1118"/>
      <c r="L17" s="1118">
        <v>2</v>
      </c>
      <c r="M17" s="1118"/>
      <c r="N17" s="1118"/>
      <c r="O17" s="758"/>
      <c r="P17" s="140">
        <f t="shared" si="3"/>
        <v>2</v>
      </c>
      <c r="S17" s="586">
        <f>IFERROR(SEARCH(MID(+Fallerfassung!D35,1,5),S$6),1)</f>
        <v>1</v>
      </c>
    </row>
    <row r="18" spans="1:19" s="586" customFormat="1" ht="45">
      <c r="A18" s="586" t="str">
        <f t="shared" si="0"/>
        <v>Allianz Lebensversicherungs AG v. 01.09.2009</v>
      </c>
      <c r="B18" s="586">
        <f>ROW()</f>
        <v>18</v>
      </c>
      <c r="C18" s="611" t="s">
        <v>1341</v>
      </c>
      <c r="D18" s="1120">
        <v>40057</v>
      </c>
      <c r="E18" s="612" t="s">
        <v>195</v>
      </c>
      <c r="F18" s="613" t="str">
        <f t="shared" si="1"/>
        <v>Ja</v>
      </c>
      <c r="G18" s="610" t="str">
        <f t="shared" si="2"/>
        <v>TO ermöglicht: Tarifwechel; doppelten Kostenabzug;  Abweichungen vom gerichtl. festgelegten Ausgleichswert;  Wertteilhabe (z.B. Verzinsung) zwischen EzE und RK geltend machen</v>
      </c>
      <c r="I18" s="610" t="s">
        <v>1342</v>
      </c>
      <c r="J18" s="751"/>
      <c r="K18" s="1118">
        <v>1</v>
      </c>
      <c r="L18" s="1118">
        <v>2</v>
      </c>
      <c r="M18" s="1118">
        <v>3</v>
      </c>
      <c r="N18" s="1118">
        <v>4</v>
      </c>
      <c r="O18" s="752"/>
      <c r="P18" s="140">
        <f t="shared" si="3"/>
        <v>10</v>
      </c>
      <c r="Q18" s="392"/>
      <c r="R18" s="392"/>
      <c r="S18" s="586">
        <f>IFERROR(SEARCH(MID(+Fallerfassung!D36,1,5),S$6),1)</f>
        <v>1</v>
      </c>
    </row>
    <row r="19" spans="1:19" s="586" customFormat="1" ht="33.75">
      <c r="A19" s="586" t="str">
        <f t="shared" si="0"/>
        <v>Allianz Lebensversicherungs-AG v. 01.07.2010</v>
      </c>
      <c r="B19" s="586">
        <f>ROW()</f>
        <v>19</v>
      </c>
      <c r="C19" s="611" t="s">
        <v>1345</v>
      </c>
      <c r="D19" s="1120">
        <v>40360</v>
      </c>
      <c r="E19" s="612">
        <v>5</v>
      </c>
      <c r="F19" s="613" t="str">
        <f t="shared" si="1"/>
        <v>Ja</v>
      </c>
      <c r="G19" s="610" t="str">
        <f t="shared" si="2"/>
        <v xml:space="preserve">TO ermöglicht: Tarifwechel; doppelten Kostenabzug;  Abweichungen vom gerichtl. festgelegten Ausgleichswert; </v>
      </c>
      <c r="I19" s="610"/>
      <c r="J19" s="751"/>
      <c r="K19" s="1118">
        <v>1</v>
      </c>
      <c r="L19" s="1118">
        <v>2</v>
      </c>
      <c r="M19" s="1118">
        <v>3</v>
      </c>
      <c r="N19" s="1118"/>
      <c r="O19" s="752"/>
      <c r="P19" s="140"/>
      <c r="S19" s="586">
        <f>IFERROR(SEARCH(MID(+Fallerfassung!D37,1,5),S$6),1)</f>
        <v>1</v>
      </c>
    </row>
    <row r="20" spans="1:19" s="586" customFormat="1" ht="45">
      <c r="A20" s="586" t="str">
        <f t="shared" si="0"/>
        <v>Allianz LV v. 01.02.2010</v>
      </c>
      <c r="B20" s="586">
        <f>ROW()</f>
        <v>20</v>
      </c>
      <c r="C20" s="611" t="s">
        <v>1188</v>
      </c>
      <c r="D20" s="1120">
        <v>40210</v>
      </c>
      <c r="E20" s="612">
        <v>5</v>
      </c>
      <c r="F20" s="613" t="str">
        <f t="shared" si="1"/>
        <v>Ja</v>
      </c>
      <c r="G20" s="610" t="str">
        <f t="shared" si="2"/>
        <v>TO ermöglicht: Tarifwechel; doppelten Kostenabzug;  Abweichungen vom gerichtl. festgelegten Ausgleichswert;  Wertteilhabe (z.B. Verzinsung) zwischen EzE und RK geltend machen</v>
      </c>
      <c r="I20" s="610" t="s">
        <v>1346</v>
      </c>
      <c r="J20" s="751"/>
      <c r="K20" s="1118">
        <v>1</v>
      </c>
      <c r="L20" s="1118">
        <v>2</v>
      </c>
      <c r="M20" s="1118">
        <v>3</v>
      </c>
      <c r="N20" s="1118">
        <v>4</v>
      </c>
      <c r="O20" s="752"/>
      <c r="P20" s="140">
        <f t="shared" ref="P20:P27" si="4">SUM(K20:N20)</f>
        <v>10</v>
      </c>
      <c r="S20" s="586">
        <f>IFERROR(SEARCH(MID(+Fallerfassung!D38,1,5),S$6),1)</f>
        <v>1</v>
      </c>
    </row>
    <row r="21" spans="1:19" s="586" customFormat="1" ht="56.25">
      <c r="A21" s="586" t="str">
        <f t="shared" si="0"/>
        <v>Allianz-Pensions-Management e.V. v. 21.12.2009</v>
      </c>
      <c r="B21" s="586">
        <f>ROW()</f>
        <v>21</v>
      </c>
      <c r="C21" s="611" t="s">
        <v>1343</v>
      </c>
      <c r="D21" s="1120">
        <v>40168</v>
      </c>
      <c r="E21" s="612" t="s">
        <v>1198</v>
      </c>
      <c r="F21" s="613" t="str">
        <f t="shared" si="1"/>
        <v/>
      </c>
      <c r="G21" s="610" t="str">
        <f t="shared" si="2"/>
        <v>TO ermöglicht: doppelten Kostenabzug;  Abweichungen vom gerichtl. festgelegten Ausgleichswert;  Wertteilhabe (z.B. Verzinsung) zwischen EzE und RK geltend machen</v>
      </c>
      <c r="I21" s="610" t="s">
        <v>1344</v>
      </c>
      <c r="J21" s="751"/>
      <c r="K21" s="1118"/>
      <c r="L21" s="1118">
        <v>2</v>
      </c>
      <c r="M21" s="1118">
        <v>3</v>
      </c>
      <c r="N21" s="1118">
        <v>4</v>
      </c>
      <c r="O21" s="752"/>
      <c r="P21" s="140">
        <f t="shared" si="4"/>
        <v>9</v>
      </c>
      <c r="Q21" s="392"/>
      <c r="R21" s="392"/>
      <c r="S21" s="392"/>
    </row>
    <row r="22" spans="1:19" s="586" customFormat="1" ht="56.25">
      <c r="A22" s="586" t="str">
        <f t="shared" si="0"/>
        <v>Allianz Pensionskasse v. 01.12.2020</v>
      </c>
      <c r="B22" s="586">
        <f>ROW()</f>
        <v>22</v>
      </c>
      <c r="C22" s="611" t="s">
        <v>1515</v>
      </c>
      <c r="D22" s="1120">
        <v>44166</v>
      </c>
      <c r="E22" s="612" t="s">
        <v>1516</v>
      </c>
      <c r="F22" s="613"/>
      <c r="G22" s="610" t="str">
        <f t="shared" si="2"/>
        <v>TO ermöglicht:  Abweichungen vom gerichtl. festgelegten Ausgleichswert;  Wertteilhabe (z.B. Verzinsung) zwischen EzE und RK geltend machen</v>
      </c>
      <c r="I22" s="610" t="s">
        <v>1517</v>
      </c>
      <c r="J22" s="751"/>
      <c r="K22" s="1118"/>
      <c r="L22" s="1118"/>
      <c r="M22" s="1118">
        <v>3</v>
      </c>
      <c r="N22" s="1118">
        <v>4</v>
      </c>
      <c r="O22" s="752"/>
      <c r="P22" s="140"/>
      <c r="Q22" s="392"/>
      <c r="R22" s="392"/>
      <c r="S22" s="392"/>
    </row>
    <row r="23" spans="1:19" s="586" customFormat="1" ht="33.75">
      <c r="A23" s="586" t="str">
        <f t="shared" si="0"/>
        <v>Alte Leipziger Lebensversicherung auf Gegenseitigkeit v. 01.04.2010</v>
      </c>
      <c r="B23" s="586">
        <f>ROW()</f>
        <v>23</v>
      </c>
      <c r="C23" s="611" t="s">
        <v>946</v>
      </c>
      <c r="D23" s="1120">
        <v>40269</v>
      </c>
      <c r="E23" s="612" t="s">
        <v>947</v>
      </c>
      <c r="F23" s="613" t="str">
        <f t="shared" si="1"/>
        <v>Ja</v>
      </c>
      <c r="G23" s="610" t="str">
        <f t="shared" si="2"/>
        <v>TO ermöglicht: Tarifwechel; doppelten Kostenabzug;  Wertteilhabe (z.B. Verzinsung) zwischen EzE und RK geltend machen</v>
      </c>
      <c r="I23" s="610"/>
      <c r="J23" s="751"/>
      <c r="K23" s="1118">
        <v>1</v>
      </c>
      <c r="L23" s="1118">
        <v>2</v>
      </c>
      <c r="M23" s="1118"/>
      <c r="N23" s="1118">
        <v>4</v>
      </c>
      <c r="O23" s="752"/>
      <c r="P23" s="140">
        <f t="shared" si="4"/>
        <v>7</v>
      </c>
    </row>
    <row r="24" spans="1:19" s="586" customFormat="1">
      <c r="A24" s="586" t="str">
        <f t="shared" si="0"/>
        <v>Alz Chemie v. 05.11.2011</v>
      </c>
      <c r="B24" s="586">
        <f>ROW()</f>
        <v>24</v>
      </c>
      <c r="C24" s="611" t="s">
        <v>1001</v>
      </c>
      <c r="D24" s="1120">
        <v>40852</v>
      </c>
      <c r="E24" s="612" t="s">
        <v>477</v>
      </c>
      <c r="F24" s="613" t="str">
        <f t="shared" si="1"/>
        <v/>
      </c>
      <c r="G24" s="610" t="str">
        <f t="shared" si="2"/>
        <v/>
      </c>
      <c r="I24" s="610"/>
      <c r="J24" s="751"/>
      <c r="K24" s="1118"/>
      <c r="L24" s="1118"/>
      <c r="M24" s="1118"/>
      <c r="N24" s="1118"/>
      <c r="O24" s="752"/>
      <c r="P24" s="140">
        <f t="shared" si="4"/>
        <v>0</v>
      </c>
    </row>
    <row r="25" spans="1:19" s="586" customFormat="1" ht="25.5">
      <c r="A25" s="586" t="str">
        <f t="shared" si="0"/>
        <v>Ärzteversorgung Hessen (LÄK) v. Datum unbekannt</v>
      </c>
      <c r="B25" s="586">
        <f>ROW()</f>
        <v>25</v>
      </c>
      <c r="C25" s="611" t="s">
        <v>1056</v>
      </c>
      <c r="D25" s="1120" t="s">
        <v>1057</v>
      </c>
      <c r="E25" s="612"/>
      <c r="F25" s="613" t="str">
        <f t="shared" si="1"/>
        <v/>
      </c>
      <c r="G25" s="610" t="str">
        <f t="shared" si="2"/>
        <v/>
      </c>
      <c r="I25" s="610"/>
      <c r="J25" s="751"/>
      <c r="K25" s="1118"/>
      <c r="L25" s="1118"/>
      <c r="M25" s="1118"/>
      <c r="N25" s="1118"/>
      <c r="O25" s="752"/>
      <c r="P25" s="140">
        <f t="shared" si="4"/>
        <v>0</v>
      </c>
    </row>
    <row r="26" spans="1:19" s="586" customFormat="1" ht="33.75">
      <c r="A26" s="586" t="str">
        <f t="shared" si="0"/>
        <v>Athora AG Pensionskasse &amp; Lebensversicherung v. 11.09.2019</v>
      </c>
      <c r="B26" s="586">
        <f>ROW()</f>
        <v>26</v>
      </c>
      <c r="C26" s="611" t="s">
        <v>1183</v>
      </c>
      <c r="D26" s="1120">
        <v>43719</v>
      </c>
      <c r="E26" s="612" t="s">
        <v>953</v>
      </c>
      <c r="F26" s="613" t="str">
        <f t="shared" si="1"/>
        <v/>
      </c>
      <c r="G26" s="610" t="str">
        <f t="shared" si="2"/>
        <v>TO ermöglicht: doppelten Kostenabzug;  Wertteilhabe (z.B. Verzinsung) zwischen EzE und RK geltend machen</v>
      </c>
      <c r="I26" s="610"/>
      <c r="J26" s="751"/>
      <c r="K26" s="1118"/>
      <c r="L26" s="1118">
        <v>2</v>
      </c>
      <c r="M26" s="1118"/>
      <c r="N26" s="1118">
        <v>4</v>
      </c>
      <c r="O26" s="752"/>
      <c r="P26" s="140">
        <f t="shared" si="4"/>
        <v>6</v>
      </c>
    </row>
    <row r="27" spans="1:19" s="139" customFormat="1">
      <c r="A27" s="586" t="str">
        <f t="shared" si="0"/>
        <v>Athora Lebensversicherung AG v. 11.09.2019</v>
      </c>
      <c r="B27" s="586">
        <f>ROW()</f>
        <v>27</v>
      </c>
      <c r="C27" s="611" t="s">
        <v>952</v>
      </c>
      <c r="D27" s="1120">
        <v>43719</v>
      </c>
      <c r="E27" s="612" t="s">
        <v>953</v>
      </c>
      <c r="F27" s="613" t="str">
        <f t="shared" si="1"/>
        <v>Ja</v>
      </c>
      <c r="G27" s="610" t="str">
        <f t="shared" si="2"/>
        <v xml:space="preserve">TO ermöglicht: Tarifwechel; </v>
      </c>
      <c r="I27" s="610"/>
      <c r="J27" s="751"/>
      <c r="K27" s="1118">
        <v>1</v>
      </c>
      <c r="L27" s="1118"/>
      <c r="M27" s="1118"/>
      <c r="N27" s="1118"/>
      <c r="O27" s="752"/>
      <c r="P27" s="140">
        <f t="shared" si="4"/>
        <v>1</v>
      </c>
      <c r="Q27" s="586"/>
      <c r="R27" s="586"/>
      <c r="S27" s="586"/>
    </row>
    <row r="28" spans="1:19" s="139" customFormat="1" ht="45">
      <c r="A28" s="586" t="str">
        <f t="shared" si="0"/>
        <v>AXA Leben v. 01.06.2020</v>
      </c>
      <c r="B28" s="586">
        <f>ROW()</f>
        <v>28</v>
      </c>
      <c r="C28" s="611" t="s">
        <v>692</v>
      </c>
      <c r="D28" s="1120">
        <v>43983</v>
      </c>
      <c r="E28" s="612" t="s">
        <v>651</v>
      </c>
      <c r="F28" s="613" t="s">
        <v>463</v>
      </c>
      <c r="G28" s="610" t="str">
        <f t="shared" si="2"/>
        <v>TO ermöglicht: Tarifwechel; doppelten Kostenabzug;  Abweichungen vom gerichtl. festgelegten Ausgleichswert;  Wertteilhabe (z.B. Verzinsung) zwischen EzE und RK geltend machen</v>
      </c>
      <c r="I28" s="610"/>
      <c r="J28" s="757"/>
      <c r="K28" s="1118">
        <v>1</v>
      </c>
      <c r="L28" s="1118">
        <v>2</v>
      </c>
      <c r="M28" s="1118">
        <v>3</v>
      </c>
      <c r="N28" s="1118">
        <v>4</v>
      </c>
      <c r="O28" s="610"/>
      <c r="P28" s="140"/>
      <c r="Q28" s="586"/>
      <c r="R28" s="586"/>
      <c r="S28" s="586"/>
    </row>
    <row r="29" spans="1:19" s="139" customFormat="1" ht="33.75">
      <c r="A29" s="586" t="str">
        <f t="shared" si="0"/>
        <v>AXA Leben v. 01.05.2020</v>
      </c>
      <c r="B29" s="586">
        <f>ROW()</f>
        <v>29</v>
      </c>
      <c r="C29" s="611" t="s">
        <v>692</v>
      </c>
      <c r="D29" s="1120">
        <v>43952</v>
      </c>
      <c r="E29" s="612" t="s">
        <v>651</v>
      </c>
      <c r="F29" s="613" t="s">
        <v>463</v>
      </c>
      <c r="G29" s="610" t="str">
        <f t="shared" si="2"/>
        <v>TO ermöglicht: Tarifwechel; doppelten Kostenabzug;  Wertteilhabe (z.B. Verzinsung) zwischen EzE und RK geltend machen</v>
      </c>
      <c r="I29" s="610"/>
      <c r="J29" s="757"/>
      <c r="K29" s="1118">
        <v>1</v>
      </c>
      <c r="L29" s="1118">
        <v>2</v>
      </c>
      <c r="M29" s="1118"/>
      <c r="N29" s="1118">
        <v>4</v>
      </c>
      <c r="O29" s="610"/>
      <c r="P29" s="140"/>
      <c r="Q29" s="586"/>
      <c r="R29" s="586"/>
      <c r="S29" s="586"/>
    </row>
    <row r="30" spans="1:19" s="139" customFormat="1" ht="45">
      <c r="A30" s="586" t="str">
        <f t="shared" si="0"/>
        <v>AXA Leben v. 01.08.2020</v>
      </c>
      <c r="B30" s="586">
        <f>ROW()</f>
        <v>30</v>
      </c>
      <c r="C30" s="611" t="s">
        <v>692</v>
      </c>
      <c r="D30" s="1120">
        <v>44044</v>
      </c>
      <c r="E30" s="612" t="s">
        <v>667</v>
      </c>
      <c r="F30" s="613" t="str">
        <f t="shared" ref="F30:F77" si="5">IF(K30=1,"Ja","")</f>
        <v>Ja</v>
      </c>
      <c r="G30" s="610" t="str">
        <f t="shared" si="2"/>
        <v xml:space="preserve">TO ermöglicht: Tarifwechel; </v>
      </c>
      <c r="I30" s="610"/>
      <c r="J30" s="757" t="s">
        <v>695</v>
      </c>
      <c r="K30" s="1118">
        <v>1</v>
      </c>
      <c r="L30" s="1118"/>
      <c r="M30" s="1118"/>
      <c r="N30" s="1118"/>
      <c r="O30" s="610"/>
      <c r="P30" s="140">
        <f t="shared" ref="P30:P100" si="6">SUM(K30:N30)</f>
        <v>1</v>
      </c>
      <c r="Q30" s="586"/>
      <c r="R30" s="586"/>
      <c r="S30" s="586"/>
    </row>
    <row r="31" spans="1:19" s="586" customFormat="1" ht="45">
      <c r="A31" s="586" t="str">
        <f t="shared" si="0"/>
        <v>AXA Überbetriebliche Unterstützungskasse e.V. v. 01.01.2018</v>
      </c>
      <c r="B31" s="586">
        <f>ROW()</f>
        <v>31</v>
      </c>
      <c r="C31" s="611" t="s">
        <v>1042</v>
      </c>
      <c r="D31" s="1120">
        <v>43101</v>
      </c>
      <c r="E31" s="612"/>
      <c r="F31" s="613" t="str">
        <f t="shared" si="5"/>
        <v>Ja</v>
      </c>
      <c r="G31" s="610" t="str">
        <f t="shared" si="2"/>
        <v>TO ermöglicht: Tarifwechel; doppelten Kostenabzug;  Abweichungen vom gerichtl. festgelegten Ausgleichswert;  Wertteilhabe (z.B. Verzinsung) zwischen EzE und RK geltend machen</v>
      </c>
      <c r="I31" s="610"/>
      <c r="J31" s="751"/>
      <c r="K31" s="1118">
        <v>1</v>
      </c>
      <c r="L31" s="1118">
        <v>2</v>
      </c>
      <c r="M31" s="1118">
        <v>3</v>
      </c>
      <c r="N31" s="1118">
        <v>4</v>
      </c>
      <c r="O31" s="752"/>
      <c r="P31" s="140">
        <f t="shared" si="6"/>
        <v>10</v>
      </c>
    </row>
    <row r="32" spans="1:19" s="586" customFormat="1">
      <c r="A32" s="586" t="str">
        <f t="shared" si="0"/>
        <v>Baden-Badener Pensionskasse v. 30.11.2009</v>
      </c>
      <c r="B32" s="586">
        <f>ROW()</f>
        <v>32</v>
      </c>
      <c r="C32" s="611" t="s">
        <v>935</v>
      </c>
      <c r="D32" s="1120">
        <v>40147</v>
      </c>
      <c r="E32" s="612"/>
      <c r="F32" s="613" t="str">
        <f t="shared" si="5"/>
        <v/>
      </c>
      <c r="G32" s="610" t="str">
        <f t="shared" si="2"/>
        <v/>
      </c>
      <c r="I32" s="610"/>
      <c r="J32" s="751"/>
      <c r="K32" s="1118"/>
      <c r="L32" s="1118"/>
      <c r="M32" s="1118"/>
      <c r="N32" s="1118"/>
      <c r="O32" s="752"/>
      <c r="P32" s="140">
        <f t="shared" si="6"/>
        <v>0</v>
      </c>
    </row>
    <row r="33" spans="1:19" s="586" customFormat="1" ht="45">
      <c r="A33" s="586" t="str">
        <f t="shared" si="0"/>
        <v>Baloise Lebensversicherung AG Deutschland v. 01.10.2009</v>
      </c>
      <c r="B33" s="586">
        <f>ROW()</f>
        <v>33</v>
      </c>
      <c r="C33" s="611" t="s">
        <v>1350</v>
      </c>
      <c r="D33" s="1120">
        <v>40087</v>
      </c>
      <c r="E33" s="612">
        <v>6</v>
      </c>
      <c r="F33" s="613" t="str">
        <f t="shared" si="5"/>
        <v>Ja</v>
      </c>
      <c r="G33" s="610" t="str">
        <f t="shared" si="2"/>
        <v>TO ermöglicht: Tarifwechel; doppelten Kostenabzug;  Abweichungen vom gerichtl. festgelegten Ausgleichswert;  Wertteilhabe (z.B. Verzinsung) zwischen EzE und RK geltend machen</v>
      </c>
      <c r="I33" s="610"/>
      <c r="J33" s="751"/>
      <c r="K33" s="1118">
        <v>1</v>
      </c>
      <c r="L33" s="1118">
        <v>2</v>
      </c>
      <c r="M33" s="1118">
        <v>3</v>
      </c>
      <c r="N33" s="1118">
        <v>4</v>
      </c>
      <c r="O33" s="752"/>
      <c r="P33" s="140">
        <f t="shared" si="6"/>
        <v>10</v>
      </c>
      <c r="Q33" s="392"/>
      <c r="R33" s="392"/>
      <c r="S33" s="392"/>
    </row>
    <row r="34" spans="1:19" s="586" customFormat="1">
      <c r="A34" s="586" t="str">
        <f t="shared" si="0"/>
        <v>BASF Pensionskasse VVaG v. 01.07.2019</v>
      </c>
      <c r="B34" s="586">
        <f>ROW()</f>
        <v>34</v>
      </c>
      <c r="C34" s="611" t="s">
        <v>986</v>
      </c>
      <c r="D34" s="1120">
        <v>43647</v>
      </c>
      <c r="E34" s="612" t="s">
        <v>987</v>
      </c>
      <c r="F34" s="613" t="str">
        <f t="shared" si="5"/>
        <v/>
      </c>
      <c r="G34" s="610" t="str">
        <f t="shared" si="2"/>
        <v/>
      </c>
      <c r="I34" s="610"/>
      <c r="J34" s="751"/>
      <c r="K34" s="1118"/>
      <c r="L34" s="1118"/>
      <c r="M34" s="1118"/>
      <c r="N34" s="1118"/>
      <c r="O34" s="752"/>
      <c r="P34" s="140">
        <f t="shared" si="6"/>
        <v>0</v>
      </c>
    </row>
    <row r="35" spans="1:19" s="586" customFormat="1">
      <c r="A35" s="586" t="str">
        <f t="shared" si="0"/>
        <v>BASF SE v. 01.07.2019</v>
      </c>
      <c r="B35" s="586">
        <f>ROW()</f>
        <v>35</v>
      </c>
      <c r="C35" s="611" t="s">
        <v>984</v>
      </c>
      <c r="D35" s="1120">
        <v>43647</v>
      </c>
      <c r="E35" s="612" t="s">
        <v>985</v>
      </c>
      <c r="F35" s="613" t="str">
        <f t="shared" si="5"/>
        <v/>
      </c>
      <c r="G35" s="610" t="str">
        <f t="shared" si="2"/>
        <v/>
      </c>
      <c r="I35" s="610"/>
      <c r="J35" s="751"/>
      <c r="K35" s="1118"/>
      <c r="L35" s="1118"/>
      <c r="M35" s="1118"/>
      <c r="N35" s="1118"/>
      <c r="O35" s="752"/>
      <c r="P35" s="140">
        <f t="shared" si="6"/>
        <v>0</v>
      </c>
    </row>
    <row r="36" spans="1:19" s="586" customFormat="1" ht="22.5">
      <c r="A36" s="586" t="str">
        <f t="shared" ref="A36" si="7">C36&amp;IF(D36=0,""," v. "&amp;TEXT(D36,"TT.MM.JJJ"))</f>
        <v>Bausparkasse Schwäbisch Hall v. 11.12.2018</v>
      </c>
      <c r="B36" s="586">
        <f>ROW()</f>
        <v>36</v>
      </c>
      <c r="C36" s="611" t="s">
        <v>1922</v>
      </c>
      <c r="D36" s="1120">
        <v>43445</v>
      </c>
      <c r="E36" s="612" t="s">
        <v>1923</v>
      </c>
      <c r="F36" s="613"/>
      <c r="G36" s="610" t="str">
        <f t="shared" si="2"/>
        <v>TO ermöglicht:  Wertteilhabe (z.B. Verzinsung) zwischen EzE und RK geltend machen</v>
      </c>
      <c r="I36" s="610"/>
      <c r="J36" s="751"/>
      <c r="K36" s="1118"/>
      <c r="L36" s="1118"/>
      <c r="M36" s="1118"/>
      <c r="N36" s="1118">
        <v>4</v>
      </c>
      <c r="O36" s="752"/>
      <c r="P36" s="140"/>
    </row>
    <row r="37" spans="1:19" s="586" customFormat="1">
      <c r="A37" s="586" t="str">
        <f t="shared" si="0"/>
        <v>Bayerischer Rundfunk Tarifvertrag v. 01.12.2009</v>
      </c>
      <c r="B37" s="586">
        <f>ROW()</f>
        <v>37</v>
      </c>
      <c r="C37" s="611" t="s">
        <v>936</v>
      </c>
      <c r="D37" s="1120">
        <v>40148</v>
      </c>
      <c r="E37" s="612"/>
      <c r="F37" s="613" t="str">
        <f t="shared" si="5"/>
        <v/>
      </c>
      <c r="G37" s="610" t="str">
        <f t="shared" si="2"/>
        <v/>
      </c>
      <c r="I37" s="610"/>
      <c r="J37" s="751"/>
      <c r="K37" s="1118"/>
      <c r="L37" s="1118"/>
      <c r="M37" s="1118"/>
      <c r="N37" s="1118"/>
      <c r="O37" s="752"/>
      <c r="P37" s="140">
        <f t="shared" si="6"/>
        <v>0</v>
      </c>
    </row>
    <row r="38" spans="1:19" s="586" customFormat="1" ht="33.75">
      <c r="A38" s="586" t="str">
        <f t="shared" si="0"/>
        <v>Bayern-Versicherung LV AG v. 12.12.2020</v>
      </c>
      <c r="B38" s="586">
        <f>ROW()</f>
        <v>38</v>
      </c>
      <c r="C38" s="611" t="s">
        <v>1249</v>
      </c>
      <c r="D38" s="1120">
        <v>44177</v>
      </c>
      <c r="E38" s="612"/>
      <c r="F38" s="613" t="str">
        <f t="shared" si="5"/>
        <v>Ja</v>
      </c>
      <c r="G38" s="610" t="str">
        <f t="shared" si="2"/>
        <v xml:space="preserve">TO ermöglicht: Tarifwechel; doppelten Kostenabzug;  Abweichungen vom gerichtl. festgelegten Ausgleichswert; </v>
      </c>
      <c r="I38" s="610"/>
      <c r="J38" s="751"/>
      <c r="K38" s="1118">
        <v>1</v>
      </c>
      <c r="L38" s="1118">
        <v>2</v>
      </c>
      <c r="M38" s="1118">
        <v>3</v>
      </c>
      <c r="N38" s="1118"/>
      <c r="O38" s="752"/>
      <c r="P38" s="140">
        <f t="shared" si="6"/>
        <v>6</v>
      </c>
    </row>
    <row r="39" spans="1:19" s="586" customFormat="1" ht="33.75">
      <c r="A39" s="586" t="str">
        <f>C39&amp;IF(D39=0,""," v. "&amp;TEXT(D39,"TT.MM.JJJ"))</f>
        <v>Bayern-Versicherung LV AG v. 22.10.2022</v>
      </c>
      <c r="B39" s="586">
        <f>ROW()</f>
        <v>39</v>
      </c>
      <c r="C39" s="611" t="s">
        <v>1249</v>
      </c>
      <c r="D39" s="1120">
        <v>44856</v>
      </c>
      <c r="E39" s="612" t="s">
        <v>1619</v>
      </c>
      <c r="F39" s="613" t="str">
        <f t="shared" si="5"/>
        <v>Ja</v>
      </c>
      <c r="G39" s="610" t="str">
        <f t="shared" si="2"/>
        <v>TO ermöglicht: Tarifwechel; doppelten Kostenabzug;  Wertteilhabe (z.B. Verzinsung) zwischen EzE und RK geltend machen</v>
      </c>
      <c r="I39" s="610"/>
      <c r="J39" s="751"/>
      <c r="K39" s="1118">
        <v>1</v>
      </c>
      <c r="L39" s="1118">
        <v>2</v>
      </c>
      <c r="M39" s="1118"/>
      <c r="N39" s="1118">
        <v>4</v>
      </c>
      <c r="O39" s="752"/>
      <c r="P39" s="140"/>
    </row>
    <row r="40" spans="1:19" s="586" customFormat="1" ht="25.5">
      <c r="A40" s="586" t="str">
        <f t="shared" si="0"/>
        <v>BKK Mobil Oil v. 01.09.2009</v>
      </c>
      <c r="B40" s="586">
        <f>ROW()</f>
        <v>40</v>
      </c>
      <c r="C40" s="611" t="s">
        <v>779</v>
      </c>
      <c r="D40" s="1120">
        <v>40057</v>
      </c>
      <c r="E40" s="612" t="s">
        <v>767</v>
      </c>
      <c r="F40" s="613" t="str">
        <f t="shared" si="5"/>
        <v/>
      </c>
      <c r="G40" s="610" t="str">
        <f t="shared" si="2"/>
        <v xml:space="preserve">TO ermöglicht: doppelten Kostenabzug; </v>
      </c>
      <c r="I40" s="610"/>
      <c r="J40" s="751"/>
      <c r="K40" s="1118"/>
      <c r="L40" s="1118">
        <v>2</v>
      </c>
      <c r="M40" s="1118"/>
      <c r="N40" s="1118"/>
      <c r="O40" s="756" t="s">
        <v>803</v>
      </c>
      <c r="P40" s="140">
        <f t="shared" si="6"/>
        <v>2</v>
      </c>
    </row>
    <row r="41" spans="1:19" s="586" customFormat="1" ht="25.5">
      <c r="A41" s="586" t="str">
        <f t="shared" si="0"/>
        <v>BKK VBU 2012 kongruent TO v. 01.11.2012</v>
      </c>
      <c r="B41" s="586">
        <f>ROW()</f>
        <v>41</v>
      </c>
      <c r="C41" s="611" t="s">
        <v>1137</v>
      </c>
      <c r="D41" s="1120">
        <v>41214</v>
      </c>
      <c r="E41" s="612" t="s">
        <v>760</v>
      </c>
      <c r="F41" s="613" t="str">
        <f t="shared" si="5"/>
        <v/>
      </c>
      <c r="G41" s="610" t="str">
        <f t="shared" si="2"/>
        <v xml:space="preserve">TO ermöglicht: doppelten Kostenabzug; </v>
      </c>
      <c r="I41" s="610"/>
      <c r="J41" s="755"/>
      <c r="K41" s="1118"/>
      <c r="L41" s="1118">
        <v>2</v>
      </c>
      <c r="M41" s="1118"/>
      <c r="N41" s="1118"/>
      <c r="O41" s="756" t="s">
        <v>803</v>
      </c>
      <c r="P41" s="140">
        <f t="shared" si="6"/>
        <v>2</v>
      </c>
    </row>
    <row r="42" spans="1:19" s="586" customFormat="1" ht="25.5">
      <c r="A42" s="586" t="str">
        <f t="shared" si="0"/>
        <v>BKK VBU 2012 partiell TO v. 01.11.2012</v>
      </c>
      <c r="B42" s="586">
        <f>ROW()</f>
        <v>42</v>
      </c>
      <c r="C42" s="611" t="s">
        <v>1138</v>
      </c>
      <c r="D42" s="1120">
        <v>41214</v>
      </c>
      <c r="E42" s="612" t="s">
        <v>760</v>
      </c>
      <c r="F42" s="613" t="str">
        <f t="shared" si="5"/>
        <v/>
      </c>
      <c r="G42" s="610" t="str">
        <f t="shared" si="2"/>
        <v xml:space="preserve">TO ermöglicht: doppelten Kostenabzug; </v>
      </c>
      <c r="I42" s="610"/>
      <c r="J42" s="751"/>
      <c r="K42" s="1118"/>
      <c r="L42" s="1118">
        <v>2</v>
      </c>
      <c r="M42" s="1118"/>
      <c r="N42" s="1118"/>
      <c r="O42" s="756" t="s">
        <v>803</v>
      </c>
      <c r="P42" s="140">
        <f t="shared" si="6"/>
        <v>2</v>
      </c>
    </row>
    <row r="43" spans="1:19" s="586" customFormat="1" ht="25.5">
      <c r="A43" s="586" t="str">
        <f t="shared" si="0"/>
        <v>BKK VBU kongruent v. 01.11.2012</v>
      </c>
      <c r="B43" s="586">
        <f>ROW()</f>
        <v>43</v>
      </c>
      <c r="C43" s="611" t="s">
        <v>780</v>
      </c>
      <c r="D43" s="1120">
        <v>41214</v>
      </c>
      <c r="E43" s="612" t="s">
        <v>782</v>
      </c>
      <c r="F43" s="613" t="str">
        <f t="shared" si="5"/>
        <v/>
      </c>
      <c r="G43" s="610" t="str">
        <f t="shared" si="2"/>
        <v xml:space="preserve">TO ermöglicht: doppelten Kostenabzug; </v>
      </c>
      <c r="I43" s="610"/>
      <c r="J43" s="751"/>
      <c r="K43" s="1118"/>
      <c r="L43" s="1118">
        <v>2</v>
      </c>
      <c r="M43" s="1118"/>
      <c r="N43" s="1118"/>
      <c r="O43" s="756" t="s">
        <v>803</v>
      </c>
      <c r="P43" s="140">
        <f t="shared" si="6"/>
        <v>2</v>
      </c>
    </row>
    <row r="44" spans="1:19" s="586" customFormat="1" ht="25.5">
      <c r="A44" s="586" t="str">
        <f t="shared" si="0"/>
        <v>BKK VBU partiell v. 01.11.2012</v>
      </c>
      <c r="B44" s="586">
        <f>ROW()</f>
        <v>44</v>
      </c>
      <c r="C44" s="611" t="s">
        <v>781</v>
      </c>
      <c r="D44" s="1120">
        <v>41214</v>
      </c>
      <c r="E44" s="612" t="s">
        <v>783</v>
      </c>
      <c r="F44" s="613" t="str">
        <f t="shared" si="5"/>
        <v/>
      </c>
      <c r="G44" s="610" t="str">
        <f t="shared" si="2"/>
        <v xml:space="preserve">TO ermöglicht: doppelten Kostenabzug; </v>
      </c>
      <c r="I44" s="610"/>
      <c r="J44" s="755"/>
      <c r="K44" s="1118"/>
      <c r="L44" s="1118">
        <v>2</v>
      </c>
      <c r="M44" s="1118"/>
      <c r="N44" s="1118"/>
      <c r="O44" s="756" t="s">
        <v>803</v>
      </c>
      <c r="P44" s="140">
        <f t="shared" si="6"/>
        <v>2</v>
      </c>
    </row>
    <row r="45" spans="1:19" s="586" customFormat="1" ht="33.75">
      <c r="A45" s="586" t="str">
        <f t="shared" si="0"/>
        <v>Bochumer Verband - Arbeitgeberfinanzierte Versorg. v. 01.09.2009</v>
      </c>
      <c r="B45" s="586">
        <f>ROW()</f>
        <v>45</v>
      </c>
      <c r="C45" s="611" t="s">
        <v>997</v>
      </c>
      <c r="D45" s="1120">
        <v>40057</v>
      </c>
      <c r="E45" s="612" t="s">
        <v>646</v>
      </c>
      <c r="F45" s="613" t="str">
        <f t="shared" si="5"/>
        <v/>
      </c>
      <c r="G45" s="610" t="str">
        <f t="shared" si="2"/>
        <v xml:space="preserve">TO ermöglicht: doppelten Kostenabzug;  Abweichungen vom gerichtl. festgelegten Ausgleichswert; </v>
      </c>
      <c r="I45" s="610"/>
      <c r="J45" s="751"/>
      <c r="K45" s="1118"/>
      <c r="L45" s="1118">
        <v>2</v>
      </c>
      <c r="M45" s="1118">
        <v>3</v>
      </c>
      <c r="N45" s="1118"/>
      <c r="O45" s="752"/>
      <c r="P45" s="140">
        <f t="shared" si="6"/>
        <v>5</v>
      </c>
    </row>
    <row r="46" spans="1:19" s="586" customFormat="1" ht="33.75">
      <c r="A46" s="586" t="str">
        <f t="shared" si="0"/>
        <v>Bochumer Verband - Entgeldumwandlung v. 01.09.2009</v>
      </c>
      <c r="B46" s="586">
        <f>ROW()</f>
        <v>46</v>
      </c>
      <c r="C46" s="611" t="s">
        <v>996</v>
      </c>
      <c r="D46" s="1120">
        <v>40057</v>
      </c>
      <c r="E46" s="612" t="s">
        <v>646</v>
      </c>
      <c r="F46" s="613" t="str">
        <f t="shared" si="5"/>
        <v/>
      </c>
      <c r="G46" s="610" t="str">
        <f t="shared" si="2"/>
        <v xml:space="preserve">TO ermöglicht: doppelten Kostenabzug;  Abweichungen vom gerichtl. festgelegten Ausgleichswert; </v>
      </c>
      <c r="I46" s="610"/>
      <c r="J46" s="751"/>
      <c r="K46" s="1118"/>
      <c r="L46" s="1118">
        <v>2</v>
      </c>
      <c r="M46" s="1118">
        <v>3</v>
      </c>
      <c r="N46" s="1118"/>
      <c r="O46" s="752"/>
      <c r="P46" s="140">
        <f t="shared" si="6"/>
        <v>5</v>
      </c>
    </row>
    <row r="47" spans="1:19" s="586" customFormat="1">
      <c r="A47" s="586" t="str">
        <f t="shared" si="0"/>
        <v>Boehringer Ingelheim KG v. 01.07.2021</v>
      </c>
      <c r="B47" s="586">
        <f>ROW()</f>
        <v>47</v>
      </c>
      <c r="C47" s="611" t="s">
        <v>1251</v>
      </c>
      <c r="D47" s="1120">
        <v>44378</v>
      </c>
      <c r="E47" s="612" t="s">
        <v>767</v>
      </c>
      <c r="F47" s="613" t="str">
        <f t="shared" si="5"/>
        <v/>
      </c>
      <c r="G47" s="610" t="str">
        <f t="shared" si="2"/>
        <v xml:space="preserve">TO ermöglicht: doppelten Kostenabzug; </v>
      </c>
      <c r="I47" s="610"/>
      <c r="J47" s="755"/>
      <c r="K47" s="1118"/>
      <c r="L47" s="1118">
        <v>2</v>
      </c>
      <c r="M47" s="1118"/>
      <c r="N47" s="1118"/>
      <c r="O47" s="756"/>
      <c r="P47" s="140">
        <f t="shared" si="6"/>
        <v>2</v>
      </c>
    </row>
    <row r="48" spans="1:19" s="586" customFormat="1" ht="25.5">
      <c r="A48" s="586" t="str">
        <f t="shared" si="0"/>
        <v>Boge Elastmetall Unterstützungskasse e.V. v. 01.01.2018</v>
      </c>
      <c r="B48" s="586">
        <f>ROW()</f>
        <v>48</v>
      </c>
      <c r="C48" s="611" t="s">
        <v>796</v>
      </c>
      <c r="D48" s="1120">
        <v>43101</v>
      </c>
      <c r="E48" s="612" t="s">
        <v>767</v>
      </c>
      <c r="F48" s="613" t="str">
        <f t="shared" si="5"/>
        <v/>
      </c>
      <c r="G48" s="610" t="str">
        <f t="shared" si="2"/>
        <v xml:space="preserve">TO ermöglicht: doppelten Kostenabzug; </v>
      </c>
      <c r="I48" s="610"/>
      <c r="J48" s="755"/>
      <c r="K48" s="1118"/>
      <c r="L48" s="1118">
        <v>2</v>
      </c>
      <c r="M48" s="1118"/>
      <c r="N48" s="1118"/>
      <c r="O48" s="756" t="s">
        <v>803</v>
      </c>
      <c r="P48" s="140">
        <f t="shared" si="6"/>
        <v>2</v>
      </c>
    </row>
    <row r="49" spans="1:16" s="586" customFormat="1" ht="25.5">
      <c r="A49" s="586" t="str">
        <f t="shared" si="0"/>
        <v>Bombardier_TransportationTO v. 01.09.2009</v>
      </c>
      <c r="B49" s="586">
        <f>ROW()</f>
        <v>49</v>
      </c>
      <c r="C49" s="611" t="s">
        <v>1139</v>
      </c>
      <c r="D49" s="1120">
        <v>40057</v>
      </c>
      <c r="E49" s="612" t="s">
        <v>760</v>
      </c>
      <c r="F49" s="613" t="str">
        <f t="shared" si="5"/>
        <v/>
      </c>
      <c r="G49" s="610" t="str">
        <f t="shared" si="2"/>
        <v xml:space="preserve">TO ermöglicht: doppelten Kostenabzug; </v>
      </c>
      <c r="I49" s="610"/>
      <c r="J49" s="755"/>
      <c r="K49" s="1118"/>
      <c r="L49" s="1118">
        <v>2</v>
      </c>
      <c r="M49" s="1118"/>
      <c r="N49" s="1118"/>
      <c r="O49" s="756" t="s">
        <v>803</v>
      </c>
      <c r="P49" s="140">
        <f t="shared" si="6"/>
        <v>2</v>
      </c>
    </row>
    <row r="50" spans="1:16" s="586" customFormat="1" ht="56.25">
      <c r="A50" s="586" t="str">
        <f t="shared" si="0"/>
        <v>BP Europa SE v. 01.09.2009</v>
      </c>
      <c r="B50" s="586">
        <f>ROW()</f>
        <v>50</v>
      </c>
      <c r="C50" s="611" t="s">
        <v>1532</v>
      </c>
      <c r="D50" s="1120">
        <v>40057</v>
      </c>
      <c r="E50" s="612" t="s">
        <v>760</v>
      </c>
      <c r="F50" s="613"/>
      <c r="G50" s="610" t="str">
        <f t="shared" si="2"/>
        <v xml:space="preserve">TO ermöglicht: doppelten Kostenabzug; </v>
      </c>
      <c r="I50" s="610" t="s">
        <v>1533</v>
      </c>
      <c r="J50" s="755"/>
      <c r="K50" s="1118"/>
      <c r="L50" s="1118">
        <v>2</v>
      </c>
      <c r="M50" s="1118"/>
      <c r="N50" s="1118"/>
      <c r="O50" s="756"/>
      <c r="P50" s="140">
        <f t="shared" si="6"/>
        <v>2</v>
      </c>
    </row>
    <row r="51" spans="1:16" s="586" customFormat="1" ht="33.75">
      <c r="A51" s="586" t="str">
        <f t="shared" si="0"/>
        <v>BVV, Banken Versicherungs Verein v. 01.07.2016</v>
      </c>
      <c r="B51" s="586">
        <f>ROW()</f>
        <v>51</v>
      </c>
      <c r="C51" s="611" t="s">
        <v>1615</v>
      </c>
      <c r="D51" s="1120">
        <v>42552</v>
      </c>
      <c r="E51" s="612" t="s">
        <v>1061</v>
      </c>
      <c r="F51" s="613" t="str">
        <f t="shared" si="5"/>
        <v/>
      </c>
      <c r="G51" s="610" t="str">
        <f t="shared" si="2"/>
        <v>TO ermöglicht: doppelten Kostenabzug;  Wertteilhabe (z.B. Verzinsung) zwischen EzE und RK geltend machen</v>
      </c>
      <c r="I51" s="610" t="str">
        <f>+J51</f>
        <v>OLG FfM 4 UF 49/17</v>
      </c>
      <c r="J51" s="755" t="s">
        <v>738</v>
      </c>
      <c r="K51" s="1118"/>
      <c r="L51" s="1118">
        <v>2</v>
      </c>
      <c r="M51" s="1118"/>
      <c r="N51" s="1118">
        <v>4</v>
      </c>
      <c r="O51" s="756" t="s">
        <v>803</v>
      </c>
      <c r="P51" s="140">
        <f t="shared" si="6"/>
        <v>6</v>
      </c>
    </row>
    <row r="52" spans="1:16" s="586" customFormat="1" ht="22.5">
      <c r="A52" s="586" t="str">
        <f t="shared" si="0"/>
        <v>C &amp; A Services GmbH &amp; Co. OHG v. 01.02.2017</v>
      </c>
      <c r="B52" s="586">
        <f>ROW()</f>
        <v>52</v>
      </c>
      <c r="C52" s="611" t="s">
        <v>1509</v>
      </c>
      <c r="D52" s="1120">
        <v>42767</v>
      </c>
      <c r="E52" s="612" t="s">
        <v>1510</v>
      </c>
      <c r="F52" s="613" t="str">
        <f t="shared" si="5"/>
        <v/>
      </c>
      <c r="G52" s="610" t="str">
        <f t="shared" si="2"/>
        <v>TO ermöglicht:  Wertteilhabe (z.B. Verzinsung) zwischen EzE und RK geltend machen</v>
      </c>
      <c r="I52" s="610"/>
      <c r="J52" s="751"/>
      <c r="K52" s="1118"/>
      <c r="L52" s="1118"/>
      <c r="M52" s="1118"/>
      <c r="N52" s="1118">
        <v>4</v>
      </c>
      <c r="O52" s="760"/>
      <c r="P52" s="140">
        <f t="shared" si="6"/>
        <v>4</v>
      </c>
    </row>
    <row r="53" spans="1:16" s="586" customFormat="1" ht="67.5">
      <c r="A53" s="586" t="str">
        <f t="shared" si="0"/>
        <v>Carl Zeiss AG v. 27.10.2016</v>
      </c>
      <c r="B53" s="586">
        <f>ROW()</f>
        <v>53</v>
      </c>
      <c r="C53" s="611" t="s">
        <v>1519</v>
      </c>
      <c r="D53" s="1120">
        <v>42670</v>
      </c>
      <c r="E53" s="612" t="s">
        <v>477</v>
      </c>
      <c r="F53" s="613"/>
      <c r="G53" s="610" t="str">
        <f t="shared" si="2"/>
        <v/>
      </c>
      <c r="I53" s="610" t="s">
        <v>1520</v>
      </c>
      <c r="J53" s="751"/>
      <c r="K53" s="1118"/>
      <c r="L53" s="1118"/>
      <c r="M53" s="1118"/>
      <c r="N53" s="1118"/>
      <c r="O53" s="760"/>
      <c r="P53" s="140"/>
    </row>
    <row r="54" spans="1:16" s="586" customFormat="1">
      <c r="A54" s="586" t="str">
        <f t="shared" si="0"/>
        <v xml:space="preserve">Continental </v>
      </c>
      <c r="B54" s="586">
        <f>ROW()</f>
        <v>54</v>
      </c>
      <c r="C54" s="611" t="s">
        <v>737</v>
      </c>
      <c r="D54" s="1120"/>
      <c r="E54" s="612"/>
      <c r="F54" s="613" t="str">
        <f t="shared" si="5"/>
        <v>Ja</v>
      </c>
      <c r="G54" s="610" t="str">
        <f t="shared" si="2"/>
        <v xml:space="preserve">TO ermöglicht: Tarifwechel; </v>
      </c>
      <c r="I54" s="610"/>
      <c r="J54" s="751"/>
      <c r="K54" s="1118">
        <v>1</v>
      </c>
      <c r="L54" s="1118"/>
      <c r="M54" s="1118"/>
      <c r="N54" s="1118"/>
      <c r="O54" s="760"/>
      <c r="P54" s="140">
        <f t="shared" si="6"/>
        <v>1</v>
      </c>
    </row>
    <row r="55" spans="1:16" ht="25.5">
      <c r="A55" s="586" t="str">
        <f t="shared" si="0"/>
        <v>COOP eG Gesamr Versorgungsrichtlinie v. 01.09.2009</v>
      </c>
      <c r="B55" s="586">
        <f>ROW()</f>
        <v>55</v>
      </c>
      <c r="C55" s="611" t="s">
        <v>787</v>
      </c>
      <c r="D55" s="1120">
        <v>40057</v>
      </c>
      <c r="E55" s="612" t="s">
        <v>767</v>
      </c>
      <c r="F55" s="613" t="str">
        <f t="shared" si="5"/>
        <v/>
      </c>
      <c r="G55" s="610" t="str">
        <f t="shared" si="2"/>
        <v xml:space="preserve">TO ermöglicht: doppelten Kostenabzug; </v>
      </c>
      <c r="H55" s="586"/>
      <c r="K55" s="1118"/>
      <c r="L55" s="1118">
        <v>2</v>
      </c>
      <c r="M55" s="1118"/>
      <c r="N55" s="1118"/>
      <c r="O55" s="756" t="s">
        <v>803</v>
      </c>
      <c r="P55" s="140">
        <f t="shared" si="6"/>
        <v>2</v>
      </c>
    </row>
    <row r="56" spans="1:16" s="586" customFormat="1" ht="25.5">
      <c r="A56" s="586" t="str">
        <f t="shared" si="0"/>
        <v>COOP Schleswig Holstein Rentenzuschusskasse v. 01.01.2019</v>
      </c>
      <c r="B56" s="586">
        <f>ROW()</f>
        <v>56</v>
      </c>
      <c r="C56" s="611" t="s">
        <v>777</v>
      </c>
      <c r="D56" s="1120">
        <v>43466</v>
      </c>
      <c r="E56" s="612" t="s">
        <v>767</v>
      </c>
      <c r="F56" s="613" t="str">
        <f t="shared" si="5"/>
        <v/>
      </c>
      <c r="G56" s="610" t="str">
        <f t="shared" si="2"/>
        <v xml:space="preserve">TO ermöglicht: doppelten Kostenabzug; </v>
      </c>
      <c r="H56"/>
      <c r="I56" s="610"/>
      <c r="J56" s="751"/>
      <c r="K56" s="1118"/>
      <c r="L56" s="1118">
        <v>2</v>
      </c>
      <c r="M56" s="1118"/>
      <c r="N56" s="1118"/>
      <c r="O56" s="756" t="s">
        <v>803</v>
      </c>
      <c r="P56" s="140">
        <f t="shared" si="6"/>
        <v>2</v>
      </c>
    </row>
    <row r="57" spans="1:16" ht="45">
      <c r="A57" s="586" t="str">
        <f t="shared" si="0"/>
        <v>Cosmos Direkt v. 01.01.2010</v>
      </c>
      <c r="B57" s="586">
        <f>ROW()</f>
        <v>57</v>
      </c>
      <c r="C57" s="611" t="s">
        <v>916</v>
      </c>
      <c r="D57" s="1120">
        <v>40179</v>
      </c>
      <c r="E57" s="612" t="s">
        <v>917</v>
      </c>
      <c r="F57" s="613" t="str">
        <f t="shared" si="5"/>
        <v>Ja</v>
      </c>
      <c r="G57" s="610" t="str">
        <f t="shared" si="2"/>
        <v>TO ermöglicht: Tarifwechel; doppelten Kostenabzug;  Abweichungen vom gerichtl. festgelegten Ausgleichswert;  Wertteilhabe (z.B. Verzinsung) zwischen EzE und RK geltend machen</v>
      </c>
      <c r="H57" s="586"/>
      <c r="K57" s="1118">
        <v>1</v>
      </c>
      <c r="L57" s="1118">
        <v>2</v>
      </c>
      <c r="M57" s="1118">
        <v>3</v>
      </c>
      <c r="N57" s="1118">
        <v>4</v>
      </c>
      <c r="P57" s="140">
        <f t="shared" si="6"/>
        <v>10</v>
      </c>
    </row>
    <row r="58" spans="1:16" s="586" customFormat="1" ht="25.5">
      <c r="A58" s="586" t="str">
        <f t="shared" si="0"/>
        <v>CSM Deutschland GmbH v. 01.07.2021</v>
      </c>
      <c r="B58" s="586">
        <f>ROW()</f>
        <v>58</v>
      </c>
      <c r="C58" s="611" t="s">
        <v>1250</v>
      </c>
      <c r="D58" s="1120">
        <v>44378</v>
      </c>
      <c r="E58" s="612" t="s">
        <v>767</v>
      </c>
      <c r="F58" s="613" t="str">
        <f t="shared" si="5"/>
        <v/>
      </c>
      <c r="G58" s="610" t="str">
        <f t="shared" si="2"/>
        <v xml:space="preserve">TO ermöglicht: doppelten Kostenabzug; </v>
      </c>
      <c r="H58"/>
      <c r="I58" s="610"/>
      <c r="J58" s="755"/>
      <c r="K58" s="1118"/>
      <c r="L58" s="1118">
        <v>2</v>
      </c>
      <c r="M58" s="1118"/>
      <c r="N58" s="1118"/>
      <c r="O58" s="756" t="s">
        <v>803</v>
      </c>
      <c r="P58" s="140">
        <f t="shared" si="6"/>
        <v>2</v>
      </c>
    </row>
    <row r="59" spans="1:16" ht="33.75">
      <c r="A59" s="586" t="str">
        <f t="shared" si="0"/>
        <v>DAG Stiftung Ruhegehaltskasse v. 10.12.2015</v>
      </c>
      <c r="B59" s="586">
        <f>ROW()</f>
        <v>59</v>
      </c>
      <c r="C59" s="611" t="s">
        <v>717</v>
      </c>
      <c r="D59" s="1120">
        <v>42348</v>
      </c>
      <c r="E59" s="612" t="s">
        <v>718</v>
      </c>
      <c r="F59" s="613" t="str">
        <f t="shared" si="5"/>
        <v/>
      </c>
      <c r="G59" s="610" t="str">
        <f t="shared" si="2"/>
        <v xml:space="preserve">TO ermöglicht: doppelten Kostenabzug; </v>
      </c>
      <c r="H59" s="586"/>
      <c r="K59" s="1118"/>
      <c r="L59" s="1118">
        <v>2</v>
      </c>
      <c r="M59" s="1118"/>
      <c r="N59" s="1118"/>
      <c r="O59" s="760" t="s">
        <v>719</v>
      </c>
      <c r="P59" s="140">
        <f t="shared" si="6"/>
        <v>2</v>
      </c>
    </row>
    <row r="60" spans="1:16" ht="33.75">
      <c r="A60" s="586" t="str">
        <f t="shared" si="0"/>
        <v>Daimler Brand &amp; IP Management GmbH &amp; Co.KG v. 01.04.2021</v>
      </c>
      <c r="B60" s="586">
        <f>ROW()</f>
        <v>60</v>
      </c>
      <c r="C60" s="611" t="s">
        <v>1007</v>
      </c>
      <c r="D60" s="1120">
        <v>44287</v>
      </c>
      <c r="E60" s="612" t="s">
        <v>1004</v>
      </c>
      <c r="F60" s="613" t="str">
        <f t="shared" si="5"/>
        <v/>
      </c>
      <c r="G60" s="610" t="str">
        <f t="shared" si="2"/>
        <v>TO ermöglicht: doppelten Kostenabzug;  Wertteilhabe (z.B. Verzinsung) zwischen EzE und RK geltend machen</v>
      </c>
      <c r="I60" s="610" t="s">
        <v>1255</v>
      </c>
      <c r="K60" s="1118"/>
      <c r="L60" s="1118">
        <v>2</v>
      </c>
      <c r="M60" s="1118"/>
      <c r="N60" s="1118">
        <v>4</v>
      </c>
      <c r="P60" s="140">
        <f t="shared" si="6"/>
        <v>6</v>
      </c>
    </row>
    <row r="61" spans="1:16" s="586" customFormat="1" ht="33.75">
      <c r="A61" s="586" t="str">
        <f t="shared" si="0"/>
        <v>Daimler Truck AG v. 01.04.2021</v>
      </c>
      <c r="B61" s="586">
        <f>ROW()</f>
        <v>61</v>
      </c>
      <c r="C61" s="611" t="s">
        <v>1006</v>
      </c>
      <c r="D61" s="1120">
        <v>44287</v>
      </c>
      <c r="E61" s="612" t="s">
        <v>1004</v>
      </c>
      <c r="F61" s="613" t="str">
        <f t="shared" si="5"/>
        <v/>
      </c>
      <c r="G61" s="610" t="str">
        <f t="shared" si="2"/>
        <v>TO ermöglicht: doppelten Kostenabzug;  Wertteilhabe (z.B. Verzinsung) zwischen EzE und RK geltend machen</v>
      </c>
      <c r="H61"/>
      <c r="I61" s="610" t="s">
        <v>1255</v>
      </c>
      <c r="J61" s="751"/>
      <c r="K61" s="1118"/>
      <c r="L61" s="1118">
        <v>2</v>
      </c>
      <c r="M61" s="1118"/>
      <c r="N61" s="1118">
        <v>4</v>
      </c>
      <c r="O61" s="989"/>
      <c r="P61" s="140">
        <f t="shared" si="6"/>
        <v>6</v>
      </c>
    </row>
    <row r="62" spans="1:16" ht="33.75">
      <c r="A62" s="586" t="str">
        <f t="shared" si="0"/>
        <v>Daimler Vorsorge Kapital Teilungsordnung v. 01.04.2021</v>
      </c>
      <c r="B62" s="586">
        <f>ROW()</f>
        <v>62</v>
      </c>
      <c r="C62" s="611" t="s">
        <v>1003</v>
      </c>
      <c r="D62" s="1120">
        <v>44287</v>
      </c>
      <c r="E62" s="612" t="s">
        <v>1004</v>
      </c>
      <c r="F62" s="613" t="str">
        <f t="shared" si="5"/>
        <v/>
      </c>
      <c r="G62" s="610" t="str">
        <f t="shared" si="2"/>
        <v>TO ermöglicht: doppelten Kostenabzug;  Wertteilhabe (z.B. Verzinsung) zwischen EzE und RK geltend machen</v>
      </c>
      <c r="H62" s="586"/>
      <c r="I62" s="610" t="s">
        <v>1255</v>
      </c>
      <c r="K62" s="1118"/>
      <c r="L62" s="1118">
        <v>2</v>
      </c>
      <c r="M62" s="1118"/>
      <c r="N62" s="1118">
        <v>4</v>
      </c>
      <c r="O62" s="989"/>
      <c r="P62" s="140">
        <f t="shared" si="6"/>
        <v>6</v>
      </c>
    </row>
    <row r="63" spans="1:16" ht="33.75">
      <c r="A63" s="586" t="str">
        <f t="shared" si="0"/>
        <v>DAK Hamburg  v. 01.01.2022</v>
      </c>
      <c r="B63" s="586">
        <f>ROW()</f>
        <v>63</v>
      </c>
      <c r="C63" s="611" t="s">
        <v>1173</v>
      </c>
      <c r="D63" s="1120">
        <v>44562</v>
      </c>
      <c r="E63" s="612" t="s">
        <v>1198</v>
      </c>
      <c r="F63" s="613" t="str">
        <f t="shared" si="5"/>
        <v/>
      </c>
      <c r="G63" s="610" t="str">
        <f t="shared" si="2"/>
        <v>TO ermöglicht:  Abweichungen vom gerichtl. festgelegten Ausgleichswert;  Wertteilhabe (z.B. Verzinsung) zwischen EzE und RK geltend machen</v>
      </c>
      <c r="K63" s="1118"/>
      <c r="L63" s="1118"/>
      <c r="M63" s="1118">
        <v>3</v>
      </c>
      <c r="N63" s="1118">
        <v>4</v>
      </c>
      <c r="P63" s="140">
        <f t="shared" si="6"/>
        <v>7</v>
      </c>
    </row>
    <row r="64" spans="1:16" ht="56.25">
      <c r="A64" s="586" t="str">
        <f t="shared" si="0"/>
        <v>DAK Hamburg  v. 10.07.2013</v>
      </c>
      <c r="B64" s="586">
        <f>ROW()</f>
        <v>64</v>
      </c>
      <c r="C64" s="611" t="s">
        <v>1173</v>
      </c>
      <c r="D64" s="1120">
        <v>41465</v>
      </c>
      <c r="E64" s="612" t="s">
        <v>195</v>
      </c>
      <c r="F64" s="613" t="str">
        <f t="shared" si="5"/>
        <v/>
      </c>
      <c r="G64" s="610" t="str">
        <f t="shared" si="2"/>
        <v>TO ermöglicht: doppelten Kostenabzug;  Abweichungen vom gerichtl. festgelegten Ausgleichswert;  Wertteilhabe (z.B. Verzinsung) zwischen EzE und RK geltend machen</v>
      </c>
      <c r="I64" s="610" t="s">
        <v>1174</v>
      </c>
      <c r="K64" s="1118"/>
      <c r="L64" s="1118">
        <v>2</v>
      </c>
      <c r="M64" s="1118">
        <v>3</v>
      </c>
      <c r="N64" s="1118">
        <v>4</v>
      </c>
      <c r="P64" s="140">
        <f t="shared" si="6"/>
        <v>9</v>
      </c>
    </row>
    <row r="65" spans="1:16" s="586" customFormat="1">
      <c r="A65" s="586" t="str">
        <f t="shared" si="0"/>
        <v>Damovo Deutschland GmbH &amp; Co. KG v. 24.08.2009</v>
      </c>
      <c r="B65" s="586">
        <f>ROW()</f>
        <v>65</v>
      </c>
      <c r="C65" s="611" t="s">
        <v>934</v>
      </c>
      <c r="D65" s="1120">
        <v>40049</v>
      </c>
      <c r="E65" s="612"/>
      <c r="F65" s="613" t="str">
        <f t="shared" si="5"/>
        <v/>
      </c>
      <c r="G65" s="610" t="str">
        <f t="shared" si="2"/>
        <v xml:space="preserve">TO ermöglicht: doppelten Kostenabzug; </v>
      </c>
      <c r="H65"/>
      <c r="I65" s="610"/>
      <c r="J65" s="751"/>
      <c r="K65" s="1118"/>
      <c r="L65" s="1118">
        <v>2</v>
      </c>
      <c r="M65" s="1118"/>
      <c r="N65" s="1118"/>
      <c r="O65" s="752"/>
      <c r="P65" s="140">
        <f t="shared" si="6"/>
        <v>2</v>
      </c>
    </row>
    <row r="66" spans="1:16" ht="45">
      <c r="A66" s="586" t="str">
        <f t="shared" si="0"/>
        <v>Debeka Lebensversicherungsverein a.G.  v. 01.08.2020</v>
      </c>
      <c r="B66" s="586">
        <f>ROW()</f>
        <v>66</v>
      </c>
      <c r="C66" s="611" t="s">
        <v>1140</v>
      </c>
      <c r="D66" s="1120">
        <v>44044</v>
      </c>
      <c r="E66" s="612" t="s">
        <v>1009</v>
      </c>
      <c r="F66" s="613" t="str">
        <f t="shared" si="5"/>
        <v>Ja</v>
      </c>
      <c r="G66" s="610" t="str">
        <f t="shared" si="2"/>
        <v>TO ermöglicht: Tarifwechel; doppelten Kostenabzug;  Abweichungen vom gerichtl. festgelegten Ausgleichswert;  Wertteilhabe (z.B. Verzinsung) zwischen EzE und RK geltend machen</v>
      </c>
      <c r="H66" s="586"/>
      <c r="K66" s="1118">
        <v>1</v>
      </c>
      <c r="L66" s="1118">
        <v>2</v>
      </c>
      <c r="M66" s="1118">
        <v>3</v>
      </c>
      <c r="N66" s="1118">
        <v>4</v>
      </c>
      <c r="P66" s="140">
        <f t="shared" si="6"/>
        <v>10</v>
      </c>
    </row>
    <row r="67" spans="1:16" ht="45">
      <c r="A67" s="586" t="str">
        <f t="shared" si="0"/>
        <v>Debeka Lebensversicherungsverein a.G. AltZertG-Verträge v. 01.01.2017</v>
      </c>
      <c r="B67" s="586">
        <f>ROW()</f>
        <v>67</v>
      </c>
      <c r="C67" s="611" t="s">
        <v>1297</v>
      </c>
      <c r="D67" s="1120">
        <v>42736</v>
      </c>
      <c r="E67" s="612" t="s">
        <v>1043</v>
      </c>
      <c r="F67" s="613" t="str">
        <f t="shared" si="5"/>
        <v>Ja</v>
      </c>
      <c r="G67" s="610" t="str">
        <f t="shared" si="2"/>
        <v>TO ermöglicht: Tarifwechel; doppelten Kostenabzug;  Abweichungen vom gerichtl. festgelegten Ausgleichswert;  Wertteilhabe (z.B. Verzinsung) zwischen EzE und RK geltend machen</v>
      </c>
      <c r="K67" s="1118">
        <v>1</v>
      </c>
      <c r="L67" s="1118">
        <v>2</v>
      </c>
      <c r="M67" s="1118">
        <v>3</v>
      </c>
      <c r="N67" s="1118">
        <v>4</v>
      </c>
      <c r="P67" s="140">
        <f t="shared" si="6"/>
        <v>10</v>
      </c>
    </row>
    <row r="68" spans="1:16" ht="22.5">
      <c r="A68" s="586" t="str">
        <f t="shared" si="0"/>
        <v>Debeka ZVK VaG Tarif ZVD 7 v. 79-2021</v>
      </c>
      <c r="B68" s="586">
        <f>ROW()</f>
        <v>68</v>
      </c>
      <c r="C68" s="611" t="s">
        <v>1524</v>
      </c>
      <c r="D68" s="1120" t="s">
        <v>1525</v>
      </c>
      <c r="E68" s="612" t="s">
        <v>1526</v>
      </c>
      <c r="F68" s="613"/>
      <c r="G68" s="610" t="str">
        <f t="shared" si="2"/>
        <v>TO ermöglicht:  Wertteilhabe (z.B. Verzinsung) zwischen EzE und RK geltend machen</v>
      </c>
      <c r="K68" s="1118"/>
      <c r="L68" s="1118"/>
      <c r="M68" s="1118"/>
      <c r="N68" s="1118">
        <v>4</v>
      </c>
      <c r="P68" s="140"/>
    </row>
    <row r="69" spans="1:16" s="586" customFormat="1">
      <c r="A69" s="586" t="str">
        <f t="shared" si="0"/>
        <v>Decadia GmbH v. 16.09.2016</v>
      </c>
      <c r="B69" s="586">
        <f>ROW()</f>
        <v>69</v>
      </c>
      <c r="C69" s="611" t="s">
        <v>1220</v>
      </c>
      <c r="D69" s="1120">
        <v>42629</v>
      </c>
      <c r="E69" s="612">
        <v>5</v>
      </c>
      <c r="F69" s="613" t="str">
        <f t="shared" si="5"/>
        <v/>
      </c>
      <c r="G69" s="610" t="str">
        <f t="shared" si="2"/>
        <v/>
      </c>
      <c r="H69"/>
      <c r="I69" s="610"/>
      <c r="J69" s="751"/>
      <c r="K69" s="1118"/>
      <c r="L69" s="1118"/>
      <c r="M69" s="1118"/>
      <c r="N69" s="1118"/>
      <c r="O69" s="752"/>
      <c r="P69" s="140">
        <f t="shared" si="6"/>
        <v>0</v>
      </c>
    </row>
    <row r="70" spans="1:16" ht="22.5">
      <c r="A70" s="586" t="str">
        <f t="shared" si="0"/>
        <v>Degussa Pensionskasse Marl Troisdorf v. 01.07.2016</v>
      </c>
      <c r="B70" s="586">
        <f>ROW()</f>
        <v>70</v>
      </c>
      <c r="C70" s="611" t="s">
        <v>992</v>
      </c>
      <c r="D70" s="1120">
        <v>42552</v>
      </c>
      <c r="E70" s="612" t="s">
        <v>993</v>
      </c>
      <c r="F70" s="613" t="str">
        <f t="shared" si="5"/>
        <v/>
      </c>
      <c r="G70" s="610" t="str">
        <f t="shared" ref="G70:G75" si="8">IF(SUM(K70:N70)=0,"","TO ermöglicht: "&amp;IF(K70&gt;0,"Tarifwechel; ","")&amp;IF(L70&gt;0,"doppelten Kostenabzug; ","")&amp;IF(M70&gt;0," Abweichungen vom gerichtl. festgelegten Ausgleichswert; ","")&amp;IF(N70&gt;0," Wertteilhabe (z.B. Verzinsung) zwischen EzE und RK geltend machen",""))</f>
        <v>TO ermöglicht:  Wertteilhabe (z.B. Verzinsung) zwischen EzE und RK geltend machen</v>
      </c>
      <c r="K70" s="1118"/>
      <c r="L70" s="1118"/>
      <c r="M70" s="1118"/>
      <c r="N70" s="1118">
        <v>4</v>
      </c>
      <c r="P70" s="140">
        <f t="shared" si="6"/>
        <v>4</v>
      </c>
    </row>
    <row r="71" spans="1:16" ht="22.5">
      <c r="A71" s="586" t="str">
        <f t="shared" si="0"/>
        <v>Degussa Pensionskasse Riester-Tarif v. 01.06.2016</v>
      </c>
      <c r="B71" s="586">
        <f>ROW()</f>
        <v>71</v>
      </c>
      <c r="C71" s="611" t="s">
        <v>990</v>
      </c>
      <c r="D71" s="1120">
        <v>42522</v>
      </c>
      <c r="E71" s="612" t="s">
        <v>991</v>
      </c>
      <c r="F71" s="613" t="str">
        <f t="shared" si="5"/>
        <v/>
      </c>
      <c r="G71" s="610" t="str">
        <f t="shared" si="8"/>
        <v>TO ermöglicht:  Wertteilhabe (z.B. Verzinsung) zwischen EzE und RK geltend machen</v>
      </c>
      <c r="J71" s="755"/>
      <c r="K71" s="1118"/>
      <c r="L71" s="1118"/>
      <c r="M71" s="1118"/>
      <c r="N71" s="1118">
        <v>4</v>
      </c>
      <c r="P71" s="140">
        <f t="shared" si="6"/>
        <v>4</v>
      </c>
    </row>
    <row r="72" spans="1:16" ht="22.5">
      <c r="A72" s="586" t="str">
        <f t="shared" si="0"/>
        <v>Degussa Pensionskasse v. 01.06.2016</v>
      </c>
      <c r="B72" s="586">
        <f>ROW()</f>
        <v>72</v>
      </c>
      <c r="C72" s="611" t="s">
        <v>988</v>
      </c>
      <c r="D72" s="1120">
        <v>42522</v>
      </c>
      <c r="E72" s="612" t="s">
        <v>989</v>
      </c>
      <c r="F72" s="613" t="str">
        <f t="shared" si="5"/>
        <v/>
      </c>
      <c r="G72" s="610" t="str">
        <f t="shared" si="8"/>
        <v>TO ermöglicht:  Wertteilhabe (z.B. Verzinsung) zwischen EzE und RK geltend machen</v>
      </c>
      <c r="H72" s="586"/>
      <c r="K72" s="1118"/>
      <c r="L72" s="1118"/>
      <c r="M72" s="1118"/>
      <c r="N72" s="1118">
        <v>4</v>
      </c>
      <c r="P72" s="140">
        <f t="shared" si="6"/>
        <v>4</v>
      </c>
    </row>
    <row r="73" spans="1:16" ht="22.5">
      <c r="A73" s="586" t="str">
        <f t="shared" si="0"/>
        <v>Degussa UK Leistungsplan RUK v. 01.07.2018</v>
      </c>
      <c r="B73" s="586">
        <f>ROW()</f>
        <v>73</v>
      </c>
      <c r="C73" s="611" t="s">
        <v>1141</v>
      </c>
      <c r="D73" s="1120">
        <v>43282</v>
      </c>
      <c r="E73" s="612" t="s">
        <v>994</v>
      </c>
      <c r="F73" s="613" t="str">
        <f t="shared" si="5"/>
        <v/>
      </c>
      <c r="G73" s="610" t="str">
        <f t="shared" si="8"/>
        <v>TO ermöglicht:  Wertteilhabe (z.B. Verzinsung) zwischen EzE und RK geltend machen</v>
      </c>
      <c r="K73" s="1118"/>
      <c r="L73" s="1118"/>
      <c r="M73" s="1118"/>
      <c r="N73" s="1118">
        <v>4</v>
      </c>
      <c r="P73" s="140">
        <f t="shared" si="6"/>
        <v>4</v>
      </c>
    </row>
    <row r="74" spans="1:16" s="586" customFormat="1" ht="25.5">
      <c r="A74" s="586" t="str">
        <f t="shared" si="0"/>
        <v>Degussa UK Leistungsplan RUK vor 2018</v>
      </c>
      <c r="B74" s="586">
        <f>ROW()</f>
        <v>74</v>
      </c>
      <c r="C74" s="611" t="s">
        <v>995</v>
      </c>
      <c r="D74" s="1120"/>
      <c r="E74" s="612" t="s">
        <v>994</v>
      </c>
      <c r="F74" s="613" t="str">
        <f t="shared" si="5"/>
        <v/>
      </c>
      <c r="G74" s="610" t="str">
        <f t="shared" si="8"/>
        <v>TO ermöglicht:  Wertteilhabe (z.B. Verzinsung) zwischen EzE und RK geltend machen</v>
      </c>
      <c r="H74"/>
      <c r="I74" s="610"/>
      <c r="J74" s="755"/>
      <c r="K74" s="1118"/>
      <c r="L74" s="1118"/>
      <c r="M74" s="1118"/>
      <c r="N74" s="1118">
        <v>4</v>
      </c>
      <c r="O74" s="752"/>
      <c r="P74" s="140">
        <f t="shared" si="6"/>
        <v>4</v>
      </c>
    </row>
    <row r="75" spans="1:16" ht="33.75">
      <c r="A75" s="586" t="str">
        <f t="shared" si="0"/>
        <v>Deka-BonusRente</v>
      </c>
      <c r="B75" s="586">
        <f>ROW()</f>
        <v>75</v>
      </c>
      <c r="C75" s="611" t="s">
        <v>1036</v>
      </c>
      <c r="E75" s="612" t="s">
        <v>651</v>
      </c>
      <c r="F75" s="613" t="str">
        <f t="shared" si="5"/>
        <v>Ja</v>
      </c>
      <c r="G75" s="610" t="str">
        <f t="shared" si="8"/>
        <v>TO ermöglicht: Tarifwechel; doppelten Kostenabzug;  Wertteilhabe (z.B. Verzinsung) zwischen EzE und RK geltend machen</v>
      </c>
      <c r="H75" s="586"/>
      <c r="J75" s="755"/>
      <c r="K75" s="1118">
        <v>1</v>
      </c>
      <c r="L75" s="1118">
        <v>2</v>
      </c>
      <c r="M75" s="1118"/>
      <c r="N75" s="1118">
        <v>4</v>
      </c>
      <c r="O75" s="922" t="s">
        <v>1037</v>
      </c>
      <c r="P75" s="140">
        <f t="shared" si="6"/>
        <v>7</v>
      </c>
    </row>
    <row r="76" spans="1:16" ht="33.75">
      <c r="A76" s="586" t="str">
        <f t="shared" si="0"/>
        <v>Deka-Pensions-Plan v. 16.07.2021</v>
      </c>
      <c r="B76" s="586">
        <f>ROW()</f>
        <v>76</v>
      </c>
      <c r="C76" s="611" t="s">
        <v>2018</v>
      </c>
      <c r="D76" s="1120">
        <v>44393</v>
      </c>
      <c r="E76" s="612" t="s">
        <v>2019</v>
      </c>
      <c r="F76" s="613"/>
      <c r="G76" s="610" t="str">
        <f>IF(SUM(K76:N76)=0,"","TO ermöglicht: "&amp;IF(K76&gt;0,"Tarifwechel; ","")&amp;IF(L76&gt;0,"doppelten Kostenabzug; ","")&amp;IF(M76&gt;0," Abweichungen vom gerichtl. festgelegten Ausgleichswert; ","")&amp;IF(N76&gt;0," Wertteilhabe (z.B. Verzinsung) zwischen EzE und RK geltend machen",""))</f>
        <v>TO ermöglicht: doppelten Kostenabzug;  Wertteilhabe (z.B. Verzinsung) zwischen EzE und RK geltend machen</v>
      </c>
      <c r="H76" s="586"/>
      <c r="J76" s="755"/>
      <c r="K76" s="1118"/>
      <c r="L76" s="1118">
        <v>2</v>
      </c>
      <c r="M76" s="1118"/>
      <c r="N76" s="1118">
        <v>4</v>
      </c>
      <c r="O76" s="922"/>
      <c r="P76" s="140"/>
    </row>
    <row r="77" spans="1:16" ht="33.75">
      <c r="A77" s="586" t="str">
        <f t="shared" si="0"/>
        <v>Deka-ZukunftsPlan</v>
      </c>
      <c r="B77" s="586">
        <f>ROW()</f>
        <v>77</v>
      </c>
      <c r="C77" s="611" t="s">
        <v>1035</v>
      </c>
      <c r="E77" s="612" t="s">
        <v>651</v>
      </c>
      <c r="F77" s="613" t="str">
        <f t="shared" si="5"/>
        <v>Ja</v>
      </c>
      <c r="G77" s="610" t="str">
        <f t="shared" ref="G77:G144" si="9">IF(SUM(K77:N77)=0,"","TO ermöglicht: "&amp;IF(K77&gt;0,"Tarifwechel; ","")&amp;IF(L77&gt;0,"doppelten Kostenabzug; ","")&amp;IF(M77&gt;0," Abweichungen vom gerichtl. festgelegten Ausgleichswert; ","")&amp;IF(N77&gt;0," Wertteilhabe (z.B. Verzinsung) zwischen EzE und RK geltend machen",""))</f>
        <v>TO ermöglicht: Tarifwechel; doppelten Kostenabzug;  Wertteilhabe (z.B. Verzinsung) zwischen EzE und RK geltend machen</v>
      </c>
      <c r="J77" s="755"/>
      <c r="K77" s="1118">
        <v>1</v>
      </c>
      <c r="L77" s="1118">
        <v>2</v>
      </c>
      <c r="M77" s="1118"/>
      <c r="N77" s="1118">
        <v>4</v>
      </c>
      <c r="O77" s="922" t="s">
        <v>1037</v>
      </c>
      <c r="P77" s="140">
        <f t="shared" si="6"/>
        <v>7</v>
      </c>
    </row>
    <row r="78" spans="1:16" ht="90">
      <c r="A78" s="586" t="str">
        <f t="shared" si="0"/>
        <v>Deka-Zukunftsplan und BonusRente v. 01.01.2019</v>
      </c>
      <c r="B78" s="586">
        <f>ROW()</f>
        <v>78</v>
      </c>
      <c r="C78" s="611" t="s">
        <v>1455</v>
      </c>
      <c r="D78" s="1120">
        <v>43466</v>
      </c>
      <c r="E78" s="612" t="s">
        <v>651</v>
      </c>
      <c r="F78" s="613" t="s">
        <v>463</v>
      </c>
      <c r="G78" s="610" t="str">
        <f t="shared" si="9"/>
        <v>TO ermöglicht: Tarifwechel; doppelten Kostenabzug;  Wertteilhabe (z.B. Verzinsung) zwischen EzE und RK geltend machen</v>
      </c>
      <c r="I78" s="610" t="s">
        <v>1456</v>
      </c>
      <c r="J78" s="755"/>
      <c r="K78" s="1118">
        <v>1</v>
      </c>
      <c r="L78" s="1118">
        <v>2</v>
      </c>
      <c r="M78" s="1118"/>
      <c r="N78" s="1118">
        <v>4</v>
      </c>
      <c r="O78" s="922"/>
      <c r="P78" s="140">
        <f t="shared" si="6"/>
        <v>7</v>
      </c>
    </row>
    <row r="79" spans="1:16" ht="33.75">
      <c r="A79" s="586" t="str">
        <f t="shared" si="0"/>
        <v>Delta Lloyd Lebensversicherung</v>
      </c>
      <c r="B79" s="586">
        <f>ROW()</f>
        <v>79</v>
      </c>
      <c r="C79" s="611" t="s">
        <v>711</v>
      </c>
      <c r="E79" s="612" t="s">
        <v>713</v>
      </c>
      <c r="F79" s="613" t="str">
        <f>IF(K79=1,"Ja","")</f>
        <v>Ja</v>
      </c>
      <c r="G79" s="610" t="str">
        <f t="shared" si="9"/>
        <v xml:space="preserve">TO ermöglicht: Tarifwechel; </v>
      </c>
      <c r="K79" s="1118">
        <v>1</v>
      </c>
      <c r="L79" s="1118"/>
      <c r="M79" s="1118"/>
      <c r="N79" s="1118"/>
      <c r="O79" s="760" t="s">
        <v>714</v>
      </c>
      <c r="P79" s="140">
        <f t="shared" si="6"/>
        <v>1</v>
      </c>
    </row>
    <row r="80" spans="1:16" ht="33.75">
      <c r="A80" s="586" t="str">
        <f t="shared" ref="A80:A152" si="10">C80&amp;IF(D80=0,""," v. "&amp;TEXT(D80,"TT.MM.JJJ"))</f>
        <v>Delta Lloyd Pensionskasse</v>
      </c>
      <c r="B80" s="586">
        <f>ROW()</f>
        <v>80</v>
      </c>
      <c r="C80" s="611" t="s">
        <v>710</v>
      </c>
      <c r="E80" s="612" t="s">
        <v>713</v>
      </c>
      <c r="F80" s="613" t="str">
        <f>IF(K80=1,"Ja","")</f>
        <v>Ja</v>
      </c>
      <c r="G80" s="610" t="str">
        <f t="shared" si="9"/>
        <v xml:space="preserve">TO ermöglicht: Tarifwechel; </v>
      </c>
      <c r="K80" s="1118">
        <v>1</v>
      </c>
      <c r="L80" s="1118"/>
      <c r="M80" s="1118"/>
      <c r="N80" s="1118"/>
      <c r="O80" s="760" t="s">
        <v>714</v>
      </c>
      <c r="P80" s="140">
        <f t="shared" si="6"/>
        <v>1</v>
      </c>
    </row>
    <row r="81" spans="1:16" ht="33.75">
      <c r="A81" s="586" t="str">
        <f t="shared" si="10"/>
        <v>Deutsche Ärzteversicherung AG v. 01.05.2020</v>
      </c>
      <c r="B81" s="586">
        <f>ROW()</f>
        <v>81</v>
      </c>
      <c r="C81" s="611" t="s">
        <v>1454</v>
      </c>
      <c r="D81" s="1120">
        <v>43952</v>
      </c>
      <c r="E81" s="612">
        <v>5</v>
      </c>
      <c r="F81" s="613" t="s">
        <v>463</v>
      </c>
      <c r="G81" s="610" t="str">
        <f t="shared" si="9"/>
        <v>TO ermöglicht: Tarifwechel; doppelten Kostenabzug;  Wertteilhabe (z.B. Verzinsung) zwischen EzE und RK geltend machen</v>
      </c>
      <c r="K81" s="1118">
        <v>1</v>
      </c>
      <c r="L81" s="1118">
        <v>2</v>
      </c>
      <c r="M81" s="1118"/>
      <c r="N81" s="1118">
        <v>4</v>
      </c>
      <c r="O81" s="760"/>
      <c r="P81" s="140">
        <f t="shared" si="6"/>
        <v>7</v>
      </c>
    </row>
    <row r="82" spans="1:16">
      <c r="A82" s="586" t="str">
        <f t="shared" si="10"/>
        <v>Deutsche Bank v. 01.04.2016</v>
      </c>
      <c r="B82" s="586">
        <f>ROW()</f>
        <v>82</v>
      </c>
      <c r="C82" s="611" t="s">
        <v>656</v>
      </c>
      <c r="D82" s="1120">
        <v>42461</v>
      </c>
      <c r="E82" s="612" t="s">
        <v>657</v>
      </c>
      <c r="F82" s="613" t="str">
        <f t="shared" ref="F82:F154" si="11">IF(K82=1,"Ja","")</f>
        <v/>
      </c>
      <c r="G82" s="610" t="str">
        <f t="shared" si="9"/>
        <v/>
      </c>
      <c r="K82" s="1118"/>
      <c r="L82" s="1118"/>
      <c r="M82" s="1118"/>
      <c r="N82" s="1118"/>
      <c r="O82" s="610"/>
      <c r="P82" s="140">
        <f t="shared" si="6"/>
        <v>0</v>
      </c>
    </row>
    <row r="83" spans="1:16">
      <c r="A83" s="586" t="str">
        <f t="shared" si="10"/>
        <v>Deutsche Bank v. 01.07.2021</v>
      </c>
      <c r="B83" s="586">
        <f>ROW()</f>
        <v>83</v>
      </c>
      <c r="C83" s="611" t="s">
        <v>656</v>
      </c>
      <c r="D83" s="1120">
        <v>44378</v>
      </c>
      <c r="F83" s="613" t="str">
        <f t="shared" si="11"/>
        <v/>
      </c>
      <c r="G83" s="610" t="str">
        <f t="shared" si="9"/>
        <v xml:space="preserve">TO ermöglicht: doppelten Kostenabzug; </v>
      </c>
      <c r="K83" s="1118"/>
      <c r="L83" s="1118">
        <v>2</v>
      </c>
      <c r="M83" s="1118"/>
      <c r="N83" s="1118"/>
      <c r="P83" s="140">
        <f t="shared" si="6"/>
        <v>2</v>
      </c>
    </row>
    <row r="84" spans="1:16" ht="25.5">
      <c r="A84" s="586" t="str">
        <f t="shared" si="10"/>
        <v>Deutsche Fertighaus Holding UK DFH v. 01.09.2009</v>
      </c>
      <c r="B84" s="586">
        <f>ROW()</f>
        <v>84</v>
      </c>
      <c r="C84" s="611" t="s">
        <v>774</v>
      </c>
      <c r="D84" s="1120">
        <v>40057</v>
      </c>
      <c r="E84" s="612" t="s">
        <v>767</v>
      </c>
      <c r="F84" s="613" t="str">
        <f t="shared" si="11"/>
        <v/>
      </c>
      <c r="G84" s="610" t="str">
        <f t="shared" si="9"/>
        <v xml:space="preserve">TO ermöglicht: doppelten Kostenabzug; </v>
      </c>
      <c r="K84" s="1118"/>
      <c r="L84" s="1118">
        <v>2</v>
      </c>
      <c r="M84" s="1118"/>
      <c r="N84" s="1118"/>
      <c r="O84" s="756" t="s">
        <v>803</v>
      </c>
      <c r="P84" s="140">
        <f t="shared" si="6"/>
        <v>2</v>
      </c>
    </row>
    <row r="85" spans="1:16" ht="22.5">
      <c r="A85" s="586" t="str">
        <f t="shared" si="10"/>
        <v>Deutsche Flugsicherung v. 09.12.2016</v>
      </c>
      <c r="B85" s="586">
        <f>ROW()</f>
        <v>85</v>
      </c>
      <c r="C85" s="611" t="s">
        <v>1256</v>
      </c>
      <c r="D85" s="1120">
        <v>42713</v>
      </c>
      <c r="E85" s="612" t="s">
        <v>196</v>
      </c>
      <c r="F85" s="613" t="str">
        <f t="shared" si="11"/>
        <v/>
      </c>
      <c r="G85" s="610" t="str">
        <f t="shared" si="9"/>
        <v xml:space="preserve">TO ermöglicht:  Abweichungen vom gerichtl. festgelegten Ausgleichswert; </v>
      </c>
      <c r="K85" s="1118"/>
      <c r="L85" s="1118"/>
      <c r="M85" s="1118">
        <v>3</v>
      </c>
      <c r="N85" s="1118"/>
      <c r="O85" s="756"/>
      <c r="P85" s="140">
        <f t="shared" si="6"/>
        <v>3</v>
      </c>
    </row>
    <row r="86" spans="1:16" ht="25.5">
      <c r="A86" s="586" t="str">
        <f t="shared" si="10"/>
        <v>Deutsche See v. 01.09.2009</v>
      </c>
      <c r="B86" s="586">
        <f>ROW()</f>
        <v>86</v>
      </c>
      <c r="C86" s="611" t="s">
        <v>795</v>
      </c>
      <c r="D86" s="1120">
        <v>40057</v>
      </c>
      <c r="E86" s="612" t="s">
        <v>767</v>
      </c>
      <c r="F86" s="613" t="str">
        <f t="shared" si="11"/>
        <v/>
      </c>
      <c r="G86" s="610" t="str">
        <f t="shared" si="9"/>
        <v xml:space="preserve">TO ermöglicht: doppelten Kostenabzug; </v>
      </c>
      <c r="K86" s="1118"/>
      <c r="L86" s="1118">
        <v>2</v>
      </c>
      <c r="M86" s="1118"/>
      <c r="N86" s="1118"/>
      <c r="O86" s="756" t="s">
        <v>803</v>
      </c>
      <c r="P86" s="140">
        <f t="shared" si="6"/>
        <v>2</v>
      </c>
    </row>
    <row r="87" spans="1:16" ht="33.75">
      <c r="A87" s="586" t="str">
        <f t="shared" si="10"/>
        <v>Deutsche Telekom AG v. 01.07.2022</v>
      </c>
      <c r="B87" s="586">
        <f>ROW()</f>
        <v>87</v>
      </c>
      <c r="C87" s="611" t="s">
        <v>1257</v>
      </c>
      <c r="D87" s="1120">
        <v>44743</v>
      </c>
      <c r="F87" s="613" t="str">
        <f t="shared" si="11"/>
        <v/>
      </c>
      <c r="G87" s="610" t="str">
        <f t="shared" si="9"/>
        <v xml:space="preserve">TO ermöglicht: doppelten Kostenabzug;  Abweichungen vom gerichtl. festgelegten Ausgleichswert; </v>
      </c>
      <c r="K87" s="1118"/>
      <c r="L87" s="1118">
        <v>2</v>
      </c>
      <c r="M87" s="1118">
        <v>3</v>
      </c>
      <c r="N87" s="1118"/>
      <c r="P87" s="140">
        <f t="shared" si="6"/>
        <v>5</v>
      </c>
    </row>
    <row r="88" spans="1:16" ht="33.75">
      <c r="A88" s="586" t="str">
        <f t="shared" si="10"/>
        <v>Deutsche Telekom KBV bAV AT v. 19.03.2021</v>
      </c>
      <c r="B88" s="586">
        <f>ROW()</f>
        <v>88</v>
      </c>
      <c r="C88" s="611" t="s">
        <v>1033</v>
      </c>
      <c r="D88" s="1120">
        <v>44274</v>
      </c>
      <c r="F88" s="613" t="str">
        <f t="shared" si="11"/>
        <v/>
      </c>
      <c r="G88" s="610" t="str">
        <f t="shared" si="9"/>
        <v>TO ermöglicht: doppelten Kostenabzug;  Wertteilhabe (z.B. Verzinsung) zwischen EzE und RK geltend machen</v>
      </c>
      <c r="K88" s="1118"/>
      <c r="L88" s="1118">
        <v>2</v>
      </c>
      <c r="M88" s="1118"/>
      <c r="N88" s="1118">
        <v>4</v>
      </c>
      <c r="P88" s="140">
        <f t="shared" si="6"/>
        <v>6</v>
      </c>
    </row>
    <row r="89" spans="1:16" ht="90">
      <c r="A89" s="586" t="str">
        <f t="shared" si="10"/>
        <v>Deutsche Telekom TV Kapitalkontenplan v. 01.02.2022</v>
      </c>
      <c r="B89" s="586">
        <f>ROW()</f>
        <v>89</v>
      </c>
      <c r="C89" s="611" t="s">
        <v>1032</v>
      </c>
      <c r="D89" s="1120">
        <v>44593</v>
      </c>
      <c r="F89" s="613" t="str">
        <f t="shared" si="11"/>
        <v/>
      </c>
      <c r="G89" s="610" t="str">
        <f t="shared" si="9"/>
        <v/>
      </c>
      <c r="I89" s="610" t="s">
        <v>1034</v>
      </c>
      <c r="K89" s="1118"/>
      <c r="L89" s="1118"/>
      <c r="M89" s="1118"/>
      <c r="N89" s="1118"/>
      <c r="P89" s="140">
        <f t="shared" si="6"/>
        <v>0</v>
      </c>
    </row>
    <row r="90" spans="1:16">
      <c r="A90" s="586" t="str">
        <f t="shared" si="10"/>
        <v>Deutsche Welle Tarifvertrag v. 06.12.2009</v>
      </c>
      <c r="B90" s="586">
        <f>ROW()</f>
        <v>90</v>
      </c>
      <c r="C90" s="611" t="s">
        <v>941</v>
      </c>
      <c r="D90" s="1120">
        <v>40153</v>
      </c>
      <c r="F90" s="613" t="str">
        <f t="shared" si="11"/>
        <v/>
      </c>
      <c r="G90" s="610" t="str">
        <f t="shared" si="9"/>
        <v/>
      </c>
      <c r="K90" s="1118"/>
      <c r="L90" s="1118"/>
      <c r="M90" s="1118"/>
      <c r="N90" s="1118"/>
      <c r="P90" s="140">
        <f t="shared" si="6"/>
        <v>0</v>
      </c>
    </row>
    <row r="91" spans="1:16" ht="22.5">
      <c r="A91" s="586" t="str">
        <f t="shared" si="10"/>
        <v>Deutscher Pensionsfonds AG v. 01.01.2013</v>
      </c>
      <c r="B91" s="586">
        <f>ROW()</f>
        <v>91</v>
      </c>
      <c r="C91" s="611" t="s">
        <v>885</v>
      </c>
      <c r="D91" s="1120">
        <v>41275</v>
      </c>
      <c r="F91" s="613" t="str">
        <f t="shared" si="11"/>
        <v>Ja</v>
      </c>
      <c r="G91" s="610" t="str">
        <f t="shared" si="9"/>
        <v>TO ermöglicht: Tarifwechel;  Wertteilhabe (z.B. Verzinsung) zwischen EzE und RK geltend machen</v>
      </c>
      <c r="K91" s="1118">
        <v>1</v>
      </c>
      <c r="L91" s="1118"/>
      <c r="M91" s="1118"/>
      <c r="N91" s="1118">
        <v>4</v>
      </c>
      <c r="P91" s="140">
        <f t="shared" si="6"/>
        <v>5</v>
      </c>
    </row>
    <row r="92" spans="1:16" ht="67.5">
      <c r="A92" s="586" t="str">
        <f t="shared" si="10"/>
        <v>Deutscher Pensionsfonds AG v. 06.12.2020</v>
      </c>
      <c r="B92" s="586">
        <f>ROW()</f>
        <v>92</v>
      </c>
      <c r="C92" s="611" t="s">
        <v>885</v>
      </c>
      <c r="D92" s="1120">
        <v>44171</v>
      </c>
      <c r="E92" s="612" t="s">
        <v>1327</v>
      </c>
      <c r="F92" s="613" t="str">
        <f t="shared" si="11"/>
        <v/>
      </c>
      <c r="G92" s="610" t="str">
        <f t="shared" si="9"/>
        <v>TO ermöglicht: doppelten Kostenabzug;  Abweichungen vom gerichtl. festgelegten Ausgleichswert;  Wertteilhabe (z.B. Verzinsung) zwischen EzE und RK geltend machen</v>
      </c>
      <c r="I92" s="610" t="s">
        <v>1326</v>
      </c>
      <c r="J92" s="755"/>
      <c r="K92" s="1118"/>
      <c r="L92" s="1118">
        <v>2</v>
      </c>
      <c r="M92" s="1118">
        <v>3</v>
      </c>
      <c r="N92" s="1118">
        <v>4</v>
      </c>
      <c r="O92" s="817" t="s">
        <v>886</v>
      </c>
      <c r="P92" s="140">
        <f t="shared" si="6"/>
        <v>9</v>
      </c>
    </row>
    <row r="93" spans="1:16">
      <c r="A93" s="586" t="str">
        <f t="shared" si="10"/>
        <v>Deutschlandradio Tarifvertrag v. 10.12.2009</v>
      </c>
      <c r="B93" s="586">
        <f>ROW()</f>
        <v>93</v>
      </c>
      <c r="C93" s="611" t="s">
        <v>945</v>
      </c>
      <c r="D93" s="1120">
        <v>40157</v>
      </c>
      <c r="F93" s="613" t="str">
        <f t="shared" si="11"/>
        <v/>
      </c>
      <c r="G93" s="610" t="str">
        <f t="shared" si="9"/>
        <v/>
      </c>
      <c r="K93" s="1118"/>
      <c r="L93" s="1118"/>
      <c r="M93" s="1118"/>
      <c r="N93" s="1118"/>
      <c r="P93" s="140">
        <f t="shared" si="6"/>
        <v>0</v>
      </c>
    </row>
    <row r="94" spans="1:16" ht="22.5">
      <c r="A94" s="586" t="str">
        <f t="shared" si="10"/>
        <v>DFS Deutsche Flugsicherung v. 09.12.2016</v>
      </c>
      <c r="B94" s="586">
        <f>ROW()</f>
        <v>94</v>
      </c>
      <c r="C94" s="611" t="s">
        <v>949</v>
      </c>
      <c r="D94" s="1120">
        <v>42713</v>
      </c>
      <c r="E94" s="816" t="s">
        <v>951</v>
      </c>
      <c r="F94" s="613" t="str">
        <f t="shared" si="11"/>
        <v/>
      </c>
      <c r="G94" s="610" t="str">
        <f t="shared" si="9"/>
        <v xml:space="preserve">TO ermöglicht:  Abweichungen vom gerichtl. festgelegten Ausgleichswert; </v>
      </c>
      <c r="J94" s="755"/>
      <c r="K94" s="1118"/>
      <c r="L94" s="1118"/>
      <c r="M94" s="1118">
        <v>3</v>
      </c>
      <c r="N94" s="1118"/>
      <c r="P94" s="140">
        <f t="shared" si="6"/>
        <v>3</v>
      </c>
    </row>
    <row r="95" spans="1:16">
      <c r="A95" s="586" t="str">
        <f t="shared" si="10"/>
        <v>Diamalt v. 01.07.2021</v>
      </c>
      <c r="B95" s="586">
        <f>ROW()</f>
        <v>95</v>
      </c>
      <c r="C95" s="611" t="s">
        <v>1253</v>
      </c>
      <c r="D95" s="1120">
        <v>44378</v>
      </c>
      <c r="E95" s="612" t="s">
        <v>767</v>
      </c>
      <c r="F95" s="613" t="str">
        <f t="shared" si="11"/>
        <v/>
      </c>
      <c r="G95" s="610" t="str">
        <f t="shared" si="9"/>
        <v xml:space="preserve">TO ermöglicht: doppelten Kostenabzug; </v>
      </c>
      <c r="J95" s="755"/>
      <c r="K95" s="1118"/>
      <c r="L95" s="1118">
        <v>2</v>
      </c>
      <c r="M95" s="1118"/>
      <c r="N95" s="1118"/>
      <c r="O95" s="756"/>
      <c r="P95" s="140">
        <f t="shared" si="6"/>
        <v>2</v>
      </c>
    </row>
    <row r="96" spans="1:16" ht="25.5">
      <c r="A96" s="586" t="str">
        <f t="shared" si="10"/>
        <v>DINEA_Gastronomie_GmbH v. 01.07.2012</v>
      </c>
      <c r="B96" s="586">
        <f>ROW()</f>
        <v>96</v>
      </c>
      <c r="C96" s="611" t="s">
        <v>765</v>
      </c>
      <c r="D96" s="1120">
        <v>41091</v>
      </c>
      <c r="E96" s="612" t="s">
        <v>766</v>
      </c>
      <c r="F96" s="613" t="str">
        <f t="shared" si="11"/>
        <v/>
      </c>
      <c r="G96" s="610" t="str">
        <f t="shared" si="9"/>
        <v xml:space="preserve">TO ermöglicht: doppelten Kostenabzug; </v>
      </c>
      <c r="K96" s="1118"/>
      <c r="L96" s="1118">
        <v>2</v>
      </c>
      <c r="M96" s="1118"/>
      <c r="N96" s="1118"/>
      <c r="O96" s="756" t="s">
        <v>803</v>
      </c>
      <c r="P96" s="140">
        <f t="shared" si="6"/>
        <v>2</v>
      </c>
    </row>
    <row r="97" spans="1:16" ht="25.5">
      <c r="A97" s="586" t="str">
        <f t="shared" si="10"/>
        <v>Diversey GmbH &amp; Co. OHG v. 01.01.2010</v>
      </c>
      <c r="B97" s="586">
        <f>ROW()</f>
        <v>97</v>
      </c>
      <c r="C97" s="611" t="s">
        <v>1258</v>
      </c>
      <c r="D97" s="1120">
        <v>40179</v>
      </c>
      <c r="E97" s="612" t="s">
        <v>767</v>
      </c>
      <c r="F97" s="613" t="str">
        <f t="shared" si="11"/>
        <v/>
      </c>
      <c r="G97" s="610" t="str">
        <f t="shared" si="9"/>
        <v xml:space="preserve">TO ermöglicht: doppelten Kostenabzug; </v>
      </c>
      <c r="K97" s="1118"/>
      <c r="L97" s="1118">
        <v>2</v>
      </c>
      <c r="M97" s="1118"/>
      <c r="N97" s="1118"/>
      <c r="O97" s="756" t="s">
        <v>803</v>
      </c>
      <c r="P97" s="140">
        <f t="shared" si="6"/>
        <v>2</v>
      </c>
    </row>
    <row r="98" spans="1:16">
      <c r="A98" s="586" t="str">
        <f t="shared" si="10"/>
        <v>DKB Deutsche Kredit Bank AG</v>
      </c>
      <c r="B98" s="586">
        <f>ROW()</f>
        <v>98</v>
      </c>
      <c r="C98" s="611" t="s">
        <v>2020</v>
      </c>
      <c r="F98" s="613"/>
      <c r="K98" s="1118"/>
      <c r="L98" s="1118"/>
      <c r="M98" s="1118"/>
      <c r="N98" s="1118"/>
      <c r="O98" s="756"/>
      <c r="P98" s="140"/>
    </row>
    <row r="99" spans="1:16" ht="56.25">
      <c r="A99" s="586" t="str">
        <f t="shared" si="10"/>
        <v>DWS Investment GmbH Basisrentenverträge AltZertG v. 01.11.2018</v>
      </c>
      <c r="B99" s="586">
        <f>ROW()</f>
        <v>99</v>
      </c>
      <c r="C99" s="611" t="s">
        <v>1313</v>
      </c>
      <c r="D99" s="1120">
        <v>43405</v>
      </c>
      <c r="E99" s="612">
        <v>5</v>
      </c>
      <c r="F99" s="613" t="str">
        <f t="shared" si="11"/>
        <v>Ja</v>
      </c>
      <c r="G99" s="610" t="str">
        <f t="shared" si="9"/>
        <v>TO ermöglicht: Tarifwechel;  Abweichungen vom gerichtl. festgelegten Ausgleichswert;  Wertteilhabe (z.B. Verzinsung) zwischen EzE und RK geltend machen</v>
      </c>
      <c r="I99" s="610" t="s">
        <v>1314</v>
      </c>
      <c r="K99" s="1118">
        <v>1</v>
      </c>
      <c r="L99" s="1118"/>
      <c r="M99" s="1118">
        <v>3</v>
      </c>
      <c r="N99" s="1118">
        <v>4</v>
      </c>
      <c r="P99" s="140">
        <f t="shared" si="6"/>
        <v>8</v>
      </c>
    </row>
    <row r="100" spans="1:16" ht="38.25">
      <c r="A100" s="586" t="str">
        <f t="shared" si="10"/>
        <v>DWS Investment v. 01.06.2022</v>
      </c>
      <c r="B100" s="586">
        <f>ROW()</f>
        <v>100</v>
      </c>
      <c r="C100" s="611" t="s">
        <v>746</v>
      </c>
      <c r="D100" s="1120">
        <v>44713</v>
      </c>
      <c r="E100" s="612" t="s">
        <v>747</v>
      </c>
      <c r="F100" s="613" t="str">
        <f t="shared" si="11"/>
        <v>Ja</v>
      </c>
      <c r="G100" s="610" t="str">
        <f t="shared" si="9"/>
        <v xml:space="preserve">TO ermöglicht: Tarifwechel; </v>
      </c>
      <c r="K100" s="1118">
        <v>1</v>
      </c>
      <c r="L100" s="1118"/>
      <c r="M100" s="1118"/>
      <c r="N100" s="1118"/>
      <c r="O100" s="756" t="s">
        <v>748</v>
      </c>
      <c r="P100" s="140">
        <f t="shared" si="6"/>
        <v>1</v>
      </c>
    </row>
    <row r="101" spans="1:16" ht="25.5">
      <c r="A101" s="586" t="str">
        <f t="shared" si="10"/>
        <v>EDEKA Handelsgesellschaft Nordbayern-Sachsen-Thüringen mbH v. 01.09.2009</v>
      </c>
      <c r="B101" s="586">
        <f>ROW()</f>
        <v>101</v>
      </c>
      <c r="C101" s="611" t="s">
        <v>798</v>
      </c>
      <c r="D101" s="1120">
        <v>40057</v>
      </c>
      <c r="F101" s="613" t="str">
        <f t="shared" si="11"/>
        <v/>
      </c>
      <c r="G101" s="610" t="str">
        <f t="shared" si="9"/>
        <v xml:space="preserve">TO ermöglicht: doppelten Kostenabzug; </v>
      </c>
      <c r="K101" s="1118"/>
      <c r="L101" s="1118">
        <v>2</v>
      </c>
      <c r="M101" s="1118"/>
      <c r="N101" s="1118"/>
      <c r="O101" s="756" t="s">
        <v>803</v>
      </c>
      <c r="P101" s="140">
        <f t="shared" ref="P101:P174" si="12">SUM(K101:N101)</f>
        <v>2</v>
      </c>
    </row>
    <row r="102" spans="1:16" ht="25.5">
      <c r="A102" s="586" t="str">
        <f t="shared" si="10"/>
        <v>EDEKA Nordbayern-Schsen-Thüringen GmbH v. 01.09.2009</v>
      </c>
      <c r="B102" s="586">
        <f>ROW()</f>
        <v>102</v>
      </c>
      <c r="C102" s="611" t="s">
        <v>1259</v>
      </c>
      <c r="D102" s="1120">
        <v>40057</v>
      </c>
      <c r="E102" s="612" t="s">
        <v>767</v>
      </c>
      <c r="F102" s="613" t="str">
        <f t="shared" si="11"/>
        <v/>
      </c>
      <c r="G102" s="610" t="str">
        <f t="shared" si="9"/>
        <v xml:space="preserve">TO ermöglicht: doppelten Kostenabzug; </v>
      </c>
      <c r="K102" s="1118"/>
      <c r="L102" s="1118">
        <v>2</v>
      </c>
      <c r="M102" s="1118"/>
      <c r="N102" s="1118"/>
      <c r="O102" s="756"/>
      <c r="P102" s="140">
        <f t="shared" si="12"/>
        <v>2</v>
      </c>
    </row>
    <row r="103" spans="1:16" ht="25.5">
      <c r="A103" s="586" t="str">
        <f t="shared" si="10"/>
        <v>EDEKA Rhein-Ruhr R11 R12 v. 01.09.2018</v>
      </c>
      <c r="B103" s="586">
        <f>ROW()</f>
        <v>103</v>
      </c>
      <c r="C103" s="611" t="s">
        <v>800</v>
      </c>
      <c r="D103" s="1120">
        <v>43344</v>
      </c>
      <c r="E103" s="612" t="s">
        <v>767</v>
      </c>
      <c r="F103" s="613" t="str">
        <f t="shared" si="11"/>
        <v/>
      </c>
      <c r="G103" s="610" t="str">
        <f t="shared" si="9"/>
        <v xml:space="preserve">TO ermöglicht: doppelten Kostenabzug; </v>
      </c>
      <c r="K103" s="1118"/>
      <c r="L103" s="1118">
        <v>2</v>
      </c>
      <c r="M103" s="1118"/>
      <c r="N103" s="1118"/>
      <c r="O103" s="756" t="s">
        <v>803</v>
      </c>
      <c r="P103" s="140">
        <f t="shared" si="12"/>
        <v>2</v>
      </c>
    </row>
    <row r="104" spans="1:16" ht="25.5">
      <c r="A104" s="586" t="str">
        <f t="shared" si="10"/>
        <v>EDEKA Süd v. 01.09.2009</v>
      </c>
      <c r="B104" s="586">
        <f>ROW()</f>
        <v>104</v>
      </c>
      <c r="C104" s="611" t="s">
        <v>788</v>
      </c>
      <c r="D104" s="1120">
        <v>40057</v>
      </c>
      <c r="E104" s="612" t="s">
        <v>767</v>
      </c>
      <c r="F104" s="613" t="str">
        <f t="shared" si="11"/>
        <v/>
      </c>
      <c r="G104" s="610" t="str">
        <f t="shared" si="9"/>
        <v xml:space="preserve">TO ermöglicht: doppelten Kostenabzug; </v>
      </c>
      <c r="K104" s="1118"/>
      <c r="L104" s="1118">
        <v>2</v>
      </c>
      <c r="M104" s="1118"/>
      <c r="N104" s="1118"/>
      <c r="O104" s="756" t="s">
        <v>803</v>
      </c>
      <c r="P104" s="140">
        <f t="shared" si="12"/>
        <v>2</v>
      </c>
    </row>
    <row r="105" spans="1:16" ht="25.5">
      <c r="A105" s="586" t="str">
        <f t="shared" si="10"/>
        <v>EDEKA Südwest v. 01.09.2009</v>
      </c>
      <c r="B105" s="586">
        <f>ROW()</f>
        <v>105</v>
      </c>
      <c r="C105" s="611" t="s">
        <v>789</v>
      </c>
      <c r="D105" s="1120">
        <v>40057</v>
      </c>
      <c r="E105" s="612" t="s">
        <v>767</v>
      </c>
      <c r="F105" s="613" t="str">
        <f t="shared" si="11"/>
        <v/>
      </c>
      <c r="G105" s="610" t="str">
        <f t="shared" si="9"/>
        <v xml:space="preserve">TO ermöglicht: doppelten Kostenabzug; </v>
      </c>
      <c r="K105" s="1118"/>
      <c r="L105" s="1118">
        <v>2</v>
      </c>
      <c r="M105" s="1118"/>
      <c r="N105" s="1118"/>
      <c r="O105" s="756" t="s">
        <v>803</v>
      </c>
      <c r="P105" s="140">
        <f t="shared" si="12"/>
        <v>2</v>
      </c>
    </row>
    <row r="106" spans="1:16" ht="25.5">
      <c r="A106" s="586" t="str">
        <f t="shared" si="10"/>
        <v>EDEKA Zentrale Handel und Produktion GmbH v. 01.07.2016</v>
      </c>
      <c r="B106" s="586">
        <f>ROW()</f>
        <v>106</v>
      </c>
      <c r="C106" s="611" t="s">
        <v>797</v>
      </c>
      <c r="D106" s="1120">
        <v>42552</v>
      </c>
      <c r="E106" s="612" t="s">
        <v>767</v>
      </c>
      <c r="F106" s="613" t="str">
        <f t="shared" si="11"/>
        <v/>
      </c>
      <c r="G106" s="610" t="str">
        <f t="shared" si="9"/>
        <v xml:space="preserve">TO ermöglicht: doppelten Kostenabzug; </v>
      </c>
      <c r="K106" s="1118"/>
      <c r="L106" s="1118">
        <v>2</v>
      </c>
      <c r="M106" s="1118"/>
      <c r="N106" s="1118"/>
      <c r="O106" s="756" t="s">
        <v>803</v>
      </c>
      <c r="P106" s="140">
        <f t="shared" si="12"/>
        <v>2</v>
      </c>
    </row>
    <row r="107" spans="1:16" ht="25.5">
      <c r="A107" s="586" t="str">
        <f t="shared" si="10"/>
        <v>Edelweiss GmbH &amp; Co KG (EVO I und II) v. 01.07.2011</v>
      </c>
      <c r="B107" s="586">
        <f>ROW()</f>
        <v>107</v>
      </c>
      <c r="C107" s="611" t="s">
        <v>1260</v>
      </c>
      <c r="D107" s="1120">
        <v>40725</v>
      </c>
      <c r="E107" s="612">
        <v>5</v>
      </c>
      <c r="F107" s="613" t="str">
        <f t="shared" si="11"/>
        <v/>
      </c>
      <c r="G107" s="610" t="str">
        <f t="shared" si="9"/>
        <v xml:space="preserve">TO ermöglicht: doppelten Kostenabzug; </v>
      </c>
      <c r="K107" s="1118"/>
      <c r="L107" s="1118">
        <v>2</v>
      </c>
      <c r="M107" s="1118"/>
      <c r="N107" s="1118"/>
      <c r="O107" s="756"/>
      <c r="P107" s="140">
        <f t="shared" si="12"/>
        <v>2</v>
      </c>
    </row>
    <row r="108" spans="1:16" ht="25.5">
      <c r="A108" s="586" t="str">
        <f t="shared" si="10"/>
        <v>Edelweiss GmbH &amp; Co KG (EVO) v. 22.12.2012</v>
      </c>
      <c r="B108" s="586">
        <f>ROW()</f>
        <v>108</v>
      </c>
      <c r="C108" s="611" t="s">
        <v>793</v>
      </c>
      <c r="D108" s="1120">
        <v>41265</v>
      </c>
      <c r="E108" s="612" t="s">
        <v>767</v>
      </c>
      <c r="F108" s="613" t="str">
        <f t="shared" si="11"/>
        <v/>
      </c>
      <c r="G108" s="610" t="str">
        <f t="shared" si="9"/>
        <v xml:space="preserve">TO ermöglicht: doppelten Kostenabzug; </v>
      </c>
      <c r="J108" s="755"/>
      <c r="K108" s="1118"/>
      <c r="L108" s="1118">
        <v>2</v>
      </c>
      <c r="M108" s="1118"/>
      <c r="N108" s="1118"/>
      <c r="O108" s="756" t="s">
        <v>803</v>
      </c>
      <c r="P108" s="140">
        <f t="shared" si="12"/>
        <v>2</v>
      </c>
    </row>
    <row r="109" spans="1:16" ht="25.5">
      <c r="A109" s="586" t="str">
        <f t="shared" si="10"/>
        <v>Edelweiss GmbH &amp; Co KG (UVO) v. 01.09.2009</v>
      </c>
      <c r="B109" s="586">
        <f>ROW()</f>
        <v>109</v>
      </c>
      <c r="C109" s="611" t="s">
        <v>794</v>
      </c>
      <c r="D109" s="1120">
        <v>40057</v>
      </c>
      <c r="E109" s="612" t="s">
        <v>767</v>
      </c>
      <c r="F109" s="613" t="str">
        <f t="shared" si="11"/>
        <v/>
      </c>
      <c r="G109" s="610" t="str">
        <f t="shared" si="9"/>
        <v xml:space="preserve">TO ermöglicht: doppelten Kostenabzug; </v>
      </c>
      <c r="K109" s="1118"/>
      <c r="L109" s="1118">
        <v>2</v>
      </c>
      <c r="M109" s="1118"/>
      <c r="N109" s="1118"/>
      <c r="O109" s="756" t="s">
        <v>803</v>
      </c>
      <c r="P109" s="140">
        <f t="shared" si="12"/>
        <v>2</v>
      </c>
    </row>
    <row r="110" spans="1:16" ht="33.75">
      <c r="A110" s="586" t="str">
        <f t="shared" si="10"/>
        <v>EGU Ergo Gruppenunterstützungskasse e.V.  v. 12.01.2011</v>
      </c>
      <c r="B110" s="586">
        <f>ROW()</f>
        <v>110</v>
      </c>
      <c r="C110" s="611" t="s">
        <v>1886</v>
      </c>
      <c r="D110" s="1120">
        <v>40555</v>
      </c>
      <c r="E110" s="612" t="s">
        <v>718</v>
      </c>
      <c r="F110" s="613"/>
      <c r="G110" s="610" t="str">
        <f t="shared" si="9"/>
        <v>TO ermöglicht: Tarifwechel;  Wertteilhabe (z.B. Verzinsung) zwischen EzE und RK geltend machen</v>
      </c>
      <c r="I110" s="610" t="s">
        <v>1887</v>
      </c>
      <c r="K110" s="1118">
        <v>1</v>
      </c>
      <c r="L110" s="1118"/>
      <c r="M110" s="1118"/>
      <c r="N110" s="1118">
        <v>4</v>
      </c>
      <c r="O110" s="756"/>
      <c r="P110" s="140">
        <f t="shared" si="12"/>
        <v>5</v>
      </c>
    </row>
    <row r="111" spans="1:16" ht="25.5">
      <c r="A111" s="586" t="str">
        <f t="shared" si="10"/>
        <v>EKN Betriebs AG &amp; Co. oHG: Direktzusagen v. 01.04.2017</v>
      </c>
      <c r="B111" s="586">
        <f>ROW()</f>
        <v>111</v>
      </c>
      <c r="C111" s="611" t="s">
        <v>799</v>
      </c>
      <c r="D111" s="1120">
        <v>42826</v>
      </c>
      <c r="E111" s="612" t="s">
        <v>195</v>
      </c>
      <c r="F111" s="613" t="str">
        <f t="shared" si="11"/>
        <v/>
      </c>
      <c r="G111" s="610" t="str">
        <f t="shared" si="9"/>
        <v/>
      </c>
      <c r="K111" s="1118"/>
      <c r="L111" s="1118"/>
      <c r="M111" s="1118"/>
      <c r="N111" s="1118"/>
      <c r="O111" s="756" t="s">
        <v>803</v>
      </c>
      <c r="P111" s="140">
        <f t="shared" si="12"/>
        <v>0</v>
      </c>
    </row>
    <row r="112" spans="1:16" ht="56.25">
      <c r="A112" s="586" t="str">
        <f t="shared" si="10"/>
        <v>ERGO Unterstützungskasse v. 01.03.2010</v>
      </c>
      <c r="B112" s="586">
        <f>ROW()</f>
        <v>112</v>
      </c>
      <c r="C112" s="611" t="s">
        <v>1205</v>
      </c>
      <c r="D112" s="1120">
        <v>40238</v>
      </c>
      <c r="E112" s="612">
        <v>5</v>
      </c>
      <c r="F112" s="613" t="str">
        <f t="shared" si="11"/>
        <v/>
      </c>
      <c r="G112" s="610" t="str">
        <f t="shared" si="9"/>
        <v/>
      </c>
      <c r="I112" s="610" t="s">
        <v>1206</v>
      </c>
      <c r="K112" s="1118"/>
      <c r="L112" s="1118"/>
      <c r="M112" s="1118"/>
      <c r="N112" s="1118"/>
      <c r="P112" s="140">
        <f t="shared" si="12"/>
        <v>0</v>
      </c>
    </row>
    <row r="113" spans="1:16">
      <c r="A113" s="586" t="str">
        <f t="shared" si="10"/>
        <v>ERGO v. 16.01.2020</v>
      </c>
      <c r="B113" s="586">
        <f>ROW()</f>
        <v>113</v>
      </c>
      <c r="C113" s="611" t="s">
        <v>650</v>
      </c>
      <c r="D113" s="1120">
        <v>43846</v>
      </c>
      <c r="E113" s="612" t="s">
        <v>651</v>
      </c>
      <c r="F113" s="613" t="str">
        <f t="shared" si="11"/>
        <v>Ja</v>
      </c>
      <c r="G113" s="610" t="str">
        <f t="shared" si="9"/>
        <v xml:space="preserve">TO ermöglicht: Tarifwechel; </v>
      </c>
      <c r="K113" s="1118">
        <v>1</v>
      </c>
      <c r="L113" s="1118"/>
      <c r="M113" s="1118"/>
      <c r="N113" s="1118"/>
      <c r="O113" s="610"/>
      <c r="P113" s="140">
        <f t="shared" si="12"/>
        <v>1</v>
      </c>
    </row>
    <row r="114" spans="1:16" ht="45">
      <c r="A114" s="586" t="str">
        <f t="shared" si="10"/>
        <v>ERGO v. 25.02.2020</v>
      </c>
      <c r="B114" s="586">
        <f>ROW()</f>
        <v>114</v>
      </c>
      <c r="C114" s="611" t="s">
        <v>650</v>
      </c>
      <c r="D114" s="1120">
        <v>43886</v>
      </c>
      <c r="F114" s="613" t="str">
        <f t="shared" si="11"/>
        <v/>
      </c>
      <c r="G114" s="610" t="str">
        <f t="shared" si="9"/>
        <v>TO ermöglicht: doppelten Kostenabzug;  Abweichungen vom gerichtl. festgelegten Ausgleichswert;  Wertteilhabe (z.B. Verzinsung) zwischen EzE und RK geltend machen</v>
      </c>
      <c r="K114" s="1118"/>
      <c r="L114" s="1118">
        <v>2</v>
      </c>
      <c r="M114" s="1118">
        <v>3</v>
      </c>
      <c r="N114" s="1118">
        <v>4</v>
      </c>
      <c r="P114" s="140">
        <f t="shared" si="12"/>
        <v>9</v>
      </c>
    </row>
    <row r="115" spans="1:16" ht="56.25">
      <c r="A115" s="586" t="str">
        <f t="shared" si="10"/>
        <v>ERGO Pensionsfonds AG v. 18.08.2021</v>
      </c>
      <c r="B115" s="586">
        <f>ROW()</f>
        <v>115</v>
      </c>
      <c r="C115" s="611" t="s">
        <v>1589</v>
      </c>
      <c r="D115" s="1120">
        <v>44426</v>
      </c>
      <c r="E115" s="612" t="s">
        <v>718</v>
      </c>
      <c r="F115" s="613" t="str">
        <f t="shared" si="11"/>
        <v>Ja</v>
      </c>
      <c r="G115" s="610" t="str">
        <f t="shared" si="9"/>
        <v>TO ermöglicht: Tarifwechel; doppelten Kostenabzug;  Wertteilhabe (z.B. Verzinsung) zwischen EzE und RK geltend machen</v>
      </c>
      <c r="I115" s="610" t="s">
        <v>1590</v>
      </c>
      <c r="K115" s="1118">
        <v>1</v>
      </c>
      <c r="L115" s="1118">
        <v>2</v>
      </c>
      <c r="M115" s="1118"/>
      <c r="N115" s="1118">
        <v>4</v>
      </c>
      <c r="P115" s="140"/>
    </row>
    <row r="116" spans="1:16" ht="33.75">
      <c r="A116" s="586" t="str">
        <f>C116&amp;IF(D116=0,""," v. "&amp;TEXT(D116,"TT.MM.JJJ"))</f>
        <v>ERGO Lebensversicherung AG v. 12.01.2012</v>
      </c>
      <c r="B116" s="586">
        <f>ROW()</f>
        <v>116</v>
      </c>
      <c r="C116" s="611" t="s">
        <v>1591</v>
      </c>
      <c r="D116" s="1120">
        <v>40920</v>
      </c>
      <c r="F116" s="613" t="str">
        <f t="shared" si="11"/>
        <v>Ja</v>
      </c>
      <c r="G116" s="610" t="str">
        <f t="shared" si="9"/>
        <v>TO ermöglicht: Tarifwechel; doppelten Kostenabzug;  Wertteilhabe (z.B. Verzinsung) zwischen EzE und RK geltend machen</v>
      </c>
      <c r="K116" s="1118">
        <v>1</v>
      </c>
      <c r="L116" s="1118">
        <v>2</v>
      </c>
      <c r="M116" s="1118"/>
      <c r="N116" s="1118">
        <v>4</v>
      </c>
      <c r="P116" s="140"/>
    </row>
    <row r="117" spans="1:16" ht="45">
      <c r="A117" s="586" t="str">
        <f t="shared" si="10"/>
        <v>Ernest &amp; Young v. 12.04.2010</v>
      </c>
      <c r="B117" s="586">
        <f>ROW()</f>
        <v>117</v>
      </c>
      <c r="C117" s="611" t="s">
        <v>1058</v>
      </c>
      <c r="D117" s="1120">
        <v>40280</v>
      </c>
      <c r="E117" s="612" t="s">
        <v>1059</v>
      </c>
      <c r="F117" s="613" t="str">
        <f t="shared" si="11"/>
        <v/>
      </c>
      <c r="G117" s="610" t="str">
        <f t="shared" si="9"/>
        <v>TO ermöglicht: doppelten Kostenabzug;  Abweichungen vom gerichtl. festgelegten Ausgleichswert;  Wertteilhabe (z.B. Verzinsung) zwischen EzE und RK geltend machen</v>
      </c>
      <c r="K117" s="1118"/>
      <c r="L117" s="1118">
        <v>2</v>
      </c>
      <c r="M117" s="1118">
        <v>3</v>
      </c>
      <c r="N117" s="1118">
        <v>4</v>
      </c>
      <c r="P117" s="140">
        <f t="shared" si="12"/>
        <v>9</v>
      </c>
    </row>
    <row r="118" spans="1:16" ht="33.75">
      <c r="A118" s="586" t="str">
        <f t="shared" si="10"/>
        <v>Ernest &amp; Young v. 22.07.2016</v>
      </c>
      <c r="B118" s="586">
        <f>ROW()</f>
        <v>118</v>
      </c>
      <c r="C118" s="611" t="s">
        <v>1058</v>
      </c>
      <c r="D118" s="1120">
        <v>42573</v>
      </c>
      <c r="E118" s="612" t="s">
        <v>718</v>
      </c>
      <c r="F118" s="613" t="str">
        <f t="shared" si="11"/>
        <v/>
      </c>
      <c r="G118" s="610" t="str">
        <f t="shared" si="9"/>
        <v>TO ermöglicht: doppelten Kostenabzug;  Wertteilhabe (z.B. Verzinsung) zwischen EzE und RK geltend machen</v>
      </c>
      <c r="K118" s="1118"/>
      <c r="L118" s="1118">
        <v>2</v>
      </c>
      <c r="M118" s="1118"/>
      <c r="N118" s="1118">
        <v>4</v>
      </c>
      <c r="P118" s="140">
        <f t="shared" si="12"/>
        <v>6</v>
      </c>
    </row>
    <row r="119" spans="1:16" ht="22.5">
      <c r="A119" s="586" t="str">
        <f t="shared" si="10"/>
        <v>Essener Verband  v. 10.11.2009</v>
      </c>
      <c r="B119" s="586">
        <f>ROW()</f>
        <v>119</v>
      </c>
      <c r="C119" s="611" t="s">
        <v>1060</v>
      </c>
      <c r="D119" s="1120">
        <v>40127</v>
      </c>
      <c r="E119" s="612" t="s">
        <v>1061</v>
      </c>
      <c r="F119" s="613" t="str">
        <f t="shared" si="11"/>
        <v/>
      </c>
      <c r="G119" s="610" t="str">
        <f t="shared" si="9"/>
        <v>TO ermöglicht:  Wertteilhabe (z.B. Verzinsung) zwischen EzE und RK geltend machen</v>
      </c>
      <c r="K119" s="1118"/>
      <c r="L119" s="1118"/>
      <c r="M119" s="1118"/>
      <c r="N119" s="1118">
        <v>4</v>
      </c>
      <c r="P119" s="140">
        <f t="shared" si="12"/>
        <v>4</v>
      </c>
    </row>
    <row r="120" spans="1:16" ht="45">
      <c r="A120" s="586" t="str">
        <f t="shared" si="10"/>
        <v>Essener Verband Leistungsordnung "A" v. 01.01.2012</v>
      </c>
      <c r="B120" s="586">
        <f>ROW()</f>
        <v>120</v>
      </c>
      <c r="C120" s="611" t="s">
        <v>1164</v>
      </c>
      <c r="D120" s="1120">
        <v>40909</v>
      </c>
      <c r="E120" s="612" t="s">
        <v>197</v>
      </c>
      <c r="F120" s="613" t="str">
        <f t="shared" si="11"/>
        <v/>
      </c>
      <c r="G120" s="610" t="str">
        <f t="shared" si="9"/>
        <v>TO ermöglicht: doppelten Kostenabzug;  Abweichungen vom gerichtl. festgelegten Ausgleichswert;  Wertteilhabe (z.B. Verzinsung) zwischen EzE und RK geltend machen</v>
      </c>
      <c r="K120" s="1118"/>
      <c r="L120" s="1118">
        <v>2</v>
      </c>
      <c r="M120" s="1118">
        <v>3</v>
      </c>
      <c r="N120" s="1118">
        <v>4</v>
      </c>
      <c r="P120" s="140">
        <f t="shared" si="12"/>
        <v>9</v>
      </c>
    </row>
    <row r="121" spans="1:16" ht="45">
      <c r="A121" s="586" t="str">
        <f t="shared" si="10"/>
        <v>Esso Deutschland GmbH v. 09.02.2010</v>
      </c>
      <c r="B121" s="586">
        <f>ROW()</f>
        <v>121</v>
      </c>
      <c r="C121" s="611" t="s">
        <v>1244</v>
      </c>
      <c r="D121" s="1120">
        <v>40218</v>
      </c>
      <c r="E121" s="612" t="s">
        <v>1072</v>
      </c>
      <c r="F121" s="613" t="str">
        <f t="shared" si="11"/>
        <v/>
      </c>
      <c r="G121" s="610" t="str">
        <f t="shared" si="9"/>
        <v xml:space="preserve">TO ermöglicht: doppelten Kostenabzug;  Abweichungen vom gerichtl. festgelegten Ausgleichswert; </v>
      </c>
      <c r="I121" s="610" t="s">
        <v>1248</v>
      </c>
      <c r="K121" s="1118"/>
      <c r="L121" s="1118">
        <v>2</v>
      </c>
      <c r="M121" s="1118">
        <v>3</v>
      </c>
      <c r="N121" s="1118"/>
      <c r="P121" s="140">
        <f t="shared" si="12"/>
        <v>5</v>
      </c>
    </row>
    <row r="122" spans="1:16">
      <c r="A122" s="586" t="str">
        <f t="shared" si="10"/>
        <v>E.ON AG  v. 20.08.2010</v>
      </c>
      <c r="B122" s="586">
        <f>ROW()</f>
        <v>122</v>
      </c>
      <c r="C122" s="611" t="s">
        <v>2021</v>
      </c>
      <c r="D122" s="1120">
        <v>40410</v>
      </c>
      <c r="E122" s="612" t="s">
        <v>2022</v>
      </c>
      <c r="F122" s="613"/>
      <c r="G122" s="610" t="str">
        <f t="shared" si="9"/>
        <v/>
      </c>
      <c r="K122" s="1118"/>
      <c r="L122" s="1118"/>
      <c r="M122" s="1118"/>
      <c r="N122" s="1118"/>
      <c r="P122" s="140"/>
    </row>
    <row r="123" spans="1:16" ht="22.5">
      <c r="A123" s="586" t="str">
        <f t="shared" si="10"/>
        <v>Evonik v. 04.12.2009</v>
      </c>
      <c r="B123" s="586">
        <f>ROW()</f>
        <v>123</v>
      </c>
      <c r="C123" s="611" t="s">
        <v>998</v>
      </c>
      <c r="D123" s="1120">
        <v>40151</v>
      </c>
      <c r="E123" s="612" t="s">
        <v>999</v>
      </c>
      <c r="F123" s="613" t="str">
        <f t="shared" si="11"/>
        <v/>
      </c>
      <c r="G123" s="610" t="str">
        <f t="shared" si="9"/>
        <v>TO ermöglicht:  Wertteilhabe (z.B. Verzinsung) zwischen EzE und RK geltend machen</v>
      </c>
      <c r="K123" s="1118"/>
      <c r="L123" s="1118"/>
      <c r="M123" s="1118"/>
      <c r="N123" s="1118">
        <v>4</v>
      </c>
      <c r="P123" s="140">
        <f t="shared" si="12"/>
        <v>4</v>
      </c>
    </row>
    <row r="124" spans="1:16">
      <c r="A124" s="586" t="str">
        <f t="shared" si="10"/>
        <v>Evonik v. 15.05.2015</v>
      </c>
      <c r="B124" s="586">
        <f>ROW()</f>
        <v>124</v>
      </c>
      <c r="C124" s="611" t="s">
        <v>998</v>
      </c>
      <c r="D124" s="1120">
        <v>42139</v>
      </c>
      <c r="E124" s="612" t="s">
        <v>999</v>
      </c>
      <c r="F124" s="613" t="str">
        <f t="shared" si="11"/>
        <v/>
      </c>
      <c r="G124" s="610" t="str">
        <f t="shared" si="9"/>
        <v/>
      </c>
      <c r="J124" s="755"/>
      <c r="K124" s="1118"/>
      <c r="L124" s="1118"/>
      <c r="M124" s="1118"/>
      <c r="N124" s="1118"/>
      <c r="P124" s="140">
        <f t="shared" si="12"/>
        <v>0</v>
      </c>
    </row>
    <row r="125" spans="1:16" ht="45">
      <c r="A125" s="586" t="str">
        <f t="shared" si="10"/>
        <v>ExxonMobil Central Europe Holding GmbH v. 09.02.2010</v>
      </c>
      <c r="B125" s="586">
        <f>ROW()</f>
        <v>125</v>
      </c>
      <c r="C125" s="611" t="s">
        <v>1243</v>
      </c>
      <c r="D125" s="1120">
        <v>40218</v>
      </c>
      <c r="E125" s="612" t="s">
        <v>1072</v>
      </c>
      <c r="F125" s="613" t="str">
        <f t="shared" si="11"/>
        <v/>
      </c>
      <c r="G125" s="610" t="str">
        <f t="shared" si="9"/>
        <v xml:space="preserve">TO ermöglicht: doppelten Kostenabzug;  Abweichungen vom gerichtl. festgelegten Ausgleichswert; </v>
      </c>
      <c r="I125" s="610" t="s">
        <v>1248</v>
      </c>
      <c r="K125" s="1118"/>
      <c r="L125" s="1118">
        <v>2</v>
      </c>
      <c r="M125" s="1118">
        <v>3</v>
      </c>
      <c r="N125" s="1118"/>
      <c r="P125" s="140">
        <f t="shared" si="12"/>
        <v>5</v>
      </c>
    </row>
    <row r="126" spans="1:16" ht="45">
      <c r="A126" s="586" t="str">
        <f t="shared" si="10"/>
        <v>ExxonMobil Gas Marketing Deuschland GmbH v. 09.02.2010</v>
      </c>
      <c r="B126" s="586">
        <f>ROW()</f>
        <v>126</v>
      </c>
      <c r="C126" s="611" t="s">
        <v>1247</v>
      </c>
      <c r="D126" s="1120">
        <v>40218</v>
      </c>
      <c r="E126" s="612" t="s">
        <v>1072</v>
      </c>
      <c r="F126" s="613" t="str">
        <f t="shared" si="11"/>
        <v/>
      </c>
      <c r="G126" s="610" t="str">
        <f t="shared" si="9"/>
        <v xml:space="preserve">TO ermöglicht: doppelten Kostenabzug;  Abweichungen vom gerichtl. festgelegten Ausgleichswert; </v>
      </c>
      <c r="I126" s="610" t="s">
        <v>1248</v>
      </c>
      <c r="K126" s="1118"/>
      <c r="L126" s="1118">
        <v>2</v>
      </c>
      <c r="M126" s="1118">
        <v>3</v>
      </c>
      <c r="N126" s="1118"/>
      <c r="P126" s="140">
        <f t="shared" si="12"/>
        <v>5</v>
      </c>
    </row>
    <row r="127" spans="1:16" ht="45">
      <c r="A127" s="586" t="str">
        <f t="shared" si="10"/>
        <v>ExxonMobil Pensions-Verwaltungsgesellschaft mbH v. 09.02.2010</v>
      </c>
      <c r="B127" s="586">
        <f>ROW()</f>
        <v>127</v>
      </c>
      <c r="C127" s="611" t="s">
        <v>1245</v>
      </c>
      <c r="D127" s="1120">
        <v>40218</v>
      </c>
      <c r="E127" s="612" t="s">
        <v>1072</v>
      </c>
      <c r="F127" s="613" t="str">
        <f t="shared" si="11"/>
        <v/>
      </c>
      <c r="G127" s="610" t="str">
        <f t="shared" si="9"/>
        <v xml:space="preserve">TO ermöglicht: doppelten Kostenabzug;  Abweichungen vom gerichtl. festgelegten Ausgleichswert; </v>
      </c>
      <c r="I127" s="610" t="s">
        <v>1248</v>
      </c>
      <c r="K127" s="1118"/>
      <c r="L127" s="1118">
        <v>2</v>
      </c>
      <c r="M127" s="1118">
        <v>3</v>
      </c>
      <c r="N127" s="1118"/>
      <c r="P127" s="140">
        <f t="shared" si="12"/>
        <v>5</v>
      </c>
    </row>
    <row r="128" spans="1:16" ht="45">
      <c r="A128" s="586" t="str">
        <f t="shared" si="10"/>
        <v>ExxonMobil Production Deutschland GmbH v. 09.02.2010</v>
      </c>
      <c r="B128" s="586">
        <f>ROW()</f>
        <v>128</v>
      </c>
      <c r="C128" s="611" t="s">
        <v>1246</v>
      </c>
      <c r="D128" s="1120">
        <v>40218</v>
      </c>
      <c r="E128" s="612" t="s">
        <v>1072</v>
      </c>
      <c r="F128" s="613" t="str">
        <f t="shared" si="11"/>
        <v/>
      </c>
      <c r="G128" s="610" t="str">
        <f t="shared" si="9"/>
        <v xml:space="preserve">TO ermöglicht: doppelten Kostenabzug;  Abweichungen vom gerichtl. festgelegten Ausgleichswert; </v>
      </c>
      <c r="I128" s="610" t="s">
        <v>1248</v>
      </c>
      <c r="K128" s="1118"/>
      <c r="L128" s="1118">
        <v>2</v>
      </c>
      <c r="M128" s="1118">
        <v>3</v>
      </c>
      <c r="N128" s="1118"/>
      <c r="P128" s="140">
        <f t="shared" si="12"/>
        <v>5</v>
      </c>
    </row>
    <row r="129" spans="1:16" ht="33.75">
      <c r="A129" s="586" t="str">
        <f t="shared" si="10"/>
        <v>EY Ernest &amp; Young GmbH v. 22.07.2016</v>
      </c>
      <c r="B129" s="586">
        <f>ROW()</f>
        <v>129</v>
      </c>
      <c r="C129" s="611" t="s">
        <v>954</v>
      </c>
      <c r="D129" s="1120">
        <v>42573</v>
      </c>
      <c r="E129" s="612" t="s">
        <v>758</v>
      </c>
      <c r="F129" s="613" t="str">
        <f t="shared" si="11"/>
        <v/>
      </c>
      <c r="G129" s="610" t="str">
        <f t="shared" si="9"/>
        <v>TO ermöglicht: doppelten Kostenabzug;  Wertteilhabe (z.B. Verzinsung) zwischen EzE und RK geltend machen</v>
      </c>
      <c r="K129" s="1118"/>
      <c r="L129" s="1118">
        <v>2</v>
      </c>
      <c r="M129" s="1118"/>
      <c r="N129" s="1118">
        <v>4</v>
      </c>
      <c r="P129" s="140">
        <f t="shared" si="12"/>
        <v>6</v>
      </c>
    </row>
    <row r="130" spans="1:16" ht="45">
      <c r="A130" s="586" t="str">
        <f t="shared" si="10"/>
        <v>Familienfürsorge UK v. 01.01.2011</v>
      </c>
      <c r="B130" s="586">
        <f>ROW()</f>
        <v>130</v>
      </c>
      <c r="C130" s="611" t="s">
        <v>1062</v>
      </c>
      <c r="D130" s="1120">
        <v>40544</v>
      </c>
      <c r="E130" s="612" t="s">
        <v>1063</v>
      </c>
      <c r="F130" s="613" t="str">
        <f t="shared" si="11"/>
        <v/>
      </c>
      <c r="G130" s="610" t="str">
        <f t="shared" si="9"/>
        <v>TO ermöglicht: doppelten Kostenabzug;  Abweichungen vom gerichtl. festgelegten Ausgleichswert;  Wertteilhabe (z.B. Verzinsung) zwischen EzE und RK geltend machen</v>
      </c>
      <c r="K130" s="1118"/>
      <c r="L130" s="1118">
        <v>2</v>
      </c>
      <c r="M130" s="1118">
        <v>3</v>
      </c>
      <c r="N130" s="1118">
        <v>4</v>
      </c>
      <c r="P130" s="140">
        <f t="shared" si="12"/>
        <v>9</v>
      </c>
    </row>
    <row r="131" spans="1:16">
      <c r="A131" s="586" t="str">
        <f t="shared" si="10"/>
        <v>Feuersozietät Berlin Brandenburg AG v. 01.09.2009</v>
      </c>
      <c r="B131" s="586">
        <f>ROW()</f>
        <v>131</v>
      </c>
      <c r="C131" s="611" t="s">
        <v>1064</v>
      </c>
      <c r="D131" s="1120">
        <v>40057</v>
      </c>
      <c r="E131" s="612" t="s">
        <v>1065</v>
      </c>
      <c r="F131" s="613" t="str">
        <f t="shared" si="11"/>
        <v>Ja</v>
      </c>
      <c r="G131" s="610" t="str">
        <f t="shared" si="9"/>
        <v xml:space="preserve">TO ermöglicht: Tarifwechel; </v>
      </c>
      <c r="J131" s="755"/>
      <c r="K131" s="1118">
        <v>1</v>
      </c>
      <c r="L131" s="1118"/>
      <c r="M131" s="1118"/>
      <c r="N131" s="1118"/>
      <c r="P131" s="140">
        <f t="shared" si="12"/>
        <v>1</v>
      </c>
    </row>
    <row r="132" spans="1:16">
      <c r="A132" s="586" t="str">
        <f t="shared" si="10"/>
        <v>FOVERUKA v. 13.12.2016</v>
      </c>
      <c r="B132" s="586">
        <f>ROW()</f>
        <v>132</v>
      </c>
      <c r="C132" s="611" t="s">
        <v>948</v>
      </c>
      <c r="D132" s="1120">
        <v>42717</v>
      </c>
      <c r="F132" s="613" t="str">
        <f t="shared" si="11"/>
        <v/>
      </c>
      <c r="G132" s="610" t="str">
        <f t="shared" si="9"/>
        <v xml:space="preserve">TO ermöglicht: doppelten Kostenabzug; </v>
      </c>
      <c r="K132" s="1118"/>
      <c r="L132" s="1118">
        <v>2</v>
      </c>
      <c r="M132" s="1118"/>
      <c r="N132" s="1118"/>
      <c r="P132" s="140">
        <f t="shared" si="12"/>
        <v>2</v>
      </c>
    </row>
    <row r="133" spans="1:16" ht="33.75">
      <c r="A133" s="586" t="str">
        <f t="shared" si="10"/>
        <v>Frankfurt Münchener Lebensversicherung AG v. 15.7.2017?</v>
      </c>
      <c r="B133" s="586">
        <f>ROW()</f>
        <v>133</v>
      </c>
      <c r="C133" s="586" t="s">
        <v>1602</v>
      </c>
      <c r="D133" s="1120" t="s">
        <v>1603</v>
      </c>
      <c r="E133" s="612" t="s">
        <v>651</v>
      </c>
      <c r="F133" s="613" t="str">
        <f>IF(K133=1,"Ja","")</f>
        <v>Ja</v>
      </c>
      <c r="G133" s="610" t="str">
        <f t="shared" si="9"/>
        <v>TO ermöglicht: Tarifwechel; doppelten Kostenabzug;  Wertteilhabe (z.B. Verzinsung) zwischen EzE und RK geltend machen</v>
      </c>
      <c r="K133" s="1118">
        <v>1</v>
      </c>
      <c r="L133" s="1118">
        <v>2</v>
      </c>
      <c r="M133" s="1118"/>
      <c r="N133" s="1118">
        <v>4</v>
      </c>
      <c r="P133" s="140"/>
    </row>
    <row r="134" spans="1:16" ht="25.5">
      <c r="A134" s="586" t="str">
        <f t="shared" si="10"/>
        <v>Freies Versorgungswerk e.V. v. 01.02.2012</v>
      </c>
      <c r="B134" s="586">
        <f>ROW()</f>
        <v>134</v>
      </c>
      <c r="C134" s="611" t="s">
        <v>734</v>
      </c>
      <c r="D134" s="1120">
        <v>40940</v>
      </c>
      <c r="E134" s="612" t="s">
        <v>735</v>
      </c>
      <c r="F134" s="613" t="str">
        <f t="shared" si="11"/>
        <v/>
      </c>
      <c r="G134" s="610" t="str">
        <f t="shared" si="9"/>
        <v/>
      </c>
      <c r="J134" s="755"/>
      <c r="K134" s="1118"/>
      <c r="L134" s="1118"/>
      <c r="M134" s="1118"/>
      <c r="N134" s="1118"/>
      <c r="O134" s="760" t="s">
        <v>736</v>
      </c>
      <c r="P134" s="140">
        <f t="shared" si="12"/>
        <v>0</v>
      </c>
    </row>
    <row r="135" spans="1:16">
      <c r="A135" s="586" t="str">
        <f t="shared" si="10"/>
        <v>Fresenius v. 01.03.2017</v>
      </c>
      <c r="B135" s="586">
        <f>ROW()</f>
        <v>135</v>
      </c>
      <c r="C135" s="611" t="s">
        <v>1336</v>
      </c>
      <c r="D135" s="1120">
        <v>42795</v>
      </c>
      <c r="F135" s="613" t="str">
        <f t="shared" si="11"/>
        <v/>
      </c>
      <c r="G135" s="610" t="str">
        <f t="shared" si="9"/>
        <v/>
      </c>
      <c r="K135" s="1118"/>
      <c r="L135" s="1118"/>
      <c r="M135" s="1118"/>
      <c r="N135" s="1118"/>
      <c r="P135" s="140">
        <f t="shared" si="12"/>
        <v>0</v>
      </c>
    </row>
    <row r="136" spans="1:16" ht="25.5">
      <c r="A136" s="586" t="str">
        <f t="shared" si="10"/>
        <v>GALERIA Logisitik GmbH v. 01.07.2012</v>
      </c>
      <c r="B136" s="586">
        <f>ROW()</f>
        <v>136</v>
      </c>
      <c r="C136" s="611" t="s">
        <v>1119</v>
      </c>
      <c r="D136" s="1120">
        <v>41091</v>
      </c>
      <c r="E136" s="612" t="s">
        <v>767</v>
      </c>
      <c r="F136" s="613" t="str">
        <f t="shared" si="11"/>
        <v/>
      </c>
      <c r="G136" s="610" t="str">
        <f t="shared" si="9"/>
        <v xml:space="preserve">TO ermöglicht: doppelten Kostenabzug; </v>
      </c>
      <c r="K136" s="1118"/>
      <c r="L136" s="1118">
        <v>2</v>
      </c>
      <c r="M136" s="1118"/>
      <c r="N136" s="1118"/>
      <c r="O136" s="756" t="s">
        <v>803</v>
      </c>
      <c r="P136" s="140">
        <f t="shared" si="12"/>
        <v>2</v>
      </c>
    </row>
    <row r="137" spans="1:16">
      <c r="A137" s="586" t="str">
        <f t="shared" si="10"/>
        <v>GALERIA Personalservice GmbH TO v. 01.07.2012</v>
      </c>
      <c r="B137" s="586">
        <f>ROW()</f>
        <v>137</v>
      </c>
      <c r="C137" s="611" t="s">
        <v>1120</v>
      </c>
      <c r="D137" s="1120">
        <v>41091</v>
      </c>
      <c r="F137" s="613" t="str">
        <f t="shared" si="11"/>
        <v/>
      </c>
      <c r="G137" s="610" t="str">
        <f t="shared" si="9"/>
        <v xml:space="preserve">TO ermöglicht: doppelten Kostenabzug; </v>
      </c>
      <c r="J137" s="755"/>
      <c r="K137" s="1118"/>
      <c r="L137" s="1118">
        <v>2</v>
      </c>
      <c r="M137" s="1118"/>
      <c r="N137" s="1118"/>
      <c r="O137" s="760"/>
      <c r="P137" s="140">
        <f t="shared" si="12"/>
        <v>2</v>
      </c>
    </row>
    <row r="138" spans="1:16" ht="45">
      <c r="A138" s="586" t="str">
        <f t="shared" si="10"/>
        <v>Generali Lebensversicherung AG v. 01.12.2009</v>
      </c>
      <c r="B138" s="586">
        <f>ROW()</f>
        <v>138</v>
      </c>
      <c r="C138" s="611" t="s">
        <v>1067</v>
      </c>
      <c r="D138" s="1120">
        <v>40148</v>
      </c>
      <c r="F138" s="613" t="str">
        <f t="shared" si="11"/>
        <v>Ja</v>
      </c>
      <c r="G138" s="610" t="str">
        <f t="shared" si="9"/>
        <v>TO ermöglicht: Tarifwechel; doppelten Kostenabzug;  Abweichungen vom gerichtl. festgelegten Ausgleichswert;  Wertteilhabe (z.B. Verzinsung) zwischen EzE und RK geltend machen</v>
      </c>
      <c r="J138" s="755" t="s">
        <v>1068</v>
      </c>
      <c r="K138" s="1118">
        <v>1</v>
      </c>
      <c r="L138" s="1118">
        <v>2</v>
      </c>
      <c r="M138" s="1118">
        <v>3</v>
      </c>
      <c r="N138" s="1118">
        <v>4</v>
      </c>
      <c r="P138" s="140">
        <f t="shared" si="12"/>
        <v>10</v>
      </c>
    </row>
    <row r="139" spans="1:16" ht="33.75">
      <c r="A139" s="586" t="str">
        <f>C139&amp;IF(D139=0,""," v. "&amp;TEXT(D139,"TT.MM.JJJ"))</f>
        <v>Generali Pensionsfonds AG v. 07.07.2016</v>
      </c>
      <c r="B139" s="586">
        <f>ROW()</f>
        <v>139</v>
      </c>
      <c r="C139" s="611" t="s">
        <v>1618</v>
      </c>
      <c r="D139" s="1120">
        <v>42558</v>
      </c>
      <c r="E139" s="612" t="s">
        <v>718</v>
      </c>
      <c r="F139" s="613"/>
      <c r="G139" s="610" t="str">
        <f t="shared" si="9"/>
        <v>TO ermöglicht: doppelten Kostenabzug;  Wertteilhabe (z.B. Verzinsung) zwischen EzE und RK geltend machen</v>
      </c>
      <c r="J139" s="755"/>
      <c r="K139" s="1118"/>
      <c r="L139" s="1118">
        <v>2</v>
      </c>
      <c r="M139" s="1118"/>
      <c r="N139" s="1118">
        <v>4</v>
      </c>
      <c r="P139" s="140"/>
    </row>
    <row r="140" spans="1:16" ht="45">
      <c r="A140" s="586" t="str">
        <f>C140&amp;IF(D140=0,""," v. "&amp;TEXT(D140,"TT.MM.JJJ"))</f>
        <v>Generali v. 01.07.2020</v>
      </c>
      <c r="B140" s="586">
        <f>ROW()</f>
        <v>140</v>
      </c>
      <c r="C140" s="611" t="s">
        <v>1066</v>
      </c>
      <c r="D140" s="1120">
        <v>44013</v>
      </c>
      <c r="E140" s="1938"/>
      <c r="F140" s="613" t="str">
        <f t="shared" si="11"/>
        <v>Ja</v>
      </c>
      <c r="G140" s="610" t="str">
        <f t="shared" si="9"/>
        <v>TO ermöglicht: Tarifwechel; doppelten Kostenabzug;  Abweichungen vom gerichtl. festgelegten Ausgleichswert;  Wertteilhabe (z.B. Verzinsung) zwischen EzE und RK geltend machen</v>
      </c>
      <c r="I140" s="610" t="s">
        <v>1852</v>
      </c>
      <c r="K140" s="1118">
        <v>1</v>
      </c>
      <c r="L140" s="1118">
        <v>2</v>
      </c>
      <c r="M140" s="1118">
        <v>3</v>
      </c>
      <c r="N140" s="1118">
        <v>4</v>
      </c>
      <c r="P140" s="140">
        <f t="shared" si="12"/>
        <v>10</v>
      </c>
    </row>
    <row r="141" spans="1:16">
      <c r="A141" s="586" t="str">
        <f>C141&amp;IF(D141=0,""," v. "&amp;TEXT(D141,"TT.MM.JJJ"))</f>
        <v>Generali Lebensversicherungen v. 01.12.2023</v>
      </c>
      <c r="B141" s="586">
        <f>ROW()</f>
        <v>141</v>
      </c>
      <c r="C141" s="611" t="s">
        <v>2034</v>
      </c>
      <c r="D141" s="1120">
        <v>45261</v>
      </c>
      <c r="E141" s="1938" t="s">
        <v>651</v>
      </c>
      <c r="F141" s="613"/>
      <c r="I141" s="610" t="s">
        <v>2035</v>
      </c>
      <c r="K141" s="1118"/>
      <c r="L141" s="1118"/>
      <c r="M141" s="1118"/>
      <c r="N141" s="1118"/>
      <c r="P141" s="140"/>
    </row>
    <row r="142" spans="1:16" ht="33.75">
      <c r="A142" s="586" t="str">
        <f>C142&amp;IF(D142=0,""," v. "&amp;TEXT(D142,"TT.MM.JJJ"))</f>
        <v>Generali Unterstützungskasse e.V. v. 01.08.2021</v>
      </c>
      <c r="B142" s="586">
        <f>ROW()</f>
        <v>142</v>
      </c>
      <c r="C142" s="611" t="s">
        <v>2025</v>
      </c>
      <c r="D142" s="1120">
        <v>44409</v>
      </c>
      <c r="E142" s="1938" t="s">
        <v>718</v>
      </c>
      <c r="F142" s="613"/>
      <c r="G142" s="610" t="str">
        <f t="shared" si="9"/>
        <v>TO ermöglicht: Tarifwechel; doppelten Kostenabzug;  Wertteilhabe (z.B. Verzinsung) zwischen EzE und RK geltend machen</v>
      </c>
      <c r="K142" s="1118">
        <v>1</v>
      </c>
      <c r="L142" s="1118">
        <v>2</v>
      </c>
      <c r="M142" s="1118"/>
      <c r="N142" s="1118">
        <v>4</v>
      </c>
      <c r="P142" s="140"/>
    </row>
    <row r="143" spans="1:16" ht="22.5">
      <c r="A143" s="586" t="str">
        <f t="shared" si="10"/>
        <v>Geno Pensionskasse VVaG, Karlsruhe v. 31.12.2020</v>
      </c>
      <c r="B143" s="586">
        <f>ROW()</f>
        <v>143</v>
      </c>
      <c r="C143" s="611" t="s">
        <v>1022</v>
      </c>
      <c r="D143" s="1120">
        <v>44196</v>
      </c>
      <c r="F143" s="613" t="str">
        <f t="shared" si="11"/>
        <v/>
      </c>
      <c r="G143" s="610" t="str">
        <f t="shared" si="9"/>
        <v xml:space="preserve">TO ermöglicht: doppelten Kostenabzug; </v>
      </c>
      <c r="K143" s="1118"/>
      <c r="L143" s="1118">
        <v>2</v>
      </c>
      <c r="M143" s="1118"/>
      <c r="N143" s="1118"/>
      <c r="P143" s="140">
        <f t="shared" si="12"/>
        <v>2</v>
      </c>
    </row>
    <row r="144" spans="1:16" ht="33.75">
      <c r="A144" s="586" t="str">
        <f t="shared" si="10"/>
        <v>GlaxoSmithKline GmbH &amp; Co KG v. 01.09.2009</v>
      </c>
      <c r="B144" s="586">
        <f>ROW()</f>
        <v>144</v>
      </c>
      <c r="C144" s="611" t="s">
        <v>1069</v>
      </c>
      <c r="D144" s="1120">
        <v>40057</v>
      </c>
      <c r="E144" s="612" t="s">
        <v>1070</v>
      </c>
      <c r="F144" s="613" t="str">
        <f t="shared" si="11"/>
        <v/>
      </c>
      <c r="G144" s="610" t="str">
        <f t="shared" si="9"/>
        <v>TO ermöglicht: doppelten Kostenabzug;  Wertteilhabe (z.B. Verzinsung) zwischen EzE und RK geltend machen</v>
      </c>
      <c r="K144" s="1118"/>
      <c r="L144" s="1118">
        <v>2</v>
      </c>
      <c r="M144" s="1118"/>
      <c r="N144" s="1118">
        <v>4</v>
      </c>
      <c r="O144" s="989"/>
      <c r="P144" s="140">
        <f t="shared" si="12"/>
        <v>6</v>
      </c>
    </row>
    <row r="145" spans="1:16" ht="45">
      <c r="A145" s="586" t="str">
        <f t="shared" si="10"/>
        <v>Gothaer Lebensversicherung AG  v. 19.02.2010</v>
      </c>
      <c r="B145" s="586">
        <f>ROW()</f>
        <v>145</v>
      </c>
      <c r="C145" s="611" t="s">
        <v>816</v>
      </c>
      <c r="D145" s="1120">
        <v>40228</v>
      </c>
      <c r="E145" s="612" t="s">
        <v>817</v>
      </c>
      <c r="F145" s="613" t="str">
        <f t="shared" si="11"/>
        <v>Ja</v>
      </c>
      <c r="G145" s="610" t="str">
        <f t="shared" ref="G145:G210" si="13">IF(SUM(K145:N145)=0,"","TO ermöglicht: "&amp;IF(K145&gt;0,"Tarifwechel; ","")&amp;IF(L145&gt;0,"doppelten Kostenabzug; ","")&amp;IF(M145&gt;0," Abweichungen vom gerichtl. festgelegten Ausgleichswert; ","")&amp;IF(N145&gt;0," Wertteilhabe (z.B. Verzinsung) zwischen EzE und RK geltend machen",""))</f>
        <v>TO ermöglicht: Tarifwechel; doppelten Kostenabzug;  Abweichungen vom gerichtl. festgelegten Ausgleichswert;  Wertteilhabe (z.B. Verzinsung) zwischen EzE und RK geltend machen</v>
      </c>
      <c r="K145" s="1118">
        <v>1</v>
      </c>
      <c r="L145" s="1118">
        <v>2</v>
      </c>
      <c r="M145" s="1118">
        <v>3</v>
      </c>
      <c r="N145" s="1118">
        <v>4</v>
      </c>
      <c r="P145" s="140">
        <f t="shared" si="12"/>
        <v>10</v>
      </c>
    </row>
    <row r="146" spans="1:16" ht="45">
      <c r="A146" s="586" t="str">
        <f t="shared" si="10"/>
        <v>Gothaer Pensionskasse AG v. 10.01.2013</v>
      </c>
      <c r="B146" s="586">
        <f>ROW()</f>
        <v>146</v>
      </c>
      <c r="C146" s="611" t="s">
        <v>1121</v>
      </c>
      <c r="D146" s="1120">
        <v>41284</v>
      </c>
      <c r="E146" s="612">
        <v>5</v>
      </c>
      <c r="F146" s="613" t="str">
        <f t="shared" si="11"/>
        <v>Ja</v>
      </c>
      <c r="G146" s="610" t="str">
        <f t="shared" si="13"/>
        <v>TO ermöglicht: Tarifwechel; doppelten Kostenabzug;  Abweichungen vom gerichtl. festgelegten Ausgleichswert;  Wertteilhabe (z.B. Verzinsung) zwischen EzE und RK geltend machen</v>
      </c>
      <c r="K146" s="1118">
        <v>1</v>
      </c>
      <c r="L146" s="1118">
        <v>2</v>
      </c>
      <c r="M146" s="1118">
        <v>3</v>
      </c>
      <c r="N146" s="1118">
        <v>4</v>
      </c>
      <c r="P146" s="140">
        <f t="shared" si="12"/>
        <v>10</v>
      </c>
    </row>
    <row r="147" spans="1:16" ht="33.75">
      <c r="A147" s="586" t="str">
        <f t="shared" si="10"/>
        <v>Gothaer Pensionskasse AG v. 19.02.2010</v>
      </c>
      <c r="B147" s="586">
        <f>ROW()</f>
        <v>147</v>
      </c>
      <c r="C147" s="611" t="s">
        <v>1121</v>
      </c>
      <c r="D147" s="1120">
        <v>40228</v>
      </c>
      <c r="E147" s="612" t="s">
        <v>134</v>
      </c>
      <c r="F147" s="613" t="str">
        <f t="shared" si="11"/>
        <v/>
      </c>
      <c r="G147" s="610" t="str">
        <f t="shared" si="13"/>
        <v>TO ermöglicht:  Abweichungen vom gerichtl. festgelegten Ausgleichswert;  Wertteilhabe (z.B. Verzinsung) zwischen EzE und RK geltend machen</v>
      </c>
      <c r="K147" s="1118"/>
      <c r="L147" s="1118"/>
      <c r="M147" s="1118">
        <v>3</v>
      </c>
      <c r="N147" s="1118">
        <v>4</v>
      </c>
      <c r="O147" s="989"/>
      <c r="P147" s="140">
        <f t="shared" si="12"/>
        <v>7</v>
      </c>
    </row>
    <row r="148" spans="1:16" ht="33.75">
      <c r="A148" s="586" t="str">
        <f t="shared" si="10"/>
        <v>Hamburger Lebensversicherung AG</v>
      </c>
      <c r="B148" s="586">
        <f>ROW()</f>
        <v>148</v>
      </c>
      <c r="C148" s="611" t="s">
        <v>712</v>
      </c>
      <c r="E148" s="612" t="s">
        <v>713</v>
      </c>
      <c r="F148" s="613" t="str">
        <f t="shared" si="11"/>
        <v>Ja</v>
      </c>
      <c r="G148" s="610" t="str">
        <f t="shared" si="13"/>
        <v xml:space="preserve">TO ermöglicht: Tarifwechel; </v>
      </c>
      <c r="K148" s="1118">
        <v>1</v>
      </c>
      <c r="L148" s="1118"/>
      <c r="M148" s="1118"/>
      <c r="N148" s="1118"/>
      <c r="O148" s="1139" t="s">
        <v>714</v>
      </c>
      <c r="P148" s="140">
        <f t="shared" si="12"/>
        <v>1</v>
      </c>
    </row>
    <row r="149" spans="1:16" ht="45">
      <c r="A149" s="586" t="str">
        <f t="shared" si="10"/>
        <v>Hamburger Pensionskasse v. 01.08.2011</v>
      </c>
      <c r="B149" s="586">
        <f>ROW()</f>
        <v>149</v>
      </c>
      <c r="C149" s="611" t="s">
        <v>645</v>
      </c>
      <c r="D149" s="1120">
        <v>40756</v>
      </c>
      <c r="E149" s="612" t="s">
        <v>1122</v>
      </c>
      <c r="F149" s="613" t="str">
        <f t="shared" si="11"/>
        <v>Ja</v>
      </c>
      <c r="G149" s="610" t="str">
        <f t="shared" si="13"/>
        <v>TO ermöglicht: Tarifwechel; doppelten Kostenabzug;  Abweichungen vom gerichtl. festgelegten Ausgleichswert;  Wertteilhabe (z.B. Verzinsung) zwischen EzE und RK geltend machen</v>
      </c>
      <c r="K149" s="1118">
        <v>1</v>
      </c>
      <c r="L149" s="1118">
        <v>2</v>
      </c>
      <c r="M149" s="1118">
        <v>3</v>
      </c>
      <c r="N149" s="1118">
        <v>4</v>
      </c>
      <c r="O149" s="1139"/>
      <c r="P149" s="140">
        <f t="shared" si="12"/>
        <v>10</v>
      </c>
    </row>
    <row r="150" spans="1:16">
      <c r="A150" s="586" t="str">
        <f t="shared" si="10"/>
        <v>Hamburger Pensionskasse v. 29.04.2021</v>
      </c>
      <c r="B150" s="586">
        <f>ROW()</f>
        <v>150</v>
      </c>
      <c r="C150" s="611" t="s">
        <v>645</v>
      </c>
      <c r="D150" s="1120">
        <v>44315</v>
      </c>
      <c r="E150" s="612" t="s">
        <v>646</v>
      </c>
      <c r="F150" s="613" t="str">
        <f t="shared" si="11"/>
        <v/>
      </c>
      <c r="G150" s="610" t="str">
        <f t="shared" si="13"/>
        <v xml:space="preserve">TO ermöglicht: doppelten Kostenabzug; </v>
      </c>
      <c r="K150" s="1118"/>
      <c r="L150" s="1118">
        <v>2</v>
      </c>
      <c r="M150" s="1118"/>
      <c r="N150" s="1118"/>
      <c r="O150" s="758" t="s">
        <v>653</v>
      </c>
      <c r="P150" s="140">
        <f t="shared" si="12"/>
        <v>2</v>
      </c>
    </row>
    <row r="151" spans="1:16" ht="25.5">
      <c r="A151" s="586" t="str">
        <f t="shared" si="10"/>
        <v>Hamburger Pensionsunterstützungskasse e.V. v. 01.01.2018</v>
      </c>
      <c r="B151" s="586">
        <f>ROW()</f>
        <v>151</v>
      </c>
      <c r="C151" s="611" t="s">
        <v>776</v>
      </c>
      <c r="D151" s="1120">
        <v>43101</v>
      </c>
      <c r="E151" s="612" t="s">
        <v>767</v>
      </c>
      <c r="F151" s="613" t="str">
        <f t="shared" si="11"/>
        <v/>
      </c>
      <c r="G151" s="610" t="str">
        <f t="shared" si="13"/>
        <v xml:space="preserve">TO ermöglicht: doppelten Kostenabzug; </v>
      </c>
      <c r="K151" s="1118"/>
      <c r="L151" s="1118">
        <v>2</v>
      </c>
      <c r="M151" s="1118"/>
      <c r="N151" s="1118"/>
      <c r="O151" s="756" t="s">
        <v>803</v>
      </c>
      <c r="P151" s="140">
        <f t="shared" si="12"/>
        <v>2</v>
      </c>
    </row>
    <row r="152" spans="1:16" ht="28.5">
      <c r="A152" s="586" t="str">
        <f t="shared" si="10"/>
        <v>Hamburger Pensionsunterstützungskasse e.V. v. 01.06.2010</v>
      </c>
      <c r="B152" s="586">
        <f>ROW()</f>
        <v>152</v>
      </c>
      <c r="C152" s="611" t="s">
        <v>776</v>
      </c>
      <c r="D152" s="1120">
        <v>40330</v>
      </c>
      <c r="E152" s="612" t="s">
        <v>767</v>
      </c>
      <c r="F152" s="613" t="str">
        <f t="shared" si="11"/>
        <v/>
      </c>
      <c r="G152" s="610" t="str">
        <f t="shared" si="13"/>
        <v xml:space="preserve">TO ermöglicht: doppelten Kostenabzug; </v>
      </c>
      <c r="J152" s="751" t="s">
        <v>1023</v>
      </c>
      <c r="K152" s="1118"/>
      <c r="L152" s="1118">
        <v>2</v>
      </c>
      <c r="M152" s="1118"/>
      <c r="N152" s="1118"/>
      <c r="O152" s="756" t="s">
        <v>803</v>
      </c>
      <c r="P152" s="140">
        <f t="shared" si="12"/>
        <v>2</v>
      </c>
    </row>
    <row r="153" spans="1:16" ht="25.5">
      <c r="A153" s="586" t="str">
        <f t="shared" ref="A153:A226" si="14">C153&amp;IF(D153=0,""," v. "&amp;TEXT(D153,"TT.MM.JJJ"))</f>
        <v>Hamburger Unterstützungskasse HUK Nr. 1 v. 01.09.2009</v>
      </c>
      <c r="B153" s="586">
        <f>ROW()</f>
        <v>153</v>
      </c>
      <c r="C153" s="1300" t="s">
        <v>772</v>
      </c>
      <c r="D153" s="1120">
        <v>40057</v>
      </c>
      <c r="E153" s="612" t="s">
        <v>767</v>
      </c>
      <c r="F153" s="613" t="str">
        <f t="shared" si="11"/>
        <v/>
      </c>
      <c r="G153" s="610" t="str">
        <f t="shared" si="13"/>
        <v xml:space="preserve">TO ermöglicht: doppelten Kostenabzug; </v>
      </c>
      <c r="J153" s="755"/>
      <c r="K153" s="1118"/>
      <c r="L153" s="1118">
        <v>2</v>
      </c>
      <c r="M153" s="1118"/>
      <c r="N153" s="1118"/>
      <c r="O153" s="756" t="s">
        <v>803</v>
      </c>
      <c r="P153" s="140">
        <f t="shared" si="12"/>
        <v>2</v>
      </c>
    </row>
    <row r="154" spans="1:16" ht="25.5">
      <c r="A154" s="586" t="str">
        <f t="shared" si="14"/>
        <v>Hamburger Unterstützungskasse HUK Nr. 2 v. 01.01.2018</v>
      </c>
      <c r="B154" s="586">
        <f>ROW()</f>
        <v>154</v>
      </c>
      <c r="C154" s="611" t="s">
        <v>773</v>
      </c>
      <c r="D154" s="1120">
        <v>43101</v>
      </c>
      <c r="E154" s="612">
        <v>5.3</v>
      </c>
      <c r="F154" s="613" t="str">
        <f t="shared" si="11"/>
        <v/>
      </c>
      <c r="G154" s="610" t="str">
        <f t="shared" si="13"/>
        <v xml:space="preserve">TO ermöglicht: doppelten Kostenabzug; </v>
      </c>
      <c r="K154" s="1118"/>
      <c r="L154" s="1118">
        <v>2</v>
      </c>
      <c r="M154" s="1118"/>
      <c r="N154" s="1118"/>
      <c r="O154" s="756" t="s">
        <v>803</v>
      </c>
      <c r="P154" s="140">
        <f t="shared" si="12"/>
        <v>2</v>
      </c>
    </row>
    <row r="155" spans="1:16" ht="25.5">
      <c r="A155" s="586" t="str">
        <f t="shared" si="14"/>
        <v>Hamburger Unterstützungskasse HUK v. 01.06.2015</v>
      </c>
      <c r="B155" s="586">
        <f>ROW()</f>
        <v>155</v>
      </c>
      <c r="C155" s="611" t="s">
        <v>771</v>
      </c>
      <c r="D155" s="1120">
        <v>42156</v>
      </c>
      <c r="E155" s="612" t="s">
        <v>767</v>
      </c>
      <c r="F155" s="613" t="str">
        <f t="shared" ref="F155:F228" si="15">IF(K155=1,"Ja","")</f>
        <v/>
      </c>
      <c r="G155" s="610" t="str">
        <f t="shared" si="13"/>
        <v xml:space="preserve">TO ermöglicht: doppelten Kostenabzug; </v>
      </c>
      <c r="K155" s="1118"/>
      <c r="L155" s="1118">
        <v>2</v>
      </c>
      <c r="M155" s="1118"/>
      <c r="N155" s="1118"/>
      <c r="O155" s="756" t="s">
        <v>803</v>
      </c>
      <c r="P155" s="140">
        <f t="shared" si="12"/>
        <v>2</v>
      </c>
    </row>
    <row r="156" spans="1:16">
      <c r="A156" s="586" t="str">
        <f t="shared" si="14"/>
        <v>Hamburger Wasserwerke GmbH v. 01.09.2009</v>
      </c>
      <c r="B156" s="586">
        <f>ROW()</f>
        <v>156</v>
      </c>
      <c r="C156" s="611" t="s">
        <v>1071</v>
      </c>
      <c r="D156" s="1120">
        <v>40057</v>
      </c>
      <c r="E156" s="612" t="s">
        <v>1072</v>
      </c>
      <c r="F156" s="613" t="str">
        <f t="shared" si="15"/>
        <v/>
      </c>
      <c r="G156" s="610" t="str">
        <f t="shared" si="13"/>
        <v xml:space="preserve">TO ermöglicht: doppelten Kostenabzug; </v>
      </c>
      <c r="K156" s="1118"/>
      <c r="L156" s="1118">
        <v>2</v>
      </c>
      <c r="M156" s="1118"/>
      <c r="N156" s="1118"/>
      <c r="P156" s="140">
        <f t="shared" si="12"/>
        <v>2</v>
      </c>
    </row>
    <row r="157" spans="1:16" ht="45">
      <c r="A157" s="586" t="str">
        <f t="shared" si="14"/>
        <v>Hannoversche Lebensversicherung AG v. 01.02.2022</v>
      </c>
      <c r="B157" s="586">
        <f>ROW()</f>
        <v>157</v>
      </c>
      <c r="C157" s="611" t="s">
        <v>1073</v>
      </c>
      <c r="D157" s="1120">
        <v>44593</v>
      </c>
      <c r="E157" s="612" t="s">
        <v>195</v>
      </c>
      <c r="F157" s="613" t="str">
        <f t="shared" si="15"/>
        <v/>
      </c>
      <c r="G157" s="610" t="str">
        <f t="shared" si="13"/>
        <v>TO ermöglicht: doppelten Kostenabzug;  Abweichungen vom gerichtl. festgelegten Ausgleichswert;  Wertteilhabe (z.B. Verzinsung) zwischen EzE und RK geltend machen</v>
      </c>
      <c r="I157" s="755"/>
      <c r="K157" s="1118"/>
      <c r="L157" s="1118">
        <v>2</v>
      </c>
      <c r="M157" s="1118">
        <v>3</v>
      </c>
      <c r="N157" s="1118">
        <v>4</v>
      </c>
      <c r="P157" s="140">
        <f t="shared" si="12"/>
        <v>9</v>
      </c>
    </row>
    <row r="158" spans="1:16" ht="22.5">
      <c r="A158" s="586" t="str">
        <f t="shared" ref="A158" si="16">C158&amp;IF(D158=0,""," v. "&amp;TEXT(D158,"TT.MM.JJJ"))</f>
        <v>HanseMerkur Lebensversicherung AG v. 01.04.2017</v>
      </c>
      <c r="B158" s="586">
        <f>ROW()</f>
        <v>158</v>
      </c>
      <c r="C158" s="611" t="s">
        <v>1848</v>
      </c>
      <c r="D158" s="1120">
        <v>42826</v>
      </c>
      <c r="E158" s="612" t="s">
        <v>727</v>
      </c>
      <c r="F158" s="613" t="s">
        <v>463</v>
      </c>
      <c r="G158" s="610" t="str">
        <f t="shared" si="13"/>
        <v>TO ermöglicht: Tarifwechel;  Wertteilhabe (z.B. Verzinsung) zwischen EzE und RK geltend machen</v>
      </c>
      <c r="I158" s="755"/>
      <c r="K158" s="1118">
        <v>1</v>
      </c>
      <c r="L158" s="1118"/>
      <c r="M158" s="1118"/>
      <c r="N158" s="1118">
        <v>4</v>
      </c>
      <c r="P158" s="140">
        <f t="shared" si="12"/>
        <v>5</v>
      </c>
    </row>
    <row r="159" spans="1:16" ht="45">
      <c r="A159" s="586" t="str">
        <f t="shared" si="14"/>
        <v>HDI Lebensversicherung AG v. 02.01.2020</v>
      </c>
      <c r="B159" s="586">
        <f>ROW()</f>
        <v>159</v>
      </c>
      <c r="C159" s="611" t="s">
        <v>862</v>
      </c>
      <c r="D159" s="1120">
        <v>43832</v>
      </c>
      <c r="E159" s="612" t="s">
        <v>860</v>
      </c>
      <c r="F159" s="613" t="str">
        <f t="shared" si="15"/>
        <v>Ja</v>
      </c>
      <c r="G159" s="610" t="str">
        <f t="shared" si="13"/>
        <v>TO ermöglicht: Tarifwechel; doppelten Kostenabzug;  Abweichungen vom gerichtl. festgelegten Ausgleichswert;  Wertteilhabe (z.B. Verzinsung) zwischen EzE und RK geltend machen</v>
      </c>
      <c r="K159" s="1118">
        <v>1</v>
      </c>
      <c r="L159" s="1118">
        <v>2</v>
      </c>
      <c r="M159" s="1118">
        <v>3</v>
      </c>
      <c r="N159" s="1118">
        <v>4</v>
      </c>
      <c r="O159" s="756" t="s">
        <v>861</v>
      </c>
      <c r="P159" s="140">
        <f t="shared" si="12"/>
        <v>10</v>
      </c>
    </row>
    <row r="160" spans="1:16" ht="45">
      <c r="A160" s="586" t="str">
        <f t="shared" si="14"/>
        <v>HDI Lebensversicherung AG v. 14.01.2013</v>
      </c>
      <c r="B160" s="586">
        <f>ROW()</f>
        <v>160</v>
      </c>
      <c r="C160" s="611" t="s">
        <v>862</v>
      </c>
      <c r="D160" s="1120">
        <v>41288</v>
      </c>
      <c r="E160" s="612" t="s">
        <v>860</v>
      </c>
      <c r="F160" s="613" t="str">
        <f t="shared" si="15"/>
        <v>Ja</v>
      </c>
      <c r="G160" s="610" t="str">
        <f t="shared" si="13"/>
        <v>TO ermöglicht: Tarifwechel; doppelten Kostenabzug;  Abweichungen vom gerichtl. festgelegten Ausgleichswert;  Wertteilhabe (z.B. Verzinsung) zwischen EzE und RK geltend machen</v>
      </c>
      <c r="K160" s="1118">
        <v>1</v>
      </c>
      <c r="L160" s="1118">
        <v>2</v>
      </c>
      <c r="M160" s="1118">
        <v>3</v>
      </c>
      <c r="N160" s="1118">
        <v>4</v>
      </c>
      <c r="O160" s="756" t="s">
        <v>863</v>
      </c>
      <c r="P160" s="140">
        <f t="shared" si="12"/>
        <v>10</v>
      </c>
    </row>
    <row r="161" spans="1:16" ht="56.25">
      <c r="A161" s="586" t="str">
        <f t="shared" si="14"/>
        <v>HDI Lebensversicherung AG v. ohne Datum</v>
      </c>
      <c r="B161" s="586">
        <f>ROW()</f>
        <v>161</v>
      </c>
      <c r="C161" s="611" t="s">
        <v>862</v>
      </c>
      <c r="D161" s="1120" t="s">
        <v>1074</v>
      </c>
      <c r="E161" s="612" t="s">
        <v>727</v>
      </c>
      <c r="F161" s="613" t="str">
        <f t="shared" si="15"/>
        <v>Ja</v>
      </c>
      <c r="G161" s="610" t="str">
        <f t="shared" si="13"/>
        <v>TO ermöglicht: Tarifwechel; doppelten Kostenabzug;  Abweichungen vom gerichtl. festgelegten Ausgleichswert;  Wertteilhabe (z.B. Verzinsung) zwischen EzE und RK geltend machen</v>
      </c>
      <c r="I161" s="610" t="s">
        <v>1351</v>
      </c>
      <c r="K161" s="1118">
        <v>1</v>
      </c>
      <c r="L161" s="1118">
        <v>2</v>
      </c>
      <c r="M161" s="1118">
        <v>3</v>
      </c>
      <c r="N161" s="1118">
        <v>4</v>
      </c>
      <c r="P161" s="140">
        <f t="shared" si="12"/>
        <v>10</v>
      </c>
    </row>
    <row r="162" spans="1:16">
      <c r="A162" s="586" t="str">
        <f t="shared" si="14"/>
        <v>HDI Pensionskasse v. 01.04.2015</v>
      </c>
      <c r="B162" s="586">
        <f>ROW()</f>
        <v>162</v>
      </c>
      <c r="C162" s="611" t="s">
        <v>726</v>
      </c>
      <c r="D162" s="1120">
        <v>42095</v>
      </c>
      <c r="E162" s="612" t="s">
        <v>727</v>
      </c>
      <c r="F162" s="613" t="str">
        <f t="shared" si="15"/>
        <v>Ja</v>
      </c>
      <c r="G162" s="610" t="str">
        <f t="shared" si="13"/>
        <v xml:space="preserve">TO ermöglicht: Tarifwechel; </v>
      </c>
      <c r="J162" s="755"/>
      <c r="K162" s="1118">
        <v>1</v>
      </c>
      <c r="L162" s="1118"/>
      <c r="M162" s="1118"/>
      <c r="N162" s="1118"/>
      <c r="O162" s="760" t="s">
        <v>728</v>
      </c>
      <c r="P162" s="140">
        <f t="shared" si="12"/>
        <v>1</v>
      </c>
    </row>
    <row r="163" spans="1:16">
      <c r="A163" s="586" t="str">
        <f t="shared" si="14"/>
        <v>HDI Pensionskasse v. 14.01.2013</v>
      </c>
      <c r="B163" s="586">
        <f>ROW()</f>
        <v>163</v>
      </c>
      <c r="C163" s="611" t="s">
        <v>726</v>
      </c>
      <c r="D163" s="1120">
        <v>41288</v>
      </c>
      <c r="E163" s="612" t="s">
        <v>727</v>
      </c>
      <c r="F163" s="613" t="str">
        <f t="shared" si="15"/>
        <v>Ja</v>
      </c>
      <c r="G163" s="610" t="str">
        <f t="shared" si="13"/>
        <v xml:space="preserve">TO ermöglicht: Tarifwechel; doppelten Kostenabzug; </v>
      </c>
      <c r="K163" s="1118">
        <v>1</v>
      </c>
      <c r="L163" s="1118">
        <v>2</v>
      </c>
      <c r="M163" s="1118"/>
      <c r="N163" s="1118"/>
      <c r="O163" s="760" t="s">
        <v>728</v>
      </c>
      <c r="P163" s="140">
        <f t="shared" si="12"/>
        <v>3</v>
      </c>
    </row>
    <row r="164" spans="1:16" ht="45">
      <c r="A164" s="586" t="str">
        <f t="shared" si="14"/>
        <v>Heidelberger Leben v. 01.01.2014</v>
      </c>
      <c r="B164" s="586">
        <f>ROW()</f>
        <v>164</v>
      </c>
      <c r="C164" s="611" t="s">
        <v>933</v>
      </c>
      <c r="D164" s="1120">
        <v>41640</v>
      </c>
      <c r="E164" s="612" t="s">
        <v>917</v>
      </c>
      <c r="F164" s="613" t="str">
        <f t="shared" si="15"/>
        <v>Ja</v>
      </c>
      <c r="G164" s="610" t="str">
        <f t="shared" si="13"/>
        <v>TO ermöglicht: Tarifwechel; doppelten Kostenabzug;  Abweichungen vom gerichtl. festgelegten Ausgleichswert;  Wertteilhabe (z.B. Verzinsung) zwischen EzE und RK geltend machen</v>
      </c>
      <c r="K164" s="1118">
        <v>1</v>
      </c>
      <c r="L164" s="1118">
        <v>2</v>
      </c>
      <c r="M164" s="1118">
        <v>3</v>
      </c>
      <c r="N164" s="1118">
        <v>4</v>
      </c>
      <c r="P164" s="140">
        <f t="shared" si="12"/>
        <v>10</v>
      </c>
    </row>
    <row r="165" spans="1:16" ht="33.75">
      <c r="A165" s="586" t="str">
        <f t="shared" si="14"/>
        <v>Heidelberger Cement AG, Heidelberg v. 23.03.2013</v>
      </c>
      <c r="B165" s="586">
        <f>ROW()</f>
        <v>165</v>
      </c>
      <c r="C165" s="611" t="s">
        <v>1569</v>
      </c>
      <c r="D165" s="1120">
        <v>41356</v>
      </c>
      <c r="E165" s="612">
        <v>5</v>
      </c>
      <c r="F165" s="613"/>
      <c r="G165" s="610" t="str">
        <f t="shared" si="13"/>
        <v/>
      </c>
      <c r="I165" s="610" t="s">
        <v>1571</v>
      </c>
      <c r="K165" s="1118"/>
      <c r="L165" s="1118"/>
      <c r="M165" s="1118"/>
      <c r="N165" s="1118"/>
      <c r="P165" s="140"/>
    </row>
    <row r="166" spans="1:16" ht="25.5">
      <c r="A166" s="586" t="str">
        <f t="shared" si="14"/>
        <v>Helvetia schweizerische Lebensversicherungs-AG v. 01.04.2019</v>
      </c>
      <c r="B166" s="586">
        <f>ROW()</f>
        <v>166</v>
      </c>
      <c r="C166" s="611" t="s">
        <v>1347</v>
      </c>
      <c r="D166" s="1120">
        <v>43556</v>
      </c>
      <c r="E166" s="612">
        <v>5</v>
      </c>
      <c r="F166" s="613" t="str">
        <f t="shared" si="15"/>
        <v>Ja</v>
      </c>
      <c r="G166" s="610" t="str">
        <f t="shared" si="13"/>
        <v xml:space="preserve">TO ermöglicht: Tarifwechel; doppelten Kostenabzug; </v>
      </c>
      <c r="K166" s="1118">
        <v>1</v>
      </c>
      <c r="L166" s="1118">
        <v>2</v>
      </c>
      <c r="M166" s="1118"/>
      <c r="N166" s="1118"/>
      <c r="P166" s="140">
        <f t="shared" si="12"/>
        <v>3</v>
      </c>
    </row>
    <row r="167" spans="1:16" ht="33.75">
      <c r="A167" s="586" t="str">
        <f t="shared" si="14"/>
        <v>Hewlett Packard GmbH Böblingen v. 18.12.2009</v>
      </c>
      <c r="B167" s="586">
        <f>ROW()</f>
        <v>167</v>
      </c>
      <c r="C167" s="611" t="s">
        <v>1075</v>
      </c>
      <c r="D167" s="1120">
        <v>40165</v>
      </c>
      <c r="E167" s="612" t="s">
        <v>651</v>
      </c>
      <c r="F167" s="613" t="str">
        <f t="shared" si="15"/>
        <v/>
      </c>
      <c r="G167" s="610" t="str">
        <f t="shared" si="13"/>
        <v xml:space="preserve">TO ermöglicht: doppelten Kostenabzug;  Abweichungen vom gerichtl. festgelegten Ausgleichswert; </v>
      </c>
      <c r="K167" s="1118"/>
      <c r="L167" s="1118">
        <v>2</v>
      </c>
      <c r="M167" s="1118">
        <v>3</v>
      </c>
      <c r="N167" s="1118"/>
      <c r="P167" s="140">
        <f t="shared" si="12"/>
        <v>5</v>
      </c>
    </row>
    <row r="168" spans="1:16" ht="56.25">
      <c r="A168" s="586" t="str">
        <f t="shared" si="14"/>
        <v>Hoechst Pensionskasse v. 01.01.2022</v>
      </c>
      <c r="B168" s="586">
        <f>ROW()</f>
        <v>168</v>
      </c>
      <c r="C168" s="611" t="s">
        <v>1111</v>
      </c>
      <c r="D168" s="1120">
        <v>44562</v>
      </c>
      <c r="F168" s="613" t="str">
        <f t="shared" si="15"/>
        <v/>
      </c>
      <c r="G168" s="610" t="str">
        <f t="shared" si="13"/>
        <v/>
      </c>
      <c r="I168" s="610" t="s">
        <v>1312</v>
      </c>
      <c r="K168" s="1118"/>
      <c r="L168" s="1118"/>
      <c r="M168" s="1118"/>
      <c r="N168" s="1118"/>
      <c r="P168" s="140">
        <f t="shared" si="12"/>
        <v>0</v>
      </c>
    </row>
    <row r="169" spans="1:16" ht="25.5">
      <c r="A169" s="586" t="str">
        <f t="shared" si="14"/>
        <v>Homann Feinkost GmbH v. 01.09.2009</v>
      </c>
      <c r="B169" s="586">
        <f>ROW()</f>
        <v>169</v>
      </c>
      <c r="C169" s="611" t="s">
        <v>791</v>
      </c>
      <c r="D169" s="1120">
        <v>40057</v>
      </c>
      <c r="E169" s="612" t="s">
        <v>767</v>
      </c>
      <c r="F169" s="613" t="str">
        <f t="shared" si="15"/>
        <v/>
      </c>
      <c r="G169" s="610" t="str">
        <f t="shared" si="13"/>
        <v>TO ermöglicht:  Wertteilhabe (z.B. Verzinsung) zwischen EzE und RK geltend machen</v>
      </c>
      <c r="K169" s="1118"/>
      <c r="L169" s="1118"/>
      <c r="M169" s="1118"/>
      <c r="N169" s="1118">
        <v>4</v>
      </c>
      <c r="O169" s="756" t="s">
        <v>803</v>
      </c>
      <c r="P169" s="140">
        <f t="shared" si="12"/>
        <v>4</v>
      </c>
    </row>
    <row r="170" spans="1:16" ht="45">
      <c r="A170" s="586" t="str">
        <f t="shared" si="14"/>
        <v>HUK-Coburg v. 01.01.2015</v>
      </c>
      <c r="B170" s="586">
        <f>ROW()</f>
        <v>170</v>
      </c>
      <c r="C170" s="611" t="s">
        <v>691</v>
      </c>
      <c r="D170" s="1120">
        <v>42005</v>
      </c>
      <c r="E170" s="612" t="s">
        <v>667</v>
      </c>
      <c r="F170" s="613" t="str">
        <f t="shared" si="15"/>
        <v>Ja</v>
      </c>
      <c r="G170" s="610" t="str">
        <f t="shared" si="13"/>
        <v>TO ermöglicht: Tarifwechel; doppelten Kostenabzug;  Abweichungen vom gerichtl. festgelegten Ausgleichswert;  Wertteilhabe (z.B. Verzinsung) zwischen EzE und RK geltend machen</v>
      </c>
      <c r="K170" s="1118">
        <v>1</v>
      </c>
      <c r="L170" s="1118">
        <v>2</v>
      </c>
      <c r="M170" s="1118">
        <v>3</v>
      </c>
      <c r="N170" s="1118">
        <v>4</v>
      </c>
      <c r="O170" s="756" t="s">
        <v>803</v>
      </c>
      <c r="P170" s="140">
        <f t="shared" si="12"/>
        <v>10</v>
      </c>
    </row>
    <row r="171" spans="1:16" ht="45">
      <c r="A171" s="586" t="str">
        <f t="shared" si="14"/>
        <v>HypoVereinsbank HVB v. 05.10.2016</v>
      </c>
      <c r="B171" s="586">
        <f>ROW()</f>
        <v>171</v>
      </c>
      <c r="C171" s="611" t="s">
        <v>1076</v>
      </c>
      <c r="D171" s="1120">
        <v>42648</v>
      </c>
      <c r="E171" s="612" t="s">
        <v>1077</v>
      </c>
      <c r="F171" s="613" t="str">
        <f t="shared" si="15"/>
        <v/>
      </c>
      <c r="G171" s="610" t="str">
        <f t="shared" si="13"/>
        <v>TO ermöglicht: doppelten Kostenabzug;  Wertteilhabe (z.B. Verzinsung) zwischen EzE und RK geltend machen</v>
      </c>
      <c r="I171" s="610" t="s">
        <v>809</v>
      </c>
      <c r="K171" s="1118"/>
      <c r="L171" s="1118">
        <v>2</v>
      </c>
      <c r="M171" s="1118"/>
      <c r="N171" s="1118">
        <v>4</v>
      </c>
      <c r="P171" s="140">
        <f t="shared" si="12"/>
        <v>6</v>
      </c>
    </row>
    <row r="172" spans="1:16" ht="45">
      <c r="A172" s="586" t="str">
        <f t="shared" si="14"/>
        <v>HypoVereinsbank Unicredit Group v. 05.10.2016</v>
      </c>
      <c r="B172" s="586">
        <f>ROW()</f>
        <v>172</v>
      </c>
      <c r="C172" s="611" t="s">
        <v>1078</v>
      </c>
      <c r="D172" s="1120">
        <v>42648</v>
      </c>
      <c r="E172" s="612" t="s">
        <v>1079</v>
      </c>
      <c r="F172" s="613" t="str">
        <f t="shared" si="15"/>
        <v/>
      </c>
      <c r="G172" s="610" t="str">
        <f t="shared" si="13"/>
        <v>TO ermöglicht: doppelten Kostenabzug;  Abweichungen vom gerichtl. festgelegten Ausgleichswert;  Wertteilhabe (z.B. Verzinsung) zwischen EzE und RK geltend machen</v>
      </c>
      <c r="J172" s="755"/>
      <c r="K172" s="1118"/>
      <c r="L172" s="1118">
        <v>2</v>
      </c>
      <c r="M172" s="1118">
        <v>3</v>
      </c>
      <c r="N172" s="1118">
        <v>4</v>
      </c>
      <c r="P172" s="140">
        <f t="shared" si="12"/>
        <v>9</v>
      </c>
    </row>
    <row r="173" spans="1:16">
      <c r="A173" s="586" t="str">
        <f t="shared" si="14"/>
        <v>IBM v. 01.09.2009</v>
      </c>
      <c r="B173" s="586">
        <f>ROW()</f>
        <v>173</v>
      </c>
      <c r="C173" s="611" t="s">
        <v>1099</v>
      </c>
      <c r="D173" s="1120">
        <v>40057</v>
      </c>
      <c r="E173" s="612" t="s">
        <v>1100</v>
      </c>
      <c r="F173" s="613" t="str">
        <f t="shared" si="15"/>
        <v/>
      </c>
      <c r="G173" s="610" t="str">
        <f t="shared" si="13"/>
        <v xml:space="preserve">TO ermöglicht: doppelten Kostenabzug; </v>
      </c>
      <c r="K173" s="1118"/>
      <c r="L173" s="1118">
        <v>2</v>
      </c>
      <c r="M173" s="1118"/>
      <c r="N173" s="1118"/>
      <c r="P173" s="140">
        <f t="shared" si="12"/>
        <v>2</v>
      </c>
    </row>
    <row r="174" spans="1:16" ht="25.5">
      <c r="A174" s="586" t="str">
        <f t="shared" si="14"/>
        <v>IGLO GmbH v. 01.09.2009</v>
      </c>
      <c r="B174" s="586">
        <f>ROW()</f>
        <v>174</v>
      </c>
      <c r="C174" s="611" t="s">
        <v>792</v>
      </c>
      <c r="D174" s="1120">
        <v>40057</v>
      </c>
      <c r="E174" s="612" t="s">
        <v>767</v>
      </c>
      <c r="F174" s="613" t="str">
        <f t="shared" si="15"/>
        <v/>
      </c>
      <c r="G174" s="610" t="str">
        <f t="shared" si="13"/>
        <v xml:space="preserve">TO ermöglicht: doppelten Kostenabzug; </v>
      </c>
      <c r="K174" s="1118"/>
      <c r="L174" s="1118">
        <v>2</v>
      </c>
      <c r="M174" s="1118"/>
      <c r="N174" s="1118"/>
      <c r="O174" s="756" t="s">
        <v>803</v>
      </c>
      <c r="P174" s="140">
        <f t="shared" si="12"/>
        <v>2</v>
      </c>
    </row>
    <row r="175" spans="1:16" ht="33.75">
      <c r="A175" s="586" t="str">
        <f t="shared" si="14"/>
        <v>Imperial Logistics v. 14.02.2022</v>
      </c>
      <c r="B175" s="586">
        <f>ROW()</f>
        <v>175</v>
      </c>
      <c r="C175" s="611" t="s">
        <v>1123</v>
      </c>
      <c r="D175" s="1120">
        <v>44606</v>
      </c>
      <c r="E175" s="612" t="s">
        <v>875</v>
      </c>
      <c r="F175" s="613" t="str">
        <f t="shared" si="15"/>
        <v/>
      </c>
      <c r="G175" s="610" t="str">
        <f t="shared" si="13"/>
        <v>TO ermöglicht: doppelten Kostenabzug;  Wertteilhabe (z.B. Verzinsung) zwischen EzE und RK geltend machen</v>
      </c>
      <c r="K175" s="1118"/>
      <c r="L175" s="1118">
        <v>2</v>
      </c>
      <c r="M175" s="1118"/>
      <c r="N175" s="1118">
        <v>4</v>
      </c>
      <c r="P175" s="140">
        <f t="shared" ref="P175:P248" si="17">SUM(K175:N175)</f>
        <v>6</v>
      </c>
    </row>
    <row r="176" spans="1:16" ht="56.25">
      <c r="A176" s="586" t="str">
        <f t="shared" si="14"/>
        <v>Ineos Phenol v. 25.09.2009</v>
      </c>
      <c r="B176" s="586">
        <f>ROW()</f>
        <v>176</v>
      </c>
      <c r="C176" s="611" t="s">
        <v>1337</v>
      </c>
      <c r="D176" s="1120">
        <v>40081</v>
      </c>
      <c r="F176" s="613" t="str">
        <f t="shared" si="15"/>
        <v/>
      </c>
      <c r="G176" s="610" t="str">
        <f t="shared" si="13"/>
        <v/>
      </c>
      <c r="I176" s="610" t="s">
        <v>1338</v>
      </c>
      <c r="K176" s="1118"/>
      <c r="L176" s="1118"/>
      <c r="M176" s="1118"/>
      <c r="N176" s="1118"/>
      <c r="P176" s="140">
        <f t="shared" si="17"/>
        <v>0</v>
      </c>
    </row>
    <row r="177" spans="1:16" ht="45">
      <c r="A177" s="586" t="str">
        <f t="shared" si="14"/>
        <v>InterRisk Lebensversicherungs AG Vienna Insurance Group v. 02.08.2012</v>
      </c>
      <c r="B177" s="586">
        <f>ROW()</f>
        <v>177</v>
      </c>
      <c r="C177" s="611" t="s">
        <v>1604</v>
      </c>
      <c r="D177" s="1120">
        <v>41123</v>
      </c>
      <c r="E177" s="612" t="s">
        <v>651</v>
      </c>
      <c r="F177" s="613" t="str">
        <f t="shared" si="15"/>
        <v>Ja</v>
      </c>
      <c r="G177" s="610" t="str">
        <f t="shared" si="13"/>
        <v>TO ermöglicht: Tarifwechel; doppelten Kostenabzug;  Abweichungen vom gerichtl. festgelegten Ausgleichswert;  Wertteilhabe (z.B. Verzinsung) zwischen EzE und RK geltend machen</v>
      </c>
      <c r="I177" s="610" t="s">
        <v>1605</v>
      </c>
      <c r="K177" s="1118">
        <v>1</v>
      </c>
      <c r="L177" s="1118">
        <v>2</v>
      </c>
      <c r="M177" s="1118">
        <v>3</v>
      </c>
      <c r="N177" s="1118">
        <v>4</v>
      </c>
      <c r="P177" s="140"/>
    </row>
    <row r="178" spans="1:16" ht="22.5">
      <c r="A178" s="586" t="str">
        <f t="shared" ref="A178:A179" si="18">C178&amp;IF(D178=0,""," v. "&amp;TEXT(D178,"TT.MM.JJJ"))</f>
        <v>KfW Bankengruppe zu VO 2000</v>
      </c>
      <c r="B178" s="586">
        <f>ROW()</f>
        <v>178</v>
      </c>
      <c r="C178" s="611" t="s">
        <v>2023</v>
      </c>
      <c r="E178" s="612" t="s">
        <v>1072</v>
      </c>
      <c r="F178" s="613"/>
      <c r="G178" s="610" t="str">
        <f t="shared" si="13"/>
        <v>TO ermöglicht:  Wertteilhabe (z.B. Verzinsung) zwischen EzE und RK geltend machen</v>
      </c>
      <c r="K178" s="1118"/>
      <c r="L178" s="1118"/>
      <c r="M178" s="1118"/>
      <c r="N178" s="1118">
        <v>4</v>
      </c>
      <c r="P178" s="140"/>
    </row>
    <row r="179" spans="1:16" ht="38.25">
      <c r="A179" s="586" t="str">
        <f t="shared" si="18"/>
        <v>KfW Bankengruppe betrieblichen Zusatzversorgung durch Entgeltumwandlung</v>
      </c>
      <c r="C179" s="611" t="s">
        <v>2024</v>
      </c>
      <c r="E179" s="612" t="s">
        <v>1072</v>
      </c>
      <c r="F179" s="613"/>
      <c r="G179" s="610" t="str">
        <f t="shared" si="13"/>
        <v>TO ermöglicht:  Wertteilhabe (z.B. Verzinsung) zwischen EzE und RK geltend machen</v>
      </c>
      <c r="K179" s="1118"/>
      <c r="L179" s="1118"/>
      <c r="M179" s="1118"/>
      <c r="N179" s="1118">
        <v>4</v>
      </c>
      <c r="P179" s="140"/>
    </row>
    <row r="180" spans="1:16" ht="33.75">
      <c r="A180" s="586" t="str">
        <f t="shared" si="14"/>
        <v>KKH - Teilungsregeln für den Versorgungsausgleich v. 26.05.2011</v>
      </c>
      <c r="B180" s="586">
        <f>ROW()</f>
        <v>180</v>
      </c>
      <c r="C180" s="752" t="s">
        <v>801</v>
      </c>
      <c r="D180" s="1120">
        <v>40689</v>
      </c>
      <c r="E180" s="612" t="s">
        <v>802</v>
      </c>
      <c r="F180" s="613" t="str">
        <f t="shared" si="15"/>
        <v/>
      </c>
      <c r="G180" s="610" t="str">
        <f t="shared" si="13"/>
        <v>TO ermöglicht: doppelten Kostenabzug;  Wertteilhabe (z.B. Verzinsung) zwischen EzE und RK geltend machen</v>
      </c>
      <c r="K180" s="1119"/>
      <c r="L180" s="1118">
        <v>2</v>
      </c>
      <c r="M180" s="1118"/>
      <c r="N180" s="1118">
        <v>4</v>
      </c>
      <c r="O180" s="756" t="s">
        <v>803</v>
      </c>
      <c r="P180" s="140">
        <f t="shared" si="17"/>
        <v>6</v>
      </c>
    </row>
    <row r="181" spans="1:16" ht="45">
      <c r="A181" s="586" t="str">
        <f t="shared" si="14"/>
        <v>Kölner Pensionskasse v. 01.01.2016</v>
      </c>
      <c r="B181" s="586">
        <f>ROW()</f>
        <v>181</v>
      </c>
      <c r="C181" s="611" t="s">
        <v>1334</v>
      </c>
      <c r="D181" s="1120">
        <v>42370</v>
      </c>
      <c r="F181" s="613" t="str">
        <f t="shared" si="15"/>
        <v>Ja</v>
      </c>
      <c r="G181" s="610" t="str">
        <f t="shared" si="13"/>
        <v>TO ermöglicht: Tarifwechel; doppelten Kostenabzug;  Abweichungen vom gerichtl. festgelegten Ausgleichswert;  Wertteilhabe (z.B. Verzinsung) zwischen EzE und RK geltend machen</v>
      </c>
      <c r="K181" s="1118">
        <v>1</v>
      </c>
      <c r="L181" s="1118">
        <v>2</v>
      </c>
      <c r="M181" s="1118">
        <v>3</v>
      </c>
      <c r="N181" s="1118">
        <v>4</v>
      </c>
      <c r="P181" s="140">
        <f t="shared" si="17"/>
        <v>10</v>
      </c>
    </row>
    <row r="182" spans="1:16" ht="33.75">
      <c r="A182" s="586" t="str">
        <f t="shared" si="14"/>
        <v>Kordoba TO KAVP TMA FHL v. 14.12.2010</v>
      </c>
      <c r="B182" s="586">
        <f>ROW()</f>
        <v>182</v>
      </c>
      <c r="C182" s="611" t="s">
        <v>1124</v>
      </c>
      <c r="D182" s="1120">
        <v>40526</v>
      </c>
      <c r="F182" s="613" t="str">
        <f t="shared" si="15"/>
        <v/>
      </c>
      <c r="G182" s="610" t="str">
        <f t="shared" si="13"/>
        <v>TO ermöglicht: doppelten Kostenabzug;  Wertteilhabe (z.B. Verzinsung) zwischen EzE und RK geltend machen</v>
      </c>
      <c r="K182" s="1118"/>
      <c r="L182" s="1118">
        <v>2</v>
      </c>
      <c r="M182" s="1118"/>
      <c r="N182" s="1118">
        <v>4</v>
      </c>
      <c r="P182" s="140">
        <f t="shared" si="17"/>
        <v>6</v>
      </c>
    </row>
    <row r="183" spans="1:16" ht="33.75">
      <c r="A183" s="586" t="str">
        <f t="shared" si="14"/>
        <v>LandesBank Berlin v. 22.03.2010</v>
      </c>
      <c r="B183" s="586">
        <f>ROW()</f>
        <v>183</v>
      </c>
      <c r="C183" s="611" t="s">
        <v>1080</v>
      </c>
      <c r="D183" s="1120">
        <v>40259</v>
      </c>
      <c r="F183" s="613" t="str">
        <f t="shared" si="15"/>
        <v/>
      </c>
      <c r="G183" s="610" t="str">
        <f t="shared" si="13"/>
        <v>TO ermöglicht: doppelten Kostenabzug;  Wertteilhabe (z.B. Verzinsung) zwischen EzE und RK geltend machen</v>
      </c>
      <c r="K183" s="1118"/>
      <c r="L183" s="1118">
        <v>2</v>
      </c>
      <c r="M183" s="1118"/>
      <c r="N183" s="1118">
        <v>4</v>
      </c>
      <c r="P183" s="140">
        <f t="shared" si="17"/>
        <v>6</v>
      </c>
    </row>
    <row r="184" spans="1:16" ht="78.75">
      <c r="A184" s="586" t="str">
        <f t="shared" si="14"/>
        <v>Landesbank Berlin v. 17.09.2021</v>
      </c>
      <c r="B184" s="586">
        <f>ROW()</f>
        <v>184</v>
      </c>
      <c r="C184" s="611" t="s">
        <v>1613</v>
      </c>
      <c r="D184" s="1120">
        <v>44456</v>
      </c>
      <c r="E184" s="612" t="s">
        <v>1129</v>
      </c>
      <c r="F184" s="613" t="str">
        <f t="shared" si="15"/>
        <v/>
      </c>
      <c r="G184" s="610" t="str">
        <f t="shared" si="13"/>
        <v>TO ermöglicht: doppelten Kostenabzug;  Wertteilhabe (z.B. Verzinsung) zwischen EzE und RK geltend machen</v>
      </c>
      <c r="I184" s="610" t="s">
        <v>1614</v>
      </c>
      <c r="K184" s="1118"/>
      <c r="L184" s="1118">
        <v>2</v>
      </c>
      <c r="M184" s="1118"/>
      <c r="N184" s="1118">
        <v>4</v>
      </c>
      <c r="P184" s="140">
        <f t="shared" si="17"/>
        <v>6</v>
      </c>
    </row>
    <row r="185" spans="1:16" ht="25.5">
      <c r="A185" s="586" t="str">
        <f t="shared" si="14"/>
        <v>Landesbank BW (Kapitalkontenplan 2005) TO  v. 02.05.2015</v>
      </c>
      <c r="B185" s="586">
        <f>ROW()</f>
        <v>185</v>
      </c>
      <c r="C185" s="611" t="s">
        <v>1307</v>
      </c>
      <c r="D185" s="1120">
        <v>42126</v>
      </c>
      <c r="E185" s="612">
        <v>5</v>
      </c>
      <c r="F185" s="613" t="str">
        <f t="shared" si="15"/>
        <v/>
      </c>
      <c r="G185" s="610" t="str">
        <f t="shared" si="13"/>
        <v xml:space="preserve">TO ermöglicht: doppelten Kostenabzug; </v>
      </c>
      <c r="K185" s="1118"/>
      <c r="L185" s="1118">
        <v>2</v>
      </c>
      <c r="M185" s="1118"/>
      <c r="N185" s="1118"/>
      <c r="P185" s="140">
        <f t="shared" si="17"/>
        <v>2</v>
      </c>
    </row>
    <row r="186" spans="1:16" ht="45">
      <c r="A186" s="586" t="str">
        <f t="shared" si="14"/>
        <v>Lebensversicherung von 1871 a.G. München v. 01.09.2009</v>
      </c>
      <c r="B186" s="586">
        <f>ROW()</f>
        <v>186</v>
      </c>
      <c r="C186" s="611" t="s">
        <v>1162</v>
      </c>
      <c r="D186" s="1120">
        <v>40057</v>
      </c>
      <c r="E186" s="612" t="s">
        <v>1161</v>
      </c>
      <c r="F186" s="613" t="str">
        <f t="shared" si="15"/>
        <v>Ja</v>
      </c>
      <c r="G186" s="610" t="str">
        <f t="shared" si="13"/>
        <v>TO ermöglicht: Tarifwechel; doppelten Kostenabzug;  Abweichungen vom gerichtl. festgelegten Ausgleichswert;  Wertteilhabe (z.B. Verzinsung) zwischen EzE und RK geltend machen</v>
      </c>
      <c r="K186" s="1118">
        <v>1</v>
      </c>
      <c r="L186" s="1118">
        <v>2</v>
      </c>
      <c r="M186" s="1118">
        <v>3</v>
      </c>
      <c r="N186" s="1118">
        <v>4</v>
      </c>
      <c r="P186" s="140">
        <f t="shared" si="17"/>
        <v>10</v>
      </c>
    </row>
    <row r="187" spans="1:16" ht="38.25">
      <c r="A187" s="586" t="str">
        <f t="shared" si="14"/>
        <v>LPV Lebensversicherung AG PBV-Bestandssegment, Bestandssystem Köln v. 01.09.2023</v>
      </c>
      <c r="B187" s="586">
        <f>ROW()</f>
        <v>187</v>
      </c>
      <c r="C187" s="611" t="s">
        <v>1802</v>
      </c>
      <c r="D187" s="1120">
        <v>45170</v>
      </c>
      <c r="E187" s="612" t="s">
        <v>651</v>
      </c>
      <c r="F187" s="613"/>
      <c r="G187" s="610" t="str">
        <f t="shared" si="13"/>
        <v>TO ermöglicht:  Wertteilhabe (z.B. Verzinsung) zwischen EzE und RK geltend machen</v>
      </c>
      <c r="K187" s="1118"/>
      <c r="L187" s="1118"/>
      <c r="M187" s="1118"/>
      <c r="N187" s="1118">
        <v>4</v>
      </c>
      <c r="P187" s="140"/>
    </row>
    <row r="188" spans="1:16" ht="25.5">
      <c r="A188" s="586" t="str">
        <f t="shared" si="14"/>
        <v>LPV Lebensversicherung AG PBV-Bestandssegment v. 01.09.2023</v>
      </c>
      <c r="B188" s="586">
        <f>ROW()</f>
        <v>188</v>
      </c>
      <c r="C188" s="611" t="s">
        <v>1800</v>
      </c>
      <c r="D188" s="1120">
        <v>45170</v>
      </c>
      <c r="E188" s="612" t="s">
        <v>1801</v>
      </c>
      <c r="F188" s="613" t="s">
        <v>463</v>
      </c>
      <c r="G188" s="610" t="str">
        <f t="shared" si="13"/>
        <v>TO ermöglicht: Tarifwechel;  Wertteilhabe (z.B. Verzinsung) zwischen EzE und RK geltend machen</v>
      </c>
      <c r="K188" s="1118">
        <v>1</v>
      </c>
      <c r="L188" s="1118"/>
      <c r="M188" s="1118"/>
      <c r="N188" s="1118">
        <v>4</v>
      </c>
      <c r="P188" s="140"/>
    </row>
    <row r="189" spans="1:16" ht="45">
      <c r="A189" s="586" t="str">
        <f t="shared" si="14"/>
        <v>Lufthansa Group TO  v. 28.06.2018</v>
      </c>
      <c r="B189" s="586">
        <f>ROW()</f>
        <v>189</v>
      </c>
      <c r="C189" s="611" t="s">
        <v>1315</v>
      </c>
      <c r="D189" s="1120">
        <v>43279</v>
      </c>
      <c r="E189" s="612" t="s">
        <v>1316</v>
      </c>
      <c r="F189" s="613" t="str">
        <f t="shared" si="15"/>
        <v/>
      </c>
      <c r="G189" s="610" t="str">
        <f t="shared" si="13"/>
        <v>TO ermöglicht: doppelten Kostenabzug;  Abweichungen vom gerichtl. festgelegten Ausgleichswert;  Wertteilhabe (z.B. Verzinsung) zwischen EzE und RK geltend machen</v>
      </c>
      <c r="K189" s="1118"/>
      <c r="L189" s="1118">
        <v>2</v>
      </c>
      <c r="M189" s="1118">
        <v>3</v>
      </c>
      <c r="N189" s="1118">
        <v>4</v>
      </c>
      <c r="P189" s="140">
        <f t="shared" si="17"/>
        <v>9</v>
      </c>
    </row>
    <row r="190" spans="1:16" ht="33.75">
      <c r="A190" s="586" t="str">
        <f t="shared" si="14"/>
        <v>Lufthansa Group Versorgungskasse Kabine e.V. v. 01.01.2012</v>
      </c>
      <c r="B190" s="586">
        <f>ROW()</f>
        <v>190</v>
      </c>
      <c r="C190" s="611" t="s">
        <v>1317</v>
      </c>
      <c r="D190" s="1120">
        <v>40909</v>
      </c>
      <c r="E190" s="612">
        <v>5</v>
      </c>
      <c r="F190" s="613" t="str">
        <f t="shared" si="15"/>
        <v>Ja</v>
      </c>
      <c r="G190" s="610" t="str">
        <f t="shared" si="13"/>
        <v>TO ermöglicht: Tarifwechel; doppelten Kostenabzug;  Wertteilhabe (z.B. Verzinsung) zwischen EzE und RK geltend machen</v>
      </c>
      <c r="K190" s="1118">
        <v>1</v>
      </c>
      <c r="L190" s="1118">
        <v>2</v>
      </c>
      <c r="M190" s="1118"/>
      <c r="N190" s="1118">
        <v>4</v>
      </c>
      <c r="P190" s="140">
        <f t="shared" si="17"/>
        <v>7</v>
      </c>
    </row>
    <row r="191" spans="1:16" ht="33.75">
      <c r="A191" s="586" t="str">
        <f t="shared" si="14"/>
        <v>LVM Lebens- und Rentenversicherungen (privat) v. 01.10.2009</v>
      </c>
      <c r="B191" s="586">
        <f>ROW()</f>
        <v>191</v>
      </c>
      <c r="C191" s="611" t="s">
        <v>1081</v>
      </c>
      <c r="D191" s="1120">
        <v>40087</v>
      </c>
      <c r="E191" s="612" t="s">
        <v>663</v>
      </c>
      <c r="F191" s="613" t="str">
        <f t="shared" si="15"/>
        <v>Ja</v>
      </c>
      <c r="G191" s="610" t="str">
        <f t="shared" si="13"/>
        <v>TO ermöglicht: Tarifwechel; doppelten Kostenabzug;  Wertteilhabe (z.B. Verzinsung) zwischen EzE und RK geltend machen</v>
      </c>
      <c r="K191" s="1118">
        <v>1</v>
      </c>
      <c r="L191" s="1118">
        <v>2</v>
      </c>
      <c r="M191" s="1118"/>
      <c r="N191" s="1118">
        <v>4</v>
      </c>
      <c r="P191" s="140">
        <f t="shared" si="17"/>
        <v>7</v>
      </c>
    </row>
    <row r="192" spans="1:16" ht="45">
      <c r="A192" s="586" t="str">
        <f t="shared" si="14"/>
        <v>LVM Lebensversicherungs-AG v. 01.07.2017</v>
      </c>
      <c r="B192" s="586">
        <f>ROW()</f>
        <v>192</v>
      </c>
      <c r="C192" s="611" t="s">
        <v>1323</v>
      </c>
      <c r="D192" s="1120">
        <v>42917</v>
      </c>
      <c r="E192" s="612">
        <v>5</v>
      </c>
      <c r="F192" s="613" t="str">
        <f t="shared" si="15"/>
        <v/>
      </c>
      <c r="G192" s="610" t="str">
        <f t="shared" si="13"/>
        <v>TO ermöglicht: doppelten Kostenabzug;  Abweichungen vom gerichtl. festgelegten Ausgleichswert;  Wertteilhabe (z.B. Verzinsung) zwischen EzE und RK geltend machen</v>
      </c>
      <c r="K192" s="1118"/>
      <c r="L192" s="1118">
        <v>2</v>
      </c>
      <c r="M192" s="1118">
        <v>3</v>
      </c>
      <c r="N192" s="1118">
        <v>4</v>
      </c>
      <c r="P192" s="140">
        <f t="shared" si="17"/>
        <v>9</v>
      </c>
    </row>
    <row r="193" spans="1:16" ht="33.75">
      <c r="A193" s="586" t="str">
        <f t="shared" si="14"/>
        <v>LVM Pensionsfonds v. 01.09.2009</v>
      </c>
      <c r="B193" s="586">
        <f>ROW()</f>
        <v>193</v>
      </c>
      <c r="C193" s="611" t="s">
        <v>1082</v>
      </c>
      <c r="D193" s="1120">
        <v>40057</v>
      </c>
      <c r="E193" s="612" t="s">
        <v>1083</v>
      </c>
      <c r="F193" s="613" t="str">
        <f t="shared" si="15"/>
        <v>Ja</v>
      </c>
      <c r="G193" s="610" t="str">
        <f t="shared" si="13"/>
        <v>TO ermöglicht: Tarifwechel; doppelten Kostenabzug;  Wertteilhabe (z.B. Verzinsung) zwischen EzE und RK geltend machen</v>
      </c>
      <c r="K193" s="1118">
        <v>1</v>
      </c>
      <c r="L193" s="1118">
        <v>2</v>
      </c>
      <c r="M193" s="1118"/>
      <c r="N193" s="1118">
        <v>4</v>
      </c>
      <c r="P193" s="140">
        <f t="shared" si="17"/>
        <v>7</v>
      </c>
    </row>
    <row r="194" spans="1:16" ht="33.75">
      <c r="A194" s="586" t="str">
        <f t="shared" si="14"/>
        <v>LVM Pensionsplan V v. 01.01.2010</v>
      </c>
      <c r="B194" s="586">
        <f>ROW()</f>
        <v>194</v>
      </c>
      <c r="C194" s="611" t="s">
        <v>1084</v>
      </c>
      <c r="D194" s="1120">
        <v>40179</v>
      </c>
      <c r="E194" s="612" t="s">
        <v>1085</v>
      </c>
      <c r="F194" s="613" t="str">
        <f t="shared" si="15"/>
        <v>Ja</v>
      </c>
      <c r="G194" s="610" t="str">
        <f t="shared" si="13"/>
        <v>TO ermöglicht: Tarifwechel; doppelten Kostenabzug;  Wertteilhabe (z.B. Verzinsung) zwischen EzE und RK geltend machen</v>
      </c>
      <c r="K194" s="1118">
        <v>1</v>
      </c>
      <c r="L194" s="1118">
        <v>2</v>
      </c>
      <c r="M194" s="1118"/>
      <c r="N194" s="1118">
        <v>4</v>
      </c>
      <c r="P194" s="140">
        <f t="shared" si="17"/>
        <v>7</v>
      </c>
    </row>
    <row r="195" spans="1:16" ht="33.75">
      <c r="A195" s="586" t="str">
        <f t="shared" si="14"/>
        <v>LVM Unterstützungskasse v. 01.03.2010</v>
      </c>
      <c r="B195" s="586">
        <f>ROW()</f>
        <v>195</v>
      </c>
      <c r="C195" s="611" t="s">
        <v>1086</v>
      </c>
      <c r="D195" s="1120">
        <v>40238</v>
      </c>
      <c r="E195" s="612" t="s">
        <v>1048</v>
      </c>
      <c r="F195" s="613" t="str">
        <f t="shared" si="15"/>
        <v>Ja</v>
      </c>
      <c r="G195" s="610" t="str">
        <f t="shared" si="13"/>
        <v>TO ermöglicht: Tarifwechel; doppelten Kostenabzug;  Wertteilhabe (z.B. Verzinsung) zwischen EzE und RK geltend machen</v>
      </c>
      <c r="K195" s="1118">
        <v>1</v>
      </c>
      <c r="L195" s="1118">
        <v>2</v>
      </c>
      <c r="M195" s="1118"/>
      <c r="N195" s="1118">
        <v>4</v>
      </c>
      <c r="P195" s="140">
        <f t="shared" si="17"/>
        <v>7</v>
      </c>
    </row>
    <row r="196" spans="1:16" ht="33.75">
      <c r="A196" s="586" t="str">
        <f t="shared" si="14"/>
        <v>LVM Unterstützungskasse v. 01.09.2009</v>
      </c>
      <c r="B196" s="586">
        <f>ROW()</f>
        <v>196</v>
      </c>
      <c r="C196" s="611" t="s">
        <v>1086</v>
      </c>
      <c r="D196" s="1120">
        <v>40057</v>
      </c>
      <c r="F196" s="613" t="str">
        <f t="shared" si="15"/>
        <v>Ja</v>
      </c>
      <c r="G196" s="610" t="str">
        <f t="shared" si="13"/>
        <v>TO ermöglicht: Tarifwechel; doppelten Kostenabzug;  Wertteilhabe (z.B. Verzinsung) zwischen EzE und RK geltend machen</v>
      </c>
      <c r="K196" s="1118">
        <v>1</v>
      </c>
      <c r="L196" s="1118">
        <v>2</v>
      </c>
      <c r="M196" s="1118"/>
      <c r="N196" s="1118">
        <v>4</v>
      </c>
      <c r="P196" s="140">
        <f t="shared" si="17"/>
        <v>7</v>
      </c>
    </row>
    <row r="197" spans="1:16" ht="33.75">
      <c r="A197" s="586" t="str">
        <f t="shared" si="14"/>
        <v>LVM Versicherung (Direktversicherung) v. 01.10.2009</v>
      </c>
      <c r="B197" s="586">
        <f>ROW()</f>
        <v>197</v>
      </c>
      <c r="C197" s="611" t="s">
        <v>1087</v>
      </c>
      <c r="D197" s="1120">
        <v>40087</v>
      </c>
      <c r="E197" s="612" t="s">
        <v>663</v>
      </c>
      <c r="F197" s="613" t="str">
        <f t="shared" si="15"/>
        <v>Ja</v>
      </c>
      <c r="G197" s="610" t="str">
        <f t="shared" si="13"/>
        <v>TO ermöglicht: Tarifwechel; doppelten Kostenabzug;  Wertteilhabe (z.B. Verzinsung) zwischen EzE und RK geltend machen</v>
      </c>
      <c r="H197" s="392"/>
      <c r="J197" s="755"/>
      <c r="K197" s="1118">
        <v>1</v>
      </c>
      <c r="L197" s="1118">
        <v>2</v>
      </c>
      <c r="M197" s="1118"/>
      <c r="N197" s="1118">
        <v>4</v>
      </c>
      <c r="P197" s="140">
        <f t="shared" si="17"/>
        <v>7</v>
      </c>
    </row>
    <row r="198" spans="1:16" ht="33.75">
      <c r="A198" s="586" t="str">
        <f t="shared" si="14"/>
        <v>LVM Versicherung v. 01.07.2017</v>
      </c>
      <c r="B198" s="586">
        <f>ROW()</f>
        <v>198</v>
      </c>
      <c r="C198" s="611" t="s">
        <v>661</v>
      </c>
      <c r="D198" s="1120">
        <v>42917</v>
      </c>
      <c r="E198" s="612" t="s">
        <v>663</v>
      </c>
      <c r="F198" s="613" t="str">
        <f t="shared" si="15"/>
        <v/>
      </c>
      <c r="G198" s="610" t="str">
        <f t="shared" si="13"/>
        <v>TO ermöglicht: doppelten Kostenabzug;  Wertteilhabe (z.B. Verzinsung) zwischen EzE und RK geltend machen</v>
      </c>
      <c r="K198" s="1118"/>
      <c r="L198" s="1118">
        <v>2</v>
      </c>
      <c r="M198" s="1118"/>
      <c r="N198" s="1118">
        <v>4</v>
      </c>
      <c r="O198" s="758" t="s">
        <v>662</v>
      </c>
      <c r="P198" s="140">
        <f t="shared" si="17"/>
        <v>6</v>
      </c>
    </row>
    <row r="199" spans="1:16" ht="22.5">
      <c r="A199" s="586" t="str">
        <f t="shared" si="14"/>
        <v>MAN (KBV BAV MEV) v. 01.09.2009</v>
      </c>
      <c r="B199" s="586">
        <f>ROW()</f>
        <v>199</v>
      </c>
      <c r="C199" s="611" t="s">
        <v>1088</v>
      </c>
      <c r="D199" s="1120">
        <v>40057</v>
      </c>
      <c r="E199" s="612" t="s">
        <v>651</v>
      </c>
      <c r="F199" s="613" t="str">
        <f t="shared" si="15"/>
        <v/>
      </c>
      <c r="G199" s="610" t="str">
        <f t="shared" si="13"/>
        <v>TO ermöglicht:  Wertteilhabe (z.B. Verzinsung) zwischen EzE und RK geltend machen</v>
      </c>
      <c r="H199" s="392"/>
      <c r="K199" s="1118"/>
      <c r="L199" s="1118"/>
      <c r="M199" s="1118"/>
      <c r="N199" s="1118">
        <v>4</v>
      </c>
      <c r="P199" s="140">
        <f t="shared" si="17"/>
        <v>4</v>
      </c>
    </row>
    <row r="200" spans="1:16" ht="90">
      <c r="A200" s="586" t="str">
        <f t="shared" si="14"/>
        <v>MAN (KBV BAV MEV) v. 04.04.2011</v>
      </c>
      <c r="B200" s="586">
        <f>ROW()</f>
        <v>200</v>
      </c>
      <c r="C200" s="611" t="s">
        <v>1088</v>
      </c>
      <c r="D200" s="1120">
        <v>40637</v>
      </c>
      <c r="E200" s="612" t="s">
        <v>1352</v>
      </c>
      <c r="F200" s="613" t="str">
        <f t="shared" si="15"/>
        <v/>
      </c>
      <c r="G200" s="610" t="str">
        <f t="shared" si="13"/>
        <v>TO ermöglicht:  Wertteilhabe (z.B. Verzinsung) zwischen EzE und RK geltend machen</v>
      </c>
      <c r="H200" s="392"/>
      <c r="I200" s="610" t="s">
        <v>1353</v>
      </c>
      <c r="K200" s="1118"/>
      <c r="L200" s="1118"/>
      <c r="M200" s="1118"/>
      <c r="N200" s="1118">
        <v>4</v>
      </c>
      <c r="P200" s="140">
        <f t="shared" si="17"/>
        <v>4</v>
      </c>
    </row>
    <row r="201" spans="1:16" ht="90">
      <c r="A201" s="586" t="str">
        <f t="shared" si="14"/>
        <v>MAN (KBV BAV MEV) v. 15.03.2011</v>
      </c>
      <c r="B201" s="586">
        <f>ROW()</f>
        <v>201</v>
      </c>
      <c r="C201" s="611" t="s">
        <v>1088</v>
      </c>
      <c r="D201" s="1120">
        <v>40617</v>
      </c>
      <c r="E201" s="612" t="s">
        <v>1352</v>
      </c>
      <c r="F201" s="613" t="str">
        <f t="shared" si="15"/>
        <v/>
      </c>
      <c r="G201" s="610" t="str">
        <f t="shared" si="13"/>
        <v>TO ermöglicht:  Wertteilhabe (z.B. Verzinsung) zwischen EzE und RK geltend machen</v>
      </c>
      <c r="H201" s="392"/>
      <c r="I201" s="610" t="s">
        <v>1353</v>
      </c>
      <c r="K201" s="1118"/>
      <c r="L201" s="1118"/>
      <c r="M201" s="1118"/>
      <c r="N201" s="1118">
        <v>4</v>
      </c>
      <c r="P201" s="140">
        <f t="shared" si="17"/>
        <v>4</v>
      </c>
    </row>
    <row r="202" spans="1:16" ht="25.5">
      <c r="A202" s="586" t="str">
        <f t="shared" si="14"/>
        <v>Marktkauf Gruppen-Unterstützungskasse e.V. v. 01.01.2018</v>
      </c>
      <c r="B202" s="586">
        <f>ROW()</f>
        <v>202</v>
      </c>
      <c r="C202" s="611" t="s">
        <v>775</v>
      </c>
      <c r="D202" s="1120">
        <v>43101</v>
      </c>
      <c r="E202" s="612" t="s">
        <v>767</v>
      </c>
      <c r="F202" s="613" t="str">
        <f t="shared" si="15"/>
        <v/>
      </c>
      <c r="G202" s="610" t="str">
        <f t="shared" si="13"/>
        <v xml:space="preserve">TO ermöglicht: doppelten Kostenabzug; </v>
      </c>
      <c r="H202" s="392"/>
      <c r="J202" s="755"/>
      <c r="K202" s="1118"/>
      <c r="L202" s="1118">
        <v>2</v>
      </c>
      <c r="M202" s="1118"/>
      <c r="N202" s="1118"/>
      <c r="P202" s="140">
        <f t="shared" si="17"/>
        <v>2</v>
      </c>
    </row>
    <row r="203" spans="1:16" ht="101.25">
      <c r="A203" s="586" t="str">
        <f t="shared" si="14"/>
        <v>Mecklenburgische LV AG v. 01.06.2013</v>
      </c>
      <c r="B203" s="586">
        <f>ROW()</f>
        <v>203</v>
      </c>
      <c r="C203" s="611" t="s">
        <v>1536</v>
      </c>
      <c r="D203" s="1120">
        <v>41426</v>
      </c>
      <c r="E203" s="612" t="s">
        <v>651</v>
      </c>
      <c r="F203" s="613"/>
      <c r="G203" s="610" t="str">
        <f t="shared" si="13"/>
        <v xml:space="preserve">TO ermöglicht: doppelten Kostenabzug; </v>
      </c>
      <c r="H203" s="392"/>
      <c r="I203" s="610" t="s">
        <v>1537</v>
      </c>
      <c r="J203" s="755"/>
      <c r="K203" s="1118"/>
      <c r="L203" s="1118">
        <v>2</v>
      </c>
      <c r="M203" s="1118"/>
      <c r="N203" s="1118"/>
      <c r="P203" s="140"/>
    </row>
    <row r="204" spans="1:16">
      <c r="A204" s="586" t="str">
        <f t="shared" si="14"/>
        <v>MEDA Pharma GmbH v. 02.11.2009</v>
      </c>
      <c r="B204" s="586">
        <f>ROW()</f>
        <v>204</v>
      </c>
      <c r="C204" s="611" t="s">
        <v>1000</v>
      </c>
      <c r="D204" s="1120">
        <v>40119</v>
      </c>
      <c r="E204" s="612" t="s">
        <v>999</v>
      </c>
      <c r="F204" s="613" t="str">
        <f t="shared" si="15"/>
        <v/>
      </c>
      <c r="G204" s="610" t="str">
        <f t="shared" si="13"/>
        <v xml:space="preserve">TO ermöglicht: doppelten Kostenabzug; </v>
      </c>
      <c r="H204" s="392"/>
      <c r="K204" s="1118"/>
      <c r="L204" s="1118">
        <v>2</v>
      </c>
      <c r="M204" s="1118"/>
      <c r="N204" s="1118"/>
      <c r="P204" s="140">
        <f t="shared" si="17"/>
        <v>2</v>
      </c>
    </row>
    <row r="205" spans="1:16">
      <c r="A205" s="586" t="str">
        <f t="shared" si="14"/>
        <v>Mercedes Benz AG v. 01.04.2021</v>
      </c>
      <c r="B205" s="586">
        <f>ROW()</f>
        <v>205</v>
      </c>
      <c r="C205" s="611" t="s">
        <v>1005</v>
      </c>
      <c r="D205" s="1120">
        <v>44287</v>
      </c>
      <c r="E205" s="612" t="s">
        <v>1004</v>
      </c>
      <c r="F205" s="613" t="str">
        <f t="shared" si="15"/>
        <v/>
      </c>
      <c r="G205" s="610" t="str">
        <f t="shared" si="13"/>
        <v xml:space="preserve">TO ermöglicht: doppelten Kostenabzug; </v>
      </c>
      <c r="H205" s="392"/>
      <c r="J205" s="755"/>
      <c r="K205" s="1118"/>
      <c r="L205" s="1118">
        <v>2</v>
      </c>
      <c r="M205" s="1118"/>
      <c r="N205" s="1118"/>
      <c r="P205" s="140">
        <f t="shared" si="17"/>
        <v>2</v>
      </c>
    </row>
    <row r="206" spans="1:16" ht="22.5">
      <c r="A206" s="586" t="str">
        <f t="shared" si="14"/>
        <v>Metall-Rente v. 01.09.2009</v>
      </c>
      <c r="B206" s="586">
        <f>ROW()</f>
        <v>206</v>
      </c>
      <c r="C206" s="611" t="s">
        <v>696</v>
      </c>
      <c r="D206" s="1120">
        <v>40057</v>
      </c>
      <c r="E206" s="612" t="s">
        <v>715</v>
      </c>
      <c r="F206" s="613" t="str">
        <f t="shared" si="15"/>
        <v>Ja</v>
      </c>
      <c r="G206" s="610" t="str">
        <f t="shared" si="13"/>
        <v xml:space="preserve">TO ermöglicht: Tarifwechel; doppelten Kostenabzug; </v>
      </c>
      <c r="H206" s="392"/>
      <c r="J206" s="755"/>
      <c r="K206" s="1118">
        <v>1</v>
      </c>
      <c r="L206" s="1118">
        <v>2</v>
      </c>
      <c r="M206" s="1118"/>
      <c r="N206" s="1118"/>
      <c r="O206" s="758" t="s">
        <v>716</v>
      </c>
      <c r="P206" s="140">
        <f t="shared" si="17"/>
        <v>3</v>
      </c>
    </row>
    <row r="207" spans="1:16" ht="25.5">
      <c r="A207" s="586" t="str">
        <f t="shared" si="14"/>
        <v>METRO Cash Carry_Deutschland v. 01.07.2012</v>
      </c>
      <c r="B207" s="586">
        <f>ROW()</f>
        <v>207</v>
      </c>
      <c r="C207" s="611" t="s">
        <v>1132</v>
      </c>
      <c r="D207" s="1120">
        <v>41091</v>
      </c>
      <c r="E207" s="612" t="s">
        <v>767</v>
      </c>
      <c r="F207" s="613" t="str">
        <f t="shared" si="15"/>
        <v/>
      </c>
      <c r="G207" s="610" t="str">
        <f t="shared" si="13"/>
        <v/>
      </c>
      <c r="H207" s="392"/>
      <c r="J207" s="755"/>
      <c r="K207" s="1118"/>
      <c r="L207" s="1118"/>
      <c r="M207" s="1118"/>
      <c r="N207" s="1118"/>
      <c r="O207" s="756" t="s">
        <v>803</v>
      </c>
      <c r="P207" s="140">
        <f t="shared" si="17"/>
        <v>0</v>
      </c>
    </row>
    <row r="208" spans="1:16" ht="25.5">
      <c r="A208" s="586" t="str">
        <f t="shared" si="14"/>
        <v>METRO_AG_ASKO v. 01.09.2009</v>
      </c>
      <c r="B208" s="586">
        <f>ROW()</f>
        <v>208</v>
      </c>
      <c r="C208" s="611" t="s">
        <v>786</v>
      </c>
      <c r="D208" s="1120">
        <v>40057</v>
      </c>
      <c r="E208" s="612" t="s">
        <v>767</v>
      </c>
      <c r="F208" s="613" t="str">
        <f t="shared" si="15"/>
        <v/>
      </c>
      <c r="G208" s="610" t="str">
        <f t="shared" si="13"/>
        <v/>
      </c>
      <c r="H208" s="392"/>
      <c r="K208" s="1118"/>
      <c r="L208" s="1118"/>
      <c r="M208" s="1118"/>
      <c r="N208" s="1118"/>
      <c r="O208" s="756" t="s">
        <v>803</v>
      </c>
      <c r="P208" s="140">
        <f t="shared" si="17"/>
        <v>0</v>
      </c>
    </row>
    <row r="209" spans="1:16" ht="25.5">
      <c r="A209" s="586" t="str">
        <f t="shared" si="14"/>
        <v>METRO_AG_EPP_FPP v. 01.07.2012</v>
      </c>
      <c r="B209" s="586">
        <f>ROW()</f>
        <v>209</v>
      </c>
      <c r="C209" s="611" t="s">
        <v>769</v>
      </c>
      <c r="D209" s="1120">
        <v>41091</v>
      </c>
      <c r="E209" s="612" t="s">
        <v>767</v>
      </c>
      <c r="F209" s="613" t="str">
        <f t="shared" si="15"/>
        <v/>
      </c>
      <c r="G209" s="610" t="str">
        <f t="shared" si="13"/>
        <v/>
      </c>
      <c r="H209" s="392"/>
      <c r="K209" s="1118"/>
      <c r="L209" s="1118"/>
      <c r="M209" s="1118"/>
      <c r="N209" s="1118"/>
      <c r="O209" s="756" t="s">
        <v>803</v>
      </c>
      <c r="P209" s="140">
        <f t="shared" si="17"/>
        <v>0</v>
      </c>
    </row>
    <row r="210" spans="1:16">
      <c r="A210" s="586" t="str">
        <f t="shared" si="14"/>
        <v>Mitteldeutscher Rundfunk Tarifvertrag v. 02.12.2009</v>
      </c>
      <c r="B210" s="586">
        <f>ROW()</f>
        <v>210</v>
      </c>
      <c r="C210" s="611" t="s">
        <v>937</v>
      </c>
      <c r="D210" s="1120">
        <v>40149</v>
      </c>
      <c r="F210" s="613" t="str">
        <f t="shared" si="15"/>
        <v/>
      </c>
      <c r="G210" s="610" t="str">
        <f t="shared" si="13"/>
        <v/>
      </c>
      <c r="H210" s="392"/>
      <c r="K210" s="1118"/>
      <c r="L210" s="1118"/>
      <c r="M210" s="1118"/>
      <c r="N210" s="1118"/>
      <c r="P210" s="140">
        <f t="shared" si="17"/>
        <v>0</v>
      </c>
    </row>
    <row r="211" spans="1:16">
      <c r="A211" s="586" t="str">
        <f t="shared" si="14"/>
        <v>Mobil Oil BKK v. 01.01.2019</v>
      </c>
      <c r="B211" s="586">
        <f>ROW()</f>
        <v>211</v>
      </c>
      <c r="C211" s="611" t="s">
        <v>1125</v>
      </c>
      <c r="D211" s="1120">
        <v>43466</v>
      </c>
      <c r="F211" s="613" t="str">
        <f t="shared" si="15"/>
        <v/>
      </c>
      <c r="G211" s="610" t="str">
        <f t="shared" ref="G211:G274" si="19">IF(SUM(K211:N211)=0,"","TO ermöglicht: "&amp;IF(K211&gt;0,"Tarifwechel; ","")&amp;IF(L211&gt;0,"doppelten Kostenabzug; ","")&amp;IF(M211&gt;0," Abweichungen vom gerichtl. festgelegten Ausgleichswert; ","")&amp;IF(N211&gt;0," Wertteilhabe (z.B. Verzinsung) zwischen EzE und RK geltend machen",""))</f>
        <v/>
      </c>
      <c r="H211" s="392"/>
      <c r="K211" s="1118"/>
      <c r="L211" s="1118"/>
      <c r="M211" s="1118"/>
      <c r="N211" s="1118"/>
      <c r="P211" s="140">
        <f t="shared" si="17"/>
        <v>0</v>
      </c>
    </row>
    <row r="212" spans="1:16" ht="45">
      <c r="A212" s="586" t="str">
        <f t="shared" ref="A212" si="20">C212&amp;IF(D212=0,""," v. "&amp;TEXT(D212,"TT.MM.JJJ"))</f>
        <v>Münchener Rückversicherungs-Gesellschaft AG  v. 01.10.2021</v>
      </c>
      <c r="B212" s="586">
        <f>ROW()</f>
        <v>212</v>
      </c>
      <c r="C212" s="611" t="s">
        <v>1849</v>
      </c>
      <c r="D212" s="1120">
        <v>44470</v>
      </c>
      <c r="E212" s="612">
        <v>6</v>
      </c>
      <c r="F212" s="613"/>
      <c r="G212" s="610" t="str">
        <f t="shared" si="19"/>
        <v/>
      </c>
      <c r="H212" s="392"/>
      <c r="I212" s="610" t="s">
        <v>1850</v>
      </c>
      <c r="K212" s="1118"/>
      <c r="L212" s="1118"/>
      <c r="M212" s="1118"/>
      <c r="N212" s="1118"/>
      <c r="P212" s="140"/>
    </row>
    <row r="213" spans="1:16">
      <c r="A213" s="586" t="str">
        <f t="shared" si="14"/>
        <v>Nestlé PK Tarif Baustein L v. 22.09.2010</v>
      </c>
      <c r="B213" s="586">
        <f>ROW()</f>
        <v>213</v>
      </c>
      <c r="C213" s="611" t="s">
        <v>684</v>
      </c>
      <c r="D213" s="1120">
        <v>40443</v>
      </c>
      <c r="F213" s="613" t="str">
        <f t="shared" si="15"/>
        <v/>
      </c>
      <c r="G213" s="610" t="str">
        <f t="shared" si="19"/>
        <v/>
      </c>
      <c r="H213" s="392"/>
      <c r="K213" s="1118"/>
      <c r="L213" s="1118"/>
      <c r="M213" s="1118"/>
      <c r="N213" s="1118"/>
      <c r="O213" s="758" t="s">
        <v>683</v>
      </c>
      <c r="P213" s="140">
        <f t="shared" si="17"/>
        <v>0</v>
      </c>
    </row>
    <row r="214" spans="1:16">
      <c r="A214" s="586" t="str">
        <f t="shared" si="14"/>
        <v>Nestlé PK Tarif Vorsorgekonto v. 21.09.2010</v>
      </c>
      <c r="B214" s="586">
        <f>ROW()</f>
        <v>214</v>
      </c>
      <c r="C214" s="611" t="s">
        <v>682</v>
      </c>
      <c r="D214" s="1120">
        <v>40442</v>
      </c>
      <c r="F214" s="613" t="str">
        <f t="shared" si="15"/>
        <v/>
      </c>
      <c r="G214" s="610" t="str">
        <f t="shared" si="19"/>
        <v/>
      </c>
      <c r="H214" s="392"/>
      <c r="K214" s="1118"/>
      <c r="L214" s="1118"/>
      <c r="M214" s="1118"/>
      <c r="N214" s="1118"/>
      <c r="O214" s="758" t="s">
        <v>683</v>
      </c>
      <c r="P214" s="140">
        <f t="shared" si="17"/>
        <v>0</v>
      </c>
    </row>
    <row r="215" spans="1:16">
      <c r="A215" s="586" t="str">
        <f t="shared" si="14"/>
        <v>Netto Direktzusagen v. 05.01.2019</v>
      </c>
      <c r="B215" s="586">
        <f>ROW()</f>
        <v>215</v>
      </c>
      <c r="C215" s="611" t="s">
        <v>1126</v>
      </c>
      <c r="D215" s="1120">
        <v>43470</v>
      </c>
      <c r="F215" s="613" t="str">
        <f t="shared" si="15"/>
        <v/>
      </c>
      <c r="G215" s="610" t="str">
        <f t="shared" si="19"/>
        <v/>
      </c>
      <c r="H215" s="392"/>
      <c r="K215" s="1118"/>
      <c r="L215" s="1118"/>
      <c r="M215" s="1118"/>
      <c r="N215" s="1118"/>
      <c r="P215" s="140">
        <f t="shared" si="17"/>
        <v>0</v>
      </c>
    </row>
    <row r="216" spans="1:16" ht="45">
      <c r="A216" s="586" t="str">
        <f t="shared" si="14"/>
        <v>Netto_Direktzusagen v. 01.05.2019</v>
      </c>
      <c r="B216" s="586">
        <f>ROW()</f>
        <v>216</v>
      </c>
      <c r="C216" s="611" t="s">
        <v>784</v>
      </c>
      <c r="D216" s="1120">
        <v>43586</v>
      </c>
      <c r="E216" s="612" t="s">
        <v>767</v>
      </c>
      <c r="F216" s="613" t="str">
        <f t="shared" si="15"/>
        <v/>
      </c>
      <c r="G216" s="610" t="str">
        <f t="shared" si="19"/>
        <v>TO ermöglicht: doppelten Kostenabzug;  Abweichungen vom gerichtl. festgelegten Ausgleichswert;  Wertteilhabe (z.B. Verzinsung) zwischen EzE und RK geltend machen</v>
      </c>
      <c r="H216" s="392"/>
      <c r="K216" s="1118"/>
      <c r="L216" s="1118">
        <v>2</v>
      </c>
      <c r="M216" s="1118">
        <v>3</v>
      </c>
      <c r="N216" s="1118">
        <v>4</v>
      </c>
      <c r="O216" s="756" t="s">
        <v>803</v>
      </c>
      <c r="P216" s="140">
        <f t="shared" si="17"/>
        <v>9</v>
      </c>
    </row>
    <row r="217" spans="1:16" ht="25.5">
      <c r="A217" s="586" t="str">
        <f t="shared" si="14"/>
        <v>Neue Bayerische Beamten Lebensversicherung AG v. 01.01.2013</v>
      </c>
      <c r="B217" s="586">
        <f>ROW()</f>
        <v>217</v>
      </c>
      <c r="C217" s="611" t="s">
        <v>918</v>
      </c>
      <c r="D217" s="1120">
        <v>41275</v>
      </c>
      <c r="E217" s="612" t="s">
        <v>919</v>
      </c>
      <c r="F217" s="613" t="str">
        <f t="shared" si="15"/>
        <v>Ja</v>
      </c>
      <c r="G217" s="610" t="str">
        <f t="shared" si="19"/>
        <v xml:space="preserve">TO ermöglicht: Tarifwechel; </v>
      </c>
      <c r="H217" s="392"/>
      <c r="K217" s="1118">
        <v>1</v>
      </c>
      <c r="L217" s="1118"/>
      <c r="M217" s="1118"/>
      <c r="N217" s="1118"/>
      <c r="P217" s="140">
        <f t="shared" si="17"/>
        <v>1</v>
      </c>
    </row>
    <row r="218" spans="1:16" ht="45">
      <c r="A218" s="586" t="str">
        <f t="shared" si="14"/>
        <v>Neue Leben v. 01.08.2018</v>
      </c>
      <c r="B218" s="586">
        <f>ROW()</f>
        <v>218</v>
      </c>
      <c r="C218" s="611" t="s">
        <v>674</v>
      </c>
      <c r="D218" s="1120">
        <v>43313</v>
      </c>
      <c r="E218" s="612" t="s">
        <v>675</v>
      </c>
      <c r="F218" s="613" t="str">
        <f t="shared" si="15"/>
        <v>Ja</v>
      </c>
      <c r="G218" s="610" t="str">
        <f t="shared" si="19"/>
        <v>TO ermöglicht: Tarifwechel; doppelten Kostenabzug;  Abweichungen vom gerichtl. festgelegten Ausgleichswert;  Wertteilhabe (z.B. Verzinsung) zwischen EzE und RK geltend machen</v>
      </c>
      <c r="H218" s="392"/>
      <c r="K218" s="1118">
        <v>1</v>
      </c>
      <c r="L218" s="1118">
        <v>2</v>
      </c>
      <c r="M218" s="1118">
        <v>3</v>
      </c>
      <c r="N218" s="1118">
        <v>4</v>
      </c>
      <c r="O218" s="758" t="s">
        <v>676</v>
      </c>
      <c r="P218" s="140">
        <f t="shared" si="17"/>
        <v>10</v>
      </c>
    </row>
    <row r="219" spans="1:16" ht="45">
      <c r="A219" s="586" t="str">
        <f t="shared" si="14"/>
        <v>Neue Leben v. 07.10.2012</v>
      </c>
      <c r="B219" s="586">
        <f>ROW()</f>
        <v>219</v>
      </c>
      <c r="C219" s="611" t="s">
        <v>674</v>
      </c>
      <c r="D219" s="1120">
        <v>41189</v>
      </c>
      <c r="E219" s="612" t="s">
        <v>1089</v>
      </c>
      <c r="F219" s="613" t="str">
        <f t="shared" si="15"/>
        <v>Ja</v>
      </c>
      <c r="G219" s="610" t="str">
        <f t="shared" si="19"/>
        <v>TO ermöglicht: Tarifwechel; doppelten Kostenabzug;  Abweichungen vom gerichtl. festgelegten Ausgleichswert;  Wertteilhabe (z.B. Verzinsung) zwischen EzE und RK geltend machen</v>
      </c>
      <c r="H219" s="392"/>
      <c r="K219" s="1118">
        <v>1</v>
      </c>
      <c r="L219" s="1118">
        <v>2</v>
      </c>
      <c r="M219" s="1118">
        <v>3</v>
      </c>
      <c r="N219" s="1118">
        <v>4</v>
      </c>
      <c r="O219" s="758"/>
      <c r="P219" s="140">
        <f t="shared" si="17"/>
        <v>10</v>
      </c>
    </row>
    <row r="220" spans="1:16">
      <c r="A220" s="586" t="str">
        <f t="shared" si="14"/>
        <v>Norddeutscher Rundfunk Tarifvertrag v. 07.12.2009</v>
      </c>
      <c r="B220" s="586">
        <f>ROW()</f>
        <v>220</v>
      </c>
      <c r="C220" s="611" t="s">
        <v>942</v>
      </c>
      <c r="D220" s="1120">
        <v>40154</v>
      </c>
      <c r="F220" s="613" t="str">
        <f t="shared" si="15"/>
        <v/>
      </c>
      <c r="G220" s="610" t="str">
        <f t="shared" si="19"/>
        <v/>
      </c>
      <c r="H220" s="392"/>
      <c r="K220" s="1118"/>
      <c r="L220" s="1118"/>
      <c r="M220" s="1118"/>
      <c r="N220" s="1118"/>
      <c r="P220" s="140">
        <f t="shared" si="17"/>
        <v>0</v>
      </c>
    </row>
    <row r="221" spans="1:16" ht="33.75">
      <c r="A221" s="586" t="str">
        <f t="shared" si="14"/>
        <v>Nordostdeutsche Energiewirtschaft Unterstützungskasse v. 30.03.2020</v>
      </c>
      <c r="B221" s="586">
        <f>ROW()</f>
        <v>221</v>
      </c>
      <c r="C221" s="611" t="s">
        <v>1200</v>
      </c>
      <c r="D221" s="1120">
        <v>43920</v>
      </c>
      <c r="E221" s="612" t="s">
        <v>1198</v>
      </c>
      <c r="F221" s="613" t="str">
        <f t="shared" si="15"/>
        <v/>
      </c>
      <c r="G221" s="610" t="str">
        <f t="shared" si="19"/>
        <v>TO ermöglicht: doppelten Kostenabzug;  Wertteilhabe (z.B. Verzinsung) zwischen EzE und RK geltend machen</v>
      </c>
      <c r="H221" s="392"/>
      <c r="I221" s="610" t="s">
        <v>1199</v>
      </c>
      <c r="K221" s="1118"/>
      <c r="L221" s="1118">
        <v>2</v>
      </c>
      <c r="M221" s="1118"/>
      <c r="N221" s="1118">
        <v>4</v>
      </c>
      <c r="P221" s="140">
        <f t="shared" si="17"/>
        <v>6</v>
      </c>
    </row>
    <row r="222" spans="1:16" ht="25.5">
      <c r="A222" s="586" t="str">
        <f t="shared" si="14"/>
        <v>Nordsee GmbH v. 01.09.2009</v>
      </c>
      <c r="B222" s="586">
        <f>ROW()</f>
        <v>222</v>
      </c>
      <c r="C222" s="611" t="s">
        <v>790</v>
      </c>
      <c r="D222" s="1120">
        <v>40057</v>
      </c>
      <c r="E222" s="612" t="s">
        <v>767</v>
      </c>
      <c r="F222" s="613" t="str">
        <f t="shared" si="15"/>
        <v/>
      </c>
      <c r="G222" s="610" t="str">
        <f t="shared" si="19"/>
        <v/>
      </c>
      <c r="H222" s="392"/>
      <c r="J222" s="755"/>
      <c r="K222" s="1118"/>
      <c r="L222" s="1118"/>
      <c r="M222" s="1118"/>
      <c r="N222" s="1118"/>
      <c r="O222" s="756" t="s">
        <v>803</v>
      </c>
      <c r="P222" s="140">
        <f t="shared" si="17"/>
        <v>0</v>
      </c>
    </row>
    <row r="223" spans="1:16" ht="22.5">
      <c r="A223" s="586" t="str">
        <f t="shared" si="14"/>
        <v>Nürnberger Lebensversicherung AG v. 01.01.2022</v>
      </c>
      <c r="B223" s="586">
        <f>ROW()</f>
        <v>223</v>
      </c>
      <c r="C223" s="611" t="s">
        <v>928</v>
      </c>
      <c r="D223" s="1120">
        <v>44562</v>
      </c>
      <c r="E223" s="612" t="s">
        <v>924</v>
      </c>
      <c r="F223" s="613" t="str">
        <f t="shared" si="15"/>
        <v/>
      </c>
      <c r="G223" s="610" t="str">
        <f t="shared" si="19"/>
        <v>TO ermöglicht:  Wertteilhabe (z.B. Verzinsung) zwischen EzE und RK geltend machen</v>
      </c>
      <c r="H223" s="392"/>
      <c r="K223" s="1118"/>
      <c r="L223" s="1118"/>
      <c r="M223" s="1118"/>
      <c r="N223" s="1118">
        <v>4</v>
      </c>
      <c r="P223" s="140">
        <f t="shared" si="17"/>
        <v>4</v>
      </c>
    </row>
    <row r="224" spans="1:16" ht="22.5">
      <c r="A224" s="586" t="str">
        <f t="shared" si="14"/>
        <v>Nürnberger Pensionskasse AG v. 01.01.2022</v>
      </c>
      <c r="B224" s="586">
        <f>ROW()</f>
        <v>224</v>
      </c>
      <c r="C224" s="611" t="s">
        <v>923</v>
      </c>
      <c r="D224" s="1120">
        <v>44562</v>
      </c>
      <c r="E224" s="612" t="s">
        <v>924</v>
      </c>
      <c r="F224" s="613" t="str">
        <f t="shared" si="15"/>
        <v/>
      </c>
      <c r="G224" s="610" t="str">
        <f t="shared" si="19"/>
        <v>TO ermöglicht:  Wertteilhabe (z.B. Verzinsung) zwischen EzE und RK geltend machen</v>
      </c>
      <c r="H224" s="392"/>
      <c r="J224" s="755"/>
      <c r="K224" s="1118"/>
      <c r="L224" s="1118"/>
      <c r="M224" s="1118"/>
      <c r="N224" s="1118">
        <v>4</v>
      </c>
      <c r="P224" s="140">
        <f t="shared" si="17"/>
        <v>4</v>
      </c>
    </row>
    <row r="225" spans="1:16" ht="22.5">
      <c r="A225" s="586" t="str">
        <f t="shared" si="14"/>
        <v>Nürnberger Pensionskasse AG v. 01.05.2010</v>
      </c>
      <c r="B225" s="586">
        <f>ROW()</f>
        <v>225</v>
      </c>
      <c r="C225" s="611" t="s">
        <v>923</v>
      </c>
      <c r="D225" s="1120">
        <v>40299</v>
      </c>
      <c r="E225" s="612" t="s">
        <v>924</v>
      </c>
      <c r="F225" s="613" t="str">
        <f t="shared" si="15"/>
        <v>Ja</v>
      </c>
      <c r="G225" s="610" t="str">
        <f t="shared" si="19"/>
        <v>TO ermöglicht: Tarifwechel;  Wertteilhabe (z.B. Verzinsung) zwischen EzE und RK geltend machen</v>
      </c>
      <c r="H225" s="392"/>
      <c r="J225" s="755"/>
      <c r="K225" s="1118">
        <v>1</v>
      </c>
      <c r="L225" s="1118"/>
      <c r="M225" s="1118"/>
      <c r="N225" s="1118">
        <v>4</v>
      </c>
      <c r="P225" s="140">
        <f t="shared" si="17"/>
        <v>5</v>
      </c>
    </row>
    <row r="226" spans="1:16" ht="33.75">
      <c r="A226" s="586" t="str">
        <f t="shared" si="14"/>
        <v>Nürnberger überbetriebliche Versorgungskasse e.V. v. 01.01.2022</v>
      </c>
      <c r="B226" s="586">
        <f>ROW()</f>
        <v>226</v>
      </c>
      <c r="C226" s="611" t="s">
        <v>925</v>
      </c>
      <c r="D226" s="1120">
        <v>44562</v>
      </c>
      <c r="E226" s="612" t="s">
        <v>1198</v>
      </c>
      <c r="F226" s="613" t="str">
        <f t="shared" si="15"/>
        <v/>
      </c>
      <c r="G226" s="610" t="str">
        <f t="shared" si="19"/>
        <v>TO ermöglicht: doppelten Kostenabzug;  Wertteilhabe (z.B. Verzinsung) zwischen EzE und RK geltend machen</v>
      </c>
      <c r="H226" s="392"/>
      <c r="J226" s="755"/>
      <c r="K226" s="1118"/>
      <c r="L226" s="1118">
        <v>2</v>
      </c>
      <c r="M226" s="1118"/>
      <c r="N226" s="1118">
        <v>4</v>
      </c>
      <c r="P226" s="140">
        <f t="shared" si="17"/>
        <v>6</v>
      </c>
    </row>
    <row r="227" spans="1:16" ht="33.75">
      <c r="A227" s="586" t="str">
        <f t="shared" ref="A227:A297" si="21">C227&amp;IF(D227=0,""," v. "&amp;TEXT(D227,"TT.MM.JJJ"))</f>
        <v>Nürnberger überbetriebliche Versorgungskasse e.V. v. 06.12.2018</v>
      </c>
      <c r="B227" s="586">
        <f>ROW()</f>
        <v>227</v>
      </c>
      <c r="C227" s="611" t="s">
        <v>925</v>
      </c>
      <c r="D227" s="1120">
        <v>43440</v>
      </c>
      <c r="E227" s="612" t="s">
        <v>926</v>
      </c>
      <c r="F227" s="613" t="str">
        <f t="shared" si="15"/>
        <v>Ja</v>
      </c>
      <c r="G227" s="610" t="str">
        <f t="shared" si="19"/>
        <v xml:space="preserve">TO ermöglicht: Tarifwechel; doppelten Kostenabzug;  Abweichungen vom gerichtl. festgelegten Ausgleichswert; </v>
      </c>
      <c r="H227" s="392"/>
      <c r="K227" s="1118">
        <v>1</v>
      </c>
      <c r="L227" s="1118">
        <v>2</v>
      </c>
      <c r="M227" s="1118">
        <v>3</v>
      </c>
      <c r="N227" s="1118"/>
      <c r="P227" s="140">
        <f t="shared" si="17"/>
        <v>6</v>
      </c>
    </row>
    <row r="228" spans="1:16" ht="25.5">
      <c r="A228" s="586" t="str">
        <f t="shared" si="21"/>
        <v>Nürnberger überbetriebliche Versorgungskasse e.V. v. 18.12.2009</v>
      </c>
      <c r="B228" s="586">
        <f>ROW()</f>
        <v>228</v>
      </c>
      <c r="C228" s="611" t="s">
        <v>925</v>
      </c>
      <c r="D228" s="1120">
        <v>40165</v>
      </c>
      <c r="E228" s="612" t="s">
        <v>924</v>
      </c>
      <c r="F228" s="613" t="str">
        <f t="shared" si="15"/>
        <v>Ja</v>
      </c>
      <c r="G228" s="610" t="str">
        <f t="shared" si="19"/>
        <v>TO ermöglicht: Tarifwechel;  Wertteilhabe (z.B. Verzinsung) zwischen EzE und RK geltend machen</v>
      </c>
      <c r="H228" s="392"/>
      <c r="J228" s="755"/>
      <c r="K228" s="1118">
        <v>1</v>
      </c>
      <c r="L228" s="1118"/>
      <c r="M228" s="1118"/>
      <c r="N228" s="1118">
        <v>4</v>
      </c>
      <c r="P228" s="140">
        <f t="shared" si="17"/>
        <v>5</v>
      </c>
    </row>
    <row r="229" spans="1:16" ht="45">
      <c r="A229" s="586" t="str">
        <f t="shared" si="21"/>
        <v>ÖBAV Unterstützungskasse e.V.  v. 01.05.2018</v>
      </c>
      <c r="B229" s="586">
        <f>ROW()</f>
        <v>229</v>
      </c>
      <c r="C229" s="611" t="s">
        <v>893</v>
      </c>
      <c r="D229" s="1120">
        <v>43221</v>
      </c>
      <c r="E229" s="612" t="s">
        <v>894</v>
      </c>
      <c r="F229" s="613" t="str">
        <f t="shared" ref="F229:F299" si="22">IF(K229=1,"Ja","")</f>
        <v>Ja</v>
      </c>
      <c r="G229" s="610" t="str">
        <f t="shared" si="19"/>
        <v>TO ermöglicht: Tarifwechel; doppelten Kostenabzug;  Abweichungen vom gerichtl. festgelegten Ausgleichswert;  Wertteilhabe (z.B. Verzinsung) zwischen EzE und RK geltend machen</v>
      </c>
      <c r="H229" s="392"/>
      <c r="J229" s="67"/>
      <c r="K229" s="1118">
        <v>1</v>
      </c>
      <c r="L229" s="1118">
        <v>2</v>
      </c>
      <c r="M229" s="1118">
        <v>3</v>
      </c>
      <c r="N229" s="1118">
        <v>4</v>
      </c>
      <c r="P229" s="140">
        <f t="shared" si="17"/>
        <v>10</v>
      </c>
    </row>
    <row r="230" spans="1:16" ht="45">
      <c r="A230" s="586" t="str">
        <f t="shared" si="21"/>
        <v>Opel Direktversicherung Hannoversche v. 01.01.2010</v>
      </c>
      <c r="B230" s="586">
        <f>ROW()</f>
        <v>230</v>
      </c>
      <c r="C230" s="611" t="s">
        <v>1127</v>
      </c>
      <c r="D230" s="1120">
        <v>40179</v>
      </c>
      <c r="E230" s="612" t="s">
        <v>1090</v>
      </c>
      <c r="F230" s="613" t="str">
        <f t="shared" si="22"/>
        <v/>
      </c>
      <c r="G230" s="610" t="str">
        <f t="shared" si="19"/>
        <v>TO ermöglicht:  Wertteilhabe (z.B. Verzinsung) zwischen EzE und RK geltend machen</v>
      </c>
      <c r="H230" s="392"/>
      <c r="I230" s="610" t="s">
        <v>1354</v>
      </c>
      <c r="J230" s="67"/>
      <c r="K230" s="1118"/>
      <c r="L230" s="1118"/>
      <c r="M230" s="1118"/>
      <c r="N230" s="1118">
        <v>4</v>
      </c>
      <c r="P230" s="140">
        <f t="shared" si="17"/>
        <v>4</v>
      </c>
    </row>
    <row r="231" spans="1:16">
      <c r="A231" s="586" t="str">
        <f t="shared" si="21"/>
        <v>Opel GmbH v. 16.08.2018</v>
      </c>
      <c r="B231" s="586">
        <f>ROW()</f>
        <v>231</v>
      </c>
      <c r="C231" s="611" t="s">
        <v>1539</v>
      </c>
      <c r="D231" s="1120">
        <v>43328</v>
      </c>
      <c r="E231" s="612" t="s">
        <v>651</v>
      </c>
      <c r="F231" s="613"/>
      <c r="G231" s="610" t="str">
        <f t="shared" si="19"/>
        <v xml:space="preserve">TO ermöglicht: doppelten Kostenabzug; </v>
      </c>
      <c r="H231" s="392"/>
      <c r="J231" s="67"/>
      <c r="K231" s="1118"/>
      <c r="L231" s="1118">
        <v>2</v>
      </c>
      <c r="M231" s="1118"/>
      <c r="N231" s="1118"/>
      <c r="P231" s="140"/>
    </row>
    <row r="232" spans="1:16">
      <c r="A232" s="586" t="str">
        <f t="shared" si="21"/>
        <v>Osram v. 30.04.2012</v>
      </c>
      <c r="B232" s="586">
        <f>ROW()</f>
        <v>232</v>
      </c>
      <c r="C232" s="611" t="s">
        <v>1884</v>
      </c>
      <c r="D232" s="1120">
        <v>41029</v>
      </c>
      <c r="E232" s="612" t="s">
        <v>1885</v>
      </c>
      <c r="F232" s="613"/>
      <c r="G232" s="610" t="str">
        <f t="shared" si="19"/>
        <v/>
      </c>
      <c r="H232" s="392"/>
      <c r="J232" s="67"/>
      <c r="K232" s="1118"/>
      <c r="L232" s="1118"/>
      <c r="M232" s="1118"/>
      <c r="N232" s="1118"/>
      <c r="P232" s="140"/>
    </row>
    <row r="233" spans="1:16" ht="33.75">
      <c r="A233" s="586" t="str">
        <f t="shared" si="21"/>
        <v>PB Lebensversicherung AG v. 01.01.2017</v>
      </c>
      <c r="B233" s="586">
        <f>ROW()</f>
        <v>233</v>
      </c>
      <c r="C233" s="611" t="s">
        <v>666</v>
      </c>
      <c r="D233" s="1120">
        <v>42736</v>
      </c>
      <c r="E233" s="612" t="s">
        <v>667</v>
      </c>
      <c r="F233" s="613" t="str">
        <f t="shared" si="22"/>
        <v>Ja</v>
      </c>
      <c r="G233" s="610" t="str">
        <f t="shared" si="19"/>
        <v>TO ermöglicht: Tarifwechel; doppelten Kostenabzug;  Wertteilhabe (z.B. Verzinsung) zwischen EzE und RK geltend machen</v>
      </c>
      <c r="H233" s="392"/>
      <c r="J233" s="67"/>
      <c r="K233" s="1118">
        <v>1</v>
      </c>
      <c r="L233" s="1118">
        <v>2</v>
      </c>
      <c r="M233" s="1118"/>
      <c r="N233" s="1118">
        <v>4</v>
      </c>
      <c r="O233" s="758" t="s">
        <v>668</v>
      </c>
      <c r="P233" s="140">
        <f t="shared" si="17"/>
        <v>7</v>
      </c>
    </row>
    <row r="234" spans="1:16" ht="33.75">
      <c r="A234" s="586" t="str">
        <f t="shared" si="21"/>
        <v>PB Lebensversicherung AG v. 01.03.2010</v>
      </c>
      <c r="B234" s="586">
        <f>ROW()</f>
        <v>234</v>
      </c>
      <c r="C234" s="611" t="s">
        <v>666</v>
      </c>
      <c r="D234" s="1120">
        <v>40238</v>
      </c>
      <c r="E234" s="612" t="s">
        <v>1091</v>
      </c>
      <c r="F234" s="613" t="str">
        <f t="shared" si="22"/>
        <v>Ja</v>
      </c>
      <c r="G234" s="610" t="str">
        <f t="shared" si="19"/>
        <v>TO ermöglicht: Tarifwechel; doppelten Kostenabzug;  Wertteilhabe (z.B. Verzinsung) zwischen EzE und RK geltend machen</v>
      </c>
      <c r="H234" s="392"/>
      <c r="K234" s="1118">
        <v>1</v>
      </c>
      <c r="L234" s="1118">
        <v>2</v>
      </c>
      <c r="M234" s="1118"/>
      <c r="N234" s="1118">
        <v>4</v>
      </c>
      <c r="O234" s="756"/>
      <c r="P234" s="140">
        <f t="shared" si="17"/>
        <v>7</v>
      </c>
    </row>
    <row r="235" spans="1:16" ht="33.75">
      <c r="A235" s="586" t="str">
        <f t="shared" si="21"/>
        <v>PB Lebensversicherung AG v. 01.10.2019</v>
      </c>
      <c r="B235" s="586">
        <f>ROW()</f>
        <v>235</v>
      </c>
      <c r="C235" s="611" t="s">
        <v>666</v>
      </c>
      <c r="D235" s="1120">
        <v>43739</v>
      </c>
      <c r="E235" s="612" t="s">
        <v>858</v>
      </c>
      <c r="F235" s="613" t="str">
        <f t="shared" si="22"/>
        <v>Ja</v>
      </c>
      <c r="G235" s="610" t="str">
        <f t="shared" si="19"/>
        <v>TO ermöglicht: Tarifwechel; doppelten Kostenabzug;  Wertteilhabe (z.B. Verzinsung) zwischen EzE und RK geltend machen</v>
      </c>
      <c r="H235" s="392"/>
      <c r="J235" s="755"/>
      <c r="K235" s="1118">
        <v>1</v>
      </c>
      <c r="L235" s="1118">
        <v>2</v>
      </c>
      <c r="M235" s="1118"/>
      <c r="N235" s="1118">
        <v>4</v>
      </c>
      <c r="O235" s="756" t="s">
        <v>859</v>
      </c>
      <c r="P235" s="140">
        <f t="shared" si="17"/>
        <v>7</v>
      </c>
    </row>
    <row r="236" spans="1:16" ht="33.75">
      <c r="A236" s="586" t="str">
        <f t="shared" si="21"/>
        <v>PB Lebensversicherung v. 01.03.2010</v>
      </c>
      <c r="B236" s="586">
        <f>ROW()</f>
        <v>236</v>
      </c>
      <c r="C236" s="611" t="s">
        <v>1113</v>
      </c>
      <c r="D236" s="1120">
        <v>40238</v>
      </c>
      <c r="E236" s="612" t="s">
        <v>739</v>
      </c>
      <c r="F236" s="613" t="str">
        <f t="shared" si="22"/>
        <v>Ja</v>
      </c>
      <c r="G236" s="610" t="str">
        <f t="shared" si="19"/>
        <v>TO ermöglicht: Tarifwechel; doppelten Kostenabzug;  Wertteilhabe (z.B. Verzinsung) zwischen EzE und RK geltend machen</v>
      </c>
      <c r="H236" s="392"/>
      <c r="J236" s="755"/>
      <c r="K236" s="1118">
        <v>1</v>
      </c>
      <c r="L236" s="1118">
        <v>2</v>
      </c>
      <c r="M236" s="1118"/>
      <c r="N236" s="1118">
        <v>4</v>
      </c>
      <c r="O236" s="756" t="s">
        <v>676</v>
      </c>
      <c r="P236" s="140">
        <f t="shared" si="17"/>
        <v>7</v>
      </c>
    </row>
    <row r="237" spans="1:16" ht="33.75">
      <c r="A237" s="586" t="str">
        <f t="shared" si="21"/>
        <v>PB Pensionsfonds AG v. 01.01.2010</v>
      </c>
      <c r="B237" s="586">
        <f>ROW()</f>
        <v>237</v>
      </c>
      <c r="C237" s="611" t="s">
        <v>1092</v>
      </c>
      <c r="D237" s="1120">
        <v>40179</v>
      </c>
      <c r="E237" s="612" t="s">
        <v>1093</v>
      </c>
      <c r="F237" s="613" t="str">
        <f t="shared" si="22"/>
        <v>Ja</v>
      </c>
      <c r="G237" s="610" t="str">
        <f t="shared" si="19"/>
        <v>TO ermöglicht: Tarifwechel; doppelten Kostenabzug;  Wertteilhabe (z.B. Verzinsung) zwischen EzE und RK geltend machen</v>
      </c>
      <c r="H237" s="392"/>
      <c r="J237" s="755"/>
      <c r="K237" s="1118">
        <v>1</v>
      </c>
      <c r="L237" s="1118">
        <v>2</v>
      </c>
      <c r="M237" s="1118"/>
      <c r="N237" s="1118">
        <v>4</v>
      </c>
      <c r="O237" s="756"/>
      <c r="P237" s="140">
        <f t="shared" si="17"/>
        <v>7</v>
      </c>
    </row>
    <row r="238" spans="1:16" ht="33.75">
      <c r="A238" s="586" t="str">
        <f t="shared" si="21"/>
        <v>PB Pensionsfonds v. 01.04.2015</v>
      </c>
      <c r="B238" s="586">
        <f>ROW()</f>
        <v>238</v>
      </c>
      <c r="C238" s="611" t="s">
        <v>699</v>
      </c>
      <c r="D238" s="1120">
        <v>42095</v>
      </c>
      <c r="E238" s="612" t="s">
        <v>700</v>
      </c>
      <c r="F238" s="613" t="str">
        <f t="shared" si="22"/>
        <v>Ja</v>
      </c>
      <c r="G238" s="610" t="str">
        <f t="shared" si="19"/>
        <v>TO ermöglicht: Tarifwechel; doppelten Kostenabzug;  Wertteilhabe (z.B. Verzinsung) zwischen EzE und RK geltend machen</v>
      </c>
      <c r="H238" s="392"/>
      <c r="K238" s="1118">
        <v>1</v>
      </c>
      <c r="L238" s="1118">
        <v>2</v>
      </c>
      <c r="M238" s="1118"/>
      <c r="N238" s="1118">
        <v>4</v>
      </c>
      <c r="O238" s="758" t="s">
        <v>701</v>
      </c>
      <c r="P238" s="140">
        <f t="shared" si="17"/>
        <v>7</v>
      </c>
    </row>
    <row r="239" spans="1:16" ht="45">
      <c r="A239" s="586" t="str">
        <f t="shared" si="21"/>
        <v>Pensionskasse der Deutschen Wirtschaft v. 29.09.2016</v>
      </c>
      <c r="B239" s="586">
        <f>ROW()</f>
        <v>239</v>
      </c>
      <c r="C239" s="611" t="s">
        <v>1348</v>
      </c>
      <c r="D239" s="1120">
        <v>42642</v>
      </c>
      <c r="E239" s="612" t="s">
        <v>1316</v>
      </c>
      <c r="F239" s="613" t="str">
        <f t="shared" si="22"/>
        <v/>
      </c>
      <c r="G239" s="610" t="str">
        <f t="shared" si="19"/>
        <v>TO ermöglicht:  Wertteilhabe (z.B. Verzinsung) zwischen EzE und RK geltend machen</v>
      </c>
      <c r="H239" s="392"/>
      <c r="I239" s="610" t="s">
        <v>1349</v>
      </c>
      <c r="K239" s="1118"/>
      <c r="L239" s="1118"/>
      <c r="M239" s="1118"/>
      <c r="N239" s="1118">
        <v>4</v>
      </c>
      <c r="P239" s="140">
        <f t="shared" si="17"/>
        <v>4</v>
      </c>
    </row>
    <row r="240" spans="1:16" ht="25.5">
      <c r="A240" s="586" t="str">
        <f t="shared" si="21"/>
        <v>Pensionskasse des Schornsteinfegerhandwerks</v>
      </c>
      <c r="B240" s="586">
        <f>ROW()</f>
        <v>240</v>
      </c>
      <c r="C240" s="611" t="s">
        <v>678</v>
      </c>
      <c r="E240" s="612" t="s">
        <v>681</v>
      </c>
      <c r="F240" s="613" t="str">
        <f t="shared" si="22"/>
        <v/>
      </c>
      <c r="G240" s="610" t="str">
        <f t="shared" si="19"/>
        <v/>
      </c>
      <c r="H240" s="392"/>
      <c r="J240" s="755"/>
      <c r="K240" s="1118"/>
      <c r="L240" s="1118"/>
      <c r="M240" s="1118"/>
      <c r="N240" s="1118"/>
      <c r="O240" s="758" t="s">
        <v>679</v>
      </c>
      <c r="P240" s="140">
        <f t="shared" si="17"/>
        <v>0</v>
      </c>
    </row>
    <row r="241" spans="1:16" ht="25.5">
      <c r="A241" s="586" t="str">
        <f t="shared" si="21"/>
        <v>PensionsSicherungsVerein PSV v. 03.05.2017</v>
      </c>
      <c r="B241" s="586">
        <f>ROW()</f>
        <v>241</v>
      </c>
      <c r="C241" s="611" t="s">
        <v>740</v>
      </c>
      <c r="D241" s="1120">
        <v>42858</v>
      </c>
      <c r="E241" s="612" t="s">
        <v>741</v>
      </c>
      <c r="F241" s="613" t="str">
        <f t="shared" si="22"/>
        <v/>
      </c>
      <c r="G241" s="610" t="str">
        <f t="shared" si="19"/>
        <v/>
      </c>
      <c r="H241" s="392"/>
      <c r="K241" s="1118"/>
      <c r="L241" s="1118"/>
      <c r="M241" s="1118"/>
      <c r="N241" s="1118"/>
      <c r="O241" s="756" t="s">
        <v>742</v>
      </c>
      <c r="P241" s="140">
        <f t="shared" si="17"/>
        <v>0</v>
      </c>
    </row>
    <row r="242" spans="1:16" ht="33.75">
      <c r="A242" s="586" t="str">
        <f t="shared" si="21"/>
        <v>Philip Morris GmbH v. 30.10.1919</v>
      </c>
      <c r="B242" s="586">
        <f>ROW()</f>
        <v>242</v>
      </c>
      <c r="C242" s="611" t="s">
        <v>1304</v>
      </c>
      <c r="D242" s="1120">
        <v>7243</v>
      </c>
      <c r="E242" s="630">
        <v>44962</v>
      </c>
      <c r="F242" s="613" t="str">
        <f t="shared" si="22"/>
        <v/>
      </c>
      <c r="G242" s="610" t="str">
        <f t="shared" si="19"/>
        <v xml:space="preserve">TO ermöglicht: doppelten Kostenabzug; </v>
      </c>
      <c r="H242" s="392"/>
      <c r="I242" s="610" t="s">
        <v>1305</v>
      </c>
      <c r="K242" s="1118"/>
      <c r="L242" s="1118">
        <v>2</v>
      </c>
      <c r="M242" s="1118"/>
      <c r="N242" s="1118"/>
      <c r="P242" s="140">
        <f t="shared" si="17"/>
        <v>2</v>
      </c>
    </row>
    <row r="243" spans="1:16" ht="33.75">
      <c r="A243" s="586" t="str">
        <f t="shared" si="21"/>
        <v>Presse-Versorgung (Allianz) v. 01.12.2012</v>
      </c>
      <c r="B243" s="586">
        <f>ROW()</f>
        <v>243</v>
      </c>
      <c r="C243" s="611" t="s">
        <v>732</v>
      </c>
      <c r="D243" s="1120">
        <v>41244</v>
      </c>
      <c r="E243" s="612" t="s">
        <v>1094</v>
      </c>
      <c r="F243" s="613" t="str">
        <f t="shared" si="22"/>
        <v>Ja</v>
      </c>
      <c r="G243" s="610" t="str">
        <f t="shared" si="19"/>
        <v>TO ermöglicht: Tarifwechel; doppelten Kostenabzug;  Wertteilhabe (z.B. Verzinsung) zwischen EzE und RK geltend machen</v>
      </c>
      <c r="H243" s="392"/>
      <c r="K243" s="1118">
        <v>1</v>
      </c>
      <c r="L243" s="1118">
        <v>2</v>
      </c>
      <c r="M243" s="1118"/>
      <c r="N243" s="1118">
        <v>4</v>
      </c>
      <c r="O243" s="760" t="s">
        <v>733</v>
      </c>
      <c r="P243" s="140">
        <f t="shared" si="17"/>
        <v>7</v>
      </c>
    </row>
    <row r="244" spans="1:16" ht="33.75">
      <c r="A244" s="586" t="str">
        <f t="shared" si="21"/>
        <v>Pro bAV Pensionskasse AG v. 27.08.2018</v>
      </c>
      <c r="B244" s="586">
        <f>ROW()</f>
        <v>244</v>
      </c>
      <c r="C244" s="611" t="s">
        <v>1128</v>
      </c>
      <c r="D244" s="1120">
        <v>43339</v>
      </c>
      <c r="E244" s="612" t="s">
        <v>1129</v>
      </c>
      <c r="F244" s="613" t="str">
        <f t="shared" si="22"/>
        <v>Ja</v>
      </c>
      <c r="G244" s="610" t="str">
        <f t="shared" si="19"/>
        <v xml:space="preserve">TO ermöglicht: Tarifwechel; doppelten Kostenabzug;  Abweichungen vom gerichtl. festgelegten Ausgleichswert; </v>
      </c>
      <c r="H244" s="392"/>
      <c r="K244" s="1118">
        <v>1</v>
      </c>
      <c r="L244" s="1118">
        <v>2</v>
      </c>
      <c r="M244" s="1118">
        <v>3</v>
      </c>
      <c r="N244" s="1118"/>
      <c r="O244" s="756"/>
      <c r="P244" s="140">
        <f t="shared" si="17"/>
        <v>6</v>
      </c>
    </row>
    <row r="245" spans="1:16">
      <c r="A245" s="586" t="str">
        <f t="shared" si="21"/>
        <v>probAV v. 06.08.2018</v>
      </c>
      <c r="B245" s="586">
        <f>ROW()</f>
        <v>245</v>
      </c>
      <c r="C245" s="611" t="s">
        <v>874</v>
      </c>
      <c r="D245" s="1120">
        <v>43318</v>
      </c>
      <c r="E245" s="612" t="s">
        <v>667</v>
      </c>
      <c r="F245" s="613" t="str">
        <f t="shared" si="22"/>
        <v>Ja</v>
      </c>
      <c r="G245" s="610" t="str">
        <f t="shared" si="19"/>
        <v xml:space="preserve">TO ermöglicht: Tarifwechel; </v>
      </c>
      <c r="H245" s="392"/>
      <c r="K245" s="1118">
        <v>1</v>
      </c>
      <c r="L245" s="1118"/>
      <c r="M245" s="1118"/>
      <c r="N245" s="1118"/>
      <c r="O245" s="756" t="s">
        <v>878</v>
      </c>
      <c r="P245" s="140">
        <f t="shared" si="17"/>
        <v>1</v>
      </c>
    </row>
    <row r="246" spans="1:16" ht="33.75">
      <c r="A246" s="586" t="str">
        <f t="shared" si="21"/>
        <v>Provinzial Düsseldorf v. 20.04.2021</v>
      </c>
      <c r="B246" s="586">
        <f>ROW()</f>
        <v>246</v>
      </c>
      <c r="C246" s="611" t="s">
        <v>829</v>
      </c>
      <c r="D246" s="1120">
        <v>44306</v>
      </c>
      <c r="E246" s="612" t="s">
        <v>830</v>
      </c>
      <c r="F246" s="613" t="str">
        <f t="shared" si="22"/>
        <v>Ja</v>
      </c>
      <c r="G246" s="610" t="str">
        <f t="shared" si="19"/>
        <v>TO ermöglicht: Tarifwechel; doppelten Kostenabzug;  Wertteilhabe (z.B. Verzinsung) zwischen EzE und RK geltend machen</v>
      </c>
      <c r="H246" s="392"/>
      <c r="K246" s="1118">
        <v>1</v>
      </c>
      <c r="L246" s="1118">
        <v>2</v>
      </c>
      <c r="M246" s="1118"/>
      <c r="N246" s="1118">
        <v>4</v>
      </c>
      <c r="O246" s="756" t="s">
        <v>831</v>
      </c>
      <c r="P246" s="140">
        <f t="shared" si="17"/>
        <v>7</v>
      </c>
    </row>
    <row r="247" spans="1:16" ht="33.75">
      <c r="A247" s="586" t="str">
        <f t="shared" si="21"/>
        <v>Provinzial Lebensversicherungen v. 03.05.2010</v>
      </c>
      <c r="B247" s="586">
        <f>ROW()</f>
        <v>247</v>
      </c>
      <c r="C247" s="611" t="s">
        <v>1355</v>
      </c>
      <c r="D247" s="1120">
        <v>40301</v>
      </c>
      <c r="E247" s="612" t="s">
        <v>1356</v>
      </c>
      <c r="F247" s="613" t="str">
        <f t="shared" si="22"/>
        <v>Ja</v>
      </c>
      <c r="G247" s="610" t="str">
        <f t="shared" si="19"/>
        <v>TO ermöglicht: Tarifwechel; doppelten Kostenabzug;  Wertteilhabe (z.B. Verzinsung) zwischen EzE und RK geltend machen</v>
      </c>
      <c r="H247" s="392"/>
      <c r="K247" s="1118">
        <v>1</v>
      </c>
      <c r="L247" s="1118">
        <v>2</v>
      </c>
      <c r="M247" s="1118"/>
      <c r="N247" s="1118">
        <v>4</v>
      </c>
      <c r="O247" s="756"/>
      <c r="P247" s="140">
        <f t="shared" si="17"/>
        <v>7</v>
      </c>
    </row>
    <row r="248" spans="1:16" ht="33.75">
      <c r="A248" s="586" t="str">
        <f t="shared" si="21"/>
        <v>Provinzial LV Hannover v. 01.05.2016</v>
      </c>
      <c r="B248" s="586">
        <f>ROW()</f>
        <v>248</v>
      </c>
      <c r="C248" s="611" t="s">
        <v>743</v>
      </c>
      <c r="D248" s="1120">
        <v>42491</v>
      </c>
      <c r="E248" s="612" t="s">
        <v>744</v>
      </c>
      <c r="F248" s="613" t="str">
        <f t="shared" si="22"/>
        <v>Ja</v>
      </c>
      <c r="G248" s="610" t="str">
        <f t="shared" si="19"/>
        <v>TO ermöglicht: Tarifwechel; doppelten Kostenabzug;  Wertteilhabe (z.B. Verzinsung) zwischen EzE und RK geltend machen</v>
      </c>
      <c r="H248" s="392"/>
      <c r="K248" s="1118">
        <v>1</v>
      </c>
      <c r="L248" s="1118">
        <v>2</v>
      </c>
      <c r="M248" s="1118"/>
      <c r="N248" s="1118">
        <v>4</v>
      </c>
      <c r="O248" s="756" t="s">
        <v>745</v>
      </c>
      <c r="P248" s="140">
        <f t="shared" si="17"/>
        <v>7</v>
      </c>
    </row>
    <row r="249" spans="1:16" ht="33.75">
      <c r="A249" s="586" t="str">
        <f t="shared" si="21"/>
        <v>Provinzial LV v. 01.01.2017</v>
      </c>
      <c r="B249" s="586">
        <f>ROW()</f>
        <v>249</v>
      </c>
      <c r="C249" s="611" t="s">
        <v>1095</v>
      </c>
      <c r="D249" s="1120">
        <v>42736</v>
      </c>
      <c r="E249" s="612" t="s">
        <v>665</v>
      </c>
      <c r="F249" s="613" t="str">
        <f t="shared" si="22"/>
        <v>Ja</v>
      </c>
      <c r="G249" s="610" t="str">
        <f t="shared" si="19"/>
        <v>TO ermöglicht: Tarifwechel; doppelten Kostenabzug;  Wertteilhabe (z.B. Verzinsung) zwischen EzE und RK geltend machen</v>
      </c>
      <c r="H249" s="392"/>
      <c r="J249" s="759" t="s">
        <v>751</v>
      </c>
      <c r="K249" s="1118">
        <v>1</v>
      </c>
      <c r="L249" s="1118">
        <v>2</v>
      </c>
      <c r="M249" s="1118"/>
      <c r="N249" s="1118">
        <v>4</v>
      </c>
      <c r="P249" s="140">
        <f t="shared" ref="P249:P272" si="23">SUM(K249:N249)</f>
        <v>7</v>
      </c>
    </row>
    <row r="250" spans="1:16" ht="33.75">
      <c r="A250" s="586" t="str">
        <f t="shared" si="21"/>
        <v>Provinzial NordWest LV v. 01.01.2017</v>
      </c>
      <c r="B250" s="586">
        <f>ROW()</f>
        <v>250</v>
      </c>
      <c r="C250" s="611" t="s">
        <v>1130</v>
      </c>
      <c r="D250" s="1120">
        <v>42736</v>
      </c>
      <c r="E250" s="612" t="s">
        <v>1114</v>
      </c>
      <c r="F250" s="613" t="str">
        <f t="shared" si="22"/>
        <v>Ja</v>
      </c>
      <c r="G250" s="610" t="str">
        <f t="shared" si="19"/>
        <v>TO ermöglicht: Tarifwechel; doppelten Kostenabzug;  Wertteilhabe (z.B. Verzinsung) zwischen EzE und RK geltend machen</v>
      </c>
      <c r="H250" s="392"/>
      <c r="K250" s="1118">
        <v>1</v>
      </c>
      <c r="L250" s="1118">
        <v>2</v>
      </c>
      <c r="M250" s="1118"/>
      <c r="N250" s="1118">
        <v>4</v>
      </c>
      <c r="P250" s="140">
        <f t="shared" si="23"/>
        <v>7</v>
      </c>
    </row>
    <row r="251" spans="1:16" ht="45">
      <c r="A251" s="586" t="str">
        <f t="shared" si="21"/>
        <v>Provinzial v. 01.01.2022</v>
      </c>
      <c r="B251" s="586">
        <f>ROW()</f>
        <v>251</v>
      </c>
      <c r="C251" s="611" t="s">
        <v>1325</v>
      </c>
      <c r="D251" s="1120">
        <v>44562</v>
      </c>
      <c r="E251" s="612" t="s">
        <v>1096</v>
      </c>
      <c r="F251" s="613" t="str">
        <f t="shared" si="22"/>
        <v>Ja</v>
      </c>
      <c r="G251" s="610" t="str">
        <f t="shared" si="19"/>
        <v>TO ermöglicht: Tarifwechel; doppelten Kostenabzug;  Wertteilhabe (z.B. Verzinsung) zwischen EzE und RK geltend machen</v>
      </c>
      <c r="H251" s="392"/>
      <c r="I251" s="610" t="s">
        <v>1324</v>
      </c>
      <c r="J251" s="755"/>
      <c r="K251" s="1118">
        <v>1</v>
      </c>
      <c r="L251" s="1118">
        <v>2</v>
      </c>
      <c r="M251" s="1118"/>
      <c r="N251" s="1118">
        <v>4</v>
      </c>
      <c r="O251" s="758" t="s">
        <v>664</v>
      </c>
      <c r="P251" s="140">
        <f t="shared" si="23"/>
        <v>7</v>
      </c>
    </row>
    <row r="252" spans="1:16" ht="33.75">
      <c r="A252" s="586" t="str">
        <f t="shared" si="21"/>
        <v>Proxalto Lebensversicherung v. 01.07.2022</v>
      </c>
      <c r="B252" s="586">
        <f>ROW()</f>
        <v>252</v>
      </c>
      <c r="C252" s="611" t="s">
        <v>872</v>
      </c>
      <c r="D252" s="1120">
        <v>44743</v>
      </c>
      <c r="E252" s="612" t="s">
        <v>1020</v>
      </c>
      <c r="F252" s="613" t="str">
        <f t="shared" si="22"/>
        <v>Ja</v>
      </c>
      <c r="G252" s="610" t="str">
        <f t="shared" si="19"/>
        <v>TO ermöglicht: Tarifwechel; doppelten Kostenabzug;  Wertteilhabe (z.B. Verzinsung) zwischen EzE und RK geltend machen</v>
      </c>
      <c r="H252" s="392"/>
      <c r="J252" s="755"/>
      <c r="K252" s="1118">
        <v>1</v>
      </c>
      <c r="L252" s="1118">
        <v>2</v>
      </c>
      <c r="M252" s="1118"/>
      <c r="N252" s="1118">
        <v>4</v>
      </c>
      <c r="P252" s="140">
        <f t="shared" si="23"/>
        <v>7</v>
      </c>
    </row>
    <row r="253" spans="1:16" ht="33.75">
      <c r="A253" s="586" t="str">
        <f t="shared" si="21"/>
        <v>Proxalto Lebensversicherung v. 05.04.2019</v>
      </c>
      <c r="B253" s="586">
        <f>ROW()</f>
        <v>253</v>
      </c>
      <c r="C253" s="611" t="s">
        <v>872</v>
      </c>
      <c r="D253" s="1120">
        <v>43560</v>
      </c>
      <c r="E253" s="612" t="s">
        <v>873</v>
      </c>
      <c r="F253" s="613" t="str">
        <f t="shared" si="22"/>
        <v>Ja</v>
      </c>
      <c r="G253" s="610" t="str">
        <f t="shared" si="19"/>
        <v>TO ermöglicht: Tarifwechel; doppelten Kostenabzug;  Wertteilhabe (z.B. Verzinsung) zwischen EzE und RK geltend machen</v>
      </c>
      <c r="H253" s="392"/>
      <c r="K253" s="1118">
        <v>1</v>
      </c>
      <c r="L253" s="1118">
        <v>2</v>
      </c>
      <c r="M253" s="1118"/>
      <c r="N253" s="1118">
        <v>4</v>
      </c>
      <c r="P253" s="140">
        <f t="shared" si="23"/>
        <v>7</v>
      </c>
    </row>
    <row r="254" spans="1:16" ht="25.5">
      <c r="A254" s="586" t="str">
        <f t="shared" si="21"/>
        <v>PSVAG (Pensions Sicherungs Verein) v. 03.05.2017</v>
      </c>
      <c r="B254" s="586">
        <f>ROW()</f>
        <v>254</v>
      </c>
      <c r="C254" s="611" t="s">
        <v>891</v>
      </c>
      <c r="D254" s="1120">
        <v>42858</v>
      </c>
      <c r="E254" s="816" t="s">
        <v>892</v>
      </c>
      <c r="F254" s="613" t="str">
        <f t="shared" si="22"/>
        <v/>
      </c>
      <c r="G254" s="610" t="str">
        <f t="shared" si="19"/>
        <v xml:space="preserve">TO ermöglicht: doppelten Kostenabzug; </v>
      </c>
      <c r="H254" s="392"/>
      <c r="K254" s="1118"/>
      <c r="L254" s="1118">
        <v>2</v>
      </c>
      <c r="M254" s="1118"/>
      <c r="N254" s="1118"/>
      <c r="O254" s="756" t="s">
        <v>742</v>
      </c>
      <c r="P254" s="140">
        <f t="shared" si="23"/>
        <v>2</v>
      </c>
    </row>
    <row r="255" spans="1:16">
      <c r="A255" s="586" t="str">
        <f t="shared" si="21"/>
        <v>R+V ebensversicherung AG</v>
      </c>
      <c r="B255" s="586">
        <f>ROW()</f>
        <v>255</v>
      </c>
      <c r="C255" s="611" t="s">
        <v>648</v>
      </c>
      <c r="F255" s="613" t="str">
        <f t="shared" si="22"/>
        <v/>
      </c>
      <c r="G255" s="610" t="str">
        <f t="shared" si="19"/>
        <v/>
      </c>
      <c r="H255" s="392"/>
      <c r="K255" s="1118"/>
      <c r="L255" s="1118"/>
      <c r="M255" s="1118"/>
      <c r="N255" s="1118"/>
      <c r="O255" s="758"/>
      <c r="P255" s="140">
        <f t="shared" si="23"/>
        <v>0</v>
      </c>
    </row>
    <row r="256" spans="1:16" ht="25.5">
      <c r="A256" s="586" t="str">
        <f t="shared" si="21"/>
        <v>R+V ebensversicherung AG v. 01.03.2020</v>
      </c>
      <c r="B256" s="586">
        <f>ROW()</f>
        <v>256</v>
      </c>
      <c r="C256" s="611" t="s">
        <v>648</v>
      </c>
      <c r="D256" s="1120">
        <v>43891</v>
      </c>
      <c r="E256" s="612" t="s">
        <v>649</v>
      </c>
      <c r="F256" s="613" t="str">
        <f t="shared" si="22"/>
        <v/>
      </c>
      <c r="G256" s="610" t="str">
        <f t="shared" si="19"/>
        <v xml:space="preserve">TO ermöglicht: doppelten Kostenabzug; </v>
      </c>
      <c r="H256" s="392"/>
      <c r="I256" s="610" t="s">
        <v>1219</v>
      </c>
      <c r="K256" s="1118"/>
      <c r="L256" s="1118">
        <v>2</v>
      </c>
      <c r="M256" s="1118"/>
      <c r="N256" s="1118"/>
      <c r="O256" s="758" t="s">
        <v>655</v>
      </c>
      <c r="P256" s="140">
        <f t="shared" si="23"/>
        <v>2</v>
      </c>
    </row>
    <row r="257" spans="1:16">
      <c r="A257" s="586" t="str">
        <f t="shared" si="21"/>
        <v>Radio Bremen Tarifvertrag v. 03.12.2009</v>
      </c>
      <c r="B257" s="586">
        <f>ROW()</f>
        <v>257</v>
      </c>
      <c r="C257" s="611" t="s">
        <v>938</v>
      </c>
      <c r="D257" s="1120">
        <v>40150</v>
      </c>
      <c r="F257" s="613" t="str">
        <f t="shared" si="22"/>
        <v/>
      </c>
      <c r="G257" s="610" t="str">
        <f t="shared" si="19"/>
        <v xml:space="preserve">TO ermöglicht: doppelten Kostenabzug; </v>
      </c>
      <c r="H257" s="392"/>
      <c r="K257" s="1118"/>
      <c r="L257" s="1118">
        <v>2</v>
      </c>
      <c r="M257" s="1118"/>
      <c r="N257" s="1118"/>
      <c r="P257" s="140">
        <f t="shared" si="23"/>
        <v>2</v>
      </c>
    </row>
    <row r="258" spans="1:16" ht="25.5">
      <c r="A258" s="586" t="str">
        <f t="shared" si="21"/>
        <v>Real Unterstützungskasse v. 01.01.2018</v>
      </c>
      <c r="B258" s="586">
        <f>ROW()</f>
        <v>258</v>
      </c>
      <c r="C258" s="611" t="s">
        <v>785</v>
      </c>
      <c r="D258" s="1120">
        <v>43101</v>
      </c>
      <c r="E258" s="612" t="s">
        <v>767</v>
      </c>
      <c r="F258" s="613" t="str">
        <f t="shared" si="22"/>
        <v/>
      </c>
      <c r="G258" s="610" t="str">
        <f t="shared" si="19"/>
        <v xml:space="preserve">TO ermöglicht: doppelten Kostenabzug; </v>
      </c>
      <c r="H258" s="392"/>
      <c r="K258" s="1118"/>
      <c r="L258" s="1118">
        <v>2</v>
      </c>
      <c r="M258" s="1118"/>
      <c r="N258" s="1118"/>
      <c r="O258" s="756" t="s">
        <v>803</v>
      </c>
      <c r="P258" s="140">
        <f t="shared" si="23"/>
        <v>2</v>
      </c>
    </row>
    <row r="259" spans="1:16" ht="25.5">
      <c r="A259" s="586" t="str">
        <f t="shared" si="21"/>
        <v>real_Group_Holding_GmbH v. 01.07.2012</v>
      </c>
      <c r="B259" s="586">
        <f>ROW()</f>
        <v>259</v>
      </c>
      <c r="C259" s="611" t="s">
        <v>763</v>
      </c>
      <c r="D259" s="1120">
        <v>41091</v>
      </c>
      <c r="E259" s="612" t="s">
        <v>764</v>
      </c>
      <c r="F259" s="613" t="str">
        <f t="shared" si="22"/>
        <v/>
      </c>
      <c r="G259" s="610" t="str">
        <f t="shared" si="19"/>
        <v xml:space="preserve">TO ermöglicht: doppelten Kostenabzug; </v>
      </c>
      <c r="H259" s="392"/>
      <c r="J259" s="755"/>
      <c r="K259" s="1118"/>
      <c r="L259" s="1118">
        <v>2</v>
      </c>
      <c r="M259" s="1118"/>
      <c r="N259" s="1118"/>
      <c r="O259" s="756" t="s">
        <v>803</v>
      </c>
      <c r="P259" s="140">
        <f t="shared" si="23"/>
        <v>2</v>
      </c>
    </row>
    <row r="260" spans="1:16" ht="25.5">
      <c r="A260" s="586" t="str">
        <f t="shared" si="21"/>
        <v>real_SB_Warenhaus_GmbH v. 01.07.2012</v>
      </c>
      <c r="B260" s="586">
        <f>ROW()</f>
        <v>260</v>
      </c>
      <c r="C260" s="611" t="s">
        <v>768</v>
      </c>
      <c r="D260" s="1120">
        <v>41091</v>
      </c>
      <c r="E260" s="612" t="s">
        <v>767</v>
      </c>
      <c r="F260" s="613" t="str">
        <f t="shared" si="22"/>
        <v/>
      </c>
      <c r="G260" s="610" t="str">
        <f t="shared" si="19"/>
        <v/>
      </c>
      <c r="H260" s="392"/>
      <c r="K260" s="1118"/>
      <c r="L260" s="1118"/>
      <c r="M260" s="1118"/>
      <c r="N260" s="1118"/>
      <c r="O260" s="756" t="s">
        <v>803</v>
      </c>
      <c r="P260" s="140">
        <f t="shared" si="23"/>
        <v>0</v>
      </c>
    </row>
    <row r="261" spans="1:16" ht="25.5">
      <c r="A261" s="586" t="str">
        <f t="shared" si="21"/>
        <v>REWE Unterstützungskasse e.V. v. 01.01.2018</v>
      </c>
      <c r="B261" s="586">
        <f>ROW()</f>
        <v>261</v>
      </c>
      <c r="C261" s="611" t="s">
        <v>778</v>
      </c>
      <c r="D261" s="1120">
        <v>43101</v>
      </c>
      <c r="E261" s="612" t="s">
        <v>767</v>
      </c>
      <c r="F261" s="613" t="str">
        <f t="shared" si="22"/>
        <v/>
      </c>
      <c r="G261" s="610" t="str">
        <f t="shared" si="19"/>
        <v xml:space="preserve">TO ermöglicht: doppelten Kostenabzug; </v>
      </c>
      <c r="H261" s="392"/>
      <c r="J261" s="755" t="s">
        <v>660</v>
      </c>
      <c r="K261" s="1118"/>
      <c r="L261" s="1118">
        <v>2</v>
      </c>
      <c r="M261" s="1118"/>
      <c r="N261" s="1118"/>
      <c r="O261" s="756" t="s">
        <v>803</v>
      </c>
      <c r="P261" s="140">
        <f t="shared" si="23"/>
        <v>2</v>
      </c>
    </row>
    <row r="262" spans="1:16" ht="25.5">
      <c r="A262" s="586" t="str">
        <f t="shared" si="21"/>
        <v>REWE Unterstützungskasse e.V. v. 01.01.2018</v>
      </c>
      <c r="B262" s="586">
        <f>ROW()</f>
        <v>262</v>
      </c>
      <c r="C262" s="611" t="s">
        <v>778</v>
      </c>
      <c r="D262" s="1120">
        <v>43101</v>
      </c>
      <c r="E262" s="612" t="s">
        <v>767</v>
      </c>
      <c r="F262" s="613" t="str">
        <f t="shared" si="22"/>
        <v/>
      </c>
      <c r="G262" s="610" t="str">
        <f t="shared" si="19"/>
        <v/>
      </c>
      <c r="H262" s="392"/>
      <c r="K262" s="1118"/>
      <c r="L262" s="1118"/>
      <c r="M262" s="1118"/>
      <c r="N262" s="1118"/>
      <c r="O262" s="756" t="s">
        <v>803</v>
      </c>
      <c r="P262" s="140">
        <f t="shared" si="23"/>
        <v>0</v>
      </c>
    </row>
    <row r="263" spans="1:16" ht="25.5">
      <c r="A263" s="586" t="str">
        <f t="shared" si="21"/>
        <v>Rheinmetall KBV TO Rheinmetall Plus 1.0 v. 21.11.2022</v>
      </c>
      <c r="B263" s="586">
        <f>ROW()</f>
        <v>263</v>
      </c>
      <c r="C263" s="586" t="s">
        <v>1881</v>
      </c>
      <c r="D263" s="1120">
        <v>44886</v>
      </c>
      <c r="E263" s="612" t="s">
        <v>1882</v>
      </c>
      <c r="F263" s="613"/>
      <c r="G263" s="610" t="str">
        <f t="shared" si="19"/>
        <v/>
      </c>
      <c r="H263" s="392"/>
      <c r="K263" s="1118"/>
      <c r="L263" s="1118"/>
      <c r="M263" s="1118"/>
      <c r="N263" s="1118"/>
      <c r="O263" s="756"/>
      <c r="P263" s="140"/>
    </row>
    <row r="264" spans="1:16" ht="22.5">
      <c r="A264" s="586" t="str">
        <f t="shared" si="21"/>
        <v>Rheinmetall KBV TO Rheinmetall Plus 2.0 v. 21.11.2022</v>
      </c>
      <c r="B264" s="586">
        <f>ROW()</f>
        <v>264</v>
      </c>
      <c r="C264" s="586" t="s">
        <v>1883</v>
      </c>
      <c r="D264" s="1120">
        <v>44886</v>
      </c>
      <c r="E264" s="612" t="s">
        <v>1316</v>
      </c>
      <c r="F264" s="613"/>
      <c r="G264" s="610" t="str">
        <f t="shared" si="19"/>
        <v/>
      </c>
      <c r="H264" s="392"/>
      <c r="K264" s="1118"/>
      <c r="L264" s="1118"/>
      <c r="M264" s="1118"/>
      <c r="N264" s="1118"/>
      <c r="O264" s="756"/>
      <c r="P264" s="140"/>
    </row>
    <row r="265" spans="1:16" ht="22.5">
      <c r="A265" s="586" t="str">
        <f t="shared" si="21"/>
        <v>Roche Diagnostics GmbH v. 27.09.2011</v>
      </c>
      <c r="B265" s="586">
        <f>ROW()</f>
        <v>265</v>
      </c>
      <c r="C265" s="611" t="s">
        <v>1306</v>
      </c>
      <c r="D265" s="1120">
        <v>40813</v>
      </c>
      <c r="E265" s="612" t="s">
        <v>477</v>
      </c>
      <c r="F265" s="613" t="str">
        <f t="shared" si="22"/>
        <v/>
      </c>
      <c r="G265" s="610" t="str">
        <f t="shared" si="19"/>
        <v>TO ermöglicht:  Wertteilhabe (z.B. Verzinsung) zwischen EzE und RK geltend machen</v>
      </c>
      <c r="H265" s="392"/>
      <c r="K265" s="1118"/>
      <c r="L265" s="1118"/>
      <c r="M265" s="1118"/>
      <c r="N265" s="1118">
        <v>4</v>
      </c>
      <c r="P265" s="140">
        <f t="shared" si="23"/>
        <v>4</v>
      </c>
    </row>
    <row r="266" spans="1:16" ht="45">
      <c r="A266" s="586" t="str">
        <f t="shared" si="21"/>
        <v>Rosenheimer Unterstützungskasse v. 01.05.2022</v>
      </c>
      <c r="B266" s="586">
        <f>ROW()</f>
        <v>266</v>
      </c>
      <c r="C266" s="611" t="s">
        <v>1335</v>
      </c>
      <c r="D266" s="1120">
        <v>44682</v>
      </c>
      <c r="E266" s="612" t="s">
        <v>718</v>
      </c>
      <c r="F266" s="613" t="str">
        <f t="shared" si="22"/>
        <v>Ja</v>
      </c>
      <c r="G266" s="610" t="str">
        <f t="shared" si="19"/>
        <v>TO ermöglicht: Tarifwechel; doppelten Kostenabzug;  Abweichungen vom gerichtl. festgelegten Ausgleichswert;  Wertteilhabe (z.B. Verzinsung) zwischen EzE und RK geltend machen</v>
      </c>
      <c r="H266" s="392"/>
      <c r="I266" s="610" t="s">
        <v>1333</v>
      </c>
      <c r="K266" s="1118">
        <v>1</v>
      </c>
      <c r="L266" s="1118">
        <v>2</v>
      </c>
      <c r="M266" s="1118">
        <v>3</v>
      </c>
      <c r="N266" s="1118">
        <v>4</v>
      </c>
      <c r="P266" s="140">
        <f t="shared" si="23"/>
        <v>10</v>
      </c>
    </row>
    <row r="267" spans="1:16" ht="25.5">
      <c r="A267" s="586" t="str">
        <f t="shared" si="21"/>
        <v>Rundfunk Berlin-Brandenburg Tarifvertrag v. 08.12.2009</v>
      </c>
      <c r="B267" s="586">
        <f>ROW()</f>
        <v>267</v>
      </c>
      <c r="C267" s="611" t="s">
        <v>943</v>
      </c>
      <c r="D267" s="1120">
        <v>40155</v>
      </c>
      <c r="F267" s="613" t="str">
        <f t="shared" si="22"/>
        <v/>
      </c>
      <c r="G267" s="610" t="str">
        <f t="shared" si="19"/>
        <v/>
      </c>
      <c r="H267" s="392"/>
      <c r="J267" s="755"/>
      <c r="K267" s="1118"/>
      <c r="L267" s="1118"/>
      <c r="M267" s="1118"/>
      <c r="N267" s="1118"/>
      <c r="P267" s="140">
        <f t="shared" si="23"/>
        <v>0</v>
      </c>
    </row>
    <row r="268" spans="1:16">
      <c r="A268" s="586" t="str">
        <f t="shared" si="21"/>
        <v>Saarländischer Rundfunk Tarifvertrag v. 04.12.2009</v>
      </c>
      <c r="B268" s="586">
        <f>ROW()</f>
        <v>268</v>
      </c>
      <c r="C268" s="611" t="s">
        <v>939</v>
      </c>
      <c r="D268" s="1120">
        <v>40151</v>
      </c>
      <c r="F268" s="613" t="str">
        <f t="shared" si="22"/>
        <v/>
      </c>
      <c r="G268" s="610" t="str">
        <f t="shared" si="19"/>
        <v/>
      </c>
      <c r="H268" s="392"/>
      <c r="J268" s="755"/>
      <c r="K268" s="1118"/>
      <c r="L268" s="1118"/>
      <c r="M268" s="1118"/>
      <c r="N268" s="1118"/>
      <c r="P268" s="140">
        <f t="shared" si="23"/>
        <v>0</v>
      </c>
    </row>
    <row r="269" spans="1:16">
      <c r="A269" s="586" t="str">
        <f t="shared" ref="A269" si="24">C269&amp;IF(D269=0,""," v. "&amp;TEXT(D269,"TT.MM.JJJ"))</f>
        <v>Schroff GmbH v. 13.09.2010</v>
      </c>
      <c r="B269" s="586">
        <f>ROW()</f>
        <v>269</v>
      </c>
      <c r="C269" s="1300" t="s">
        <v>1930</v>
      </c>
      <c r="D269" s="1120">
        <v>40434</v>
      </c>
      <c r="E269" s="612" t="s">
        <v>1931</v>
      </c>
      <c r="F269" s="613"/>
      <c r="G269" s="610" t="str">
        <f t="shared" si="19"/>
        <v/>
      </c>
      <c r="H269" s="392"/>
      <c r="J269" s="755"/>
      <c r="K269" s="1118"/>
      <c r="L269" s="1118"/>
      <c r="M269" s="1118"/>
      <c r="N269" s="1118"/>
      <c r="P269" s="140"/>
    </row>
    <row r="270" spans="1:16" ht="33.75">
      <c r="A270" s="586" t="str">
        <f t="shared" si="21"/>
        <v>Secunda Unterstützungskasse für den Mittelstand v. 01.01.2010</v>
      </c>
      <c r="B270" s="586">
        <f>ROW()</f>
        <v>270</v>
      </c>
      <c r="C270" s="1300" t="s">
        <v>757</v>
      </c>
      <c r="D270" s="1120">
        <v>40179</v>
      </c>
      <c r="E270" s="612" t="s">
        <v>758</v>
      </c>
      <c r="F270" s="613" t="str">
        <f t="shared" si="22"/>
        <v/>
      </c>
      <c r="G270" s="610" t="str">
        <f t="shared" si="19"/>
        <v>TO ermöglicht: doppelten Kostenabzug;  Wertteilhabe (z.B. Verzinsung) zwischen EzE und RK geltend machen</v>
      </c>
      <c r="H270" s="392"/>
      <c r="J270" s="755"/>
      <c r="K270" s="1118"/>
      <c r="L270" s="1118">
        <v>2</v>
      </c>
      <c r="M270" s="1118"/>
      <c r="N270" s="1118">
        <v>4</v>
      </c>
      <c r="O270" s="756" t="s">
        <v>759</v>
      </c>
      <c r="P270" s="140">
        <f t="shared" si="23"/>
        <v>6</v>
      </c>
    </row>
    <row r="271" spans="1:16">
      <c r="A271" s="586" t="str">
        <f t="shared" si="21"/>
        <v>SelbstHilfe PK Caritas v. 01.01.2014</v>
      </c>
      <c r="B271" s="586">
        <f>ROW()</f>
        <v>271</v>
      </c>
      <c r="C271" s="611" t="s">
        <v>704</v>
      </c>
      <c r="D271" s="1120">
        <v>41640</v>
      </c>
      <c r="E271" s="612" t="s">
        <v>705</v>
      </c>
      <c r="F271" s="613" t="str">
        <f t="shared" si="22"/>
        <v>Ja</v>
      </c>
      <c r="G271" s="610" t="str">
        <f t="shared" si="19"/>
        <v xml:space="preserve">TO ermöglicht: Tarifwechel; </v>
      </c>
      <c r="H271" s="392"/>
      <c r="K271" s="1118">
        <v>1</v>
      </c>
      <c r="L271" s="1118"/>
      <c r="M271" s="1118"/>
      <c r="N271" s="1118"/>
      <c r="O271" s="760" t="s">
        <v>706</v>
      </c>
      <c r="P271" s="140">
        <f t="shared" si="23"/>
        <v>1</v>
      </c>
    </row>
    <row r="272" spans="1:16">
      <c r="A272" s="586" t="str">
        <f t="shared" si="21"/>
        <v>Sera-Zusage v. 01.07.2021</v>
      </c>
      <c r="B272" s="586">
        <f>ROW()</f>
        <v>272</v>
      </c>
      <c r="C272" s="611" t="s">
        <v>1254</v>
      </c>
      <c r="D272" s="1120">
        <v>44378</v>
      </c>
      <c r="E272" s="612" t="s">
        <v>767</v>
      </c>
      <c r="F272" s="613" t="str">
        <f t="shared" si="22"/>
        <v/>
      </c>
      <c r="G272" s="610" t="str">
        <f t="shared" si="19"/>
        <v xml:space="preserve">TO ermöglicht: doppelten Kostenabzug; </v>
      </c>
      <c r="H272" s="392"/>
      <c r="J272" s="755"/>
      <c r="K272" s="1118"/>
      <c r="L272" s="1118">
        <v>2</v>
      </c>
      <c r="M272" s="1118"/>
      <c r="N272" s="1118"/>
      <c r="O272" s="756"/>
      <c r="P272" s="140">
        <f t="shared" si="23"/>
        <v>2</v>
      </c>
    </row>
    <row r="273" spans="1:16" ht="45">
      <c r="A273" s="586" t="str">
        <f t="shared" si="21"/>
        <v>Signal Iduna a.G. v. 01.05.2022</v>
      </c>
      <c r="B273" s="586">
        <f>ROW()</f>
        <v>273</v>
      </c>
      <c r="C273" s="611" t="s">
        <v>1358</v>
      </c>
      <c r="D273" s="1120">
        <v>44682</v>
      </c>
      <c r="E273" s="612">
        <v>5</v>
      </c>
      <c r="F273" s="613" t="str">
        <f t="shared" si="22"/>
        <v/>
      </c>
      <c r="G273" s="610" t="str">
        <f t="shared" si="19"/>
        <v>TO ermöglicht: doppelten Kostenabzug;  Abweichungen vom gerichtl. festgelegten Ausgleichswert;  Wertteilhabe (z.B. Verzinsung) zwischen EzE und RK geltend machen</v>
      </c>
      <c r="H273" s="392"/>
      <c r="I273" s="610" t="s">
        <v>1357</v>
      </c>
      <c r="K273" s="1118"/>
      <c r="L273" s="1118">
        <v>2</v>
      </c>
      <c r="M273" s="1118">
        <v>3</v>
      </c>
      <c r="N273" s="1118">
        <v>4</v>
      </c>
      <c r="P273" s="140"/>
    </row>
    <row r="274" spans="1:16" ht="45">
      <c r="A274" s="586" t="str">
        <f t="shared" si="21"/>
        <v>Signal Iduna AG v. 01.05.2022</v>
      </c>
      <c r="B274" s="586">
        <f>ROW()</f>
        <v>274</v>
      </c>
      <c r="C274" s="611" t="s">
        <v>1359</v>
      </c>
      <c r="D274" s="1120">
        <v>44682</v>
      </c>
      <c r="E274" s="612">
        <v>5</v>
      </c>
      <c r="F274" s="613" t="str">
        <f t="shared" si="22"/>
        <v/>
      </c>
      <c r="G274" s="610" t="str">
        <f t="shared" si="19"/>
        <v>TO ermöglicht: doppelten Kostenabzug;  Abweichungen vom gerichtl. festgelegten Ausgleichswert;  Wertteilhabe (z.B. Verzinsung) zwischen EzE und RK geltend machen</v>
      </c>
      <c r="H274" s="392"/>
      <c r="I274" s="610" t="s">
        <v>1357</v>
      </c>
      <c r="K274" s="1118"/>
      <c r="L274" s="1118">
        <v>2</v>
      </c>
      <c r="M274" s="1118">
        <v>3</v>
      </c>
      <c r="N274" s="1118">
        <v>4</v>
      </c>
      <c r="P274" s="140"/>
    </row>
    <row r="275" spans="1:16" ht="33.75">
      <c r="A275" s="586" t="str">
        <f t="shared" si="21"/>
        <v>Signal Iduna Pensionskass AG v. 01.05.2022</v>
      </c>
      <c r="B275" s="586">
        <f>ROW()</f>
        <v>275</v>
      </c>
      <c r="C275" s="611" t="s">
        <v>1360</v>
      </c>
      <c r="D275" s="1120">
        <v>44682</v>
      </c>
      <c r="E275" s="612">
        <v>5</v>
      </c>
      <c r="F275" s="613" t="str">
        <f t="shared" si="22"/>
        <v/>
      </c>
      <c r="G275" s="610" t="str">
        <f t="shared" ref="G275:G338" si="25">IF(SUM(K275:N275)=0,"","TO ermöglicht: "&amp;IF(K275&gt;0,"Tarifwechel; ","")&amp;IF(L275&gt;0,"doppelten Kostenabzug; ","")&amp;IF(M275&gt;0," Abweichungen vom gerichtl. festgelegten Ausgleichswert; ","")&amp;IF(N275&gt;0," Wertteilhabe (z.B. Verzinsung) zwischen EzE und RK geltend machen",""))</f>
        <v>TO ermöglicht:  Wertteilhabe (z.B. Verzinsung) zwischen EzE und RK geltend machen</v>
      </c>
      <c r="H275" s="392"/>
      <c r="I275" s="610" t="s">
        <v>1357</v>
      </c>
      <c r="K275" s="1118"/>
      <c r="L275" s="1118"/>
      <c r="M275" s="1118"/>
      <c r="N275" s="1118">
        <v>4</v>
      </c>
      <c r="P275" s="140"/>
    </row>
    <row r="276" spans="1:16" ht="45">
      <c r="A276" s="586" t="str">
        <f t="shared" si="21"/>
        <v>Signal Iduna v. 01.01.2010</v>
      </c>
      <c r="B276" s="586">
        <f>ROW()</f>
        <v>276</v>
      </c>
      <c r="C276" s="611" t="s">
        <v>1098</v>
      </c>
      <c r="D276" s="1120">
        <v>40179</v>
      </c>
      <c r="E276" s="612" t="s">
        <v>1043</v>
      </c>
      <c r="F276" s="613" t="str">
        <f t="shared" si="22"/>
        <v>Ja</v>
      </c>
      <c r="G276" s="610" t="str">
        <f t="shared" si="25"/>
        <v>TO ermöglicht: Tarifwechel;  Abweichungen vom gerichtl. festgelegten Ausgleichswert;  Wertteilhabe (z.B. Verzinsung) zwischen EzE und RK geltend machen</v>
      </c>
      <c r="H276" s="392"/>
      <c r="K276" s="1118">
        <v>1</v>
      </c>
      <c r="L276" s="1118"/>
      <c r="M276" s="1118">
        <v>3</v>
      </c>
      <c r="N276" s="1118">
        <v>4</v>
      </c>
      <c r="P276" s="140">
        <f t="shared" ref="P276:P328" si="26">SUM(K276:N276)</f>
        <v>8</v>
      </c>
    </row>
    <row r="277" spans="1:16" ht="45">
      <c r="A277" s="586" t="str">
        <f t="shared" si="21"/>
        <v>Sparkassen Pensionskasse AG v. 01.05.2021</v>
      </c>
      <c r="B277" s="586">
        <f>ROW()</f>
        <v>277</v>
      </c>
      <c r="C277" s="611" t="s">
        <v>1131</v>
      </c>
      <c r="D277" s="1120">
        <v>44317</v>
      </c>
      <c r="E277" s="612" t="s">
        <v>1302</v>
      </c>
      <c r="F277" s="613" t="str">
        <f t="shared" si="22"/>
        <v>Ja</v>
      </c>
      <c r="G277" s="610" t="str">
        <f t="shared" si="25"/>
        <v>TO ermöglicht: Tarifwechel; doppelten Kostenabzug;  Abweichungen vom gerichtl. festgelegten Ausgleichswert;  Wertteilhabe (z.B. Verzinsung) zwischen EzE und RK geltend machen</v>
      </c>
      <c r="H277" s="392"/>
      <c r="J277" s="755"/>
      <c r="K277" s="1118">
        <v>1</v>
      </c>
      <c r="L277" s="1118">
        <v>2</v>
      </c>
      <c r="M277" s="1118">
        <v>3</v>
      </c>
      <c r="N277" s="1118">
        <v>4</v>
      </c>
      <c r="P277" s="140">
        <f t="shared" si="26"/>
        <v>10</v>
      </c>
    </row>
    <row r="278" spans="1:16" ht="45">
      <c r="A278" s="586" t="str">
        <f t="shared" si="21"/>
        <v>Sparkassen Pensionskasse AG v. 11.04.2016</v>
      </c>
      <c r="B278" s="586">
        <f>ROW()</f>
        <v>278</v>
      </c>
      <c r="C278" s="611" t="s">
        <v>1131</v>
      </c>
      <c r="D278" s="1120">
        <v>42471</v>
      </c>
      <c r="E278" s="612" t="s">
        <v>876</v>
      </c>
      <c r="F278" s="613" t="str">
        <f t="shared" si="22"/>
        <v>Ja</v>
      </c>
      <c r="G278" s="610" t="str">
        <f t="shared" si="25"/>
        <v>TO ermöglicht: Tarifwechel; doppelten Kostenabzug;  Abweichungen vom gerichtl. festgelegten Ausgleichswert;  Wertteilhabe (z.B. Verzinsung) zwischen EzE und RK geltend machen</v>
      </c>
      <c r="H278" s="392"/>
      <c r="J278" s="755"/>
      <c r="K278" s="1118">
        <v>1</v>
      </c>
      <c r="L278" s="1118">
        <v>2</v>
      </c>
      <c r="M278" s="1118">
        <v>3</v>
      </c>
      <c r="N278" s="1118">
        <v>4</v>
      </c>
      <c r="P278" s="140">
        <f t="shared" si="26"/>
        <v>10</v>
      </c>
    </row>
    <row r="279" spans="1:16" ht="38.25">
      <c r="A279" s="586" t="str">
        <f t="shared" si="21"/>
        <v>Sparkassen-Versicherung private AV v. 01.06.2017</v>
      </c>
      <c r="B279" s="586">
        <f>ROW()</f>
        <v>279</v>
      </c>
      <c r="C279" s="611" t="s">
        <v>1301</v>
      </c>
      <c r="D279" s="1120">
        <v>42887</v>
      </c>
      <c r="E279" s="612" t="s">
        <v>659</v>
      </c>
      <c r="F279" s="613" t="str">
        <f t="shared" si="22"/>
        <v>Ja</v>
      </c>
      <c r="G279" s="610" t="str">
        <f t="shared" si="25"/>
        <v xml:space="preserve">TO ermöglicht: Tarifwechel; doppelten Kostenabzug; </v>
      </c>
      <c r="H279" s="392"/>
      <c r="J279" s="755"/>
      <c r="K279" s="1118">
        <v>1</v>
      </c>
      <c r="L279" s="1118">
        <v>2</v>
      </c>
      <c r="M279" s="1118"/>
      <c r="N279" s="1118"/>
      <c r="O279" s="758" t="s">
        <v>658</v>
      </c>
      <c r="P279" s="140">
        <f t="shared" si="26"/>
        <v>3</v>
      </c>
    </row>
    <row r="280" spans="1:16" ht="38.25">
      <c r="A280" s="586" t="str">
        <f t="shared" ref="A280" si="27">C280&amp;IF(D280=0,""," v. "&amp;TEXT(D280,"TT.MM.JJJ"))</f>
        <v>Sparkassen-Versicherung private AV v. 01.05.2023</v>
      </c>
      <c r="B280" s="586">
        <f>ROW()</f>
        <v>280</v>
      </c>
      <c r="C280" s="611" t="s">
        <v>1301</v>
      </c>
      <c r="D280" s="1120">
        <v>45047</v>
      </c>
      <c r="E280" s="612" t="s">
        <v>659</v>
      </c>
      <c r="F280" s="613" t="s">
        <v>463</v>
      </c>
      <c r="G280" s="610" t="str">
        <f t="shared" si="25"/>
        <v>TO ermöglicht: Tarifwechel; doppelten Kostenabzug;  Wertteilhabe (z.B. Verzinsung) zwischen EzE und RK geltend machen</v>
      </c>
      <c r="H280" s="392"/>
      <c r="J280" s="755"/>
      <c r="K280" s="1118">
        <v>1</v>
      </c>
      <c r="L280" s="1118">
        <v>2</v>
      </c>
      <c r="M280" s="1118"/>
      <c r="N280" s="1118">
        <v>4</v>
      </c>
      <c r="O280" s="758"/>
      <c r="P280" s="140">
        <f t="shared" si="26"/>
        <v>7</v>
      </c>
    </row>
    <row r="281" spans="1:16">
      <c r="A281" s="586" t="str">
        <f t="shared" si="21"/>
        <v>Standard Life v. 30.06.2011</v>
      </c>
      <c r="B281" s="586">
        <f>ROW()</f>
        <v>281</v>
      </c>
      <c r="C281" s="611" t="s">
        <v>1041</v>
      </c>
      <c r="D281" s="1120">
        <v>40724</v>
      </c>
      <c r="E281" s="612" t="s">
        <v>917</v>
      </c>
      <c r="F281" s="613" t="str">
        <f t="shared" si="22"/>
        <v>Ja</v>
      </c>
      <c r="G281" s="610" t="str">
        <f t="shared" si="25"/>
        <v xml:space="preserve">TO ermöglicht: Tarifwechel; </v>
      </c>
      <c r="H281" s="392"/>
      <c r="K281" s="1118">
        <v>1</v>
      </c>
      <c r="L281" s="1118"/>
      <c r="M281" s="1118"/>
      <c r="N281" s="1118"/>
      <c r="P281" s="140">
        <f t="shared" si="26"/>
        <v>1</v>
      </c>
    </row>
    <row r="282" spans="1:16" ht="22.5">
      <c r="A282" s="586" t="str">
        <f t="shared" ref="A282" si="28">C282&amp;IF(D282=0,""," v. "&amp;TEXT(D282,"TT.MM.JJJ"))</f>
        <v>Stuttgarter Lebensversicherung s.G.</v>
      </c>
      <c r="B282" s="586">
        <f>ROW()</f>
        <v>282</v>
      </c>
      <c r="C282" s="611" t="s">
        <v>1932</v>
      </c>
      <c r="E282" s="612" t="s">
        <v>1933</v>
      </c>
      <c r="F282" s="613" t="str">
        <f t="shared" si="22"/>
        <v>Ja</v>
      </c>
      <c r="G282" s="610" t="str">
        <f t="shared" si="25"/>
        <v>TO ermöglicht: Tarifwechel;  Wertteilhabe (z.B. Verzinsung) zwischen EzE und RK geltend machen</v>
      </c>
      <c r="H282" s="392"/>
      <c r="K282" s="1118">
        <v>1</v>
      </c>
      <c r="L282" s="1118"/>
      <c r="M282" s="1118"/>
      <c r="N282" s="1118">
        <v>4</v>
      </c>
      <c r="P282" s="140">
        <f t="shared" si="26"/>
        <v>5</v>
      </c>
    </row>
    <row r="283" spans="1:16">
      <c r="A283" s="586" t="str">
        <f t="shared" si="21"/>
        <v>Südwestrundfunk Tarifvertrag v. 09.12.2009</v>
      </c>
      <c r="B283" s="586">
        <f>ROW()</f>
        <v>283</v>
      </c>
      <c r="C283" s="611" t="s">
        <v>944</v>
      </c>
      <c r="D283" s="1120">
        <v>40156</v>
      </c>
      <c r="F283" s="613" t="str">
        <f t="shared" si="22"/>
        <v/>
      </c>
      <c r="G283" s="610" t="str">
        <f t="shared" si="25"/>
        <v/>
      </c>
      <c r="H283" s="392"/>
      <c r="K283" s="1118"/>
      <c r="L283" s="1118"/>
      <c r="M283" s="1118"/>
      <c r="N283" s="1118"/>
      <c r="P283" s="140">
        <f t="shared" si="26"/>
        <v>0</v>
      </c>
    </row>
    <row r="284" spans="1:16" ht="45">
      <c r="A284" s="586" t="str">
        <f t="shared" si="21"/>
        <v>SutorBank v. 01.05.2022</v>
      </c>
      <c r="B284" s="586">
        <f>ROW()</f>
        <v>284</v>
      </c>
      <c r="C284" s="611" t="s">
        <v>1331</v>
      </c>
      <c r="D284" s="1120">
        <v>44682</v>
      </c>
      <c r="E284" s="612" t="s">
        <v>1332</v>
      </c>
      <c r="F284" s="613" t="str">
        <f t="shared" si="22"/>
        <v>Ja</v>
      </c>
      <c r="G284" s="610" t="str">
        <f t="shared" si="25"/>
        <v>TO ermöglicht: Tarifwechel; doppelten Kostenabzug;  Abweichungen vom gerichtl. festgelegten Ausgleichswert;  Wertteilhabe (z.B. Verzinsung) zwischen EzE und RK geltend machen</v>
      </c>
      <c r="H284" s="392"/>
      <c r="I284" s="610" t="s">
        <v>1333</v>
      </c>
      <c r="K284" s="1118">
        <v>1</v>
      </c>
      <c r="L284" s="1118">
        <v>2</v>
      </c>
      <c r="M284" s="1118">
        <v>3</v>
      </c>
      <c r="N284" s="1118">
        <v>4</v>
      </c>
      <c r="P284" s="140">
        <f t="shared" si="26"/>
        <v>10</v>
      </c>
    </row>
    <row r="285" spans="1:16" ht="22.5">
      <c r="A285" s="586" t="str">
        <f t="shared" si="21"/>
        <v>Swiss Life AG v. 01.11.2013</v>
      </c>
      <c r="B285" s="586">
        <f>ROW()</f>
        <v>285</v>
      </c>
      <c r="C285" s="611" t="s">
        <v>669</v>
      </c>
      <c r="D285" s="1120">
        <v>41579</v>
      </c>
      <c r="E285" s="612" t="s">
        <v>702</v>
      </c>
      <c r="F285" s="613" t="str">
        <f t="shared" si="22"/>
        <v>Ja</v>
      </c>
      <c r="G285" s="610" t="str">
        <f t="shared" si="25"/>
        <v>TO ermöglicht: Tarifwechel;  Wertteilhabe (z.B. Verzinsung) zwischen EzE und RK geltend machen</v>
      </c>
      <c r="H285" s="392"/>
      <c r="K285" s="1118">
        <v>1</v>
      </c>
      <c r="L285" s="1118"/>
      <c r="M285" s="1118"/>
      <c r="N285" s="1118">
        <v>4</v>
      </c>
      <c r="O285" s="760" t="s">
        <v>703</v>
      </c>
      <c r="P285" s="140">
        <f t="shared" si="26"/>
        <v>5</v>
      </c>
    </row>
    <row r="286" spans="1:16" ht="45">
      <c r="A286" s="586" t="str">
        <f t="shared" si="21"/>
        <v>Swiss Life AG v. 16.12.2014</v>
      </c>
      <c r="B286" s="586">
        <f>ROW()</f>
        <v>286</v>
      </c>
      <c r="C286" s="611" t="s">
        <v>669</v>
      </c>
      <c r="D286" s="1120">
        <v>41989</v>
      </c>
      <c r="E286" s="612" t="s">
        <v>667</v>
      </c>
      <c r="F286" s="613" t="str">
        <f t="shared" si="22"/>
        <v>Ja</v>
      </c>
      <c r="G286" s="610" t="str">
        <f t="shared" si="25"/>
        <v>TO ermöglicht: Tarifwechel; doppelten Kostenabzug;  Abweichungen vom gerichtl. festgelegten Ausgleichswert;  Wertteilhabe (z.B. Verzinsung) zwischen EzE und RK geltend machen</v>
      </c>
      <c r="H286" s="392"/>
      <c r="I286" s="610" t="s">
        <v>1328</v>
      </c>
      <c r="K286" s="1118">
        <v>1</v>
      </c>
      <c r="L286" s="1118">
        <v>2</v>
      </c>
      <c r="M286" s="1118">
        <v>3</v>
      </c>
      <c r="N286" s="1118">
        <v>4</v>
      </c>
      <c r="O286" s="758" t="s">
        <v>670</v>
      </c>
      <c r="P286" s="140">
        <f t="shared" si="26"/>
        <v>10</v>
      </c>
    </row>
    <row r="287" spans="1:16" ht="45">
      <c r="A287" s="586" t="str">
        <f t="shared" si="21"/>
        <v>SwissLife Pensionskasse v. 23.09.2014</v>
      </c>
      <c r="B287" s="586">
        <f>ROW()</f>
        <v>287</v>
      </c>
      <c r="C287" s="611" t="s">
        <v>1329</v>
      </c>
      <c r="D287" s="1120">
        <v>41905</v>
      </c>
      <c r="E287" s="612">
        <v>6</v>
      </c>
      <c r="F287" s="613" t="str">
        <f t="shared" si="22"/>
        <v>Ja</v>
      </c>
      <c r="G287" s="610" t="str">
        <f t="shared" si="25"/>
        <v>TO ermöglicht: Tarifwechel;  Wertteilhabe (z.B. Verzinsung) zwischen EzE und RK geltend machen</v>
      </c>
      <c r="H287" s="392"/>
      <c r="I287" s="610" t="s">
        <v>1328</v>
      </c>
      <c r="K287" s="1118">
        <v>1</v>
      </c>
      <c r="L287" s="1118"/>
      <c r="M287" s="1118"/>
      <c r="N287" s="1118">
        <v>4</v>
      </c>
      <c r="P287" s="140">
        <f t="shared" si="26"/>
        <v>5</v>
      </c>
    </row>
    <row r="288" spans="1:16" ht="45">
      <c r="A288" s="586" t="str">
        <f t="shared" si="21"/>
        <v>SwissLife Unterstützungskasse v. 02.11.2010</v>
      </c>
      <c r="B288" s="586">
        <f>ROW()</f>
        <v>288</v>
      </c>
      <c r="C288" s="611" t="s">
        <v>1330</v>
      </c>
      <c r="D288" s="1120">
        <v>40484</v>
      </c>
      <c r="E288" s="612" t="s">
        <v>1198</v>
      </c>
      <c r="F288" s="613" t="str">
        <f t="shared" si="22"/>
        <v/>
      </c>
      <c r="G288" s="610" t="str">
        <f t="shared" si="25"/>
        <v>TO ermöglicht: doppelten Kostenabzug;  Abweichungen vom gerichtl. festgelegten Ausgleichswert;  Wertteilhabe (z.B. Verzinsung) zwischen EzE und RK geltend machen</v>
      </c>
      <c r="H288" s="392"/>
      <c r="K288" s="1118"/>
      <c r="L288" s="1118">
        <v>2</v>
      </c>
      <c r="M288" s="1118">
        <v>3</v>
      </c>
      <c r="N288" s="1118">
        <v>4</v>
      </c>
      <c r="P288" s="140">
        <f t="shared" si="26"/>
        <v>9</v>
      </c>
    </row>
    <row r="289" spans="1:16" ht="45">
      <c r="A289" s="586" t="str">
        <f t="shared" si="21"/>
        <v>Targo Lebensversicherung AG v. 01.09.2013</v>
      </c>
      <c r="B289" s="586">
        <f>ROW()</f>
        <v>289</v>
      </c>
      <c r="C289" s="611" t="s">
        <v>725</v>
      </c>
      <c r="D289" s="1120">
        <v>41518</v>
      </c>
      <c r="E289" s="612" t="s">
        <v>890</v>
      </c>
      <c r="F289" s="613" t="str">
        <f t="shared" si="22"/>
        <v>Ja</v>
      </c>
      <c r="G289" s="610" t="str">
        <f t="shared" si="25"/>
        <v>TO ermöglicht: Tarifwechel; doppelten Kostenabzug;  Abweichungen vom gerichtl. festgelegten Ausgleichswert;  Wertteilhabe (z.B. Verzinsung) zwischen EzE und RK geltend machen</v>
      </c>
      <c r="H289" s="392"/>
      <c r="J289" s="755"/>
      <c r="K289" s="1118">
        <v>1</v>
      </c>
      <c r="L289" s="1118">
        <v>2</v>
      </c>
      <c r="M289" s="1118">
        <v>3</v>
      </c>
      <c r="N289" s="1118">
        <v>4</v>
      </c>
      <c r="O289" s="610"/>
      <c r="P289" s="140">
        <f t="shared" si="26"/>
        <v>10</v>
      </c>
    </row>
    <row r="290" spans="1:16">
      <c r="A290" s="586" t="str">
        <f t="shared" si="21"/>
        <v>Test</v>
      </c>
      <c r="B290" s="586">
        <f>ROW()</f>
        <v>290</v>
      </c>
      <c r="C290" s="611" t="s">
        <v>920</v>
      </c>
      <c r="F290" s="613" t="str">
        <f t="shared" si="22"/>
        <v/>
      </c>
      <c r="G290" s="610" t="str">
        <f t="shared" si="25"/>
        <v/>
      </c>
      <c r="H290" s="392"/>
      <c r="J290" s="67"/>
      <c r="K290" s="1118"/>
      <c r="L290" s="1118"/>
      <c r="M290" s="1118"/>
      <c r="N290" s="1118"/>
      <c r="P290" s="140">
        <f t="shared" si="26"/>
        <v>0</v>
      </c>
    </row>
    <row r="291" spans="1:16">
      <c r="A291" s="586" t="str">
        <f t="shared" si="21"/>
        <v>Ulmer Spatz v. 01.07.2021</v>
      </c>
      <c r="B291" s="586">
        <f>ROW()</f>
        <v>291</v>
      </c>
      <c r="C291" s="611" t="s">
        <v>1252</v>
      </c>
      <c r="D291" s="1120">
        <v>44378</v>
      </c>
      <c r="E291" s="612" t="s">
        <v>767</v>
      </c>
      <c r="F291" s="613" t="str">
        <f t="shared" si="22"/>
        <v/>
      </c>
      <c r="G291" s="610" t="str">
        <f t="shared" si="25"/>
        <v xml:space="preserve">TO ermöglicht: doppelten Kostenabzug; </v>
      </c>
      <c r="H291" s="392"/>
      <c r="J291" s="755"/>
      <c r="K291" s="1118"/>
      <c r="L291" s="1118">
        <v>2</v>
      </c>
      <c r="M291" s="1118"/>
      <c r="N291" s="1118"/>
      <c r="O291" s="756"/>
      <c r="P291" s="140">
        <f t="shared" si="26"/>
        <v>2</v>
      </c>
    </row>
    <row r="292" spans="1:16" ht="45">
      <c r="A292" s="586" t="str">
        <f t="shared" si="21"/>
        <v>UMU-Unterstützungskasse mittelständischer Unternehmen e.V. v. 01.12.2013</v>
      </c>
      <c r="B292" s="586">
        <f>ROW()</f>
        <v>292</v>
      </c>
      <c r="C292" s="611" t="s">
        <v>950</v>
      </c>
      <c r="D292" s="1120">
        <v>41609</v>
      </c>
      <c r="E292" s="612" t="s">
        <v>917</v>
      </c>
      <c r="F292" s="613" t="str">
        <f t="shared" si="22"/>
        <v>Ja</v>
      </c>
      <c r="G292" s="610" t="str">
        <f t="shared" si="25"/>
        <v>TO ermöglicht: Tarifwechel; doppelten Kostenabzug;  Abweichungen vom gerichtl. festgelegten Ausgleichswert;  Wertteilhabe (z.B. Verzinsung) zwischen EzE und RK geltend machen</v>
      </c>
      <c r="H292" s="392"/>
      <c r="K292" s="1118">
        <v>1</v>
      </c>
      <c r="L292" s="1118">
        <v>2</v>
      </c>
      <c r="M292" s="1118">
        <v>3</v>
      </c>
      <c r="N292" s="1118">
        <v>4</v>
      </c>
      <c r="P292" s="140">
        <f t="shared" si="26"/>
        <v>10</v>
      </c>
    </row>
    <row r="293" spans="1:16" ht="22.5">
      <c r="A293" s="586" t="str">
        <f t="shared" si="21"/>
        <v>Unilever v. 01.06.2016</v>
      </c>
      <c r="B293" s="586">
        <f>ROW()</f>
        <v>293</v>
      </c>
      <c r="C293" s="611" t="s">
        <v>720</v>
      </c>
      <c r="D293" s="1120">
        <v>42522</v>
      </c>
      <c r="E293" s="612" t="s">
        <v>721</v>
      </c>
      <c r="F293" s="613" t="str">
        <f t="shared" si="22"/>
        <v/>
      </c>
      <c r="G293" s="610" t="str">
        <f t="shared" si="25"/>
        <v/>
      </c>
      <c r="H293" s="392"/>
      <c r="K293" s="1118"/>
      <c r="L293" s="1118"/>
      <c r="M293" s="1118"/>
      <c r="N293" s="1118"/>
      <c r="O293" s="760" t="s">
        <v>722</v>
      </c>
      <c r="P293" s="140">
        <f t="shared" si="26"/>
        <v>0</v>
      </c>
    </row>
    <row r="294" spans="1:16" ht="67.5">
      <c r="A294" s="586" t="str">
        <f t="shared" si="21"/>
        <v>Union Investment Privatfonds GmbH v. 01.01.2021</v>
      </c>
      <c r="B294" s="586">
        <f>ROW()</f>
        <v>294</v>
      </c>
      <c r="C294" s="611" t="s">
        <v>1133</v>
      </c>
      <c r="D294" s="1120">
        <v>44197</v>
      </c>
      <c r="E294" s="612" t="s">
        <v>651</v>
      </c>
      <c r="F294" s="613" t="str">
        <f t="shared" si="22"/>
        <v>Ja</v>
      </c>
      <c r="G294" s="610" t="str">
        <f t="shared" si="25"/>
        <v>TO ermöglicht: Tarifwechel;  Abweichungen vom gerichtl. festgelegten Ausgleichswert;  Wertteilhabe (z.B. Verzinsung) zwischen EzE und RK geltend machen</v>
      </c>
      <c r="H294" s="392"/>
      <c r="I294" s="1301" t="s">
        <v>1511</v>
      </c>
      <c r="J294" s="755"/>
      <c r="K294" s="1118">
        <v>1</v>
      </c>
      <c r="L294" s="1118"/>
      <c r="M294" s="1118">
        <v>3</v>
      </c>
      <c r="N294" s="1118">
        <v>4</v>
      </c>
      <c r="O294" s="758" t="s">
        <v>654</v>
      </c>
      <c r="P294" s="140">
        <f t="shared" si="26"/>
        <v>8</v>
      </c>
    </row>
    <row r="295" spans="1:16" ht="38.25">
      <c r="A295" s="586" t="str">
        <f t="shared" si="21"/>
        <v>Unterstützungskasse der nordostdeutschen Energiewirtschaft e.V. v. 30.03.2020</v>
      </c>
      <c r="B295" s="586">
        <f>ROW()</f>
        <v>295</v>
      </c>
      <c r="C295" s="611" t="s">
        <v>921</v>
      </c>
      <c r="D295" s="1120">
        <v>43920</v>
      </c>
      <c r="E295" s="612" t="s">
        <v>922</v>
      </c>
      <c r="F295" s="613" t="str">
        <f t="shared" si="22"/>
        <v/>
      </c>
      <c r="G295" s="610" t="str">
        <f t="shared" si="25"/>
        <v/>
      </c>
      <c r="H295" s="392"/>
      <c r="K295" s="1118"/>
      <c r="L295" s="1118"/>
      <c r="M295" s="1118"/>
      <c r="N295" s="1118"/>
      <c r="P295" s="140">
        <f t="shared" si="26"/>
        <v>0</v>
      </c>
    </row>
    <row r="296" spans="1:16" ht="45">
      <c r="A296" s="586" t="str">
        <f t="shared" si="21"/>
        <v>VdVA Unterstützungskasse v. 01.01.2022</v>
      </c>
      <c r="B296" s="586">
        <f>ROW()</f>
        <v>296</v>
      </c>
      <c r="C296" s="611" t="s">
        <v>888</v>
      </c>
      <c r="D296" s="1120">
        <v>44562</v>
      </c>
      <c r="E296" s="816" t="s">
        <v>889</v>
      </c>
      <c r="F296" s="613" t="str">
        <f t="shared" si="22"/>
        <v/>
      </c>
      <c r="G296" s="610" t="str">
        <f t="shared" si="25"/>
        <v>TO ermöglicht: doppelten Kostenabzug;  Wertteilhabe (z.B. Verzinsung) zwischen EzE und RK geltend machen</v>
      </c>
      <c r="H296" s="392"/>
      <c r="I296" s="610" t="s">
        <v>2013</v>
      </c>
      <c r="K296" s="1118"/>
      <c r="L296" s="1118">
        <v>2</v>
      </c>
      <c r="M296" s="1118"/>
      <c r="N296" s="1118">
        <v>4</v>
      </c>
      <c r="O296" s="756" t="s">
        <v>887</v>
      </c>
      <c r="P296" s="140">
        <f t="shared" si="26"/>
        <v>6</v>
      </c>
    </row>
    <row r="297" spans="1:16" ht="38.25">
      <c r="A297" s="586" t="str">
        <f t="shared" si="21"/>
        <v>Vereinigte Postversicherung VVaG  v. 11.07.2022</v>
      </c>
      <c r="B297" s="586">
        <f>ROW()</f>
        <v>297</v>
      </c>
      <c r="C297" s="611" t="s">
        <v>961</v>
      </c>
      <c r="D297" s="1120">
        <v>44753</v>
      </c>
      <c r="E297" s="612" t="s">
        <v>964</v>
      </c>
      <c r="F297" s="613" t="str">
        <f t="shared" si="22"/>
        <v>Ja</v>
      </c>
      <c r="G297" s="610" t="str">
        <f t="shared" si="25"/>
        <v>TO ermöglicht: Tarifwechel; doppelten Kostenabzug;  Wertteilhabe (z.B. Verzinsung) zwischen EzE und RK geltend machen</v>
      </c>
      <c r="H297" s="392"/>
      <c r="K297" s="1118">
        <v>1</v>
      </c>
      <c r="L297" s="1118">
        <v>2</v>
      </c>
      <c r="M297" s="1118"/>
      <c r="N297" s="1118">
        <v>4</v>
      </c>
      <c r="P297" s="140">
        <f t="shared" si="26"/>
        <v>7</v>
      </c>
    </row>
    <row r="298" spans="1:16" ht="25.5">
      <c r="A298" s="586" t="str">
        <f t="shared" ref="A298:A366" si="29">C298&amp;IF(D298=0,""," v. "&amp;TEXT(D298,"TT.MM.JJJ"))</f>
        <v>Vereinigte Postversicherung VVaG für Direktversicherungen v. 11.07.2022</v>
      </c>
      <c r="B298" s="586">
        <f>ROW()</f>
        <v>298</v>
      </c>
      <c r="C298" s="611" t="s">
        <v>958</v>
      </c>
      <c r="D298" s="1120">
        <v>44753</v>
      </c>
      <c r="E298" s="612" t="s">
        <v>955</v>
      </c>
      <c r="F298" s="613" t="str">
        <f t="shared" si="22"/>
        <v/>
      </c>
      <c r="G298" s="610" t="str">
        <f t="shared" si="25"/>
        <v/>
      </c>
      <c r="H298" s="392"/>
      <c r="K298" s="1118"/>
      <c r="L298" s="1118"/>
      <c r="M298" s="1118"/>
      <c r="N298" s="1118"/>
      <c r="P298" s="140">
        <f t="shared" si="26"/>
        <v>0</v>
      </c>
    </row>
    <row r="299" spans="1:16" ht="25.5">
      <c r="A299" s="586" t="str">
        <f t="shared" si="29"/>
        <v>Versorgungsanstalt der Deutschen Bundespost v. 05.10.2010</v>
      </c>
      <c r="B299" s="586">
        <f>ROW()</f>
        <v>299</v>
      </c>
      <c r="C299" s="611" t="s">
        <v>731</v>
      </c>
      <c r="D299" s="1120">
        <v>40456</v>
      </c>
      <c r="E299" s="612" t="s">
        <v>729</v>
      </c>
      <c r="F299" s="613" t="str">
        <f t="shared" si="22"/>
        <v/>
      </c>
      <c r="G299" s="610" t="str">
        <f t="shared" si="25"/>
        <v/>
      </c>
      <c r="H299" s="392"/>
      <c r="K299" s="1118"/>
      <c r="L299" s="1118"/>
      <c r="M299" s="1118"/>
      <c r="N299" s="1118"/>
      <c r="O299" s="760" t="s">
        <v>730</v>
      </c>
      <c r="P299" s="140">
        <f t="shared" si="26"/>
        <v>0</v>
      </c>
    </row>
    <row r="300" spans="1:16" ht="25.5">
      <c r="A300" s="586" t="str">
        <f t="shared" si="29"/>
        <v>Versorgungsanstalt der Kaminkehrergesellen</v>
      </c>
      <c r="B300" s="586">
        <f>ROW()</f>
        <v>300</v>
      </c>
      <c r="C300" s="611" t="s">
        <v>677</v>
      </c>
      <c r="E300" s="612" t="s">
        <v>680</v>
      </c>
      <c r="F300" s="613" t="str">
        <f t="shared" ref="F300:F363" si="30">IF(K300=1,"Ja","")</f>
        <v/>
      </c>
      <c r="G300" s="610" t="str">
        <f t="shared" si="25"/>
        <v/>
      </c>
      <c r="H300" s="392"/>
      <c r="K300" s="1118"/>
      <c r="L300" s="1118"/>
      <c r="M300" s="1118"/>
      <c r="N300" s="1118"/>
      <c r="O300" s="758" t="s">
        <v>679</v>
      </c>
      <c r="P300" s="140">
        <f t="shared" si="26"/>
        <v>0</v>
      </c>
    </row>
    <row r="301" spans="1:16" ht="33.75">
      <c r="B301" s="586">
        <f>ROW()</f>
        <v>301</v>
      </c>
      <c r="C301" s="611" t="s">
        <v>2011</v>
      </c>
      <c r="D301" s="1120">
        <v>43891</v>
      </c>
      <c r="E301" s="612" t="s">
        <v>2012</v>
      </c>
      <c r="F301" s="613"/>
      <c r="G301" s="610" t="str">
        <f t="shared" si="25"/>
        <v>TO ermöglicht: doppelten Kostenabzug;  Wertteilhabe (z.B. Verzinsung) zwischen EzE und RK geltend machen</v>
      </c>
      <c r="H301" s="392"/>
      <c r="I301" s="610" t="s">
        <v>2014</v>
      </c>
      <c r="K301" s="1118"/>
      <c r="L301" s="1118">
        <v>2</v>
      </c>
      <c r="M301" s="1118"/>
      <c r="N301" s="1118">
        <v>4</v>
      </c>
      <c r="O301" s="758"/>
      <c r="P301" s="140"/>
    </row>
    <row r="302" spans="1:16" ht="33.75">
      <c r="A302" s="586" t="str">
        <f t="shared" si="29"/>
        <v>Versorgungswerk der Wohnungswirtschaft (VDW) v. 01.01.2018</v>
      </c>
      <c r="B302" s="586">
        <f>ROW()</f>
        <v>302</v>
      </c>
      <c r="C302" s="611" t="s">
        <v>770</v>
      </c>
      <c r="D302" s="1120">
        <v>43101</v>
      </c>
      <c r="E302" s="612" t="s">
        <v>767</v>
      </c>
      <c r="F302" s="613" t="str">
        <f t="shared" si="30"/>
        <v/>
      </c>
      <c r="G302" s="610" t="str">
        <f t="shared" si="25"/>
        <v>TO ermöglicht: doppelten Kostenabzug;  Wertteilhabe (z.B. Verzinsung) zwischen EzE und RK geltend machen</v>
      </c>
      <c r="H302" s="392"/>
      <c r="K302" s="1118"/>
      <c r="L302" s="1118">
        <v>2</v>
      </c>
      <c r="M302" s="1118"/>
      <c r="N302" s="1118">
        <v>4</v>
      </c>
      <c r="O302" s="756" t="s">
        <v>803</v>
      </c>
      <c r="P302" s="140">
        <f t="shared" si="26"/>
        <v>6</v>
      </c>
    </row>
    <row r="303" spans="1:16" ht="22.5">
      <c r="A303" s="586" t="str">
        <f t="shared" si="29"/>
        <v>Vertreterversorgungswerk der Allianz Beratungs- und Vertreibs AG v. 13.12.2010</v>
      </c>
      <c r="B303" s="586">
        <f>ROW()</f>
        <v>303</v>
      </c>
      <c r="C303" s="978" t="s">
        <v>1181</v>
      </c>
      <c r="D303" s="1120">
        <v>40525</v>
      </c>
      <c r="E303" s="612" t="s">
        <v>1182</v>
      </c>
      <c r="F303" s="613" t="str">
        <f t="shared" si="30"/>
        <v/>
      </c>
      <c r="G303" s="610" t="str">
        <f t="shared" si="25"/>
        <v/>
      </c>
      <c r="H303" s="392"/>
      <c r="K303" s="1118"/>
      <c r="L303" s="1118"/>
      <c r="M303" s="1118"/>
      <c r="N303" s="1118"/>
      <c r="P303" s="140">
        <f t="shared" si="26"/>
        <v>0</v>
      </c>
    </row>
    <row r="304" spans="1:16" ht="33.75">
      <c r="A304" s="586" t="str">
        <f t="shared" si="29"/>
        <v>Victoria LV AG v. 16.01.2020</v>
      </c>
      <c r="B304" s="586">
        <f>ROW()</f>
        <v>304</v>
      </c>
      <c r="C304" s="978" t="s">
        <v>1601</v>
      </c>
      <c r="D304" s="1120">
        <v>43846</v>
      </c>
      <c r="E304" s="612" t="s">
        <v>651</v>
      </c>
      <c r="F304" s="613"/>
      <c r="G304" s="610" t="str">
        <f t="shared" si="25"/>
        <v>TO ermöglicht: Tarifwechel; doppelten Kostenabzug;  Wertteilhabe (z.B. Verzinsung) zwischen EzE und RK geltend machen</v>
      </c>
      <c r="H304" s="392"/>
      <c r="K304" s="1118">
        <v>1</v>
      </c>
      <c r="L304" s="1118">
        <v>2</v>
      </c>
      <c r="M304" s="1118"/>
      <c r="N304" s="1118">
        <v>4</v>
      </c>
      <c r="P304" s="140"/>
    </row>
    <row r="305" spans="1:16" ht="45">
      <c r="A305" s="586" t="str">
        <f t="shared" si="29"/>
        <v>Vodafone v. 01.04.2019</v>
      </c>
      <c r="B305" s="586">
        <f>ROW()</f>
        <v>305</v>
      </c>
      <c r="C305" s="611" t="s">
        <v>1039</v>
      </c>
      <c r="D305" s="1120">
        <v>43556</v>
      </c>
      <c r="F305" s="613" t="str">
        <f t="shared" si="30"/>
        <v/>
      </c>
      <c r="G305" s="610" t="str">
        <f t="shared" si="25"/>
        <v>TO ermöglicht: doppelten Kostenabzug;  Abweichungen vom gerichtl. festgelegten Ausgleichswert;  Wertteilhabe (z.B. Verzinsung) zwischen EzE und RK geltend machen</v>
      </c>
      <c r="H305" s="392"/>
      <c r="J305" s="755"/>
      <c r="K305" s="1118"/>
      <c r="L305" s="1118">
        <v>2</v>
      </c>
      <c r="M305" s="1118">
        <v>3</v>
      </c>
      <c r="N305" s="1118">
        <v>4</v>
      </c>
      <c r="P305" s="140">
        <f t="shared" si="26"/>
        <v>9</v>
      </c>
    </row>
    <row r="306" spans="1:16" ht="45">
      <c r="A306" s="586" t="str">
        <f t="shared" si="29"/>
        <v>VolkswohlBund</v>
      </c>
      <c r="B306" s="586">
        <f>ROW()</f>
        <v>306</v>
      </c>
      <c r="C306" s="611" t="s">
        <v>756</v>
      </c>
      <c r="E306" s="612" t="s">
        <v>697</v>
      </c>
      <c r="F306" s="613" t="str">
        <f t="shared" si="30"/>
        <v>Ja</v>
      </c>
      <c r="G306" s="610" t="str">
        <f t="shared" si="25"/>
        <v>TO ermöglicht: Tarifwechel; doppelten Kostenabzug;  Abweichungen vom gerichtl. festgelegten Ausgleichswert;  Wertteilhabe (z.B. Verzinsung) zwischen EzE und RK geltend machen</v>
      </c>
      <c r="H306" s="392"/>
      <c r="J306" s="755"/>
      <c r="K306" s="1118">
        <v>1</v>
      </c>
      <c r="L306" s="1118">
        <v>2</v>
      </c>
      <c r="M306" s="1118">
        <v>3</v>
      </c>
      <c r="N306" s="1118">
        <v>4</v>
      </c>
      <c r="O306" s="760" t="s">
        <v>698</v>
      </c>
      <c r="P306" s="140">
        <f t="shared" si="26"/>
        <v>10</v>
      </c>
    </row>
    <row r="307" spans="1:16" ht="22.5">
      <c r="A307" s="586" t="str">
        <f t="shared" si="29"/>
        <v>Vorwerk v. 04.07.1905</v>
      </c>
      <c r="B307" s="586">
        <f>ROW()</f>
        <v>307</v>
      </c>
      <c r="C307" s="611" t="s">
        <v>1888</v>
      </c>
      <c r="D307" s="1940" t="s">
        <v>1889</v>
      </c>
      <c r="E307" s="612" t="s">
        <v>1890</v>
      </c>
      <c r="F307" s="613"/>
      <c r="G307" s="610" t="str">
        <f t="shared" si="25"/>
        <v>TO ermöglicht:  Wertteilhabe (z.B. Verzinsung) zwischen EzE und RK geltend machen</v>
      </c>
      <c r="H307" s="392"/>
      <c r="I307" s="610" t="s">
        <v>1891</v>
      </c>
      <c r="J307" s="755"/>
      <c r="K307" s="1118"/>
      <c r="L307" s="1118"/>
      <c r="M307" s="1118"/>
      <c r="N307" s="1118">
        <v>4</v>
      </c>
      <c r="O307" s="760"/>
      <c r="P307" s="140"/>
    </row>
    <row r="308" spans="1:16" ht="45">
      <c r="A308" s="586" t="str">
        <f t="shared" si="29"/>
        <v>VPV Allgemeine Versicherungs AG  v. 11.07.2022</v>
      </c>
      <c r="B308" s="586">
        <f>ROW()</f>
        <v>308</v>
      </c>
      <c r="C308" s="611" t="s">
        <v>960</v>
      </c>
      <c r="D308" s="1120">
        <v>44753</v>
      </c>
      <c r="E308" s="612" t="s">
        <v>963</v>
      </c>
      <c r="F308" s="613" t="str">
        <f t="shared" si="30"/>
        <v>Ja</v>
      </c>
      <c r="G308" s="610" t="str">
        <f t="shared" si="25"/>
        <v>TO ermöglicht: Tarifwechel; doppelten Kostenabzug;  Abweichungen vom gerichtl. festgelegten Ausgleichswert;  Wertteilhabe (z.B. Verzinsung) zwischen EzE und RK geltend machen</v>
      </c>
      <c r="H308" s="392"/>
      <c r="K308" s="1118">
        <v>1</v>
      </c>
      <c r="L308" s="1118">
        <v>2</v>
      </c>
      <c r="M308" s="1118">
        <v>3</v>
      </c>
      <c r="N308" s="1118">
        <v>4</v>
      </c>
      <c r="P308" s="140">
        <f t="shared" si="26"/>
        <v>10</v>
      </c>
    </row>
    <row r="309" spans="1:16" ht="45">
      <c r="A309" s="586" t="str">
        <f t="shared" si="29"/>
        <v>VPV Allgemeine Versicherungs AG für Direktversicherungen v. 11.07.2022</v>
      </c>
      <c r="B309" s="586">
        <f>ROW()</f>
        <v>309</v>
      </c>
      <c r="C309" s="611" t="s">
        <v>957</v>
      </c>
      <c r="D309" s="1120">
        <v>44753</v>
      </c>
      <c r="E309" s="612" t="s">
        <v>955</v>
      </c>
      <c r="F309" s="613" t="str">
        <f t="shared" si="30"/>
        <v>Ja</v>
      </c>
      <c r="G309" s="610" t="str">
        <f t="shared" si="25"/>
        <v>TO ermöglicht: Tarifwechel; doppelten Kostenabzug;  Abweichungen vom gerichtl. festgelegten Ausgleichswert;  Wertteilhabe (z.B. Verzinsung) zwischen EzE und RK geltend machen</v>
      </c>
      <c r="H309" s="392"/>
      <c r="J309" s="755"/>
      <c r="K309" s="1118">
        <v>1</v>
      </c>
      <c r="L309" s="1118">
        <v>2</v>
      </c>
      <c r="M309" s="1118">
        <v>3</v>
      </c>
      <c r="N309" s="1118">
        <v>4</v>
      </c>
      <c r="P309" s="140">
        <f t="shared" si="26"/>
        <v>10</v>
      </c>
    </row>
    <row r="310" spans="1:16" ht="45">
      <c r="A310" s="586" t="str">
        <f t="shared" si="29"/>
        <v>VPV Lebensversicherungs AG  v. 11.07.2022</v>
      </c>
      <c r="B310" s="586">
        <f>ROW()</f>
        <v>310</v>
      </c>
      <c r="C310" s="611" t="s">
        <v>959</v>
      </c>
      <c r="D310" s="1120">
        <v>44753</v>
      </c>
      <c r="E310" s="612" t="s">
        <v>962</v>
      </c>
      <c r="F310" s="613" t="str">
        <f t="shared" si="30"/>
        <v>Ja</v>
      </c>
      <c r="G310" s="610" t="str">
        <f t="shared" si="25"/>
        <v>TO ermöglicht: Tarifwechel; doppelten Kostenabzug;  Abweichungen vom gerichtl. festgelegten Ausgleichswert;  Wertteilhabe (z.B. Verzinsung) zwischen EzE und RK geltend machen</v>
      </c>
      <c r="H310" s="392"/>
      <c r="K310" s="1118">
        <v>1</v>
      </c>
      <c r="L310" s="1118">
        <v>2</v>
      </c>
      <c r="M310" s="1118">
        <v>3</v>
      </c>
      <c r="N310" s="1118">
        <v>4</v>
      </c>
      <c r="P310" s="140">
        <f t="shared" si="26"/>
        <v>10</v>
      </c>
    </row>
    <row r="311" spans="1:16" ht="45">
      <c r="A311" s="586" t="str">
        <f t="shared" si="29"/>
        <v>VPV Lebensversicherungs AG für Direktversicherungen v. 11.07.2022</v>
      </c>
      <c r="B311" s="586">
        <f>ROW()</f>
        <v>311</v>
      </c>
      <c r="C311" s="611" t="s">
        <v>956</v>
      </c>
      <c r="D311" s="1120">
        <v>44753</v>
      </c>
      <c r="E311" s="612" t="s">
        <v>955</v>
      </c>
      <c r="F311" s="613" t="str">
        <f t="shared" si="30"/>
        <v>Ja</v>
      </c>
      <c r="G311" s="610" t="str">
        <f t="shared" si="25"/>
        <v>TO ermöglicht: Tarifwechel; doppelten Kostenabzug;  Abweichungen vom gerichtl. festgelegten Ausgleichswert;  Wertteilhabe (z.B. Verzinsung) zwischen EzE und RK geltend machen</v>
      </c>
      <c r="H311" s="392"/>
      <c r="K311" s="1118">
        <v>1</v>
      </c>
      <c r="L311" s="1118">
        <v>2</v>
      </c>
      <c r="M311" s="1118">
        <v>3</v>
      </c>
      <c r="N311" s="1118">
        <v>4</v>
      </c>
      <c r="P311" s="140">
        <f t="shared" si="26"/>
        <v>10</v>
      </c>
    </row>
    <row r="312" spans="1:16" ht="45">
      <c r="A312" s="586" t="str">
        <f t="shared" si="29"/>
        <v>VRK Lebensversicherung v. 01.01.2015</v>
      </c>
      <c r="B312" s="586">
        <f>ROW()</f>
        <v>312</v>
      </c>
      <c r="C312" s="611" t="s">
        <v>1160</v>
      </c>
      <c r="D312" s="1120">
        <v>42005</v>
      </c>
      <c r="E312" s="612" t="s">
        <v>1161</v>
      </c>
      <c r="F312" s="613" t="str">
        <f t="shared" si="30"/>
        <v>Ja</v>
      </c>
      <c r="G312" s="610" t="str">
        <f t="shared" si="25"/>
        <v>TO ermöglicht: Tarifwechel; doppelten Kostenabzug;  Abweichungen vom gerichtl. festgelegten Ausgleichswert;  Wertteilhabe (z.B. Verzinsung) zwischen EzE und RK geltend machen</v>
      </c>
      <c r="H312" s="392"/>
      <c r="K312" s="1118">
        <v>1</v>
      </c>
      <c r="L312" s="1118">
        <v>2</v>
      </c>
      <c r="M312" s="1118">
        <v>3</v>
      </c>
      <c r="N312" s="1118">
        <v>4</v>
      </c>
      <c r="P312" s="140">
        <f t="shared" si="26"/>
        <v>10</v>
      </c>
    </row>
    <row r="313" spans="1:16">
      <c r="A313" s="586" t="str">
        <f t="shared" si="29"/>
        <v>VW  v. 01.12.2017</v>
      </c>
      <c r="B313" s="586">
        <f>ROW()</f>
        <v>313</v>
      </c>
      <c r="C313" s="611" t="s">
        <v>1002</v>
      </c>
      <c r="D313" s="1120">
        <v>43070</v>
      </c>
      <c r="F313" s="613" t="str">
        <f t="shared" si="30"/>
        <v/>
      </c>
      <c r="G313" s="610" t="str">
        <f t="shared" si="25"/>
        <v/>
      </c>
      <c r="H313" s="392"/>
      <c r="K313" s="1118"/>
      <c r="L313" s="1118"/>
      <c r="M313" s="1118"/>
      <c r="N313" s="1118"/>
      <c r="P313" s="140">
        <f t="shared" si="26"/>
        <v>0</v>
      </c>
    </row>
    <row r="314" spans="1:16" ht="33.75">
      <c r="A314" s="586" t="str">
        <f t="shared" si="29"/>
        <v>Vorwerk &amp; Co.KG v. 31.08.2012</v>
      </c>
      <c r="B314" s="586">
        <f>ROW()</f>
        <v>314</v>
      </c>
      <c r="C314" s="611" t="s">
        <v>1878</v>
      </c>
      <c r="D314" s="1120">
        <v>41152</v>
      </c>
      <c r="E314" s="612" t="s">
        <v>1879</v>
      </c>
      <c r="F314" s="613"/>
      <c r="G314" s="610" t="str">
        <f t="shared" si="25"/>
        <v>TO ermöglicht: doppelten Kostenabzug;  Wertteilhabe (z.B. Verzinsung) zwischen EzE und RK geltend machen</v>
      </c>
      <c r="H314" s="392"/>
      <c r="K314" s="1118"/>
      <c r="L314" s="1118">
        <v>2</v>
      </c>
      <c r="M314" s="1118"/>
      <c r="N314" s="1118">
        <v>4</v>
      </c>
      <c r="P314" s="140"/>
    </row>
    <row r="315" spans="1:16">
      <c r="A315" s="586" t="str">
        <f t="shared" si="29"/>
        <v>WDR TO  v. 01.03.2022</v>
      </c>
      <c r="B315" s="586">
        <f>ROW()</f>
        <v>315</v>
      </c>
      <c r="C315" s="611" t="s">
        <v>1097</v>
      </c>
      <c r="D315" s="1120">
        <v>44621</v>
      </c>
      <c r="F315" s="613" t="str">
        <f t="shared" si="30"/>
        <v/>
      </c>
      <c r="G315" s="610" t="str">
        <f t="shared" si="25"/>
        <v xml:space="preserve">TO ermöglicht: doppelten Kostenabzug; </v>
      </c>
      <c r="H315" s="392"/>
      <c r="K315" s="1118"/>
      <c r="L315" s="1118">
        <v>2</v>
      </c>
      <c r="M315" s="1118"/>
      <c r="N315" s="1118"/>
      <c r="P315" s="140">
        <f t="shared" si="26"/>
        <v>2</v>
      </c>
    </row>
    <row r="316" spans="1:16" ht="33.75">
      <c r="A316" s="586" t="str">
        <f t="shared" si="29"/>
        <v>Westdeutscher Rundfunk Tarifvertrag v. 05.12.2009</v>
      </c>
      <c r="B316" s="586">
        <f>ROW()</f>
        <v>316</v>
      </c>
      <c r="C316" s="611" t="s">
        <v>940</v>
      </c>
      <c r="D316" s="1120">
        <v>40152</v>
      </c>
      <c r="F316" s="613" t="str">
        <f t="shared" si="30"/>
        <v/>
      </c>
      <c r="G316" s="610" t="str">
        <f t="shared" si="25"/>
        <v>TO ermöglicht:  Abweichungen vom gerichtl. festgelegten Ausgleichswert;  Wertteilhabe (z.B. Verzinsung) zwischen EzE und RK geltend machen</v>
      </c>
      <c r="H316" s="392"/>
      <c r="K316" s="1118"/>
      <c r="L316" s="1118"/>
      <c r="M316" s="1118">
        <v>3</v>
      </c>
      <c r="N316" s="1118">
        <v>4</v>
      </c>
      <c r="P316" s="140">
        <f t="shared" si="26"/>
        <v>7</v>
      </c>
    </row>
    <row r="317" spans="1:16" ht="33.75">
      <c r="A317" s="586" t="str">
        <f t="shared" si="29"/>
        <v>Württembergische Lebensversicherung AG v. 01.07.2020</v>
      </c>
      <c r="B317" s="586">
        <f>ROW()</f>
        <v>317</v>
      </c>
      <c r="C317" s="611" t="s">
        <v>1518</v>
      </c>
      <c r="D317" s="1120">
        <v>44013</v>
      </c>
      <c r="E317" s="612" t="s">
        <v>651</v>
      </c>
      <c r="F317" s="613"/>
      <c r="G317" s="610" t="str">
        <f t="shared" si="25"/>
        <v>TO ermöglicht: doppelten Kostenabzug;  Wertteilhabe (z.B. Verzinsung) zwischen EzE und RK geltend machen</v>
      </c>
      <c r="H317" s="392"/>
      <c r="K317" s="1118"/>
      <c r="L317" s="1118">
        <v>2</v>
      </c>
      <c r="M317" s="1118"/>
      <c r="N317" s="1118">
        <v>4</v>
      </c>
      <c r="P317" s="140"/>
    </row>
    <row r="318" spans="1:16" ht="45">
      <c r="A318" s="586" t="str">
        <f t="shared" si="29"/>
        <v>Wüstenrot &amp; Württembergische DC Pensionszusagen durch Gehaltsumwandlung v. ohne Datum</v>
      </c>
      <c r="B318" s="586">
        <f>ROW()</f>
        <v>318</v>
      </c>
      <c r="C318" s="611" t="s">
        <v>1185</v>
      </c>
      <c r="D318" s="1120" t="s">
        <v>1074</v>
      </c>
      <c r="E318" s="612">
        <v>5</v>
      </c>
      <c r="F318" s="613" t="str">
        <f t="shared" si="30"/>
        <v/>
      </c>
      <c r="G318" s="610" t="str">
        <f t="shared" si="25"/>
        <v>TO ermöglicht: doppelten Kostenabzug;  Abweichungen vom gerichtl. festgelegten Ausgleichswert;  Wertteilhabe (z.B. Verzinsung) zwischen EzE und RK geltend machen</v>
      </c>
      <c r="H318" s="392"/>
      <c r="K318" s="1118"/>
      <c r="L318" s="1118">
        <v>2</v>
      </c>
      <c r="M318" s="1118">
        <v>3</v>
      </c>
      <c r="N318" s="1118">
        <v>4</v>
      </c>
      <c r="P318" s="140">
        <f t="shared" si="26"/>
        <v>9</v>
      </c>
    </row>
    <row r="319" spans="1:16" ht="45">
      <c r="A319" s="586" t="str">
        <f t="shared" si="29"/>
        <v>Wüstenrot &amp; Württembergische Pensionskasse v. ohne Datum</v>
      </c>
      <c r="B319" s="586">
        <f>ROW()</f>
        <v>319</v>
      </c>
      <c r="C319" s="611" t="s">
        <v>1187</v>
      </c>
      <c r="D319" s="1120" t="s">
        <v>1074</v>
      </c>
      <c r="E319" s="612" t="s">
        <v>1184</v>
      </c>
      <c r="F319" s="613" t="str">
        <f t="shared" si="30"/>
        <v>Ja</v>
      </c>
      <c r="G319" s="610" t="str">
        <f t="shared" si="25"/>
        <v>TO ermöglicht: Tarifwechel; doppelten Kostenabzug;  Abweichungen vom gerichtl. festgelegten Ausgleichswert;  Wertteilhabe (z.B. Verzinsung) zwischen EzE und RK geltend machen</v>
      </c>
      <c r="H319" s="392"/>
      <c r="K319" s="1118">
        <v>1</v>
      </c>
      <c r="L319" s="1118">
        <v>2</v>
      </c>
      <c r="M319" s="1118">
        <v>3</v>
      </c>
      <c r="N319" s="1118">
        <v>4</v>
      </c>
      <c r="P319" s="140">
        <f t="shared" si="26"/>
        <v>10</v>
      </c>
    </row>
    <row r="320" spans="1:16" ht="45">
      <c r="A320" s="586" t="str">
        <f t="shared" si="29"/>
        <v>Wüstenrot &amp; Württembergische Pensionszusage LHB v. ohne Datum</v>
      </c>
      <c r="B320" s="586">
        <f>ROW()</f>
        <v>320</v>
      </c>
      <c r="C320" s="611" t="s">
        <v>1186</v>
      </c>
      <c r="D320" s="1120" t="s">
        <v>1074</v>
      </c>
      <c r="E320" s="612">
        <v>5</v>
      </c>
      <c r="F320" s="613" t="str">
        <f t="shared" si="30"/>
        <v/>
      </c>
      <c r="G320" s="610" t="str">
        <f t="shared" si="25"/>
        <v>TO ermöglicht: doppelten Kostenabzug;  Abweichungen vom gerichtl. festgelegten Ausgleichswert;  Wertteilhabe (z.B. Verzinsung) zwischen EzE und RK geltend machen</v>
      </c>
      <c r="H320" s="392"/>
      <c r="K320" s="1118"/>
      <c r="L320" s="1118">
        <v>2</v>
      </c>
      <c r="M320" s="1118">
        <v>3</v>
      </c>
      <c r="N320" s="1118">
        <v>4</v>
      </c>
      <c r="P320" s="140">
        <f t="shared" si="26"/>
        <v>9</v>
      </c>
    </row>
    <row r="321" spans="1:16" ht="45">
      <c r="A321" s="586" t="str">
        <f t="shared" si="29"/>
        <v>WWK v. 01.08.2014</v>
      </c>
      <c r="B321" s="586">
        <f>ROW()</f>
        <v>321</v>
      </c>
      <c r="C321" s="611" t="s">
        <v>1010</v>
      </c>
      <c r="D321" s="1120">
        <v>41852</v>
      </c>
      <c r="E321" s="612" t="s">
        <v>1009</v>
      </c>
      <c r="F321" s="613" t="str">
        <f t="shared" si="30"/>
        <v>Ja</v>
      </c>
      <c r="G321" s="610" t="str">
        <f t="shared" si="25"/>
        <v>TO ermöglicht: Tarifwechel; doppelten Kostenabzug;  Abweichungen vom gerichtl. festgelegten Ausgleichswert;  Wertteilhabe (z.B. Verzinsung) zwischen EzE und RK geltend machen</v>
      </c>
      <c r="H321" s="392"/>
      <c r="K321" s="1118">
        <v>1</v>
      </c>
      <c r="L321" s="1118">
        <v>2</v>
      </c>
      <c r="M321" s="1118">
        <v>3</v>
      </c>
      <c r="N321" s="1118">
        <v>4</v>
      </c>
      <c r="P321" s="140">
        <f t="shared" si="26"/>
        <v>10</v>
      </c>
    </row>
    <row r="322" spans="1:16" ht="33.75">
      <c r="A322" s="586" t="str">
        <f t="shared" si="29"/>
        <v>ZF Friedrichshafen ZF-Rente v. 02.11.2010</v>
      </c>
      <c r="B322" s="586">
        <f>ROW()</f>
        <v>322</v>
      </c>
      <c r="C322" s="611" t="s">
        <v>1225</v>
      </c>
      <c r="D322" s="1120">
        <v>40484</v>
      </c>
      <c r="E322" s="612" t="s">
        <v>196</v>
      </c>
      <c r="F322" s="613" t="str">
        <f t="shared" si="30"/>
        <v/>
      </c>
      <c r="G322" s="610" t="str">
        <f t="shared" si="25"/>
        <v>TO ermöglicht: doppelten Kostenabzug;  Wertteilhabe (z.B. Verzinsung) zwischen EzE und RK geltend machen</v>
      </c>
      <c r="H322" s="392"/>
      <c r="K322" s="1118"/>
      <c r="L322" s="1118">
        <v>2</v>
      </c>
      <c r="M322" s="1118"/>
      <c r="N322" s="1118">
        <v>4</v>
      </c>
      <c r="P322" s="140">
        <f t="shared" si="26"/>
        <v>6</v>
      </c>
    </row>
    <row r="323" spans="1:16" ht="25.5">
      <c r="A323" s="586" t="str">
        <f t="shared" si="29"/>
        <v>ZF-MP Altersversorgung e.V. beitragsorientierte Versorgungezusage v. 01.06.2011</v>
      </c>
      <c r="B323" s="586">
        <f>ROW()</f>
        <v>323</v>
      </c>
      <c r="C323" s="611" t="s">
        <v>1226</v>
      </c>
      <c r="D323" s="1120">
        <v>40695</v>
      </c>
      <c r="E323" s="612" t="s">
        <v>195</v>
      </c>
      <c r="F323" s="613" t="str">
        <f t="shared" si="30"/>
        <v/>
      </c>
      <c r="G323" s="610" t="str">
        <f t="shared" si="25"/>
        <v xml:space="preserve">TO ermöglicht: doppelten Kostenabzug; </v>
      </c>
      <c r="H323" s="392"/>
      <c r="K323" s="1118"/>
      <c r="L323" s="1118">
        <v>2</v>
      </c>
      <c r="M323" s="1118"/>
      <c r="N323" s="1118"/>
      <c r="P323" s="140">
        <f t="shared" si="26"/>
        <v>2</v>
      </c>
    </row>
    <row r="324" spans="1:16" ht="45">
      <c r="A324" s="586" t="str">
        <f t="shared" si="29"/>
        <v>Zurich  v. 01.02.2013</v>
      </c>
      <c r="B324" s="586">
        <f>ROW()</f>
        <v>324</v>
      </c>
      <c r="C324" s="611" t="s">
        <v>1303</v>
      </c>
      <c r="D324" s="1120">
        <v>41306</v>
      </c>
      <c r="E324" s="612">
        <v>5</v>
      </c>
      <c r="F324" s="613" t="str">
        <f t="shared" si="30"/>
        <v/>
      </c>
      <c r="G324" s="610" t="str">
        <f t="shared" si="25"/>
        <v>TO ermöglicht: doppelten Kostenabzug;  Abweichungen vom gerichtl. festgelegten Ausgleichswert;  Wertteilhabe (z.B. Verzinsung) zwischen EzE und RK geltend machen</v>
      </c>
      <c r="H324" s="392"/>
      <c r="K324" s="1118"/>
      <c r="L324" s="1118">
        <v>2</v>
      </c>
      <c r="M324" s="1118">
        <v>3</v>
      </c>
      <c r="N324" s="1118">
        <v>4</v>
      </c>
      <c r="P324" s="140">
        <f t="shared" si="26"/>
        <v>9</v>
      </c>
    </row>
    <row r="325" spans="1:16" ht="33.75">
      <c r="A325" s="586" t="str">
        <f t="shared" si="29"/>
        <v>Zurich Deutsche Herold Unterstützungskasse v. 19.05.2016</v>
      </c>
      <c r="B325" s="586">
        <f>ROW()</f>
        <v>325</v>
      </c>
      <c r="C325" s="611" t="s">
        <v>1224</v>
      </c>
      <c r="D325" s="1120">
        <v>42509</v>
      </c>
      <c r="E325" s="612" t="s">
        <v>1198</v>
      </c>
      <c r="F325" s="613" t="str">
        <f t="shared" si="30"/>
        <v>Ja</v>
      </c>
      <c r="G325" s="610" t="str">
        <f t="shared" si="25"/>
        <v>TO ermöglicht: Tarifwechel; doppelten Kostenabzug;  Wertteilhabe (z.B. Verzinsung) zwischen EzE und RK geltend machen</v>
      </c>
      <c r="H325" s="392"/>
      <c r="K325" s="1118">
        <v>1</v>
      </c>
      <c r="L325" s="1118">
        <v>2</v>
      </c>
      <c r="M325" s="1118"/>
      <c r="N325" s="1118">
        <v>4</v>
      </c>
      <c r="P325" s="140">
        <f t="shared" si="26"/>
        <v>7</v>
      </c>
    </row>
    <row r="326" spans="1:16" ht="45">
      <c r="A326" s="586" t="str">
        <f t="shared" si="29"/>
        <v>Zurich Deutscher Herold v. 01.01.2015</v>
      </c>
      <c r="B326" s="586">
        <f>ROW()</f>
        <v>326</v>
      </c>
      <c r="C326" s="611" t="s">
        <v>707</v>
      </c>
      <c r="D326" s="1120">
        <v>42005</v>
      </c>
      <c r="E326" s="612" t="s">
        <v>723</v>
      </c>
      <c r="F326" s="613" t="str">
        <f t="shared" si="30"/>
        <v>Ja</v>
      </c>
      <c r="G326" s="610" t="str">
        <f t="shared" si="25"/>
        <v>TO ermöglicht: Tarifwechel; doppelten Kostenabzug;  Abweichungen vom gerichtl. festgelegten Ausgleichswert;  Wertteilhabe (z.B. Verzinsung) zwischen EzE und RK geltend machen</v>
      </c>
      <c r="H326" s="392"/>
      <c r="K326" s="1118">
        <v>1</v>
      </c>
      <c r="L326" s="1118">
        <v>2</v>
      </c>
      <c r="M326" s="1118">
        <v>3</v>
      </c>
      <c r="N326" s="1118">
        <v>4</v>
      </c>
      <c r="O326" s="760" t="s">
        <v>724</v>
      </c>
      <c r="P326" s="140">
        <f t="shared" si="26"/>
        <v>10</v>
      </c>
    </row>
    <row r="327" spans="1:16" ht="22.5">
      <c r="A327" s="586" t="str">
        <f t="shared" si="29"/>
        <v>Zurich Deutscher Herold v. 19.05.2016</v>
      </c>
      <c r="B327" s="586">
        <f>ROW()</f>
        <v>327</v>
      </c>
      <c r="C327" s="611" t="s">
        <v>707</v>
      </c>
      <c r="D327" s="1120">
        <v>42509</v>
      </c>
      <c r="E327" s="612" t="s">
        <v>708</v>
      </c>
      <c r="F327" s="613" t="str">
        <f t="shared" si="30"/>
        <v>Ja</v>
      </c>
      <c r="G327" s="610" t="str">
        <f t="shared" si="25"/>
        <v xml:space="preserve">TO ermöglicht: Tarifwechel; doppelten Kostenabzug; </v>
      </c>
      <c r="H327" s="392"/>
      <c r="K327" s="1118">
        <v>1</v>
      </c>
      <c r="L327" s="1118">
        <v>2</v>
      </c>
      <c r="M327" s="1118"/>
      <c r="N327" s="1118"/>
      <c r="O327" s="760" t="s">
        <v>709</v>
      </c>
      <c r="P327" s="140">
        <f t="shared" si="26"/>
        <v>3</v>
      </c>
    </row>
    <row r="328" spans="1:16" ht="22.5">
      <c r="A328" s="586" t="str">
        <f t="shared" si="29"/>
        <v>Zweite real SB Warenhaus GmbH v. 01.07.2012</v>
      </c>
      <c r="B328" s="586">
        <f>ROW()</f>
        <v>328</v>
      </c>
      <c r="C328" s="978" t="s">
        <v>1142</v>
      </c>
      <c r="D328" s="1120">
        <v>41091</v>
      </c>
      <c r="E328" s="612" t="s">
        <v>767</v>
      </c>
      <c r="F328" s="613" t="str">
        <f t="shared" si="30"/>
        <v>Ja</v>
      </c>
      <c r="G328" s="610" t="str">
        <f t="shared" si="25"/>
        <v xml:space="preserve">TO ermöglicht: Tarifwechel; </v>
      </c>
      <c r="H328" s="392"/>
      <c r="K328" s="1118">
        <v>1</v>
      </c>
      <c r="L328" s="1118"/>
      <c r="M328" s="1118"/>
      <c r="N328" s="1118"/>
      <c r="O328" s="760" t="s">
        <v>803</v>
      </c>
      <c r="P328" s="140">
        <f t="shared" si="26"/>
        <v>1</v>
      </c>
    </row>
    <row r="329" spans="1:16">
      <c r="A329" s="586" t="str">
        <f t="shared" si="29"/>
        <v/>
      </c>
      <c r="B329" s="586">
        <f>ROW()</f>
        <v>329</v>
      </c>
      <c r="F329" s="613" t="str">
        <f t="shared" si="30"/>
        <v/>
      </c>
      <c r="G329" s="610" t="str">
        <f t="shared" si="25"/>
        <v/>
      </c>
      <c r="H329" s="392"/>
      <c r="K329" s="1118"/>
      <c r="L329" s="1118"/>
      <c r="M329" s="1118"/>
      <c r="N329" s="1118"/>
      <c r="P329" s="140">
        <f t="shared" ref="P329:P350" si="31">SUM(K329:N329)</f>
        <v>0</v>
      </c>
    </row>
    <row r="330" spans="1:16">
      <c r="A330" s="586" t="str">
        <f t="shared" si="29"/>
        <v/>
      </c>
      <c r="B330" s="586">
        <f>ROW()</f>
        <v>330</v>
      </c>
      <c r="F330" s="613" t="str">
        <f t="shared" si="30"/>
        <v/>
      </c>
      <c r="G330" s="610" t="str">
        <f t="shared" si="25"/>
        <v/>
      </c>
      <c r="H330" s="392"/>
      <c r="K330" s="1118"/>
      <c r="L330" s="1118"/>
      <c r="M330" s="1118"/>
      <c r="N330" s="1118"/>
      <c r="P330" s="140">
        <f t="shared" si="31"/>
        <v>0</v>
      </c>
    </row>
    <row r="331" spans="1:16">
      <c r="A331" s="586" t="str">
        <f t="shared" si="29"/>
        <v/>
      </c>
      <c r="B331" s="586">
        <f>ROW()</f>
        <v>331</v>
      </c>
      <c r="F331" s="613" t="str">
        <f t="shared" si="30"/>
        <v/>
      </c>
      <c r="G331" s="610" t="str">
        <f t="shared" si="25"/>
        <v/>
      </c>
      <c r="H331" s="392"/>
      <c r="K331" s="1118"/>
      <c r="L331" s="1118"/>
      <c r="M331" s="1118"/>
      <c r="N331" s="1118"/>
      <c r="P331" s="140">
        <f t="shared" si="31"/>
        <v>0</v>
      </c>
    </row>
    <row r="332" spans="1:16">
      <c r="A332" s="586" t="str">
        <f t="shared" si="29"/>
        <v/>
      </c>
      <c r="B332" s="586">
        <f>ROW()</f>
        <v>332</v>
      </c>
      <c r="F332" s="613" t="str">
        <f t="shared" si="30"/>
        <v/>
      </c>
      <c r="G332" s="610" t="str">
        <f t="shared" si="25"/>
        <v/>
      </c>
      <c r="H332" s="392"/>
      <c r="K332" s="1118"/>
      <c r="L332" s="1118"/>
      <c r="M332" s="1118"/>
      <c r="N332" s="1118"/>
      <c r="P332" s="140">
        <f t="shared" si="31"/>
        <v>0</v>
      </c>
    </row>
    <row r="333" spans="1:16">
      <c r="A333" s="586" t="str">
        <f t="shared" si="29"/>
        <v/>
      </c>
      <c r="B333" s="586">
        <f>ROW()</f>
        <v>333</v>
      </c>
      <c r="F333" s="613" t="str">
        <f t="shared" si="30"/>
        <v/>
      </c>
      <c r="G333" s="610" t="str">
        <f t="shared" si="25"/>
        <v/>
      </c>
      <c r="H333" s="392"/>
      <c r="K333" s="1118"/>
      <c r="L333" s="1118"/>
      <c r="M333" s="1118"/>
      <c r="N333" s="1118"/>
      <c r="P333" s="140">
        <f t="shared" si="31"/>
        <v>0</v>
      </c>
    </row>
    <row r="334" spans="1:16">
      <c r="A334" s="586" t="str">
        <f t="shared" si="29"/>
        <v/>
      </c>
      <c r="B334" s="586">
        <f>ROW()</f>
        <v>334</v>
      </c>
      <c r="F334" s="613" t="str">
        <f t="shared" si="30"/>
        <v/>
      </c>
      <c r="G334" s="610" t="str">
        <f t="shared" si="25"/>
        <v/>
      </c>
      <c r="H334" s="392"/>
      <c r="K334" s="1118"/>
      <c r="L334" s="1118"/>
      <c r="M334" s="1118"/>
      <c r="N334" s="1118"/>
      <c r="P334" s="140">
        <f t="shared" si="31"/>
        <v>0</v>
      </c>
    </row>
    <row r="335" spans="1:16">
      <c r="A335" s="586" t="str">
        <f t="shared" si="29"/>
        <v/>
      </c>
      <c r="B335" s="586">
        <f>ROW()</f>
        <v>335</v>
      </c>
      <c r="F335" s="613" t="str">
        <f t="shared" si="30"/>
        <v/>
      </c>
      <c r="G335" s="610" t="str">
        <f t="shared" si="25"/>
        <v/>
      </c>
      <c r="H335" s="392"/>
      <c r="K335" s="1118"/>
      <c r="L335" s="1118"/>
      <c r="M335" s="1118"/>
      <c r="N335" s="1118"/>
      <c r="P335" s="140">
        <f t="shared" si="31"/>
        <v>0</v>
      </c>
    </row>
    <row r="336" spans="1:16">
      <c r="A336" s="586" t="str">
        <f t="shared" si="29"/>
        <v/>
      </c>
      <c r="B336" s="586">
        <f>ROW()</f>
        <v>336</v>
      </c>
      <c r="F336" s="613" t="str">
        <f t="shared" si="30"/>
        <v/>
      </c>
      <c r="G336" s="610" t="str">
        <f t="shared" si="25"/>
        <v/>
      </c>
      <c r="H336" s="392"/>
      <c r="K336" s="1118"/>
      <c r="L336" s="1118"/>
      <c r="M336" s="1118"/>
      <c r="N336" s="1118"/>
      <c r="P336" s="140">
        <f t="shared" si="31"/>
        <v>0</v>
      </c>
    </row>
    <row r="337" spans="1:16">
      <c r="A337" s="586" t="str">
        <f t="shared" si="29"/>
        <v/>
      </c>
      <c r="B337" s="586">
        <f>ROW()</f>
        <v>337</v>
      </c>
      <c r="F337" s="613" t="str">
        <f t="shared" si="30"/>
        <v/>
      </c>
      <c r="G337" s="610" t="str">
        <f t="shared" si="25"/>
        <v/>
      </c>
      <c r="H337" s="392"/>
      <c r="K337" s="1118"/>
      <c r="L337" s="1118"/>
      <c r="M337" s="1118"/>
      <c r="N337" s="1118"/>
      <c r="P337" s="140">
        <f t="shared" si="31"/>
        <v>0</v>
      </c>
    </row>
    <row r="338" spans="1:16">
      <c r="A338" s="586" t="str">
        <f t="shared" si="29"/>
        <v/>
      </c>
      <c r="B338" s="586">
        <f>ROW()</f>
        <v>338</v>
      </c>
      <c r="F338" s="613" t="str">
        <f t="shared" si="30"/>
        <v/>
      </c>
      <c r="G338" s="610" t="str">
        <f t="shared" si="25"/>
        <v/>
      </c>
      <c r="H338" s="392"/>
      <c r="K338" s="1118"/>
      <c r="L338" s="1118"/>
      <c r="M338" s="1118"/>
      <c r="N338" s="1118"/>
      <c r="P338" s="140">
        <f t="shared" si="31"/>
        <v>0</v>
      </c>
    </row>
    <row r="339" spans="1:16">
      <c r="A339" s="586" t="str">
        <f t="shared" si="29"/>
        <v/>
      </c>
      <c r="B339" s="586">
        <f>ROW()</f>
        <v>339</v>
      </c>
      <c r="F339" s="613" t="str">
        <f t="shared" si="30"/>
        <v/>
      </c>
      <c r="G339" s="610" t="str">
        <f t="shared" ref="G339:G348" si="32">IF(SUM(K339:N339)=0,"","TO ermöglicht: "&amp;IF(K339&gt;0,"Tarifwechel; ","")&amp;IF(L339&gt;0,"doppelten Kostenabzug; ","")&amp;IF(M339&gt;0," Abweichungen vom gerichtl. festgelegten Ausgleichswert; ","")&amp;IF(N339&gt;0," Wertteilhabe (z.B. Verzinsung) zwischen EzE und RK geltend machen",""))</f>
        <v/>
      </c>
      <c r="H339" s="392"/>
      <c r="K339" s="1118"/>
      <c r="L339" s="1118"/>
      <c r="M339" s="1118"/>
      <c r="N339" s="1118"/>
      <c r="P339" s="140">
        <f t="shared" si="31"/>
        <v>0</v>
      </c>
    </row>
    <row r="340" spans="1:16">
      <c r="A340" s="586" t="str">
        <f t="shared" si="29"/>
        <v/>
      </c>
      <c r="B340" s="586">
        <f>ROW()</f>
        <v>340</v>
      </c>
      <c r="F340" s="613" t="str">
        <f t="shared" si="30"/>
        <v/>
      </c>
      <c r="G340" s="610" t="str">
        <f t="shared" si="32"/>
        <v/>
      </c>
      <c r="H340" s="392"/>
      <c r="K340" s="1118"/>
      <c r="L340" s="1118"/>
      <c r="M340" s="1118"/>
      <c r="N340" s="1118"/>
      <c r="P340" s="140">
        <f t="shared" si="31"/>
        <v>0</v>
      </c>
    </row>
    <row r="341" spans="1:16">
      <c r="A341" s="586" t="str">
        <f t="shared" si="29"/>
        <v/>
      </c>
      <c r="B341" s="586">
        <f>ROW()</f>
        <v>341</v>
      </c>
      <c r="F341" s="613" t="str">
        <f t="shared" si="30"/>
        <v/>
      </c>
      <c r="G341" s="610" t="str">
        <f t="shared" si="32"/>
        <v/>
      </c>
      <c r="H341" s="392"/>
      <c r="K341" s="1118"/>
      <c r="L341" s="1118"/>
      <c r="M341" s="1118"/>
      <c r="N341" s="1118"/>
      <c r="P341" s="140">
        <f t="shared" si="31"/>
        <v>0</v>
      </c>
    </row>
    <row r="342" spans="1:16">
      <c r="A342" s="586" t="str">
        <f t="shared" si="29"/>
        <v/>
      </c>
      <c r="B342" s="586">
        <f>ROW()</f>
        <v>342</v>
      </c>
      <c r="F342" s="613" t="str">
        <f t="shared" si="30"/>
        <v/>
      </c>
      <c r="G342" s="610" t="str">
        <f t="shared" si="32"/>
        <v/>
      </c>
      <c r="H342" s="392"/>
      <c r="K342" s="1118"/>
      <c r="L342" s="1118"/>
      <c r="M342" s="1118"/>
      <c r="N342" s="1118"/>
      <c r="P342" s="140">
        <f t="shared" si="31"/>
        <v>0</v>
      </c>
    </row>
    <row r="343" spans="1:16">
      <c r="A343" s="586" t="str">
        <f t="shared" si="29"/>
        <v/>
      </c>
      <c r="B343" s="586">
        <f>ROW()</f>
        <v>343</v>
      </c>
      <c r="F343" s="613" t="str">
        <f t="shared" si="30"/>
        <v/>
      </c>
      <c r="G343" s="610" t="str">
        <f t="shared" si="32"/>
        <v/>
      </c>
      <c r="H343" s="392"/>
      <c r="K343" s="1118"/>
      <c r="L343" s="1118"/>
      <c r="M343" s="1118"/>
      <c r="N343" s="1118"/>
      <c r="P343" s="140">
        <f t="shared" si="31"/>
        <v>0</v>
      </c>
    </row>
    <row r="344" spans="1:16">
      <c r="A344" s="586" t="str">
        <f t="shared" si="29"/>
        <v/>
      </c>
      <c r="B344" s="586">
        <f>ROW()</f>
        <v>344</v>
      </c>
      <c r="F344" s="613" t="str">
        <f t="shared" si="30"/>
        <v/>
      </c>
      <c r="G344" s="610" t="str">
        <f t="shared" si="32"/>
        <v/>
      </c>
      <c r="H344" s="392"/>
      <c r="K344" s="1118"/>
      <c r="L344" s="1118"/>
      <c r="M344" s="1118"/>
      <c r="N344" s="1118"/>
      <c r="P344" s="140">
        <f t="shared" si="31"/>
        <v>0</v>
      </c>
    </row>
    <row r="345" spans="1:16">
      <c r="A345" s="586" t="str">
        <f t="shared" si="29"/>
        <v/>
      </c>
      <c r="B345" s="586">
        <f>ROW()</f>
        <v>345</v>
      </c>
      <c r="F345" s="613" t="str">
        <f t="shared" si="30"/>
        <v/>
      </c>
      <c r="G345" s="610" t="str">
        <f t="shared" si="32"/>
        <v/>
      </c>
      <c r="H345" s="392"/>
      <c r="K345" s="1118"/>
      <c r="L345" s="1118"/>
      <c r="M345" s="1118"/>
      <c r="N345" s="1118"/>
      <c r="P345" s="140">
        <f t="shared" si="31"/>
        <v>0</v>
      </c>
    </row>
    <row r="346" spans="1:16">
      <c r="A346" s="586" t="str">
        <f t="shared" si="29"/>
        <v/>
      </c>
      <c r="B346" s="586">
        <f>ROW()</f>
        <v>346</v>
      </c>
      <c r="F346" s="613" t="str">
        <f t="shared" si="30"/>
        <v/>
      </c>
      <c r="G346" s="610" t="str">
        <f t="shared" si="32"/>
        <v/>
      </c>
      <c r="H346" s="392"/>
      <c r="K346" s="1118"/>
      <c r="L346" s="1118"/>
      <c r="M346" s="1118"/>
      <c r="N346" s="1118"/>
      <c r="P346" s="140">
        <f t="shared" si="31"/>
        <v>0</v>
      </c>
    </row>
    <row r="347" spans="1:16">
      <c r="A347" s="586" t="str">
        <f t="shared" si="29"/>
        <v/>
      </c>
      <c r="B347" s="586">
        <f>ROW()</f>
        <v>347</v>
      </c>
      <c r="F347" s="613" t="str">
        <f t="shared" si="30"/>
        <v/>
      </c>
      <c r="G347" s="610" t="str">
        <f t="shared" si="32"/>
        <v/>
      </c>
      <c r="H347" s="392"/>
      <c r="K347" s="1118"/>
      <c r="L347" s="1118"/>
      <c r="M347" s="1118"/>
      <c r="N347" s="1118"/>
      <c r="P347" s="140">
        <f t="shared" si="31"/>
        <v>0</v>
      </c>
    </row>
    <row r="348" spans="1:16">
      <c r="A348" s="586" t="str">
        <f t="shared" si="29"/>
        <v/>
      </c>
      <c r="B348" s="586">
        <f>ROW()</f>
        <v>348</v>
      </c>
      <c r="F348" s="613" t="str">
        <f t="shared" si="30"/>
        <v/>
      </c>
      <c r="G348" s="610" t="str">
        <f t="shared" si="32"/>
        <v/>
      </c>
      <c r="H348" s="392"/>
      <c r="K348" s="1118"/>
      <c r="L348" s="1118"/>
      <c r="M348" s="1118"/>
      <c r="N348" s="1118"/>
      <c r="P348" s="140">
        <f t="shared" si="31"/>
        <v>0</v>
      </c>
    </row>
    <row r="349" spans="1:16">
      <c r="A349" s="586" t="str">
        <f t="shared" si="29"/>
        <v/>
      </c>
      <c r="F349" s="613" t="str">
        <f t="shared" si="30"/>
        <v/>
      </c>
      <c r="H349" s="392"/>
      <c r="K349" s="1118"/>
      <c r="L349" s="1118"/>
      <c r="M349" s="1118"/>
      <c r="N349" s="1118"/>
      <c r="P349" s="140">
        <f t="shared" si="31"/>
        <v>0</v>
      </c>
    </row>
    <row r="350" spans="1:16">
      <c r="A350" s="586" t="str">
        <f t="shared" si="29"/>
        <v/>
      </c>
      <c r="F350" s="613" t="str">
        <f t="shared" si="30"/>
        <v/>
      </c>
      <c r="H350" s="392"/>
      <c r="K350" s="1118"/>
      <c r="L350" s="1118"/>
      <c r="M350" s="1118"/>
      <c r="N350" s="1118"/>
      <c r="P350" s="140">
        <f t="shared" si="31"/>
        <v>0</v>
      </c>
    </row>
    <row r="351" spans="1:16">
      <c r="A351" s="586" t="str">
        <f t="shared" si="29"/>
        <v/>
      </c>
      <c r="F351" s="613" t="str">
        <f t="shared" si="30"/>
        <v/>
      </c>
      <c r="H351" s="392"/>
      <c r="K351" s="1118"/>
      <c r="L351" s="1118"/>
      <c r="M351" s="1118"/>
      <c r="N351" s="1118"/>
    </row>
    <row r="352" spans="1:16">
      <c r="A352" s="586" t="str">
        <f t="shared" si="29"/>
        <v/>
      </c>
      <c r="F352" s="613" t="str">
        <f t="shared" si="30"/>
        <v/>
      </c>
      <c r="H352" s="392"/>
      <c r="K352" s="1118"/>
      <c r="L352" s="1118"/>
      <c r="M352" s="1118"/>
      <c r="N352" s="1118"/>
    </row>
    <row r="353" spans="1:14">
      <c r="A353" s="586" t="str">
        <f t="shared" si="29"/>
        <v/>
      </c>
      <c r="F353" s="613" t="str">
        <f t="shared" si="30"/>
        <v/>
      </c>
      <c r="H353" s="392"/>
      <c r="K353" s="1118"/>
      <c r="L353" s="1118"/>
      <c r="M353" s="1118"/>
      <c r="N353" s="1118"/>
    </row>
    <row r="354" spans="1:14">
      <c r="A354" s="586" t="str">
        <f t="shared" si="29"/>
        <v/>
      </c>
      <c r="F354" s="613" t="str">
        <f t="shared" si="30"/>
        <v/>
      </c>
      <c r="H354" s="392"/>
      <c r="K354" s="1118"/>
      <c r="L354" s="1118"/>
      <c r="M354" s="1118"/>
      <c r="N354" s="1118"/>
    </row>
    <row r="355" spans="1:14">
      <c r="A355" s="586" t="str">
        <f t="shared" si="29"/>
        <v/>
      </c>
      <c r="F355" s="613" t="str">
        <f t="shared" si="30"/>
        <v/>
      </c>
      <c r="H355" s="392"/>
      <c r="K355" s="1118"/>
      <c r="L355" s="1118"/>
      <c r="M355" s="1118"/>
      <c r="N355" s="1118"/>
    </row>
    <row r="356" spans="1:14">
      <c r="A356" s="586" t="str">
        <f t="shared" si="29"/>
        <v/>
      </c>
      <c r="F356" s="613" t="str">
        <f t="shared" si="30"/>
        <v/>
      </c>
      <c r="H356" s="392"/>
      <c r="K356" s="1118"/>
      <c r="L356" s="1118"/>
      <c r="M356" s="1118"/>
      <c r="N356" s="1118"/>
    </row>
    <row r="357" spans="1:14">
      <c r="A357" s="586" t="str">
        <f t="shared" si="29"/>
        <v/>
      </c>
      <c r="F357" s="613" t="str">
        <f t="shared" si="30"/>
        <v/>
      </c>
      <c r="H357" s="392"/>
      <c r="K357" s="1118"/>
      <c r="L357" s="1118"/>
      <c r="M357" s="1118"/>
      <c r="N357" s="1118"/>
    </row>
    <row r="358" spans="1:14">
      <c r="A358" s="586" t="str">
        <f t="shared" si="29"/>
        <v/>
      </c>
      <c r="F358" s="613" t="str">
        <f t="shared" si="30"/>
        <v/>
      </c>
      <c r="H358" s="392"/>
      <c r="K358" s="1118"/>
      <c r="L358" s="1118"/>
      <c r="M358" s="1118"/>
      <c r="N358" s="1118"/>
    </row>
    <row r="359" spans="1:14">
      <c r="A359" s="586" t="str">
        <f t="shared" si="29"/>
        <v/>
      </c>
      <c r="F359" s="613" t="str">
        <f t="shared" si="30"/>
        <v/>
      </c>
      <c r="H359" s="392"/>
      <c r="K359" s="1118"/>
      <c r="L359" s="1118"/>
      <c r="M359" s="1118"/>
      <c r="N359" s="1118"/>
    </row>
    <row r="360" spans="1:14">
      <c r="A360" s="586" t="str">
        <f t="shared" si="29"/>
        <v/>
      </c>
      <c r="F360" s="613" t="str">
        <f t="shared" si="30"/>
        <v/>
      </c>
      <c r="H360" s="392"/>
      <c r="K360" s="1118"/>
      <c r="L360" s="1118"/>
      <c r="M360" s="1118"/>
      <c r="N360" s="1118"/>
    </row>
    <row r="361" spans="1:14">
      <c r="A361" s="586" t="str">
        <f t="shared" si="29"/>
        <v/>
      </c>
      <c r="F361" s="613" t="str">
        <f t="shared" si="30"/>
        <v/>
      </c>
      <c r="H361" s="392"/>
      <c r="K361" s="1118"/>
      <c r="L361" s="1118"/>
      <c r="M361" s="1118"/>
      <c r="N361" s="1118"/>
    </row>
    <row r="362" spans="1:14">
      <c r="A362" s="586" t="str">
        <f t="shared" si="29"/>
        <v/>
      </c>
      <c r="F362" s="613" t="str">
        <f t="shared" si="30"/>
        <v/>
      </c>
    </row>
    <row r="363" spans="1:14">
      <c r="A363" s="586" t="str">
        <f t="shared" si="29"/>
        <v/>
      </c>
      <c r="F363" s="613" t="str">
        <f t="shared" si="30"/>
        <v/>
      </c>
    </row>
    <row r="364" spans="1:14">
      <c r="A364" s="586" t="str">
        <f t="shared" si="29"/>
        <v/>
      </c>
      <c r="F364" s="613" t="s">
        <v>463</v>
      </c>
    </row>
    <row r="365" spans="1:14">
      <c r="A365" s="586" t="str">
        <f t="shared" si="29"/>
        <v/>
      </c>
      <c r="F365" s="613" t="s">
        <v>463</v>
      </c>
    </row>
    <row r="366" spans="1:14">
      <c r="A366" s="586" t="str">
        <f t="shared" si="29"/>
        <v/>
      </c>
      <c r="F366" s="613" t="s">
        <v>463</v>
      </c>
    </row>
    <row r="367" spans="1:14">
      <c r="A367" s="586" t="str">
        <f t="shared" ref="A367:A430" si="33">C367&amp;IF(D367=0,""," v. "&amp;TEXT(D367,"TT.MM.JJJ"))</f>
        <v/>
      </c>
      <c r="F367" s="613" t="s">
        <v>463</v>
      </c>
    </row>
    <row r="368" spans="1:14">
      <c r="A368" s="586" t="str">
        <f t="shared" si="33"/>
        <v/>
      </c>
      <c r="F368" s="613" t="s">
        <v>463</v>
      </c>
    </row>
    <row r="369" spans="1:6">
      <c r="A369" s="586" t="str">
        <f t="shared" si="33"/>
        <v/>
      </c>
      <c r="F369" s="613" t="s">
        <v>463</v>
      </c>
    </row>
    <row r="370" spans="1:6">
      <c r="A370" s="586" t="str">
        <f t="shared" si="33"/>
        <v/>
      </c>
      <c r="F370" s="613" t="s">
        <v>463</v>
      </c>
    </row>
    <row r="371" spans="1:6">
      <c r="A371" s="586" t="str">
        <f t="shared" si="33"/>
        <v/>
      </c>
      <c r="F371" s="613" t="s">
        <v>463</v>
      </c>
    </row>
    <row r="372" spans="1:6">
      <c r="A372" s="586" t="str">
        <f t="shared" si="33"/>
        <v/>
      </c>
      <c r="F372" s="613" t="s">
        <v>463</v>
      </c>
    </row>
    <row r="373" spans="1:6">
      <c r="A373" s="586" t="str">
        <f t="shared" si="33"/>
        <v/>
      </c>
      <c r="F373" s="613" t="s">
        <v>463</v>
      </c>
    </row>
    <row r="374" spans="1:6">
      <c r="A374" s="586" t="str">
        <f t="shared" si="33"/>
        <v/>
      </c>
      <c r="F374" s="613" t="s">
        <v>463</v>
      </c>
    </row>
    <row r="375" spans="1:6">
      <c r="A375" s="586" t="str">
        <f t="shared" si="33"/>
        <v/>
      </c>
      <c r="F375" s="613" t="s">
        <v>463</v>
      </c>
    </row>
    <row r="376" spans="1:6">
      <c r="A376" s="586" t="str">
        <f t="shared" si="33"/>
        <v/>
      </c>
      <c r="F376" s="613" t="s">
        <v>463</v>
      </c>
    </row>
    <row r="377" spans="1:6">
      <c r="A377" s="586" t="str">
        <f t="shared" si="33"/>
        <v/>
      </c>
      <c r="F377" s="613" t="s">
        <v>463</v>
      </c>
    </row>
    <row r="378" spans="1:6">
      <c r="A378" s="586" t="str">
        <f t="shared" si="33"/>
        <v/>
      </c>
      <c r="F378" s="613" t="s">
        <v>463</v>
      </c>
    </row>
    <row r="379" spans="1:6">
      <c r="A379" s="586" t="str">
        <f t="shared" si="33"/>
        <v/>
      </c>
      <c r="F379" s="613" t="s">
        <v>463</v>
      </c>
    </row>
    <row r="380" spans="1:6">
      <c r="A380" s="586" t="str">
        <f t="shared" si="33"/>
        <v/>
      </c>
      <c r="F380" s="613" t="s">
        <v>463</v>
      </c>
    </row>
    <row r="381" spans="1:6">
      <c r="A381" s="586" t="str">
        <f t="shared" si="33"/>
        <v/>
      </c>
      <c r="F381" s="613" t="s">
        <v>463</v>
      </c>
    </row>
    <row r="382" spans="1:6">
      <c r="A382" s="586" t="str">
        <f t="shared" si="33"/>
        <v/>
      </c>
      <c r="F382" s="613" t="s">
        <v>463</v>
      </c>
    </row>
    <row r="383" spans="1:6">
      <c r="A383" s="586" t="str">
        <f t="shared" si="33"/>
        <v/>
      </c>
      <c r="F383" s="613" t="s">
        <v>463</v>
      </c>
    </row>
    <row r="384" spans="1:6">
      <c r="A384" s="586" t="str">
        <f t="shared" si="33"/>
        <v/>
      </c>
      <c r="F384" s="613" t="s">
        <v>463</v>
      </c>
    </row>
    <row r="385" spans="1:6">
      <c r="A385" s="586" t="str">
        <f t="shared" si="33"/>
        <v/>
      </c>
      <c r="F385" s="613" t="s">
        <v>463</v>
      </c>
    </row>
    <row r="386" spans="1:6">
      <c r="A386" s="586" t="str">
        <f t="shared" si="33"/>
        <v/>
      </c>
      <c r="F386" s="613" t="s">
        <v>463</v>
      </c>
    </row>
    <row r="387" spans="1:6">
      <c r="A387" s="586" t="str">
        <f t="shared" si="33"/>
        <v/>
      </c>
      <c r="F387" s="613" t="s">
        <v>463</v>
      </c>
    </row>
    <row r="388" spans="1:6">
      <c r="A388" s="586" t="str">
        <f t="shared" si="33"/>
        <v/>
      </c>
      <c r="F388" s="613" t="s">
        <v>463</v>
      </c>
    </row>
    <row r="389" spans="1:6">
      <c r="A389" s="586" t="str">
        <f t="shared" si="33"/>
        <v/>
      </c>
      <c r="F389" s="613" t="s">
        <v>463</v>
      </c>
    </row>
    <row r="390" spans="1:6">
      <c r="A390" s="586" t="str">
        <f t="shared" si="33"/>
        <v/>
      </c>
      <c r="F390" s="613" t="s">
        <v>463</v>
      </c>
    </row>
    <row r="391" spans="1:6">
      <c r="A391" s="586" t="str">
        <f t="shared" si="33"/>
        <v/>
      </c>
      <c r="F391" s="613" t="s">
        <v>463</v>
      </c>
    </row>
    <row r="392" spans="1:6">
      <c r="A392" s="586" t="str">
        <f t="shared" si="33"/>
        <v/>
      </c>
      <c r="F392" s="613" t="s">
        <v>463</v>
      </c>
    </row>
    <row r="393" spans="1:6">
      <c r="A393" s="586" t="str">
        <f t="shared" si="33"/>
        <v/>
      </c>
      <c r="F393" s="613" t="s">
        <v>463</v>
      </c>
    </row>
    <row r="394" spans="1:6">
      <c r="A394" s="586" t="str">
        <f t="shared" si="33"/>
        <v/>
      </c>
      <c r="F394" s="613" t="s">
        <v>463</v>
      </c>
    </row>
    <row r="395" spans="1:6">
      <c r="A395" s="586" t="str">
        <f t="shared" si="33"/>
        <v/>
      </c>
      <c r="F395" s="613" t="s">
        <v>463</v>
      </c>
    </row>
    <row r="396" spans="1:6">
      <c r="A396" s="586" t="str">
        <f t="shared" si="33"/>
        <v/>
      </c>
      <c r="F396" s="613" t="s">
        <v>463</v>
      </c>
    </row>
    <row r="397" spans="1:6">
      <c r="A397" s="586" t="str">
        <f t="shared" si="33"/>
        <v/>
      </c>
      <c r="F397" s="613" t="s">
        <v>463</v>
      </c>
    </row>
    <row r="398" spans="1:6">
      <c r="A398" s="586" t="str">
        <f t="shared" si="33"/>
        <v/>
      </c>
      <c r="F398" s="613" t="s">
        <v>463</v>
      </c>
    </row>
    <row r="399" spans="1:6">
      <c r="A399" s="586" t="str">
        <f t="shared" si="33"/>
        <v/>
      </c>
      <c r="F399" s="613" t="s">
        <v>463</v>
      </c>
    </row>
    <row r="400" spans="1:6">
      <c r="A400" s="586" t="str">
        <f t="shared" si="33"/>
        <v/>
      </c>
      <c r="F400" s="613" t="s">
        <v>463</v>
      </c>
    </row>
    <row r="401" spans="1:6">
      <c r="A401" s="586" t="str">
        <f t="shared" si="33"/>
        <v/>
      </c>
      <c r="F401" s="613" t="s">
        <v>463</v>
      </c>
    </row>
    <row r="402" spans="1:6">
      <c r="A402" s="586" t="str">
        <f t="shared" si="33"/>
        <v/>
      </c>
      <c r="F402" s="613" t="s">
        <v>463</v>
      </c>
    </row>
    <row r="403" spans="1:6">
      <c r="A403" s="586" t="str">
        <f t="shared" si="33"/>
        <v/>
      </c>
      <c r="F403" s="613" t="s">
        <v>463</v>
      </c>
    </row>
    <row r="404" spans="1:6">
      <c r="A404" s="586" t="str">
        <f t="shared" si="33"/>
        <v/>
      </c>
      <c r="F404" s="613" t="s">
        <v>463</v>
      </c>
    </row>
    <row r="405" spans="1:6">
      <c r="A405" s="586" t="str">
        <f t="shared" si="33"/>
        <v/>
      </c>
      <c r="F405" s="613" t="s">
        <v>463</v>
      </c>
    </row>
    <row r="406" spans="1:6">
      <c r="A406" s="586" t="str">
        <f t="shared" si="33"/>
        <v/>
      </c>
      <c r="F406" s="613" t="s">
        <v>463</v>
      </c>
    </row>
    <row r="407" spans="1:6">
      <c r="A407" s="586" t="str">
        <f t="shared" si="33"/>
        <v/>
      </c>
      <c r="F407" s="613" t="s">
        <v>463</v>
      </c>
    </row>
    <row r="408" spans="1:6">
      <c r="A408" s="586" t="str">
        <f t="shared" si="33"/>
        <v/>
      </c>
      <c r="F408" s="613" t="s">
        <v>463</v>
      </c>
    </row>
    <row r="409" spans="1:6">
      <c r="A409" s="586" t="str">
        <f t="shared" si="33"/>
        <v/>
      </c>
      <c r="F409" s="613" t="s">
        <v>463</v>
      </c>
    </row>
    <row r="410" spans="1:6">
      <c r="A410" s="586" t="str">
        <f t="shared" si="33"/>
        <v/>
      </c>
      <c r="F410" s="613" t="s">
        <v>463</v>
      </c>
    </row>
    <row r="411" spans="1:6">
      <c r="A411" s="586" t="str">
        <f t="shared" si="33"/>
        <v/>
      </c>
      <c r="F411" s="613" t="s">
        <v>463</v>
      </c>
    </row>
    <row r="412" spans="1:6">
      <c r="A412" s="586" t="str">
        <f t="shared" si="33"/>
        <v/>
      </c>
      <c r="F412" s="613" t="s">
        <v>463</v>
      </c>
    </row>
    <row r="413" spans="1:6">
      <c r="A413" s="586" t="str">
        <f t="shared" si="33"/>
        <v/>
      </c>
      <c r="F413" s="613" t="s">
        <v>463</v>
      </c>
    </row>
    <row r="414" spans="1:6">
      <c r="A414" s="586" t="str">
        <f t="shared" si="33"/>
        <v/>
      </c>
      <c r="F414" s="613" t="s">
        <v>463</v>
      </c>
    </row>
    <row r="415" spans="1:6">
      <c r="A415" s="586" t="str">
        <f t="shared" si="33"/>
        <v/>
      </c>
      <c r="F415" s="613" t="s">
        <v>463</v>
      </c>
    </row>
    <row r="416" spans="1:6">
      <c r="A416" s="586" t="str">
        <f t="shared" si="33"/>
        <v/>
      </c>
      <c r="F416" s="613" t="s">
        <v>463</v>
      </c>
    </row>
    <row r="417" spans="1:6">
      <c r="A417" s="586" t="str">
        <f t="shared" si="33"/>
        <v/>
      </c>
      <c r="F417" s="613" t="s">
        <v>463</v>
      </c>
    </row>
    <row r="418" spans="1:6">
      <c r="A418" s="586" t="str">
        <f t="shared" si="33"/>
        <v/>
      </c>
      <c r="F418" s="613" t="s">
        <v>463</v>
      </c>
    </row>
    <row r="419" spans="1:6">
      <c r="A419" s="586" t="str">
        <f t="shared" si="33"/>
        <v/>
      </c>
      <c r="F419" s="613" t="s">
        <v>463</v>
      </c>
    </row>
    <row r="420" spans="1:6">
      <c r="A420" s="586" t="str">
        <f t="shared" si="33"/>
        <v/>
      </c>
      <c r="F420" s="613" t="s">
        <v>463</v>
      </c>
    </row>
    <row r="421" spans="1:6">
      <c r="A421" s="586" t="str">
        <f t="shared" si="33"/>
        <v/>
      </c>
      <c r="F421" s="613" t="s">
        <v>463</v>
      </c>
    </row>
    <row r="422" spans="1:6">
      <c r="A422" s="586" t="str">
        <f t="shared" si="33"/>
        <v/>
      </c>
      <c r="F422" s="613" t="s">
        <v>463</v>
      </c>
    </row>
    <row r="423" spans="1:6">
      <c r="A423" s="586" t="str">
        <f t="shared" si="33"/>
        <v/>
      </c>
      <c r="F423" s="613" t="s">
        <v>463</v>
      </c>
    </row>
    <row r="424" spans="1:6">
      <c r="A424" s="586" t="str">
        <f t="shared" si="33"/>
        <v/>
      </c>
      <c r="F424" s="613" t="s">
        <v>463</v>
      </c>
    </row>
    <row r="425" spans="1:6">
      <c r="A425" s="586" t="str">
        <f t="shared" si="33"/>
        <v/>
      </c>
      <c r="F425" s="613" t="s">
        <v>463</v>
      </c>
    </row>
    <row r="426" spans="1:6">
      <c r="A426" s="586" t="str">
        <f t="shared" si="33"/>
        <v/>
      </c>
      <c r="F426" s="613" t="s">
        <v>463</v>
      </c>
    </row>
    <row r="427" spans="1:6">
      <c r="A427" s="586" t="str">
        <f t="shared" si="33"/>
        <v/>
      </c>
      <c r="F427" s="613" t="s">
        <v>463</v>
      </c>
    </row>
    <row r="428" spans="1:6">
      <c r="A428" s="586" t="str">
        <f t="shared" si="33"/>
        <v/>
      </c>
      <c r="F428" s="613" t="s">
        <v>463</v>
      </c>
    </row>
    <row r="429" spans="1:6">
      <c r="A429" s="586" t="str">
        <f t="shared" si="33"/>
        <v/>
      </c>
      <c r="F429" s="613" t="s">
        <v>463</v>
      </c>
    </row>
    <row r="430" spans="1:6">
      <c r="A430" s="586" t="str">
        <f t="shared" si="33"/>
        <v/>
      </c>
      <c r="F430" s="613" t="s">
        <v>463</v>
      </c>
    </row>
    <row r="431" spans="1:6">
      <c r="A431" s="586" t="str">
        <f t="shared" ref="A431:A475" si="34">C431&amp;IF(D431=0,""," v. "&amp;TEXT(D431,"TT.MM.JJJ"))</f>
        <v/>
      </c>
      <c r="F431" s="613" t="s">
        <v>463</v>
      </c>
    </row>
    <row r="432" spans="1:6">
      <c r="A432" s="586" t="str">
        <f t="shared" si="34"/>
        <v/>
      </c>
      <c r="F432" s="613" t="s">
        <v>463</v>
      </c>
    </row>
    <row r="433" spans="1:6">
      <c r="A433" s="586" t="str">
        <f t="shared" si="34"/>
        <v/>
      </c>
      <c r="F433" s="613" t="s">
        <v>463</v>
      </c>
    </row>
    <row r="434" spans="1:6">
      <c r="A434" s="586" t="str">
        <f t="shared" si="34"/>
        <v/>
      </c>
      <c r="F434" s="613" t="s">
        <v>463</v>
      </c>
    </row>
    <row r="435" spans="1:6">
      <c r="A435" s="586" t="str">
        <f t="shared" si="34"/>
        <v/>
      </c>
      <c r="F435" s="613" t="s">
        <v>463</v>
      </c>
    </row>
    <row r="436" spans="1:6">
      <c r="A436" s="586" t="str">
        <f t="shared" si="34"/>
        <v/>
      </c>
      <c r="F436" s="613" t="s">
        <v>463</v>
      </c>
    </row>
    <row r="437" spans="1:6">
      <c r="A437" s="586" t="str">
        <f t="shared" si="34"/>
        <v/>
      </c>
      <c r="F437" s="613" t="s">
        <v>463</v>
      </c>
    </row>
    <row r="438" spans="1:6">
      <c r="A438" s="586" t="str">
        <f t="shared" si="34"/>
        <v/>
      </c>
      <c r="F438" s="613" t="s">
        <v>463</v>
      </c>
    </row>
    <row r="439" spans="1:6">
      <c r="A439" s="586" t="str">
        <f t="shared" si="34"/>
        <v/>
      </c>
      <c r="F439" s="613" t="s">
        <v>463</v>
      </c>
    </row>
    <row r="440" spans="1:6">
      <c r="A440" s="586" t="str">
        <f t="shared" si="34"/>
        <v/>
      </c>
      <c r="F440" s="613" t="s">
        <v>463</v>
      </c>
    </row>
    <row r="441" spans="1:6">
      <c r="A441" s="586" t="str">
        <f t="shared" si="34"/>
        <v/>
      </c>
    </row>
    <row r="442" spans="1:6">
      <c r="A442" s="586" t="str">
        <f t="shared" si="34"/>
        <v/>
      </c>
    </row>
    <row r="443" spans="1:6">
      <c r="A443" s="586" t="str">
        <f t="shared" si="34"/>
        <v/>
      </c>
    </row>
    <row r="444" spans="1:6">
      <c r="A444" s="586" t="str">
        <f t="shared" si="34"/>
        <v/>
      </c>
    </row>
    <row r="445" spans="1:6">
      <c r="A445" s="586" t="str">
        <f t="shared" si="34"/>
        <v/>
      </c>
    </row>
    <row r="446" spans="1:6">
      <c r="A446" s="586" t="str">
        <f t="shared" si="34"/>
        <v/>
      </c>
    </row>
    <row r="447" spans="1:6">
      <c r="A447" s="586" t="str">
        <f t="shared" si="34"/>
        <v/>
      </c>
    </row>
    <row r="448" spans="1:6">
      <c r="A448" s="586" t="str">
        <f t="shared" si="34"/>
        <v/>
      </c>
    </row>
    <row r="449" spans="1:1">
      <c r="A449" s="586" t="str">
        <f t="shared" si="34"/>
        <v/>
      </c>
    </row>
    <row r="450" spans="1:1">
      <c r="A450" s="586" t="str">
        <f t="shared" si="34"/>
        <v/>
      </c>
    </row>
    <row r="451" spans="1:1">
      <c r="A451" s="586" t="str">
        <f t="shared" si="34"/>
        <v/>
      </c>
    </row>
    <row r="452" spans="1:1">
      <c r="A452" s="586" t="str">
        <f t="shared" si="34"/>
        <v/>
      </c>
    </row>
    <row r="453" spans="1:1">
      <c r="A453" s="586" t="str">
        <f t="shared" si="34"/>
        <v/>
      </c>
    </row>
    <row r="454" spans="1:1">
      <c r="A454" s="586" t="str">
        <f t="shared" si="34"/>
        <v/>
      </c>
    </row>
    <row r="455" spans="1:1">
      <c r="A455" s="586" t="str">
        <f t="shared" si="34"/>
        <v/>
      </c>
    </row>
    <row r="456" spans="1:1">
      <c r="A456" s="586" t="str">
        <f t="shared" si="34"/>
        <v/>
      </c>
    </row>
    <row r="457" spans="1:1">
      <c r="A457" s="586" t="str">
        <f t="shared" si="34"/>
        <v/>
      </c>
    </row>
    <row r="458" spans="1:1">
      <c r="A458" s="586" t="str">
        <f t="shared" si="34"/>
        <v/>
      </c>
    </row>
    <row r="459" spans="1:1">
      <c r="A459" s="586" t="str">
        <f t="shared" si="34"/>
        <v/>
      </c>
    </row>
    <row r="460" spans="1:1">
      <c r="A460" s="586" t="str">
        <f t="shared" si="34"/>
        <v/>
      </c>
    </row>
    <row r="461" spans="1:1">
      <c r="A461" s="586" t="str">
        <f t="shared" si="34"/>
        <v/>
      </c>
    </row>
    <row r="462" spans="1:1">
      <c r="A462" s="586" t="str">
        <f t="shared" si="34"/>
        <v/>
      </c>
    </row>
    <row r="463" spans="1:1">
      <c r="A463" s="586" t="str">
        <f t="shared" si="34"/>
        <v/>
      </c>
    </row>
    <row r="464" spans="1:1">
      <c r="A464" s="586" t="str">
        <f t="shared" si="34"/>
        <v/>
      </c>
    </row>
    <row r="465" spans="1:1">
      <c r="A465" s="586" t="str">
        <f t="shared" si="34"/>
        <v/>
      </c>
    </row>
    <row r="466" spans="1:1">
      <c r="A466" s="586" t="str">
        <f t="shared" si="34"/>
        <v/>
      </c>
    </row>
    <row r="467" spans="1:1">
      <c r="A467" s="586" t="str">
        <f t="shared" si="34"/>
        <v/>
      </c>
    </row>
    <row r="468" spans="1:1">
      <c r="A468" s="586" t="str">
        <f t="shared" si="34"/>
        <v/>
      </c>
    </row>
    <row r="469" spans="1:1">
      <c r="A469" s="586" t="str">
        <f t="shared" si="34"/>
        <v/>
      </c>
    </row>
    <row r="470" spans="1:1">
      <c r="A470" s="586" t="str">
        <f t="shared" si="34"/>
        <v/>
      </c>
    </row>
    <row r="471" spans="1:1">
      <c r="A471" s="586" t="str">
        <f t="shared" si="34"/>
        <v/>
      </c>
    </row>
    <row r="472" spans="1:1">
      <c r="A472" s="586" t="str">
        <f t="shared" si="34"/>
        <v/>
      </c>
    </row>
    <row r="473" spans="1:1">
      <c r="A473" s="586" t="str">
        <f t="shared" si="34"/>
        <v/>
      </c>
    </row>
    <row r="474" spans="1:1">
      <c r="A474" s="586" t="str">
        <f t="shared" si="34"/>
        <v/>
      </c>
    </row>
    <row r="475" spans="1:1">
      <c r="A475" s="586" t="str">
        <f t="shared" si="34"/>
        <v/>
      </c>
    </row>
  </sheetData>
  <sheetProtection sort="0" autoFilter="0"/>
  <sortState xmlns:xlrd2="http://schemas.microsoft.com/office/spreadsheetml/2017/richdata2" ref="A6:P328">
    <sortCondition ref="A6:A328"/>
  </sortState>
  <mergeCells count="4">
    <mergeCell ref="C2:G2"/>
    <mergeCell ref="C1:G1"/>
    <mergeCell ref="S6:AJ6"/>
    <mergeCell ref="F4:F5"/>
  </mergeCells>
  <hyperlinks>
    <hyperlink ref="O150" r:id="rId1" display="https://hpv-versorgungsausgleich.de/fileadmin/nd_hpv-versorgungsausgleich/download/gd/avb_f.pdf" xr:uid="{0CAF4EB1-D042-471C-A976-88E69BD14EC9}"/>
    <hyperlink ref="O294" r:id="rId2" display="https://www.union-investment.de/Magnolia/Shared/Broschueren/a2f040e1f7e49c74c587b3f78cdd0856.0.0/Teilungsordnung_Januar_2021.pdf" xr:uid="{768F8DDB-3B7E-4F9A-86F5-FC17B3640A58}"/>
    <hyperlink ref="O256" r:id="rId3" display="https://www.ruv.de/dam/privatkunden/downloads/teilungsordnungen/RVL_AG_TO_20200301.pdf" xr:uid="{134ABBDA-4438-4A41-AC72-EB5DA8D77952}"/>
    <hyperlink ref="O279" r:id="rId4" display="https://www.sparkassenversicherung.de/export/sites/svag/_resources/download_galerien/service/daten/72-337-0617.pdf" xr:uid="{E47C21EE-7C97-4BD3-8754-F59D5F1231EB}"/>
    <hyperlink ref="O198" r:id="rId5" display="https://www.lvm.de/cms/061637b8-3f2b-4571-93b4-3d4d4480acb4/081-teilungsordnung-lebensversicherung-rentenversicherung-l272.pdf" xr:uid="{3514757A-7A5B-4C05-892A-FBD2817D092E}"/>
    <hyperlink ref="O251" r:id="rId6" display="https://www.provinzial.de/export/sites/pvn/_resources/download/privat_vorsorge/teilungsordnung/Teilungsordnung_Nord.pdf" xr:uid="{1EAC1DA7-5FDA-4638-BF82-6901F4892B06}"/>
    <hyperlink ref="O233" r:id="rId7" display="https://www.pb-versicherung.de/documents/Teilungsordnung PB Lebensversicherung Ja-1.pdf" xr:uid="{EA73524D-1568-44C7-99D5-7D38E1C1FADA}"/>
    <hyperlink ref="O286" r:id="rId8" display="https://silo.tips/download/stand-swiss-life-ag-niederlassung-fr-deutschland-im-folgenden-swiss-life-ag-teil" xr:uid="{FD6D0C59-E7DE-4765-A29D-657EE2FA2DF0}"/>
    <hyperlink ref="O13" r:id="rId9" display="https://www.allianz.de/content/dam/onemarketing/azde/azd/teilungsordnung/krklas122012.pdf" xr:uid="{39A4B1FE-9DE7-4EB8-9A36-1C9340047F9E}"/>
    <hyperlink ref="O218" r:id="rId10" display="https://www.neueleben.de/static/files/Service/Teilungsordnung_nl_20180801.pdf" xr:uid="{69E48D76-8457-4177-BB21-F02FC236F9A3}"/>
    <hyperlink ref="O300" r:id="rId11" display="C:\Users\Hau%C3%9F\Downloads\Satzung 2017.pdf" xr:uid="{80CB60E6-3CEA-4E3E-83A5-0987A2E2FEA6}"/>
    <hyperlink ref="O240" r:id="rId12" display="C:\Users\Hau%C3%9F\Downloads\Satzung 2017.pdf" xr:uid="{376E70F1-FEC5-41AE-983F-6EB86AC146AD}"/>
    <hyperlink ref="O214" r:id="rId13" xr:uid="{0601567F-81B5-4D85-B157-A3B916501EE4}"/>
    <hyperlink ref="O213" r:id="rId14" xr:uid="{3F5C39E3-49F5-4115-B100-26760A7B266A}"/>
    <hyperlink ref="O37" r:id="rId15" display="Teilungsordnung" xr:uid="{367E893B-863A-4F9B-B2FC-5A5C53812E64}"/>
    <hyperlink ref="O306" r:id="rId16" display="https://druckstuecke.volkswohl-bund.de/api/products/411/documents/Teilungsordnung_Direktversicherung_und_private_Altersversorgung_.pdf" xr:uid="{62ECAE6D-9107-4A43-B7FF-5E4FCEE0B154}"/>
    <hyperlink ref="O238" r:id="rId17" xr:uid="{ACFCF1CC-9BCE-4620-8BB4-34A0D1FD3A98}"/>
    <hyperlink ref="O285" r:id="rId18" display="https://docplayer.org/7085059-Stand-november-2013-swiss-life-ag-teilungsordnung-zum-versorgungsausgleich-inhaltsverzeichnis-praeambel-1-anwendungsbereich.html" xr:uid="{6E20BDE1-291B-4820-AF21-5A62B107C5C3}"/>
    <hyperlink ref="O271" r:id="rId19" display="https://docplayer.org/15092608-Besondere-versicherungsbedingungen-teilungsordnung.html" xr:uid="{035C2F26-832E-494E-9A5C-4198002305BE}"/>
    <hyperlink ref="O327" r:id="rId20" display="https://docplayer.org/23644504-Teilungsordnung-versorgungstraeger-zurich-deutscher-herold-ueberbetriebliche-unterstuetzungskasse-e-v-zdhuk-1-anwendungsbereich.html" xr:uid="{EFD8926F-0372-4000-A552-57667003CCC6}"/>
    <hyperlink ref="O79" r:id="rId21" display="https://docplayer.org/898437-Taetigkeitsplan-fuer-die-teilung-von-lebensversicherungen-auf-grundlage-des-gesetzes-zur-strukturreform-des-versorgungsausgleichs-teilungsordnung.html" xr:uid="{2EEA17E1-C2BE-4385-BF33-AE0821DD4658}"/>
    <hyperlink ref="O80" r:id="rId22" display="https://docplayer.org/898437-Taetigkeitsplan-fuer-die-teilung-von-lebensversicherungen-auf-grundlage-des-gesetzes-zur-strukturreform-des-versorgungsausgleichs-teilungsordnung.html" xr:uid="{E6B669DE-6E52-4B7B-B67E-A225F37555E9}"/>
    <hyperlink ref="O148" r:id="rId23" display="https://docplayer.org/898437-Taetigkeitsplan-fuer-die-teilung-von-lebensversicherungen-auf-grundlage-des-gesetzes-zur-strukturreform-des-versorgungsausgleichs-teilungsordnung.html" xr:uid="{B9F0ADDC-0BE0-4E51-97CE-2872D463ACE4}"/>
    <hyperlink ref="O206" r:id="rId24" xr:uid="{00F0F99B-12B5-4477-8C52-CAB96BCF9334}"/>
    <hyperlink ref="O59" r:id="rId25" display="https://docplayer.org/30893347-Teilungsordnung-inhaltsverzeichnis-vorwort-1-anwendungsbereich-2-form-des-versorgungsausgleichs-3-bestimmung-des-ausgleichswertes.html" xr:uid="{4E7FD4C2-722B-4B6E-84B8-EEBFE3E867AC}"/>
    <hyperlink ref="O293" r:id="rId26" display="https://docplayer.org/23644555-Teilungsordnung-der-unilever-deutschland-gruppe-stand.html" xr:uid="{6B93B06B-3AE0-4663-9923-788558901C03}"/>
    <hyperlink ref="O326" r:id="rId27" display="https://docplayer.org/6126612-Ordnung-fuer-die-interne-und-externe-teilung-von-lebensversicherungsvertraegen-aufgrund-des-gesetzes-ueber-den-versorgungsausgleich.html" xr:uid="{448A95FC-2775-461B-9208-256C76302D21}"/>
    <hyperlink ref="O162" r:id="rId28" display="https://docplayer.org/8153720-Hdi-pensionskasse-ag-pbpk-bestandssegment.html" xr:uid="{C44A750E-62DF-497A-A5FE-A496E8CA222F}"/>
    <hyperlink ref="O299" r:id="rId29" display="https://docplayer.org/6838556-Richtlinie-zum-versorgungsausgleich-gemaess-58a-abs-1-vaps-richtl-versausgl-der-versorgungsanstalt-der-deutschen-bundespost.html" xr:uid="{35B15B41-69AC-4912-AA39-C8104DB25B78}"/>
    <hyperlink ref="O243" r:id="rId30" display="https://docplayer.org/42705354-Allianz-lebensversicherungs-ag-vertragsgesellschaft-der-presse-versorgung.html" xr:uid="{689563E7-CE72-4E09-A66D-0B602175D71B}"/>
    <hyperlink ref="O134" r:id="rId31" xr:uid="{D39ADF8A-1AE9-4FB2-9981-FAA0B63F454B}"/>
    <hyperlink ref="O236" r:id="rId32" display="https://www.neueleben.de/static/files/Service/Teilungsordnung_nl_20180801.pdf" xr:uid="{7B8D193B-02D0-4069-B641-C4EF9821E53F}"/>
    <hyperlink ref="O241" r:id="rId33" display="https://www.psvag.de/fileadmin/doc/220/rechtliche_grundlagen/teilungsordnung.pdf" xr:uid="{368EA091-768B-4449-B08C-C4B1FB38573F}"/>
    <hyperlink ref="O248" r:id="rId34" display="https://www.vgh.de/export/sites/vgh/_resources/downloads/pdf/privat_versicherungen/vorsorgeundvermoegen/Teilungsordnung_PH_01.05.2016.pdf" xr:uid="{265E1CA3-90B5-4852-90BB-643E679415C5}"/>
    <hyperlink ref="O100" r:id="rId35" display="https://www.dws.de/de-DE/AssetDownload/Index/?filename=Teilungsordnung%20DWS%20Investment%20GmbH%202022%2006.pdf&amp;assetGuid=52ca4b21-2d03-4c79-9442-da45c9531d53&amp;source=DWS" xr:uid="{0E937C4B-4B27-421A-80C9-DE4AB5D5633C}"/>
    <hyperlink ref="J249" r:id="rId36" xr:uid="{F62ECF11-C075-488D-8D7C-75AC76199A5A}"/>
    <hyperlink ref="J14" r:id="rId37" xr:uid="{CA557E38-B026-448D-8397-286C7B63B107}"/>
    <hyperlink ref="O270"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10" r:id="rId40" display="http://www.hpv-versorgungsausgleich.de/index.php?id=4779" xr:uid="{993A39F1-E214-4685-B253-8642D15D44BB}"/>
    <hyperlink ref="O12" r:id="rId41" display="http://www.hpv-versorgungsausgleich.de/index.php?id=4779" xr:uid="{528D569B-22DC-491E-B219-EF638CB8E185}"/>
    <hyperlink ref="O40" r:id="rId42" display="http://www.hpv-versorgungsausgleich.de/index.php?id=4779" xr:uid="{01D4B421-D2CD-4FA4-9A91-AECBDE089002}"/>
    <hyperlink ref="O18:O28" r:id="rId43" display="http://www.hpv-versorgungsausgleich.de/index.php?id=4779" xr:uid="{A734958E-560B-4206-B507-8D892DC50DC5}"/>
    <hyperlink ref="O5:O33" r:id="rId44" display="http://www.hpv-versorgungsausgleich.de/index.php?id=4779" xr:uid="{BC0B1D4B-6BD8-43D5-ABD4-CDD1F3D61DEC}"/>
    <hyperlink ref="O38:O40" r:id="rId45" display="http://www.hpv-versorgungsausgleich.de/index.php?id=4779" xr:uid="{ADDC0EC5-B50D-4F01-96F4-AD76C84F9F24}"/>
    <hyperlink ref="O43:O55" r:id="rId46" display="http://www.hpv-versorgungsausgleich.de/index.php?id=4779" xr:uid="{36E8DF4A-9A24-473B-A86F-64F9E0E301E4}"/>
    <hyperlink ref="O111" r:id="rId47" display="http://www.hpv-versorgungsausgleich.de/index.php?id=4779" xr:uid="{FA9F7EC7-CAD2-4E4C-B558-2328ACE66EAD}"/>
    <hyperlink ref="O136" r:id="rId48" display="http://www.hpv-versorgungsausgleich.de/index.php?id=4779" xr:uid="{A83E358A-04F3-4646-8AAE-4C42F5C89DC0}"/>
    <hyperlink ref="O64:O69" r:id="rId49" display="http://www.hpv-versorgungsausgleich.de/index.php?id=4779" xr:uid="{AA3F4B1E-3357-4C43-8390-427AED3AF8C6}"/>
    <hyperlink ref="O72:O73" r:id="rId50" display="http://www.hpv-versorgungsausgleich.de/index.php?id=4779" xr:uid="{55E34C0B-E5FB-4F3C-A592-8020298D25E6}"/>
    <hyperlink ref="O79:O83" r:id="rId51" display="http://www.hpv-versorgungsausgleich.de/index.php?id=4779" xr:uid="{468655A1-8F25-4605-84D8-0BBE231D5294}"/>
    <hyperlink ref="O216" r:id="rId52" display="http://www.hpv-versorgungsausgleich.de/index.php?id=4779" xr:uid="{1818DEB4-B1D9-4A04-9A3D-ECB249CBD565}"/>
    <hyperlink ref="O222" r:id="rId53" display="http://www.hpv-versorgungsausgleich.de/index.php?id=4779" xr:uid="{69D80E22-42E2-4952-9718-3262881677B6}"/>
    <hyperlink ref="O102:O109" r:id="rId54" display="http://www.hpv-versorgungsausgleich.de/index.php?id=4779" xr:uid="{16C58223-98C9-4756-8483-CACC046F4278}"/>
    <hyperlink ref="O302" r:id="rId55" display="http://www.hpv-versorgungsausgleich.de/index.php?id=4779" xr:uid="{F2F9784D-7CB8-4A71-B10D-BDD1C2D2E695}"/>
    <hyperlink ref="O328" r:id="rId56" display="http://www.hpv-versorgungsausgleich.de/index.php?id=4779" xr:uid="{7B69C7D2-E74E-485B-914F-F8F7D1E9945E}"/>
    <hyperlink ref="O246" r:id="rId57" display="C:\Users\Hau%C3%9F\Downloads\leben-u-rente_alle-produkte_angaben-provinzial-teilungsordnung_pr-lebensversicherung.pdf" xr:uid="{52389196-DB28-4A5E-9822-D23B698D7C5A}"/>
    <hyperlink ref="O235" r:id="rId58" display="https://www.pb-versicherung.de/documents/Teilungsordnung PB Lebensversicherung Ok.pdf" xr:uid="{E3148DD9-903C-4172-B3A2-6BFB4CD93DF3}"/>
    <hyperlink ref="O163" r:id="rId59" display="http://www.hpv-versorgungsausgleich.de/index.php?id=4779" xr:uid="{71F46660-5647-44E2-8068-0760DA7F34C4}"/>
    <hyperlink ref="O160" r:id="rId60" display="C:\Users\Hau%C3%9F\Downloads\Teilungsordnung_HDI-Lebensversicherung_AG.pdf" xr:uid="{ECCED91D-8569-44AF-BB8F-6A5EF69A3B5F}"/>
    <hyperlink ref="O159" r:id="rId61" display="https://www.hdi.de/downloads/de/privatkunden/service/Telungsordnung_HLV_2020.pdf" xr:uid="{0627C112-FF6F-4C22-9E56-D1A04CBEC4CE}"/>
    <hyperlink ref="O245" r:id="rId62" display="https://flgruppe.de/wp-content/uploads/2021/03/Teilungsordnung_Pro_bAV_Pensionskasse_AG_27.08.2018_.pdf" xr:uid="{0FC7C55B-1194-4614-887C-3FE0B13387A4}"/>
    <hyperlink ref="O92" r:id="rId63" display="https://www.deutscher-pensionsfonds.com/-/media/project/zwp/deutscher-pensionsfonds/docs/dpag-teilungsordnung-pensionsfonds-3-63_2021_11.pdf" xr:uid="{7E9D4A05-3388-4343-8025-3392A2594EA0}"/>
    <hyperlink ref="O296" r:id="rId64" display="https://www.vdva-unterstuetzungskasse.de/rmedia/media/vdva_unterstuetzungskasse/dokumente_3/vdva-teilungsordnung_to-bolz.pdf" xr:uid="{418FD86F-D0E4-424F-9B8E-282038787FFE}"/>
    <hyperlink ref="O254" r:id="rId65" display="https://www.psvag.de/fileadmin/doc/220/rechtliche_grundlagen/teilungsordnung.pdf" xr:uid="{BE070D42-7984-4141-BE6D-869280C3C719}"/>
    <hyperlink ref="O75" r:id="rId66" display="https://www.yumpu.com/de/document/read/2556832/seite-1-von-4-teilungsordnung-der-dekabank-fur-" xr:uid="{FE1C3497-24D2-49B5-8365-EA6DABDFF63F}"/>
    <hyperlink ref="O77"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showRowColHeaders="0" showRuler="0" view="pageLayout" topLeftCell="A4" zoomScale="85" zoomScaleNormal="115" zoomScalePageLayoutView="85" workbookViewId="0">
      <selection activeCell="C5" sqref="C5:I5"/>
    </sheetView>
  </sheetViews>
  <sheetFormatPr baseColWidth="10" defaultColWidth="0" defaultRowHeight="14.25" zeroHeight="1"/>
  <cols>
    <col min="1" max="1" width="3.125" style="2236" customWidth="1"/>
    <col min="2" max="2" width="10.625" style="2236" customWidth="1"/>
    <col min="3" max="3" width="2" style="2236" customWidth="1"/>
    <col min="4" max="4" width="25.625" style="2236" customWidth="1"/>
    <col min="5" max="5" width="23.5" style="2236" customWidth="1"/>
    <col min="6" max="6" width="27.625" style="2236" customWidth="1"/>
    <col min="7" max="7" width="25.5" style="2236" customWidth="1"/>
    <col min="8" max="9" width="24.625" style="2236" customWidth="1"/>
    <col min="10" max="10" width="10.625" style="2236" customWidth="1"/>
    <col min="11" max="11" width="17.125" style="2236" hidden="1" customWidth="1"/>
    <col min="12" max="12" width="0" style="2227" hidden="1" customWidth="1"/>
    <col min="13" max="16384" width="10.625" style="2227" hidden="1"/>
  </cols>
  <sheetData>
    <row r="1" spans="1:11" customFormat="1" ht="64.349999999999994" hidden="1" customHeight="1"/>
    <row r="2" spans="1:11" customFormat="1" ht="64.349999999999994" hidden="1" customHeight="1"/>
    <row r="3" spans="1:11" customFormat="1" ht="64.349999999999994" hidden="1" customHeight="1"/>
    <row r="4" spans="1:11" ht="15" customHeight="1"/>
    <row r="5" spans="1:11" s="2228" customFormat="1" ht="32.25" customHeight="1">
      <c r="A5" s="2237"/>
      <c r="B5" s="2237"/>
      <c r="C5" s="2345"/>
      <c r="D5" s="2345"/>
      <c r="E5" s="2345"/>
      <c r="F5" s="2345"/>
      <c r="G5" s="2345"/>
      <c r="H5" s="2345"/>
      <c r="I5" s="2345"/>
      <c r="J5" s="2238"/>
      <c r="K5" s="2237"/>
    </row>
    <row r="6" spans="1:11" ht="18">
      <c r="C6" s="2346" t="s">
        <v>211</v>
      </c>
      <c r="D6" s="2346"/>
      <c r="E6" s="2346"/>
      <c r="F6" s="2346"/>
      <c r="G6" s="2346"/>
      <c r="H6" s="2346"/>
      <c r="I6" s="2346"/>
      <c r="J6" s="2239"/>
    </row>
    <row r="7" spans="1:11" ht="23.25">
      <c r="C7" s="2347" t="s">
        <v>343</v>
      </c>
      <c r="D7" s="2347"/>
      <c r="E7" s="2347"/>
      <c r="F7" s="2347"/>
      <c r="G7" s="2347"/>
      <c r="H7" s="2347"/>
      <c r="I7" s="2347"/>
      <c r="J7" s="2240"/>
      <c r="K7" s="2240"/>
    </row>
    <row r="8" spans="1:11" ht="18">
      <c r="C8" s="2346" t="s">
        <v>212</v>
      </c>
      <c r="D8" s="2346"/>
      <c r="E8" s="2346"/>
      <c r="F8" s="2346"/>
      <c r="G8" s="2346"/>
      <c r="H8" s="2346"/>
      <c r="I8" s="2346"/>
      <c r="J8" s="2239"/>
    </row>
    <row r="9" spans="1:11" s="2229" customFormat="1" ht="12.75">
      <c r="A9" s="2241"/>
      <c r="B9" s="2241"/>
      <c r="C9" s="2355"/>
      <c r="D9" s="2355"/>
      <c r="E9" s="2355"/>
      <c r="F9" s="2355"/>
      <c r="G9" s="2355"/>
      <c r="H9" s="2355"/>
      <c r="I9" s="2355"/>
      <c r="J9" s="2241"/>
      <c r="K9" s="2241"/>
    </row>
    <row r="10" spans="1:11" s="2229" customFormat="1" ht="12.75">
      <c r="A10" s="2241"/>
      <c r="B10" s="2241"/>
      <c r="C10" s="2355" t="s">
        <v>213</v>
      </c>
      <c r="D10" s="2355"/>
      <c r="E10" s="2355"/>
      <c r="F10" s="2355"/>
      <c r="G10" s="2355"/>
      <c r="H10" s="2355"/>
      <c r="I10" s="2355"/>
      <c r="J10" s="2241"/>
      <c r="K10" s="2241"/>
    </row>
    <row r="11" spans="1:11" s="2229" customFormat="1" ht="12.75">
      <c r="A11" s="2241"/>
      <c r="B11" s="2241"/>
      <c r="C11" s="2357" t="s">
        <v>214</v>
      </c>
      <c r="D11" s="2357"/>
      <c r="E11" s="2357"/>
      <c r="F11" s="2357"/>
      <c r="G11" s="2357"/>
      <c r="H11" s="2357"/>
      <c r="I11" s="2357"/>
      <c r="J11" s="2242"/>
      <c r="K11" s="2241"/>
    </row>
    <row r="12" spans="1:11" s="2229" customFormat="1" ht="12.75">
      <c r="A12" s="2241"/>
      <c r="B12" s="2241"/>
      <c r="C12" s="2355" t="s">
        <v>1236</v>
      </c>
      <c r="D12" s="2355"/>
      <c r="E12" s="2355"/>
      <c r="F12" s="2355"/>
      <c r="G12" s="2355"/>
      <c r="H12" s="2355"/>
      <c r="I12" s="2355"/>
      <c r="J12" s="2241"/>
      <c r="K12" s="2241"/>
    </row>
    <row r="13" spans="1:11" s="2229" customFormat="1" ht="12.75">
      <c r="A13" s="2241"/>
      <c r="B13" s="2241"/>
      <c r="C13" s="2355"/>
      <c r="D13" s="2355"/>
      <c r="E13" s="2355"/>
      <c r="F13" s="2243" t="s">
        <v>1235</v>
      </c>
      <c r="G13" s="2243" t="s">
        <v>1237</v>
      </c>
      <c r="H13" s="2359"/>
      <c r="I13" s="2359"/>
      <c r="J13" s="2241"/>
      <c r="K13" s="2241"/>
    </row>
    <row r="14" spans="1:11" s="2229" customFormat="1" ht="13.5" thickBot="1">
      <c r="A14" s="2241"/>
      <c r="B14" s="2241"/>
      <c r="C14" s="2244"/>
      <c r="D14" s="2244"/>
      <c r="E14" s="2244"/>
      <c r="F14" s="2245"/>
      <c r="G14" s="2245"/>
      <c r="H14" s="2244"/>
      <c r="I14" s="2244"/>
      <c r="J14" s="2241"/>
      <c r="K14" s="2241"/>
    </row>
    <row r="15" spans="1:11" ht="24" customHeight="1" thickBot="1">
      <c r="C15" s="2246" t="str">
        <f>"Version "&amp;TEXT(MONTH(Enddatum),"00")&amp;"/"&amp;TEXT(YEAR(Enddatum),"####")</f>
        <v>Version 02/2026</v>
      </c>
      <c r="D15" s="2247"/>
      <c r="E15" s="2360" t="s">
        <v>1201</v>
      </c>
      <c r="F15" s="2360"/>
      <c r="G15" s="2361"/>
      <c r="H15" s="2356" t="s">
        <v>2010</v>
      </c>
      <c r="I15" s="2356"/>
    </row>
    <row r="16" spans="1:11" ht="7.5" customHeight="1" thickBot="1">
      <c r="C16" s="2248"/>
      <c r="D16" s="2248"/>
      <c r="E16" s="2249"/>
      <c r="F16" s="2249"/>
      <c r="G16" s="2250"/>
      <c r="H16" s="2250"/>
      <c r="I16" s="2250"/>
    </row>
    <row r="17" spans="1:11" s="2230" customFormat="1" ht="24" customHeight="1">
      <c r="A17" s="2251"/>
      <c r="B17" s="2251"/>
      <c r="C17" s="2358" t="s">
        <v>540</v>
      </c>
      <c r="D17" s="2358"/>
      <c r="E17" s="2358"/>
      <c r="F17" s="2358"/>
      <c r="G17" s="2358"/>
      <c r="H17" s="2363" t="s">
        <v>1957</v>
      </c>
      <c r="I17" s="2364"/>
      <c r="J17" s="2251"/>
      <c r="K17" s="2251"/>
    </row>
    <row r="18" spans="1:11" s="2230" customFormat="1" ht="24" customHeight="1">
      <c r="A18" s="2251"/>
      <c r="B18" s="2253"/>
      <c r="C18" s="2362" t="s">
        <v>1422</v>
      </c>
      <c r="D18" s="2362"/>
      <c r="E18" s="2362"/>
      <c r="F18" s="2362"/>
      <c r="G18" s="2252"/>
      <c r="H18" s="2365"/>
      <c r="I18" s="2366"/>
      <c r="J18" s="2251"/>
      <c r="K18" s="2251"/>
    </row>
    <row r="19" spans="1:11" s="2231" customFormat="1" ht="37.5" customHeight="1">
      <c r="A19" s="2254"/>
      <c r="B19" s="2254"/>
      <c r="C19" s="2352" t="s">
        <v>324</v>
      </c>
      <c r="D19" s="2352"/>
      <c r="E19" s="2352"/>
      <c r="F19" s="2352"/>
      <c r="G19" s="2353"/>
      <c r="H19" s="2373" t="s">
        <v>2026</v>
      </c>
      <c r="I19" s="2374"/>
      <c r="J19" s="2254"/>
      <c r="K19" s="2254"/>
    </row>
    <row r="20" spans="1:11" s="2231" customFormat="1" ht="22.5" customHeight="1">
      <c r="A20" s="2254"/>
      <c r="B20" s="2254"/>
      <c r="C20" s="2352" t="s">
        <v>323</v>
      </c>
      <c r="D20" s="2352"/>
      <c r="E20" s="2352"/>
      <c r="F20" s="2352"/>
      <c r="G20" s="2353"/>
      <c r="H20" s="2375" t="s">
        <v>1309</v>
      </c>
      <c r="I20" s="2376"/>
      <c r="J20" s="2254"/>
      <c r="K20" s="2254"/>
    </row>
    <row r="21" spans="1:11" s="2231" customFormat="1" ht="22.5" customHeight="1">
      <c r="A21" s="2254"/>
      <c r="B21" s="2254"/>
      <c r="C21" s="2352" t="s">
        <v>344</v>
      </c>
      <c r="D21" s="2352"/>
      <c r="E21" s="2352"/>
      <c r="F21" s="2352"/>
      <c r="G21" s="2353"/>
      <c r="H21" s="2375"/>
      <c r="I21" s="2376"/>
      <c r="J21" s="2254"/>
      <c r="K21" s="2254"/>
    </row>
    <row r="22" spans="1:11" s="2231" customFormat="1" ht="21" customHeight="1">
      <c r="A22" s="2254"/>
      <c r="B22" s="2254"/>
      <c r="C22" s="2352" t="s">
        <v>1232</v>
      </c>
      <c r="D22" s="2352"/>
      <c r="E22" s="2352"/>
      <c r="F22" s="2352"/>
      <c r="G22" s="2353"/>
      <c r="H22" s="2375" t="s">
        <v>1239</v>
      </c>
      <c r="I22" s="2376"/>
      <c r="J22" s="2254"/>
      <c r="K22" s="2254"/>
    </row>
    <row r="23" spans="1:11" s="2231" customFormat="1" ht="21" hidden="1" customHeight="1">
      <c r="A23" s="2254"/>
      <c r="B23" s="2254"/>
      <c r="C23" s="2352" t="s">
        <v>1231</v>
      </c>
      <c r="D23" s="2352"/>
      <c r="E23" s="2352"/>
      <c r="F23" s="2352"/>
      <c r="G23" s="2353"/>
      <c r="H23" s="2377" t="s">
        <v>1958</v>
      </c>
      <c r="I23" s="2378"/>
      <c r="J23" s="2236"/>
      <c r="K23" s="2254"/>
    </row>
    <row r="24" spans="1:11" s="2231" customFormat="1" ht="21" customHeight="1" thickBot="1">
      <c r="A24" s="2254"/>
      <c r="B24" s="2255"/>
      <c r="C24" s="2352" t="s">
        <v>2002</v>
      </c>
      <c r="D24" s="2352"/>
      <c r="E24" s="2352"/>
      <c r="F24" s="2352"/>
      <c r="G24" s="2353"/>
      <c r="H24" s="2256" t="s">
        <v>2000</v>
      </c>
      <c r="I24" s="2257" t="s">
        <v>2001</v>
      </c>
      <c r="J24" s="2258"/>
      <c r="K24" s="2254"/>
    </row>
    <row r="25" spans="1:11" s="2231" customFormat="1" ht="21" customHeight="1">
      <c r="A25" s="2254"/>
      <c r="B25" s="2253"/>
      <c r="C25" s="2352" t="s">
        <v>2003</v>
      </c>
      <c r="D25" s="2352"/>
      <c r="E25" s="2352"/>
      <c r="F25" s="2259"/>
      <c r="G25" s="2260"/>
      <c r="H25" s="2381" t="s">
        <v>1240</v>
      </c>
      <c r="I25" s="2382"/>
      <c r="J25" s="2254"/>
      <c r="K25" s="2254"/>
    </row>
    <row r="26" spans="1:11" s="2231" customFormat="1" ht="21" customHeight="1">
      <c r="A26" s="2254"/>
      <c r="B26" s="2254"/>
      <c r="C26" s="2352" t="s">
        <v>2004</v>
      </c>
      <c r="D26" s="2352"/>
      <c r="E26" s="2352"/>
      <c r="F26" s="2352"/>
      <c r="G26" s="2353"/>
      <c r="H26" s="2381"/>
      <c r="I26" s="2382"/>
      <c r="J26" s="2236"/>
      <c r="K26" s="2254"/>
    </row>
    <row r="27" spans="1:11" s="2231" customFormat="1" ht="21" hidden="1" customHeight="1">
      <c r="A27" s="2254"/>
      <c r="B27" s="2254"/>
      <c r="C27" s="2352" t="s">
        <v>1233</v>
      </c>
      <c r="D27" s="2352"/>
      <c r="E27" s="2352"/>
      <c r="F27" s="2352"/>
      <c r="G27" s="2353"/>
      <c r="H27" s="2381"/>
      <c r="I27" s="2382"/>
      <c r="J27" s="2236"/>
      <c r="K27" s="2254"/>
    </row>
    <row r="28" spans="1:11" s="2231" customFormat="1" ht="21" hidden="1" customHeight="1">
      <c r="A28" s="2254"/>
      <c r="B28" s="2254"/>
      <c r="C28" s="2352" t="s">
        <v>1101</v>
      </c>
      <c r="D28" s="2352"/>
      <c r="E28" s="2352"/>
      <c r="F28" s="2352"/>
      <c r="G28" s="2353"/>
      <c r="H28" s="2381"/>
      <c r="I28" s="2382"/>
      <c r="J28" s="2236"/>
      <c r="K28" s="2236"/>
    </row>
    <row r="29" spans="1:11" s="2231" customFormat="1" ht="21" hidden="1" customHeight="1">
      <c r="A29" s="2254"/>
      <c r="B29" s="2254"/>
      <c r="C29" s="2261" t="s">
        <v>1234</v>
      </c>
      <c r="D29" s="2261"/>
      <c r="E29" s="2262"/>
      <c r="F29" s="2354" t="s">
        <v>1291</v>
      </c>
      <c r="G29" s="2354"/>
      <c r="H29" s="2381"/>
      <c r="I29" s="2382"/>
      <c r="J29" s="2263"/>
      <c r="K29" s="2263"/>
    </row>
    <row r="30" spans="1:11" s="2231" customFormat="1" ht="21" customHeight="1">
      <c r="A30" s="2254"/>
      <c r="B30" s="2254"/>
      <c r="C30" s="2372" t="s">
        <v>2005</v>
      </c>
      <c r="D30" s="2372"/>
      <c r="E30" s="2372"/>
      <c r="F30" s="2372"/>
      <c r="G30" s="2372"/>
      <c r="H30" s="2381"/>
      <c r="I30" s="2382"/>
      <c r="J30" s="2254"/>
      <c r="K30" s="2254"/>
    </row>
    <row r="31" spans="1:11" s="2232" customFormat="1" ht="21" customHeight="1">
      <c r="A31" s="2264"/>
      <c r="B31" s="2265"/>
      <c r="C31" s="2264"/>
      <c r="D31" s="2266" t="s">
        <v>1102</v>
      </c>
      <c r="E31" s="2266" t="s">
        <v>1103</v>
      </c>
      <c r="F31" s="2266" t="s">
        <v>1104</v>
      </c>
      <c r="G31" s="2266" t="s">
        <v>1105</v>
      </c>
      <c r="H31" s="2381"/>
      <c r="I31" s="2382"/>
      <c r="J31" s="2264"/>
      <c r="K31" s="2264"/>
    </row>
    <row r="32" spans="1:11" s="2232" customFormat="1" ht="21" customHeight="1">
      <c r="A32" s="2264"/>
      <c r="B32" s="2265"/>
      <c r="C32" s="2264"/>
      <c r="D32" s="2267" t="s">
        <v>1108</v>
      </c>
      <c r="E32" s="2267" t="s">
        <v>1109</v>
      </c>
      <c r="F32" s="2267" t="s">
        <v>1110</v>
      </c>
      <c r="G32" s="2268" t="s">
        <v>1847</v>
      </c>
      <c r="H32" s="2381"/>
      <c r="I32" s="2382"/>
      <c r="J32" s="2269"/>
      <c r="K32" s="2269"/>
    </row>
    <row r="33" spans="1:12" s="2232" customFormat="1" ht="21" customHeight="1" thickBot="1">
      <c r="A33" s="2264"/>
      <c r="B33" s="2265"/>
      <c r="C33" s="2264"/>
      <c r="D33" s="2266" t="s">
        <v>1106</v>
      </c>
      <c r="E33" s="2266" t="s">
        <v>1107</v>
      </c>
      <c r="F33" s="2267"/>
      <c r="G33" s="2268"/>
      <c r="H33" s="2379" t="s">
        <v>1235</v>
      </c>
      <c r="I33" s="2380"/>
      <c r="J33" s="2269"/>
      <c r="K33" s="2269"/>
    </row>
    <row r="34" spans="1:12" s="2231" customFormat="1" ht="21" customHeight="1">
      <c r="A34" s="2254"/>
      <c r="B34" s="2254"/>
      <c r="C34" s="2351" t="str">
        <f ca="1">"9. Berechnungsparameter für die gesetzliche Rentenversicherung und den Versorgungsausgleich von 1970 bis "&amp;YEAR(TODAY())</f>
        <v>9. Berechnungsparameter für die gesetzliche Rentenversicherung und den Versorgungsausgleich von 1970 bis 2026</v>
      </c>
      <c r="D34" s="2351"/>
      <c r="E34" s="2351"/>
      <c r="F34" s="2351"/>
      <c r="G34" s="2351"/>
      <c r="H34" s="2351"/>
      <c r="I34" s="2351"/>
      <c r="J34" s="2258"/>
      <c r="K34" s="2258"/>
    </row>
    <row r="35" spans="1:12" ht="18" hidden="1">
      <c r="C35" s="2351" t="str">
        <f ca="1">"13. Berechnungsparameter für die gesetzliche Rentenversicherung und den Versorgungsausgleich von 1970 bis "&amp;YEAR(TODAY())</f>
        <v>13. Berechnungsparameter für die gesetzliche Rentenversicherung und den Versorgungsausgleich von 1970 bis 2026</v>
      </c>
      <c r="D35" s="2351"/>
      <c r="E35" s="2351"/>
      <c r="F35" s="2351"/>
      <c r="G35" s="2351"/>
      <c r="H35" s="2351"/>
      <c r="I35" s="2351"/>
      <c r="J35" s="2270"/>
      <c r="K35" s="2270"/>
    </row>
    <row r="36" spans="1:12" ht="15.6" hidden="1" customHeight="1">
      <c r="C36" s="2372"/>
      <c r="D36" s="2372"/>
      <c r="E36" s="2372"/>
      <c r="F36" s="2372"/>
      <c r="G36" s="2372"/>
      <c r="H36" s="2372"/>
      <c r="I36" s="2372"/>
      <c r="J36" s="2372"/>
      <c r="K36" s="2372"/>
      <c r="L36" s="2233"/>
    </row>
    <row r="37" spans="1:12">
      <c r="C37" s="2348" t="s">
        <v>1238</v>
      </c>
      <c r="D37" s="2349"/>
      <c r="E37" s="2349"/>
      <c r="F37" s="2349"/>
      <c r="G37" s="2349"/>
      <c r="H37" s="2349"/>
      <c r="I37" s="2349"/>
    </row>
    <row r="38" spans="1:12">
      <c r="C38" s="2350"/>
      <c r="D38" s="2350"/>
      <c r="E38" s="2350"/>
      <c r="F38" s="2350"/>
      <c r="G38" s="2350"/>
      <c r="H38" s="2350"/>
      <c r="I38" s="2350"/>
    </row>
    <row r="39" spans="1:12" ht="15.75">
      <c r="C39" s="2369" t="s">
        <v>1178</v>
      </c>
      <c r="D39" s="2370"/>
      <c r="E39" s="2370"/>
      <c r="F39" s="2370"/>
      <c r="G39" s="2370"/>
      <c r="H39" s="2370"/>
      <c r="I39" s="2371"/>
    </row>
    <row r="40" spans="1:12" s="2234" customFormat="1" ht="14.25" customHeight="1">
      <c r="A40" s="2271"/>
      <c r="B40" s="2272"/>
      <c r="C40" s="2367" t="s">
        <v>1505</v>
      </c>
      <c r="D40" s="2367"/>
      <c r="E40" s="2367"/>
      <c r="F40" s="2367"/>
      <c r="G40" s="2367"/>
      <c r="H40" s="2367"/>
      <c r="I40" s="2367"/>
      <c r="J40" s="2272"/>
      <c r="K40" s="2272"/>
      <c r="L40" s="2235"/>
    </row>
    <row r="41" spans="1:12" s="2234" customFormat="1">
      <c r="A41" s="2272"/>
      <c r="B41" s="2272"/>
      <c r="C41" s="2368"/>
      <c r="D41" s="2368"/>
      <c r="E41" s="2368"/>
      <c r="F41" s="2368"/>
      <c r="G41" s="2368"/>
      <c r="H41" s="2368"/>
      <c r="I41" s="2368"/>
      <c r="J41" s="2272"/>
      <c r="K41" s="2272"/>
      <c r="L41" s="2235"/>
    </row>
    <row r="42" spans="1:12" s="2234" customFormat="1">
      <c r="A42" s="2272"/>
      <c r="B42" s="2272"/>
      <c r="C42" s="2368"/>
      <c r="D42" s="2368"/>
      <c r="E42" s="2368"/>
      <c r="F42" s="2368"/>
      <c r="G42" s="2368"/>
      <c r="H42" s="2368"/>
      <c r="I42" s="2368"/>
      <c r="J42" s="2272"/>
      <c r="K42" s="2272"/>
      <c r="L42" s="2235"/>
    </row>
    <row r="43" spans="1:12" s="2234" customFormat="1">
      <c r="A43" s="2272"/>
      <c r="B43" s="2272"/>
      <c r="C43" s="2368"/>
      <c r="D43" s="2368"/>
      <c r="E43" s="2368"/>
      <c r="F43" s="2368"/>
      <c r="G43" s="2368"/>
      <c r="H43" s="2368"/>
      <c r="I43" s="2368"/>
      <c r="J43" s="2272"/>
      <c r="K43" s="2272"/>
      <c r="L43" s="2235"/>
    </row>
    <row r="44" spans="1:12" s="2234" customFormat="1">
      <c r="A44" s="2272"/>
      <c r="B44" s="2272"/>
      <c r="C44" s="2368"/>
      <c r="D44" s="2368"/>
      <c r="E44" s="2368"/>
      <c r="F44" s="2368"/>
      <c r="G44" s="2368"/>
      <c r="H44" s="2368"/>
      <c r="I44" s="2368"/>
      <c r="J44" s="2272"/>
      <c r="K44" s="2272"/>
      <c r="L44" s="2235"/>
    </row>
    <row r="45" spans="1:12" s="2234" customFormat="1">
      <c r="A45" s="2272"/>
      <c r="B45" s="2272"/>
      <c r="C45" s="2368"/>
      <c r="D45" s="2368"/>
      <c r="E45" s="2368"/>
      <c r="F45" s="2368"/>
      <c r="G45" s="2368"/>
      <c r="H45" s="2368"/>
      <c r="I45" s="2368"/>
      <c r="J45" s="2272"/>
      <c r="K45" s="2272"/>
      <c r="L45" s="2235"/>
    </row>
    <row r="46" spans="1:12" s="2234" customFormat="1">
      <c r="A46" s="2272"/>
      <c r="B46" s="2272"/>
      <c r="C46" s="2368"/>
      <c r="D46" s="2368"/>
      <c r="E46" s="2368"/>
      <c r="F46" s="2368"/>
      <c r="G46" s="2368"/>
      <c r="H46" s="2368"/>
      <c r="I46" s="2368"/>
      <c r="J46" s="2272"/>
      <c r="K46" s="2272"/>
      <c r="L46" s="2235"/>
    </row>
    <row r="47" spans="1:12" s="2234" customFormat="1">
      <c r="A47" s="2272"/>
      <c r="B47" s="2272"/>
      <c r="C47" s="2368"/>
      <c r="D47" s="2368"/>
      <c r="E47" s="2368"/>
      <c r="F47" s="2368"/>
      <c r="G47" s="2368"/>
      <c r="H47" s="2368"/>
      <c r="I47" s="2368"/>
      <c r="J47" s="2272"/>
      <c r="K47" s="2272"/>
      <c r="L47" s="2235"/>
    </row>
    <row r="48" spans="1:12" s="2234" customFormat="1">
      <c r="A48" s="2272"/>
      <c r="B48" s="2272"/>
      <c r="C48" s="2368"/>
      <c r="D48" s="2368"/>
      <c r="E48" s="2368"/>
      <c r="F48" s="2368"/>
      <c r="G48" s="2368"/>
      <c r="H48" s="2368"/>
      <c r="I48" s="2368"/>
      <c r="J48" s="2272"/>
      <c r="K48" s="2272"/>
      <c r="L48" s="2235"/>
    </row>
    <row r="49" spans="3:9">
      <c r="C49" s="2368"/>
      <c r="D49" s="2368"/>
      <c r="E49" s="2368"/>
      <c r="F49" s="2368"/>
      <c r="G49" s="2368"/>
      <c r="H49" s="2368"/>
      <c r="I49" s="2368"/>
    </row>
  </sheetData>
  <mergeCells count="39">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 ref="H15:I15"/>
    <mergeCell ref="C11:I11"/>
    <mergeCell ref="C17:G17"/>
    <mergeCell ref="C12:I12"/>
    <mergeCell ref="C13:E13"/>
    <mergeCell ref="H13:I13"/>
    <mergeCell ref="E15:G15"/>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C9:I9"/>
    <mergeCell ref="C10:I10"/>
  </mergeCells>
  <phoneticPr fontId="60"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2" xr:uid="{0119AB39-938D-4DE6-B771-416C820554EA}"/>
    <hyperlink ref="C30:G30" location="'Dies &amp; Das'!A1" display="11. &quot;Dies &amp; Das&quot; - hilfreiche kleine Berechnungstools für Familienrechtleriinen und Familienrechtler" xr:uid="{AF3B49A6-5CE4-460B-9CCE-F9A03B3281BD}"/>
    <hyperlink ref="F13" r:id="rId3" xr:uid="{812EBF93-BC9B-46C1-BD13-07D4EE3C25D0}"/>
    <hyperlink ref="G13" r:id="rId4" xr:uid="{0AB836E0-9CBE-4EEE-987F-3768138E3B61}"/>
    <hyperlink ref="C39:I39" r:id="rId5"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6" display="Der Kaffeerunde beitreten" xr:uid="{7B8C3D09-73F0-4249-866C-1B862140EA24}"/>
    <hyperlink ref="C35:I35" location="Rentenparameter" display="Rentenparameter" xr:uid="{3D17C642-86E2-4D06-BE44-946E87860842}"/>
    <hyperlink ref="H24" r:id="rId7" xr:uid="{948723F4-5169-4D0F-B467-24FD7A54A823}"/>
    <hyperlink ref="I24" r:id="rId8" xr:uid="{F2A3349D-0283-4A5C-828F-BCAF822A3A0D}"/>
    <hyperlink ref="H15:I15" r:id="rId9" display="www.KaffeerundeVA.de" xr:uid="{5F2771CF-CC6B-4D02-9C86-B98BAD741304}"/>
  </hyperlinks>
  <printOptions horizontalCentered="1" verticalCentered="1"/>
  <pageMargins left="0.31496062992125984" right="0.31496062992125984" top="0.39370078740157483" bottom="0.39370078740157483" header="0.31496062992125984" footer="0.31496062992125984"/>
  <pageSetup paperSize="9" scale="73" orientation="landscape" r:id="rId10"/>
  <drawing r:id="rId1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Zeros="0" topLeftCell="A2" zoomScale="95" zoomScaleNormal="95" workbookViewId="0">
      <selection activeCell="G32" sqref="G32"/>
    </sheetView>
  </sheetViews>
  <sheetFormatPr baseColWidth="10" defaultColWidth="0" defaultRowHeight="12.75" zeroHeight="1"/>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074" hidden="1" customWidth="1"/>
    <col min="32" max="32" width="6.625" style="1474" hidden="1" customWidth="1"/>
    <col min="33" max="34" width="10.625" style="127" hidden="1" customWidth="1"/>
    <col min="35" max="35" width="12.125" style="127" hidden="1" customWidth="1"/>
    <col min="36" max="40" width="10.625" style="144" hidden="1" customWidth="1"/>
    <col min="41" max="52" width="10.625" style="1210" hidden="1" customWidth="1"/>
    <col min="53" max="53" width="11.125" style="1210"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19" customFormat="1" ht="17.100000000000001" customHeight="1" thickBot="1">
      <c r="A1" s="1492">
        <v>1.06</v>
      </c>
      <c r="B1" s="2383" t="s">
        <v>1405</v>
      </c>
      <c r="C1" s="2383"/>
      <c r="D1" s="2383"/>
      <c r="E1" s="2383"/>
      <c r="F1" s="2383"/>
      <c r="G1" s="2383"/>
      <c r="H1" s="2383"/>
      <c r="I1" s="2383"/>
      <c r="J1" s="2383"/>
      <c r="K1" s="2383"/>
      <c r="L1" s="2383"/>
      <c r="M1" s="2383"/>
      <c r="N1" s="2383"/>
      <c r="O1" s="2383"/>
      <c r="P1" s="2383"/>
      <c r="Q1" s="2383"/>
      <c r="R1" s="2384" t="str">
        <f>IF(V3&gt;Enddatum,"Download neue Version hier klicken!","")</f>
        <v/>
      </c>
      <c r="S1" s="2384"/>
      <c r="T1" s="2384"/>
      <c r="U1" s="2384"/>
      <c r="V1" s="2384"/>
      <c r="W1" s="25"/>
      <c r="X1" s="25"/>
      <c r="AB1" s="1523"/>
      <c r="AC1" s="1523"/>
      <c r="AD1" s="2066">
        <v>1</v>
      </c>
      <c r="AE1" s="2072"/>
      <c r="AF1" s="969">
        <v>1</v>
      </c>
      <c r="AG1" s="2429" t="s">
        <v>1530</v>
      </c>
      <c r="AH1" s="2429" t="s">
        <v>1531</v>
      </c>
      <c r="AI1" s="1524"/>
      <c r="AK1" s="1519" t="s">
        <v>175</v>
      </c>
      <c r="AL1" s="1525" t="s">
        <v>176</v>
      </c>
      <c r="AM1" s="1525"/>
      <c r="AN1" s="1525"/>
      <c r="AO1" s="2431" t="s">
        <v>1478</v>
      </c>
      <c r="AP1" s="2431"/>
      <c r="AQ1" s="2431"/>
      <c r="AR1" s="2431"/>
    </row>
    <row r="2" spans="1:60" s="1493" customFormat="1" ht="17.100000000000001" customHeight="1" thickTop="1" thickBot="1">
      <c r="B2" s="2454" t="s">
        <v>1572</v>
      </c>
      <c r="C2" s="2455"/>
      <c r="D2" s="2455"/>
      <c r="E2" s="2455"/>
      <c r="F2" s="2455"/>
      <c r="G2" s="2455"/>
      <c r="H2" s="2455"/>
      <c r="I2" s="2455"/>
      <c r="J2" s="2455"/>
      <c r="K2" s="2455"/>
      <c r="L2" s="2455"/>
      <c r="M2" s="2455"/>
      <c r="N2" s="2455"/>
      <c r="O2" s="2435" t="str">
        <f>"Aktualisierungsstand:  "&amp;TEXT(Enddatum,"TT.MM.JJJJ")</f>
        <v>Aktualisierungsstand:  28.02.2026</v>
      </c>
      <c r="P2" s="2435"/>
      <c r="Q2" s="2436"/>
      <c r="R2" s="2451" t="str">
        <f>IF(V3&gt;Enddatum,"Achtung, Daten liegen nur bis "&amp;TEXT(Enddatum,"TT.MM.JJ")&amp;" vor!","2. Ehezeitl. Versorgungserwerb"&amp;IF(AND(Dat_EzA&gt;0,Dat_EzE&gt;0)," in "&amp;TEXT(YEARFRAC(Dat_EzA,Dat_EzE,3),"0,00")&amp;" Ehejahren",""))</f>
        <v>2. Ehezeitl. Versorgungserwerb</v>
      </c>
      <c r="S2" s="2452"/>
      <c r="T2" s="2452"/>
      <c r="U2" s="2452"/>
      <c r="V2" s="2453"/>
      <c r="W2" s="1145"/>
      <c r="X2" s="2625" t="s">
        <v>1452</v>
      </c>
      <c r="Y2" s="2628" t="s">
        <v>1575</v>
      </c>
      <c r="Z2" s="2629"/>
      <c r="AA2" s="2630"/>
      <c r="AB2" s="2467" t="s">
        <v>1920</v>
      </c>
      <c r="AC2" s="2468"/>
      <c r="AD2" s="2058">
        <v>1</v>
      </c>
      <c r="AE2" s="2072"/>
      <c r="AF2" s="969">
        <v>2</v>
      </c>
      <c r="AG2" s="2430"/>
      <c r="AH2" s="2429"/>
      <c r="AI2" s="1524"/>
      <c r="AJ2" s="1493" t="s">
        <v>7</v>
      </c>
      <c r="AK2" s="1493" t="e">
        <f>ROUND(YEARFRAC(T6,V3,0),2)</f>
        <v>#VALUE!</v>
      </c>
      <c r="AL2" s="1526" t="e">
        <f>ROUND(YEARFRAC(Dat_GebDat_F,Dat_EzE,0),2)</f>
        <v>#VALUE!</v>
      </c>
      <c r="AM2" s="1526"/>
      <c r="AN2" s="1526"/>
      <c r="AO2" s="1527" t="s">
        <v>1473</v>
      </c>
      <c r="AP2" s="1411" t="s">
        <v>1475</v>
      </c>
      <c r="AQ2" s="1411" t="s">
        <v>501</v>
      </c>
      <c r="AR2" s="1527" t="s">
        <v>1477</v>
      </c>
    </row>
    <row r="3" spans="1:60" s="1493" customFormat="1" ht="17.100000000000001" customHeight="1">
      <c r="B3" s="2456"/>
      <c r="C3" s="2457"/>
      <c r="D3" s="2457"/>
      <c r="E3" s="2457"/>
      <c r="F3" s="2457"/>
      <c r="G3" s="2457"/>
      <c r="H3" s="2457"/>
      <c r="I3" s="2457"/>
      <c r="J3" s="2457"/>
      <c r="K3" s="2457"/>
      <c r="L3" s="2457"/>
      <c r="M3" s="2457"/>
      <c r="N3" s="2457"/>
      <c r="O3" s="2437"/>
      <c r="P3" s="2437"/>
      <c r="Q3" s="2438"/>
      <c r="R3" s="2448"/>
      <c r="S3" s="1608" t="s">
        <v>1367</v>
      </c>
      <c r="T3" s="1153"/>
      <c r="U3" s="1991" t="s">
        <v>1929</v>
      </c>
      <c r="V3" s="1247"/>
      <c r="W3" s="1145"/>
      <c r="X3" s="2625"/>
      <c r="Y3" s="2464" t="s">
        <v>1471</v>
      </c>
      <c r="Z3" s="2465"/>
      <c r="AA3" s="2466"/>
      <c r="AB3" s="2469"/>
      <c r="AC3" s="2470"/>
      <c r="AD3" s="2059">
        <v>2</v>
      </c>
      <c r="AE3" s="2072"/>
      <c r="AF3" s="1493">
        <v>23</v>
      </c>
      <c r="AG3" s="2430"/>
      <c r="AH3" s="2429"/>
      <c r="AI3" s="1528"/>
      <c r="AJ3" s="1527" t="s">
        <v>1474</v>
      </c>
      <c r="AK3" s="1529">
        <v>1</v>
      </c>
      <c r="AL3" s="1526"/>
      <c r="AM3" s="1526"/>
      <c r="AN3" s="1526"/>
      <c r="AO3" s="1530" t="s">
        <v>217</v>
      </c>
      <c r="AP3" s="1531" t="s">
        <v>1378</v>
      </c>
      <c r="AQ3" s="1531" t="s">
        <v>1364</v>
      </c>
      <c r="AR3" s="1530" t="s">
        <v>1387</v>
      </c>
      <c r="AS3" s="2394" t="s">
        <v>1411</v>
      </c>
      <c r="AT3" s="2395"/>
      <c r="AU3" s="2395"/>
      <c r="AV3" s="2395"/>
      <c r="AW3" s="2395"/>
      <c r="AX3" s="2395"/>
      <c r="AY3" s="2395"/>
      <c r="AZ3" s="2395"/>
      <c r="BA3" s="2395"/>
      <c r="BB3" s="2395"/>
      <c r="BC3" s="2395"/>
      <c r="BD3" s="2395"/>
      <c r="BE3" s="2395"/>
      <c r="BF3" s="2396"/>
      <c r="BG3" s="2393" t="s">
        <v>1658</v>
      </c>
    </row>
    <row r="4" spans="1:60" s="1493" customFormat="1" ht="18" customHeight="1">
      <c r="B4" s="2417" t="s">
        <v>1496</v>
      </c>
      <c r="C4" s="2418"/>
      <c r="D4" s="2418"/>
      <c r="E4" s="2439"/>
      <c r="F4" s="2440"/>
      <c r="G4" s="2441"/>
      <c r="H4" s="2401"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402"/>
      <c r="J4" s="2402"/>
      <c r="K4" s="2402"/>
      <c r="L4" s="2402"/>
      <c r="M4" s="2402"/>
      <c r="N4" s="2402"/>
      <c r="O4" s="2402"/>
      <c r="P4" s="2402"/>
      <c r="Q4" s="2403"/>
      <c r="R4" s="2448"/>
      <c r="S4" s="2445" t="s">
        <v>1498</v>
      </c>
      <c r="T4" s="2445"/>
      <c r="U4" s="2626" t="s">
        <v>1499</v>
      </c>
      <c r="V4" s="2627"/>
      <c r="W4" s="1145"/>
      <c r="X4" s="2625"/>
      <c r="Y4" s="2464"/>
      <c r="Z4" s="2465"/>
      <c r="AA4" s="2466"/>
      <c r="AB4" s="2460" t="s">
        <v>1943</v>
      </c>
      <c r="AC4" s="2461"/>
      <c r="AD4" s="2058">
        <v>3</v>
      </c>
      <c r="AE4" s="2072"/>
      <c r="AF4" s="1493">
        <v>50</v>
      </c>
      <c r="AG4" s="2430"/>
      <c r="AH4" s="2429"/>
      <c r="AI4" s="1528"/>
      <c r="AJ4" s="1527" t="s">
        <v>1408</v>
      </c>
      <c r="AK4" s="1527" t="e">
        <f>VLOOKUP(V3,aktRW,2)</f>
        <v>#N/A</v>
      </c>
      <c r="AL4" s="1526"/>
      <c r="AM4" s="1526"/>
      <c r="AN4" s="1526"/>
      <c r="AO4" s="1527" t="s">
        <v>263</v>
      </c>
      <c r="AP4" s="1411" t="s">
        <v>1395</v>
      </c>
      <c r="AQ4" s="1411" t="s">
        <v>1365</v>
      </c>
      <c r="AR4" s="1532" t="s">
        <v>1384</v>
      </c>
      <c r="AS4" s="1533" t="s">
        <v>1363</v>
      </c>
      <c r="AT4" s="1527"/>
      <c r="AU4" s="1527"/>
      <c r="AV4" s="1411" t="s">
        <v>7</v>
      </c>
      <c r="AW4" s="1411"/>
      <c r="AX4" s="1411" t="s">
        <v>279</v>
      </c>
      <c r="AY4" s="1411" t="s">
        <v>280</v>
      </c>
      <c r="AZ4" s="1411" t="s">
        <v>174</v>
      </c>
      <c r="BA4" s="1411" t="s">
        <v>1409</v>
      </c>
      <c r="BB4" s="1411" t="s">
        <v>1410</v>
      </c>
      <c r="BC4" s="1411" t="s">
        <v>1489</v>
      </c>
      <c r="BD4" s="1411" t="s">
        <v>1488</v>
      </c>
      <c r="BE4" s="1411" t="s">
        <v>1361</v>
      </c>
      <c r="BF4" s="1534" t="s">
        <v>1412</v>
      </c>
      <c r="BG4" s="2393"/>
    </row>
    <row r="5" spans="1:60" s="1493" customFormat="1" ht="18" customHeight="1" thickBot="1">
      <c r="B5" s="2417" t="s">
        <v>1497</v>
      </c>
      <c r="C5" s="2418"/>
      <c r="D5" s="2418"/>
      <c r="E5" s="2442"/>
      <c r="F5" s="2443"/>
      <c r="G5" s="2444"/>
      <c r="H5" s="2404"/>
      <c r="I5" s="2405"/>
      <c r="J5" s="2405"/>
      <c r="K5" s="2405"/>
      <c r="L5" s="2405"/>
      <c r="M5" s="2405"/>
      <c r="N5" s="2405"/>
      <c r="O5" s="2405"/>
      <c r="P5" s="2405"/>
      <c r="Q5" s="2406"/>
      <c r="R5" s="2448"/>
      <c r="S5" s="1284" t="s">
        <v>616</v>
      </c>
      <c r="T5" s="1284" t="str">
        <f>IFERROR("Alter: "&amp;IF(Dat_EzE="","",IF(T6="","",TEXT(Dat_AlterM,"0,00"))),"")</f>
        <v xml:space="preserve">Alter: </v>
      </c>
      <c r="U5" s="1285" t="s">
        <v>616</v>
      </c>
      <c r="V5" s="1286" t="str">
        <f>IFERROR("Alter: "&amp;IF(Dat_EzE="","",IF(V6="","",TEXT(Dat_AlterF,"0,00"))),"")</f>
        <v xml:space="preserve">Alter: </v>
      </c>
      <c r="W5" s="973"/>
      <c r="X5" s="2625"/>
      <c r="Y5" s="2464"/>
      <c r="Z5" s="2465"/>
      <c r="AA5" s="2466"/>
      <c r="AB5" s="2460"/>
      <c r="AC5" s="2461"/>
      <c r="AD5" s="2059">
        <v>4</v>
      </c>
      <c r="AE5" s="2072"/>
      <c r="AF5" s="969"/>
      <c r="AG5" s="2430"/>
      <c r="AH5" s="2429"/>
      <c r="AI5" s="1528"/>
      <c r="AJ5" s="1527" t="s">
        <v>1469</v>
      </c>
      <c r="AK5" s="1527" t="e">
        <f>VLOOKUP(Dat_EzE,Umrechnungsfaktoren_BeitraginEP,2)</f>
        <v>#N/A</v>
      </c>
      <c r="AL5" s="1526"/>
      <c r="AM5" s="1526"/>
      <c r="AN5" s="1526"/>
      <c r="AO5" s="1527"/>
      <c r="AP5" s="1411" t="s">
        <v>1396</v>
      </c>
      <c r="AQ5" s="1411" t="s">
        <v>1476</v>
      </c>
      <c r="AR5" s="1532"/>
      <c r="AS5" s="1533" t="s">
        <v>175</v>
      </c>
      <c r="AT5" s="1527" t="s">
        <v>1446</v>
      </c>
      <c r="AU5" s="1529" t="b">
        <v>0</v>
      </c>
      <c r="AV5" s="1535" t="str">
        <f>IF(T6="","",ROUND(YEARFRAC(T6,V3,0),2))</f>
        <v/>
      </c>
      <c r="AW5" s="1536" t="str">
        <f>IF(OR(T6="",V3=""),"",DATE(YEAR(T6)+65,MONTH(T6)+VLOOKUP(YEAR(T6),Renteneintrittstabelle,2),DAY(T6)+1))</f>
        <v/>
      </c>
      <c r="AX5" s="1537" t="e">
        <f>ROUND(VLOOKUP(AV$5,CHOOSE(IF(IF(Dat_RentnerM,AV5,AR10)&lt;60,60,IF(AR10&gt;67,67,AR10))-59,HRIR60,HRIR61,HRIR62,HRIR63,HRIR64,HRIR,HRIR66,HRIR67),IF(Dat_Unisex,26,8))*0.55,4)</f>
        <v>#VALUE!</v>
      </c>
      <c r="AY5" s="1537" t="e">
        <f>ROUND(IF(Dat_RentnerM,0,VLOOKUP(AV$5,CHOOSE(IF(AR10&lt;60,60,IF(AR10&gt;67,67,AR10))-59,HRIR60,HRIR61,HRIR62,HRIR63,HRIR64,HRIR,HRIR66,HRIR67),IF(Dat_Unisex,25,7))),4)</f>
        <v>#VALUE!</v>
      </c>
      <c r="AZ5" s="1535" t="e">
        <f>ROUND(IF(Dat_RentnerM,AV5,VLOOKUP(YEAR(T6),Renteneintrittstabelle,3)),4)</f>
        <v>#VALUE!</v>
      </c>
      <c r="BA5" s="1973">
        <f>IF(V3&lt;AW5,AZ5-AV5,0)</f>
        <v>0</v>
      </c>
      <c r="BB5" s="1973" t="e">
        <f>VLOOKUP(IF(AZ5&gt;AV5,AZ5,AV5),IF(Dat_Unisex,Lebenserwartung_N_V2,Lebenserwartung_M_V2),YEAR(T6)+IF(MONTH(T6)&gt;6,1,0)-1900+2)</f>
        <v>#VALUE!</v>
      </c>
      <c r="BC5" s="1411" t="e">
        <f>VLOOKUP(ROUND(AZ5,0),IF(Dat_Unisex,G_Kohorte_N,G_Kohorte_M),YEAR(T6)+IF(MONTH(T6)&gt;6,1,0)-1900+2)</f>
        <v>#VALUE!</v>
      </c>
      <c r="BD5" s="1539" t="e">
        <f>VLOOKUP(ROUND(AV5,0),IF(Dat_Unisex,G_Kohorte_N,G_Kohorte_M),YEAR(T$6)+IF(MONTH(T6)&gt;6,1,0)-1900+2)</f>
        <v>#VALUE!</v>
      </c>
      <c r="BE5" s="1540" t="e">
        <f>ROUND(IF(AV5&gt;AZ5,1,BC5/BD5),4)</f>
        <v>#VALUE!</v>
      </c>
      <c r="BF5" s="1541" t="e">
        <f>-PV(BilMoG-RententrendDRV,BA5,,-PV(BilMoG-RententrendDRV,Fallerfassung!BB5,1*12))*(1+AY5+AX5)*BE5</f>
        <v>#VALUE!</v>
      </c>
    </row>
    <row r="6" spans="1:60" s="1493" customFormat="1" ht="18" customHeight="1" thickBot="1">
      <c r="B6" s="2417" t="s">
        <v>1380</v>
      </c>
      <c r="C6" s="2418"/>
      <c r="D6" s="2418"/>
      <c r="E6" s="2427"/>
      <c r="F6" s="2428"/>
      <c r="G6" s="1487" t="s">
        <v>1381</v>
      </c>
      <c r="H6" s="2484"/>
      <c r="I6" s="2428"/>
      <c r="J6" s="2428"/>
      <c r="K6" s="2428"/>
      <c r="L6" s="2486" t="s">
        <v>1385</v>
      </c>
      <c r="M6" s="2486"/>
      <c r="N6" s="2486"/>
      <c r="O6" s="2476"/>
      <c r="P6" s="2477"/>
      <c r="Q6" s="2477"/>
      <c r="R6" s="2448"/>
      <c r="S6" s="1293"/>
      <c r="T6" s="1428" t="str">
        <f>IFERROR(IF(S6&gt;0,S6,IFERROR(IF(L9="","",VALUE(MID(L9,4,2)&amp;"."&amp;MID(L9,6,2)&amp;"."&amp;MID(L9,8,2))),VALUE(MID(L9,3,2)&amp;"."&amp;MID(L9,5,2)&amp;"."&amp;MID(L9,7,2)))),"")</f>
        <v/>
      </c>
      <c r="U6" s="1293"/>
      <c r="V6" s="1740" t="str">
        <f>IFERROR(IF(U6&gt;0,U6,IFERROR(IF(L10="","",VALUE(MID(L10,4,2)&amp;"."&amp;MID(L10,6,2)&amp;"."&amp;MID(L10,8,2))),VALUE(MID(L10,3,2)&amp;"."&amp;MID(L10,5,2)&amp;"."&amp;MID(L10,7,2)))),"")</f>
        <v/>
      </c>
      <c r="W6" s="1145"/>
      <c r="X6" s="2625"/>
      <c r="Y6" s="2633" t="str">
        <f>IF(AA10&gt;0,"alt.ReZi",IF(Dat_EzE&lt;BilMoGAnfang,"kein BilMoG",IF(AA10&gt;0,"manueller ReZins",IF(Bilanz_BilMoG10,IF(Dat_EzE&lt;BilMoG10Anfang,"n. vorhanden","BilMoG-10"),IF(Dat_EzE&lt;BilMoGAnfang,"kein BilMoG-7","BilMoG-7")))))</f>
        <v>kein BilMoG</v>
      </c>
      <c r="Z6" s="2634"/>
      <c r="AA6" s="1976">
        <f>+BilMoG</f>
        <v>0.06</v>
      </c>
      <c r="AB6" s="2460"/>
      <c r="AC6" s="2461"/>
      <c r="AD6" s="2058">
        <v>5</v>
      </c>
      <c r="AE6" s="2072"/>
      <c r="AF6" s="969"/>
      <c r="AG6" s="2430"/>
      <c r="AH6" s="2429"/>
      <c r="AI6" s="1542"/>
      <c r="AJ6" s="2471" t="s">
        <v>1527</v>
      </c>
      <c r="AK6" s="2471"/>
      <c r="AL6" s="1526"/>
      <c r="AM6" s="1526"/>
      <c r="AN6" s="1526"/>
      <c r="AO6" s="1527"/>
      <c r="AP6" s="1411"/>
      <c r="AQ6" s="1411" t="s">
        <v>13</v>
      </c>
      <c r="AR6" s="1532"/>
      <c r="AS6" s="1543" t="s">
        <v>176</v>
      </c>
      <c r="AT6" s="1544" t="s">
        <v>1447</v>
      </c>
      <c r="AU6" s="1545" t="b">
        <v>0</v>
      </c>
      <c r="AV6" s="1546" t="str">
        <f>IF(Dat_EzE="","",IF(V6="","",ROUND(YEARFRAC(V6,V3,0),2)))</f>
        <v/>
      </c>
      <c r="AW6" s="1547" t="str">
        <f>IF(OR(V6="",V3=""),"",DATE(YEAR(V6)+65,MONTH(V6)+VLOOKUP(YEAR(V6),Renteneintrittstabelle,2),DAY(V6)+1))</f>
        <v/>
      </c>
      <c r="AX6" s="1548" t="e">
        <f>ROUND(VLOOKUP(AV$6,CHOOSE(IF(IF(Dat_RentnerF,AV6,AS10)&lt;60,60,IF(AS10&gt;67,67,AS10))-59,HRIR60,HRIR61,HRIR62,HRIR63,HRIR64,HRIR,HRIR66,HRIR67),IF(Dat_Unisex,26,17))*0.55,4)</f>
        <v>#VALUE!</v>
      </c>
      <c r="AY6" s="1548" t="e">
        <f>ROUND(IF(Dat_RentnerF,0,VLOOKUP(AV6,CHOOSE(IF(AS10&lt;60,60,IF(AS10&gt;67,67,AS10))-59,HRIR60,HRIR61,HRIR62,HRIR63,HRIR64,HRIR,HRIR66,HRIR67),IF(Dat_Unisex,25,16))),4)</f>
        <v>#VALUE!</v>
      </c>
      <c r="AZ6" s="1546" t="e">
        <f>IF(Dat_RentnerF,AV6,VLOOKUP(YEAR(V6),Renteneintrittstabelle,3))</f>
        <v>#VALUE!</v>
      </c>
      <c r="BA6" s="1973">
        <f>IF(V3&lt;AW6,AZ6-AV6,0)</f>
        <v>0</v>
      </c>
      <c r="BB6" s="1974" t="e">
        <f>VLOOKUP(IF(AZ6&gt;AV6,AZ6,AV6),IF(Dat_Unisex,Lebenserwartung_N_V2,Lebenserwartung_F_V2),YEAR(V6)+IF(MONTH(V6)&gt;6,1,0)-1900+2)</f>
        <v>#VALUE!</v>
      </c>
      <c r="BC6" s="1549" t="e">
        <f>VLOOKUP(ROUND(AZ6,0),IF(Dat_Unisex,G_Kohorte_N,G_Kohorte_F),YEAR(V6)+IF(MONTH(V6)&gt;6,1,0)-1900+2)</f>
        <v>#VALUE!</v>
      </c>
      <c r="BD6" s="1550" t="e">
        <f>VLOOKUP(ROUND(AV6,0),IF(Dat_Unisex,G_Kohorte_N,G_Kohorte_F),YEAR(V$6)+IF(MONTH(V6)&gt;6,1,0)-1900+2)</f>
        <v>#VALUE!</v>
      </c>
      <c r="BE6" s="1551" t="e">
        <f>ROUND(IF(AV6&gt;AZ6,1,BC6/BD6),4)</f>
        <v>#VALUE!</v>
      </c>
      <c r="BF6" s="1552" t="e">
        <f>-PV(BilMoG-RententrendDRV,BA6,,-PV(BilMoG-RententrendDRV,Fallerfassung!BB6,1*12))*(1+AY6+AX6)*BE6</f>
        <v>#VALUE!</v>
      </c>
    </row>
    <row r="7" spans="1:60" s="1493" customFormat="1" ht="18" customHeight="1" thickBot="1">
      <c r="A7" s="1494"/>
      <c r="B7" s="2446" t="s">
        <v>1382</v>
      </c>
      <c r="C7" s="2447"/>
      <c r="D7" s="2447"/>
      <c r="E7" s="2407"/>
      <c r="F7" s="2408"/>
      <c r="G7" s="1488" t="s">
        <v>1381</v>
      </c>
      <c r="H7" s="2407"/>
      <c r="I7" s="2408"/>
      <c r="J7" s="2409"/>
      <c r="K7" s="2409"/>
      <c r="L7" s="2416" t="s">
        <v>1386</v>
      </c>
      <c r="M7" s="2416"/>
      <c r="N7" s="2416"/>
      <c r="O7" s="2425"/>
      <c r="P7" s="2426"/>
      <c r="Q7" s="2426"/>
      <c r="R7" s="2449"/>
      <c r="S7" s="1436" t="str">
        <f>IFERROR("Rente ab: 6"&amp;TEXT(5+VLOOKUP(YEAR(T6),Renteneintrittstabelle,2)/12,"#0,00"),"")</f>
        <v/>
      </c>
      <c r="T7" s="1294" t="str">
        <f>+AW5</f>
        <v/>
      </c>
      <c r="U7" s="1437" t="str">
        <f>IFERROR("Rente ab: 6"&amp;TEXT(5+VLOOKUP(YEAR(V6),Renteneintrittstabelle,2)/12,"#0,00"),"")</f>
        <v/>
      </c>
      <c r="V7" s="1283" t="str">
        <f>+AW6</f>
        <v/>
      </c>
      <c r="W7" s="1145"/>
      <c r="X7" s="2625"/>
      <c r="Y7" s="1496"/>
      <c r="Z7" s="1975"/>
      <c r="AA7" s="1977"/>
      <c r="AB7" s="2460"/>
      <c r="AC7" s="2461"/>
      <c r="AD7" s="2059">
        <v>6</v>
      </c>
      <c r="AE7" s="2072"/>
      <c r="AF7" s="969"/>
      <c r="AG7" s="2430"/>
      <c r="AH7" s="2429"/>
      <c r="AI7" s="1524"/>
      <c r="AJ7" s="2472"/>
      <c r="AK7" s="2472"/>
      <c r="AL7" s="1526"/>
      <c r="AM7" s="1526"/>
      <c r="AN7" s="1526"/>
      <c r="BB7" s="1493" t="e">
        <f>VLOOKUP(IF(AZ5&gt;AV5,AZ5,AV5),IF(Dat_Unisex,Lebenserwartung_N_V2,Lebenserwartung_M_V2),YEAR(T6)-1900+2)</f>
        <v>#VALUE!</v>
      </c>
      <c r="BC7" s="1493">
        <f>VLOOKUP(65,Lebenserwartung_F_V2,50+2)</f>
        <v>22.6</v>
      </c>
    </row>
    <row r="8" spans="1:60" s="1493" customFormat="1" ht="18" customHeight="1" thickTop="1">
      <c r="A8" s="2542" t="s">
        <v>1390</v>
      </c>
      <c r="B8" s="2612" t="s">
        <v>644</v>
      </c>
      <c r="C8" s="2613"/>
      <c r="D8" s="2613"/>
      <c r="E8" s="2613"/>
      <c r="F8" s="2613"/>
      <c r="G8" s="2613"/>
      <c r="H8" s="2613"/>
      <c r="I8" s="2614"/>
      <c r="J8" s="2504" t="str">
        <f>"3. gesetzliche Rentenversicherung, Dyn: "&amp;TEXT(RententrendDRV,"0,00%")</f>
        <v>3. gesetzliche Rentenversicherung, Dyn: 2,60%</v>
      </c>
      <c r="K8" s="2505"/>
      <c r="L8" s="2505"/>
      <c r="M8" s="2505"/>
      <c r="N8" s="2505"/>
      <c r="O8" s="2505"/>
      <c r="P8" s="2505"/>
      <c r="Q8" s="2506"/>
      <c r="R8" s="1791" t="s">
        <v>1388</v>
      </c>
      <c r="S8" s="2451" t="str">
        <f>IFERROR(IF(Dat_EzE&gt;Enddatum,"kein aktRW vorhanden","3. AusglW DRV aktRW EzE: "&amp;TEXT(VLOOKUP(V3,aktRW,2),"#0,00 €")&amp;" / "&amp;TEXT(VLOOKUP(V3,aktRW,3),"#0,00 €")),"ges.Rentenversicherung")</f>
        <v>ges.Rentenversicherung</v>
      </c>
      <c r="T8" s="2452"/>
      <c r="U8" s="2452"/>
      <c r="V8" s="2453"/>
      <c r="W8" s="1145"/>
      <c r="X8" s="2625"/>
      <c r="Y8" s="2385" t="s">
        <v>1919</v>
      </c>
      <c r="Z8" s="2386"/>
      <c r="AA8" s="2387"/>
      <c r="AB8" s="2460"/>
      <c r="AC8" s="2461"/>
      <c r="AD8" s="2058">
        <v>7</v>
      </c>
      <c r="AE8" s="2072"/>
      <c r="AF8" s="969"/>
      <c r="AG8" s="2430"/>
      <c r="AH8" s="2429"/>
      <c r="AI8" s="1553"/>
      <c r="AJ8" s="2473"/>
      <c r="AK8" s="2473"/>
      <c r="AL8" s="1554"/>
      <c r="AM8" s="1554"/>
      <c r="AN8" s="1554"/>
      <c r="AO8" s="2397" t="s">
        <v>1403</v>
      </c>
      <c r="AP8" s="2640"/>
      <c r="AQ8" s="1527"/>
      <c r="AR8" s="2397" t="s">
        <v>257</v>
      </c>
      <c r="AS8" s="2639"/>
      <c r="AT8" s="1555"/>
      <c r="AU8" s="1555"/>
      <c r="AV8" s="2635" t="s">
        <v>1407</v>
      </c>
      <c r="AW8" s="2635"/>
      <c r="AX8" s="2635"/>
      <c r="AZ8" s="1556" t="e">
        <f>PV(BilMoG-RententrendDRV,AS12,AX10*12)</f>
        <v>#VALUE!</v>
      </c>
    </row>
    <row r="9" spans="1:60" s="1493" customFormat="1" ht="18" customHeight="1">
      <c r="A9" s="2542"/>
      <c r="B9" s="2410"/>
      <c r="C9" s="2411"/>
      <c r="D9" s="2411"/>
      <c r="E9" s="2411"/>
      <c r="F9" s="2411"/>
      <c r="G9" s="2411"/>
      <c r="H9" s="2411"/>
      <c r="I9" s="2412"/>
      <c r="J9" s="2391" t="s">
        <v>1397</v>
      </c>
      <c r="K9" s="2392"/>
      <c r="L9" s="2518"/>
      <c r="M9" s="2519"/>
      <c r="N9" s="2520"/>
      <c r="O9" s="2432" t="s">
        <v>1402</v>
      </c>
      <c r="P9" s="2433"/>
      <c r="Q9" s="2434"/>
      <c r="R9" s="1602">
        <f>+AJ9</f>
        <v>0</v>
      </c>
      <c r="S9" s="2450"/>
      <c r="T9" s="2450"/>
      <c r="U9" s="2450"/>
      <c r="V9" s="2624"/>
      <c r="W9" s="1145"/>
      <c r="X9" s="2625"/>
      <c r="Y9" s="2388"/>
      <c r="Z9" s="2389"/>
      <c r="AA9" s="2390"/>
      <c r="AB9" s="2460"/>
      <c r="AC9" s="2461"/>
      <c r="AD9" s="2059">
        <v>8</v>
      </c>
      <c r="AE9" s="2072"/>
      <c r="AF9" s="969"/>
      <c r="AG9" s="2430"/>
      <c r="AH9" s="2429"/>
      <c r="AI9" s="1524"/>
      <c r="AJ9" s="1526">
        <f>IF(U9+S9&gt;0,1,0)</f>
        <v>0</v>
      </c>
      <c r="AK9" s="1526" t="s">
        <v>585</v>
      </c>
      <c r="AL9" s="1554" t="b">
        <v>0</v>
      </c>
      <c r="AM9" s="1554"/>
      <c r="AN9" s="1554"/>
      <c r="AO9" s="1527" t="s">
        <v>1399</v>
      </c>
      <c r="AP9" s="1557" t="e">
        <f>TEXT(DAY(T6),"00")&amp;TEXT(MONTH(T6),"00")&amp;RIGHT(YEAR(T6),2)</f>
        <v>#VALUE!</v>
      </c>
      <c r="AQ9" s="1527"/>
      <c r="AR9" s="1411" t="s">
        <v>175</v>
      </c>
      <c r="AS9" s="1558" t="s">
        <v>176</v>
      </c>
      <c r="AT9" s="1558"/>
      <c r="AU9" s="1558"/>
      <c r="AV9" s="1527"/>
      <c r="AW9" s="1527" t="s">
        <v>175</v>
      </c>
      <c r="AX9" s="1527" t="s">
        <v>176</v>
      </c>
      <c r="BB9" s="2397" t="s">
        <v>1406</v>
      </c>
      <c r="BC9" s="2397"/>
      <c r="BE9" s="2071" t="s">
        <v>1946</v>
      </c>
    </row>
    <row r="10" spans="1:60" s="1493" customFormat="1" ht="18" customHeight="1" thickBot="1">
      <c r="A10" s="2584" t="s">
        <v>1391</v>
      </c>
      <c r="B10" s="2410"/>
      <c r="C10" s="2411"/>
      <c r="D10" s="2411"/>
      <c r="E10" s="2411"/>
      <c r="F10" s="2411"/>
      <c r="G10" s="2411"/>
      <c r="H10" s="2411"/>
      <c r="I10" s="2412"/>
      <c r="J10" s="2391" t="s">
        <v>1398</v>
      </c>
      <c r="K10" s="2392"/>
      <c r="L10" s="2518"/>
      <c r="M10" s="2519"/>
      <c r="N10" s="2520"/>
      <c r="O10" s="2432" t="s">
        <v>1401</v>
      </c>
      <c r="P10" s="2433"/>
      <c r="Q10" s="2434"/>
      <c r="R10" s="1602" t="str">
        <f>IF(+AJ10=0,"",AJ10)</f>
        <v/>
      </c>
      <c r="S10" s="2502"/>
      <c r="T10" s="2529"/>
      <c r="U10" s="2502"/>
      <c r="V10" s="2503"/>
      <c r="W10" s="1145"/>
      <c r="X10" s="2625"/>
      <c r="Y10" s="2631" t="s">
        <v>1501</v>
      </c>
      <c r="Z10" s="2632"/>
      <c r="AA10" s="1978"/>
      <c r="AB10" s="2462"/>
      <c r="AC10" s="2463"/>
      <c r="AD10" s="2058">
        <v>9</v>
      </c>
      <c r="AE10" s="2072"/>
      <c r="AF10" s="969"/>
      <c r="AG10" s="2430"/>
      <c r="AH10" s="2429"/>
      <c r="AI10" s="1524"/>
      <c r="AJ10" s="1526">
        <f>IF(U10+S10&gt;0,MAX(AJ$9:AJ9)+1,0)</f>
        <v>0</v>
      </c>
      <c r="AK10" s="2472">
        <f>+AL13</f>
        <v>4</v>
      </c>
      <c r="AL10" s="2472"/>
      <c r="AM10" s="2539"/>
      <c r="AN10" s="1968"/>
      <c r="AO10" s="1527" t="s">
        <v>1400</v>
      </c>
      <c r="AP10" s="1559" t="e">
        <f>TEXT(DAY(V6),"00")&amp;TEXT(MONTH(V6),"00")&amp;RIGHT(YEAR(V6),2)</f>
        <v>#VALUE!</v>
      </c>
      <c r="AQ10" s="1527" t="s">
        <v>1374</v>
      </c>
      <c r="AR10" s="1560" t="e">
        <f>VLOOKUP(YEAR(T6),Renteneintrittstabelle,3)</f>
        <v>#VALUE!</v>
      </c>
      <c r="AS10" s="1561" t="e">
        <f>VLOOKUP(YEAR(V6),Renteneintrittstabelle,3)</f>
        <v>#VALUE!</v>
      </c>
      <c r="AT10" s="1532"/>
      <c r="AU10" s="1532"/>
      <c r="AV10" s="1527" t="s">
        <v>126</v>
      </c>
      <c r="AW10" s="1562">
        <f>IFERROR(S13*(1+RententrendDRV)^AR11,0)</f>
        <v>0</v>
      </c>
      <c r="AX10" s="1562">
        <f>IFERROR(U13*(1+RententrendDRV)^Fallerfassung!AS11,0)</f>
        <v>0</v>
      </c>
      <c r="AY10" s="1556"/>
      <c r="AZ10" s="1556"/>
      <c r="BB10" s="1527" t="s">
        <v>1017</v>
      </c>
      <c r="BC10" s="1562" t="e">
        <f>VLOOKUP(YEAR(V3),MonatlicheBezugsgroesse,2)*1.2</f>
        <v>#N/A</v>
      </c>
      <c r="BE10" s="2070">
        <v>1</v>
      </c>
      <c r="BG10" s="1556">
        <f>-PV(-RententrendDRV,23.4,353.27*12)</f>
        <v>138971.86416242787</v>
      </c>
    </row>
    <row r="11" spans="1:60" s="1493" customFormat="1" ht="18" customHeight="1" thickBot="1">
      <c r="A11" s="2584"/>
      <c r="B11" s="2410"/>
      <c r="C11" s="2411"/>
      <c r="D11" s="2411"/>
      <c r="E11" s="2411"/>
      <c r="F11" s="2411"/>
      <c r="G11" s="2411"/>
      <c r="H11" s="2411"/>
      <c r="I11" s="2412"/>
      <c r="J11" s="2417" t="s">
        <v>1470</v>
      </c>
      <c r="K11" s="2418"/>
      <c r="L11" s="2418"/>
      <c r="M11" s="2418"/>
      <c r="N11" s="2418"/>
      <c r="O11" s="2418"/>
      <c r="P11" s="2418"/>
      <c r="Q11" s="2418"/>
      <c r="R11" s="1602" t="str">
        <f>IF(+AJ11=0,"",AJ11)</f>
        <v/>
      </c>
      <c r="S11" s="2502"/>
      <c r="T11" s="2529"/>
      <c r="U11" s="2502"/>
      <c r="V11" s="2503"/>
      <c r="W11" s="1145"/>
      <c r="X11" s="2625"/>
      <c r="Y11" s="2530" t="s">
        <v>1620</v>
      </c>
      <c r="Z11" s="2531"/>
      <c r="AA11" s="2532"/>
      <c r="AB11" s="2516" t="s">
        <v>1921</v>
      </c>
      <c r="AC11" s="2517"/>
      <c r="AD11" s="2059">
        <v>10</v>
      </c>
      <c r="AE11" s="2072"/>
      <c r="AF11" s="969"/>
      <c r="AG11" s="2430"/>
      <c r="AH11" s="2429"/>
      <c r="AI11" s="1524"/>
      <c r="AJ11" s="1526">
        <f>IF(U11+S11&gt;0,MAX(AJ$9:AJ10)+1,0)</f>
        <v>0</v>
      </c>
      <c r="AK11" s="2472"/>
      <c r="AL11" s="2472"/>
      <c r="AM11" s="2539"/>
      <c r="AN11" s="1968"/>
      <c r="AO11" s="1527" t="s">
        <v>1404</v>
      </c>
      <c r="AP11" s="1527"/>
      <c r="AQ11" s="1527" t="s">
        <v>257</v>
      </c>
      <c r="AR11" s="1563" t="e">
        <f>IF(OR(AR10&lt;AV5,Dat_RentnerM),0,AR10-AV5)</f>
        <v>#VALUE!</v>
      </c>
      <c r="AS11" s="1561" t="e">
        <f>ROUND(IF(OR(Dat_RentnerF,AS10&lt;AV6),0,AS10-AV6),2)</f>
        <v>#VALUE!</v>
      </c>
      <c r="AT11" s="1532"/>
      <c r="AU11" s="1532"/>
      <c r="AV11" s="1527" t="s">
        <v>1417</v>
      </c>
      <c r="AW11" s="1562" t="e">
        <f>PV(BilMoG,AR11,,PV(BilMoG-RententrendDRV,AR12,AW10*12,,0)*BE5)*(1+AX5+AY5)</f>
        <v>#VALUE!</v>
      </c>
      <c r="AX11" s="1562" t="e">
        <f>PV(BilMoG,AS11,,PV(BilMoG-RententrendDRV,AS12,AX10*12))*BE6*(1+AX6+AY6)</f>
        <v>#VALUE!</v>
      </c>
      <c r="AY11" s="1564" t="s">
        <v>1419</v>
      </c>
      <c r="AZ11" s="1475" t="s">
        <v>1420</v>
      </c>
      <c r="BB11" s="1527" t="s">
        <v>1379</v>
      </c>
      <c r="BC11" s="1562" t="e">
        <f>VLOOKUP(YEAR(V3),Beitragsbemessungsgrenze,4)</f>
        <v>#N/A</v>
      </c>
      <c r="BE11" s="2070">
        <v>0</v>
      </c>
      <c r="BG11" s="2060" t="e">
        <f>U13*12*(1+RententrendDRV)^BA6</f>
        <v>#VALUE!</v>
      </c>
      <c r="BH11" s="1493" t="e">
        <f>+BG11/12</f>
        <v>#VALUE!</v>
      </c>
    </row>
    <row r="12" spans="1:60" s="1493" customFormat="1" ht="18" customHeight="1">
      <c r="A12" s="2584"/>
      <c r="B12" s="2615"/>
      <c r="C12" s="2616"/>
      <c r="D12" s="2616"/>
      <c r="E12" s="2616"/>
      <c r="F12" s="2616"/>
      <c r="G12" s="2616"/>
      <c r="H12" s="2616"/>
      <c r="I12" s="2617"/>
      <c r="J12" s="2419" t="s">
        <v>1504</v>
      </c>
      <c r="K12" s="2420"/>
      <c r="L12" s="2420"/>
      <c r="M12" s="2420"/>
      <c r="N12" s="2420"/>
      <c r="O12" s="2420"/>
      <c r="P12" s="2420"/>
      <c r="Q12" s="2421"/>
      <c r="R12" s="1603"/>
      <c r="S12" s="1720" t="s">
        <v>21</v>
      </c>
      <c r="T12" s="1720" t="str">
        <f>"Barwert "&amp;IF(Dat_Unisex,divers,"")</f>
        <v xml:space="preserve">Barwert </v>
      </c>
      <c r="U12" s="1721" t="s">
        <v>21</v>
      </c>
      <c r="V12" s="1722" t="str">
        <f>"Barwert "&amp;IF(Dat_Unisex,divers,"")</f>
        <v xml:space="preserve">Barwert </v>
      </c>
      <c r="W12" s="1145"/>
      <c r="X12" s="2625"/>
      <c r="Y12" s="1497" t="s">
        <v>126</v>
      </c>
      <c r="Z12" s="1498" t="s">
        <v>175</v>
      </c>
      <c r="AA12" s="1498" t="s">
        <v>176</v>
      </c>
      <c r="AB12" s="1981" t="s">
        <v>175</v>
      </c>
      <c r="AC12" s="1982" t="s">
        <v>176</v>
      </c>
      <c r="AD12" s="2058">
        <v>11</v>
      </c>
      <c r="AE12" s="2072"/>
      <c r="AF12" s="969"/>
      <c r="AG12" s="2430"/>
      <c r="AH12" s="2429"/>
      <c r="AI12" s="1565" t="str">
        <f>TEXT(AK12,"0000")</f>
        <v>0000</v>
      </c>
      <c r="AJ12" s="1526"/>
      <c r="AK12" s="1566">
        <v>5.5E-2</v>
      </c>
      <c r="AL12" s="1526"/>
      <c r="AM12" s="1526"/>
      <c r="AN12" s="1526"/>
      <c r="AO12" s="1527" t="e">
        <f>IF(OR(VALUE(RIGHT(L9,3))&gt;499,AP9&lt;&gt;AP12),1,0)</f>
        <v>#VALUE!</v>
      </c>
      <c r="AP12" s="1527" t="str">
        <f>MID(L9,IF(MID(L9,3,1)=" ",4,3),6)</f>
        <v/>
      </c>
      <c r="AQ12" s="1527" t="s">
        <v>256</v>
      </c>
      <c r="AR12" s="1563" t="e">
        <f>VLOOKUP(AV5+IF(Dat_RentnerM,0,AR11),IF(Dat_Unisex,Lebenserwartung_N_V2,Lebenserwartung_M_V2),YEAR(T6)+IF(MONTH(T6)&gt;6,1,0)-1900+2)</f>
        <v>#VALUE!</v>
      </c>
      <c r="AS12" s="1567" t="e">
        <f>VLOOKUP(AV6+IF(Dat_RentnerF,0,AS11),IF(Dat_Unisex,Lebenserwartung_N_V2,Lebenserwartung_F_V2),YEAR(V6)+IF(MONTH(V6)&gt;6,1,0)-1900+2)</f>
        <v>#VALUE!</v>
      </c>
      <c r="AT12" s="1561"/>
      <c r="AU12" s="1561"/>
      <c r="AV12" s="1527" t="s">
        <v>1264</v>
      </c>
      <c r="AW12" s="1562" t="e">
        <f>+S15*(1+RententrendDRV)^AR11</f>
        <v>#VALUE!</v>
      </c>
      <c r="AX12" s="1562" t="e">
        <f>U15*(1+RententrendDRV)^AS11</f>
        <v>#VALUE!</v>
      </c>
      <c r="AY12" s="1568" t="e">
        <f>+S16*(1+RententrendDRV)^Fallerfassung!AR11</f>
        <v>#VALUE!</v>
      </c>
      <c r="AZ12" s="1569" t="e">
        <f>+U16*(1+RententrendDRV)^Fallerfassung!AS11</f>
        <v>#VALUE!</v>
      </c>
      <c r="BB12" s="1527" t="s">
        <v>1383</v>
      </c>
      <c r="BC12" s="1562" t="e">
        <f>VLOOKUP(YEAR(V3),MonatlicheBezugsgroesse,2)*2.4</f>
        <v>#N/A</v>
      </c>
      <c r="BF12" s="1493" t="e">
        <f>Dat_Pension_M1*12*(1+RententrendDRV)^Dat_AZeit_M</f>
        <v>#VALUE!</v>
      </c>
      <c r="BG12" s="1493" t="e">
        <f>+BF12/12</f>
        <v>#VALUE!</v>
      </c>
    </row>
    <row r="13" spans="1:60" s="1493" customFormat="1" ht="18" customHeight="1" thickBot="1">
      <c r="A13" s="2584"/>
      <c r="B13" s="2410"/>
      <c r="C13" s="2411"/>
      <c r="D13" s="2411"/>
      <c r="E13" s="2411"/>
      <c r="F13" s="2411"/>
      <c r="G13" s="2411"/>
      <c r="H13" s="2411"/>
      <c r="I13" s="2412"/>
      <c r="J13" s="2422"/>
      <c r="K13" s="2423"/>
      <c r="L13" s="2423"/>
      <c r="M13" s="2423"/>
      <c r="N13" s="2423"/>
      <c r="O13" s="2423"/>
      <c r="P13" s="2423"/>
      <c r="Q13" s="2424"/>
      <c r="R13" s="1604"/>
      <c r="S13" s="1307" t="str">
        <f>IFERROR(ROUND((S9+IF(StDat_GrusiAdd,S11,0))*VLOOKUP(V3,aktRW,2)+S10*VLOOKUP(V3,aktRW,3),2),"")</f>
        <v/>
      </c>
      <c r="T13" s="1366">
        <f>IFERROR(AW11,0)</f>
        <v>0</v>
      </c>
      <c r="U13" s="1308" t="str">
        <f>IFERROR(ROUND((U9+IF(StDat_GrusiAdd,U11,0))*VLOOKUP(V3,aktRW,2)+U10*VLOOKUP(V3,aktRW,3),2),"")</f>
        <v/>
      </c>
      <c r="V13" s="1367">
        <f>IFERROR(AX11,0)</f>
        <v>0</v>
      </c>
      <c r="W13" s="1295"/>
      <c r="X13" s="1173"/>
      <c r="Y13" s="1499" t="s">
        <v>1567</v>
      </c>
      <c r="Z13" s="1307">
        <f>IFERROR(S$9/VLOOKUP(V3,Umrechnungsfaktoren,2)+IF(V3&gt;=Parameter!Q23,S10/VLOOKUP(V3,Umrechnungsfaktoren,3),0)+IF(StDat_GrusiAdd,S11,0)/VLOOKUP(V3,Umrechnungsfaktoren,2),0)</f>
        <v>0</v>
      </c>
      <c r="AA13" s="1308" t="str">
        <f>IFERROR(U$9/VLOOKUP(V3,Umrechnungsfaktoren,2)+IF(V3&gt;=Parameter!Q23,U10/VLOOKUP(V3,Umrechnungsfaktoren,3),0)+IF(StDat_GrusiAdd,U11,0)/VLOOKUP(V3,Umrechnungsfaktoren,2),"")</f>
        <v/>
      </c>
      <c r="AB13" s="1985">
        <f>IFERROR(-PV(-RententrendDRV,BB5,S13*12*(1+RententrendDRV)^BA5,,1)/IF(ReSummeM,BB5*12,1),0)</f>
        <v>0</v>
      </c>
      <c r="AC13" s="1988">
        <f>IFERROR(-PV(-RententrendDRV,BB6,U13*12*(1+RententrendDRV)^BA6,,1)/IF(ReSummeM,BB6*12,1),0)</f>
        <v>0</v>
      </c>
      <c r="AD13" s="2059">
        <v>12</v>
      </c>
      <c r="AE13" s="2072"/>
      <c r="AF13" s="969"/>
      <c r="AG13" s="1570"/>
      <c r="AH13" s="1556"/>
      <c r="AI13" s="1571"/>
      <c r="AJ13" s="1554"/>
      <c r="AK13" s="1554"/>
      <c r="AL13" s="2538">
        <v>4</v>
      </c>
      <c r="AM13" s="1572"/>
      <c r="AN13" s="1572"/>
      <c r="AO13" s="1527" t="e">
        <f>IF(OR(VALUE(RIGHT(L10,3))&lt;500,AP13&lt;&gt;AP10),1,0)</f>
        <v>#VALUE!</v>
      </c>
      <c r="AP13" s="1527" t="str">
        <f>MID(L10,IF(MID(L10,3,1)=" ",4,3),6)</f>
        <v/>
      </c>
      <c r="AQ13" s="1527" t="s">
        <v>269</v>
      </c>
      <c r="AR13" s="1573">
        <f>IF(AA10&lt;&gt;"",AA10,IFERROR(VLOOKUP(V3,IF(Bilanz_BilMoG10,BilMoG10,BilmoGZins),16)/100,6%))</f>
        <v>0.06</v>
      </c>
      <c r="AS13" s="1574"/>
      <c r="AT13" s="1574"/>
      <c r="AU13" s="1574"/>
      <c r="AV13" s="1527" t="s">
        <v>1418</v>
      </c>
      <c r="AW13" s="1562" t="e">
        <f>PV(BilMoG,AR11,,PV(BilMoG-RententrendDRV,AR12,AW12*12,,1))*BE5*(1+AX5+AY5)</f>
        <v>#VALUE!</v>
      </c>
      <c r="AX13" s="1562" t="e">
        <f>PV(BilMoG,AS11,,PV(BilMoG-RententrendDRV,Fallerfassung!AS12,AX12*12))*BE6*(1+AX6+AY6)</f>
        <v>#VALUE!</v>
      </c>
      <c r="AY13" s="1575" t="e">
        <f>PV(BilMoG,AR11,,PV(BilMoG-RententrendDRV,Fallerfassung!AR12,AY12*12))*BE5*(1+AX5+AY5)</f>
        <v>#VALUE!</v>
      </c>
      <c r="AZ13" s="1576" t="e">
        <f>PV(BilMoG,AS11,,PV(BilMoG-RententrendDRV,Fallerfassung!AS12,AZ12*12))*BE6*(1+AX6+AY6)</f>
        <v>#VALUE!</v>
      </c>
      <c r="BB13" s="1527" t="s">
        <v>1369</v>
      </c>
      <c r="BC13" s="1529" t="b">
        <v>0</v>
      </c>
    </row>
    <row r="14" spans="1:60" s="1493" customFormat="1" ht="18" customHeight="1" thickTop="1" thickBot="1">
      <c r="A14" s="2584"/>
      <c r="B14" s="2413"/>
      <c r="C14" s="2414"/>
      <c r="D14" s="2414"/>
      <c r="E14" s="2414"/>
      <c r="F14" s="2414"/>
      <c r="G14" s="2414"/>
      <c r="H14" s="2414"/>
      <c r="I14" s="2415"/>
      <c r="J14" s="2487" t="str">
        <f>"4. Beamtenversorgung, Dynamik  "&amp;TEXT('Dies &amp; Das'!E3,"0,00%")</f>
        <v>4. Beamtenversorgung, Dynamik  2,60%</v>
      </c>
      <c r="K14" s="2488"/>
      <c r="L14" s="2488"/>
      <c r="M14" s="2488"/>
      <c r="N14" s="2488"/>
      <c r="O14" s="2488"/>
      <c r="P14" s="2488"/>
      <c r="Q14" s="2488"/>
      <c r="R14" s="1605"/>
      <c r="S14" s="1723" t="s">
        <v>1368</v>
      </c>
      <c r="T14" s="1723" t="str">
        <f>"Barwert "&amp;IF(Dat_Unisex,divers,"")</f>
        <v xml:space="preserve">Barwert </v>
      </c>
      <c r="U14" s="1724" t="s">
        <v>1368</v>
      </c>
      <c r="V14" s="1725" t="str">
        <f>"Barwert "&amp;IF(Dat_Unisex,divers,"")</f>
        <v xml:space="preserve">Barwert </v>
      </c>
      <c r="W14" s="1145"/>
      <c r="X14" s="1173"/>
      <c r="Y14" s="1500" t="s">
        <v>1264</v>
      </c>
      <c r="Z14" s="1501" t="s">
        <v>175</v>
      </c>
      <c r="AA14" s="1501" t="s">
        <v>176</v>
      </c>
      <c r="AB14" s="2489" t="s">
        <v>208</v>
      </c>
      <c r="AC14" s="2490"/>
      <c r="AD14" s="2058">
        <v>13</v>
      </c>
      <c r="AE14" s="2072"/>
      <c r="AF14" s="969">
        <v>2000</v>
      </c>
      <c r="AG14" s="1577">
        <v>53086.508000000002</v>
      </c>
      <c r="AH14" s="1577">
        <v>51732.500999999997</v>
      </c>
      <c r="AI14" s="1578">
        <f>+AH14/AG14</f>
        <v>0.97449432914291512</v>
      </c>
      <c r="AJ14" s="1554"/>
      <c r="AK14" s="1579">
        <f t="shared" ref="AK14:AK37" si="0">IFERROR(VLOOKUP(DATE(AF14,11,30),BilmoGZins,16)/100,5.5%)</f>
        <v>5.5E-2</v>
      </c>
      <c r="AL14" s="2538"/>
      <c r="AM14" s="1572" t="str">
        <f>TEXT(AF14,"####")&amp;" / "&amp;TEXT(AK14,"###,##%")</f>
        <v>2000 / 5,5%</v>
      </c>
      <c r="AN14" s="1572"/>
      <c r="AP14" s="1493" t="str">
        <f>LEFT(L9,6)</f>
        <v/>
      </c>
      <c r="AV14" s="1527" t="s">
        <v>1372</v>
      </c>
      <c r="AW14" s="1580" t="e">
        <f>+S19*(1+DynamikBerstdV)^AR11</f>
        <v>#VALUE!</v>
      </c>
      <c r="AX14" s="1562" t="e">
        <f>U19*(1+DynamikBerstdV)^AS11</f>
        <v>#VALUE!</v>
      </c>
      <c r="BE14" s="1556">
        <f>-PV(6%-2.6%,15.45,42.33*12)</f>
        <v>6027.3208263622946</v>
      </c>
    </row>
    <row r="15" spans="1:60" s="1493" customFormat="1" ht="18" customHeight="1" thickTop="1">
      <c r="A15" s="2584"/>
      <c r="B15" s="2591" t="str">
        <f>IF(TO_vorhanden&gt;12,"Eine TO eines Versorgungsträgers könnte gelistet sein!","(15) Kontrolle der Teilungsordnung (TO)")</f>
        <v>(15) Kontrolle der Teilungsordnung (TO)</v>
      </c>
      <c r="C15" s="2592"/>
      <c r="D15" s="2592"/>
      <c r="E15" s="2592"/>
      <c r="F15" s="2592"/>
      <c r="G15" s="2595" t="s">
        <v>1426</v>
      </c>
      <c r="H15" s="2596"/>
      <c r="I15" s="2597"/>
      <c r="J15" s="2474"/>
      <c r="K15" s="2475"/>
      <c r="L15" s="2475"/>
      <c r="M15" s="2475"/>
      <c r="N15" s="2475"/>
      <c r="O15" s="2475"/>
      <c r="P15" s="2475"/>
      <c r="Q15" s="2475"/>
      <c r="R15" s="1602" t="str">
        <f>IF(AJ15=0,"",AJ15)</f>
        <v/>
      </c>
      <c r="S15" s="1276"/>
      <c r="T15" s="1368">
        <f>IFERROR(AW13,0)</f>
        <v>0</v>
      </c>
      <c r="U15" s="1276"/>
      <c r="V15" s="1369">
        <f>IFERROR(AX13,0)</f>
        <v>0</v>
      </c>
      <c r="W15" s="1145"/>
      <c r="X15" s="1173"/>
      <c r="Y15" s="1502">
        <v>1</v>
      </c>
      <c r="Z15" s="1989" t="str">
        <f>IFERROR(S15/VLOOKUP(V$3,aktRW,2)/VLOOKUP(V$3,Umrechnungsfaktoren,2),"")</f>
        <v/>
      </c>
      <c r="AA15" s="1990" t="str">
        <f>IFERROR(U15/VLOOKUP(V$3,aktRW,2)/VLOOKUP(V$3,Umrechnungsfaktoren,2),"")</f>
        <v/>
      </c>
      <c r="AB15" s="1979">
        <f>IFERROR(-PV(-RententrendDRV,Dat_LZeit_M,Dat_Pension_M1*12*(1+RententrendDRV)^Dat_AZeit_M,,1)/IF(ReSummeM,Dat_LZeit_M*12,1),0)</f>
        <v>0</v>
      </c>
      <c r="AC15" s="1980">
        <f>IFERROR(-PV(-RententrendDRV,Dat_LZeit_F,Dat_Pension_F1*12*(1+RententrendDRV)^Dat_AZeit_F,,1)/IF(ReSummeM,Dat_LZeit_F*12,1),0)</f>
        <v>0</v>
      </c>
      <c r="AD15" s="2059">
        <v>14</v>
      </c>
      <c r="AE15" s="2072"/>
      <c r="AF15" s="969">
        <v>2001</v>
      </c>
      <c r="AG15" s="1577">
        <v>53086.508000000002</v>
      </c>
      <c r="AH15" s="1577">
        <v>53442.151700000002</v>
      </c>
      <c r="AI15" s="1578">
        <f t="shared" ref="AI15:AI37" si="1">+AH15/AG15</f>
        <v>1.0066993236774964</v>
      </c>
      <c r="AJ15" s="1554">
        <f>IF(U15+S15&gt;0,MAX(AJ$9:AJ14)+1,0)</f>
        <v>0</v>
      </c>
      <c r="AK15" s="1579">
        <f t="shared" si="0"/>
        <v>5.5E-2</v>
      </c>
      <c r="AL15" s="2538"/>
      <c r="AM15" s="1572" t="str">
        <f t="shared" ref="AM15:AM37" si="2">TEXT(AF15,"####")&amp;" / "&amp;TEXT(AK15,"###,##%")</f>
        <v>2001 / 5,5%</v>
      </c>
      <c r="AN15" s="1572"/>
      <c r="AO15" s="1493" t="s">
        <v>1918</v>
      </c>
      <c r="AP15" s="1494" t="b">
        <v>1</v>
      </c>
      <c r="AV15" s="1527" t="s">
        <v>1421</v>
      </c>
      <c r="AW15" s="1562" t="e">
        <f>PV(BilMoG,AR11,,PV(BilMoG-DynamikBerstdV,AR12,AW14*12,,1))*BE5*(1+AX5+AY5)</f>
        <v>#VALUE!</v>
      </c>
      <c r="AX15" s="1562" t="e">
        <f>PV(BilMoG,AS11,,PV(BilMoG-DynamikBerstdV,AS12,AX14*12))*BE6*(1+AX6+AY6)</f>
        <v>#VALUE!</v>
      </c>
      <c r="BD15" s="1556"/>
    </row>
    <row r="16" spans="1:60" s="1493" customFormat="1" ht="18" customHeight="1" thickBot="1">
      <c r="A16" s="2584"/>
      <c r="B16" s="2593"/>
      <c r="C16" s="2594"/>
      <c r="D16" s="2594"/>
      <c r="E16" s="2594"/>
      <c r="F16" s="2594"/>
      <c r="G16" s="2598"/>
      <c r="H16" s="2599"/>
      <c r="I16" s="2600"/>
      <c r="J16" s="2540"/>
      <c r="K16" s="2541"/>
      <c r="L16" s="2541"/>
      <c r="M16" s="2541"/>
      <c r="N16" s="2541"/>
      <c r="O16" s="2541"/>
      <c r="P16" s="2541"/>
      <c r="Q16" s="2541"/>
      <c r="R16" s="1602" t="str">
        <f>IF(AJ16=0,"",AJ16)</f>
        <v/>
      </c>
      <c r="S16" s="1299"/>
      <c r="T16" s="1366">
        <f>IFERROR(AY13,0)</f>
        <v>0</v>
      </c>
      <c r="U16" s="1299"/>
      <c r="V16" s="1367">
        <f>IFERROR(AZ13,0)</f>
        <v>0</v>
      </c>
      <c r="W16" s="1145"/>
      <c r="X16" s="1173"/>
      <c r="Y16" s="1503">
        <v>2</v>
      </c>
      <c r="Z16" s="1307" t="str">
        <f>IFERROR(+S16/VLOOKUP(V$3,aktRW,2)/VLOOKUP(V$3,Umrechnungsfaktoren,2),"")</f>
        <v/>
      </c>
      <c r="AA16" s="1308" t="str">
        <f>IFERROR(U16/VLOOKUP(V$3,aktRW,2)/VLOOKUP(V$3,Umrechnungsfaktoren,2),"")</f>
        <v/>
      </c>
      <c r="AB16" s="1986">
        <f>IFERROR(-PV(-RententrendDRV,Dat_LZeit_M,Dat_Pension_M2*12*(1+RententrendDRV)^Dat_AZeit_M,,1)/IF(ReSummeM,Dat_LZeit_M*12,1),0)</f>
        <v>0</v>
      </c>
      <c r="AC16" s="1987">
        <f>IFERROR(-PV(-RententrendDRV,Dat_LZeit_F,Dat_Pension_F2*12*(1+RententrendDRV)^Dat_AZeit_F,,1)/IF(ReSummeM,Dat_LZeit_F*12,1),0)</f>
        <v>0</v>
      </c>
      <c r="AD16" s="2058">
        <v>15</v>
      </c>
      <c r="AE16" s="2072"/>
      <c r="AF16" s="969">
        <v>2002</v>
      </c>
      <c r="AG16" s="1577">
        <v>53086.508000000002</v>
      </c>
      <c r="AH16" s="1577">
        <v>53154.326999999997</v>
      </c>
      <c r="AI16" s="1578">
        <f t="shared" si="1"/>
        <v>1.0012775185740226</v>
      </c>
      <c r="AJ16" s="1554">
        <f>IF(U16+S16&gt;0,MAX(AJ$9:AJ15)+1,0)</f>
        <v>0</v>
      </c>
      <c r="AK16" s="1579">
        <f t="shared" si="0"/>
        <v>5.5E-2</v>
      </c>
      <c r="AL16" s="2538"/>
      <c r="AM16" s="1572" t="str">
        <f t="shared" si="2"/>
        <v>2002 / 5,5%</v>
      </c>
      <c r="AN16" s="1572"/>
      <c r="BD16" s="1556"/>
    </row>
    <row r="17" spans="1:64" s="1493" customFormat="1" ht="18" customHeight="1" thickTop="1">
      <c r="A17" s="2584"/>
      <c r="B17" s="2604"/>
      <c r="C17" s="2605"/>
      <c r="D17" s="2605"/>
      <c r="E17" s="2605"/>
      <c r="F17" s="2605"/>
      <c r="G17" s="2601" t="str">
        <f>IFERROR('TO-Prüfung'!H7,"")</f>
        <v>5.2.</v>
      </c>
      <c r="H17" s="2602"/>
      <c r="I17" s="2603"/>
      <c r="J17" s="2487" t="str">
        <f>"5. Berufsständische Versorgungen, Dyn: "&amp;TEXT('Dies &amp; Das'!E9,"0,00%")</f>
        <v>5. Berufsständische Versorgungen, Dyn: 0,00%</v>
      </c>
      <c r="K17" s="2488"/>
      <c r="L17" s="2488"/>
      <c r="M17" s="2488"/>
      <c r="N17" s="2488"/>
      <c r="O17" s="2488"/>
      <c r="P17" s="2488"/>
      <c r="Q17" s="2488"/>
      <c r="R17" s="1605"/>
      <c r="S17" s="2526" t="s">
        <v>1373</v>
      </c>
      <c r="T17" s="2527"/>
      <c r="U17" s="2527"/>
      <c r="V17" s="2528"/>
      <c r="W17" s="1145"/>
      <c r="X17" s="1173"/>
      <c r="Y17" s="2533" t="str">
        <f>"10. KoKa d. berufsstd. Versorg.:"</f>
        <v>10. KoKa d. berufsstd. Versorg.:</v>
      </c>
      <c r="Z17" s="2534"/>
      <c r="AA17" s="2535"/>
      <c r="AB17" s="2489" t="s">
        <v>537</v>
      </c>
      <c r="AC17" s="2490"/>
      <c r="AD17" s="2059">
        <v>16</v>
      </c>
      <c r="AE17" s="2072"/>
      <c r="AF17" s="969">
        <v>2003</v>
      </c>
      <c r="AG17" s="1577">
        <v>53086.508000000002</v>
      </c>
      <c r="AH17" s="1581">
        <v>51735.291299999997</v>
      </c>
      <c r="AI17" s="1578">
        <f t="shared" si="1"/>
        <v>0.97454689052065724</v>
      </c>
      <c r="AJ17" s="1554"/>
      <c r="AK17" s="1579">
        <f t="shared" si="0"/>
        <v>5.5E-2</v>
      </c>
      <c r="AL17" s="1554" t="s">
        <v>827</v>
      </c>
      <c r="AM17" s="1572" t="str">
        <f t="shared" si="2"/>
        <v>2003 / 5,5%</v>
      </c>
      <c r="AN17" s="1572"/>
      <c r="AO17" s="2397" t="s">
        <v>1468</v>
      </c>
      <c r="AP17" s="2397"/>
      <c r="AQ17" s="2397"/>
      <c r="AR17" s="2397"/>
      <c r="AS17" s="2397"/>
      <c r="AT17" s="1411"/>
      <c r="AU17" s="1411"/>
      <c r="AV17" s="2521" t="s">
        <v>1947</v>
      </c>
      <c r="AW17" s="2521" t="s">
        <v>1948</v>
      </c>
      <c r="AX17" s="2521" t="s">
        <v>1949</v>
      </c>
      <c r="AY17" s="1527"/>
      <c r="AZ17" s="1527"/>
      <c r="BA17" s="2397" t="s">
        <v>1508</v>
      </c>
      <c r="BB17" s="2397"/>
      <c r="BC17" s="2397"/>
      <c r="BD17" s="1556"/>
      <c r="BI17" s="1556" t="e">
        <f>-PV(-RententrendDRV,AR27,Z27*12,,)</f>
        <v>#VALUE!</v>
      </c>
    </row>
    <row r="18" spans="1:64" s="1493" customFormat="1" ht="18" customHeight="1">
      <c r="A18" s="2584"/>
      <c r="B18" s="2606" t="str">
        <f>IFERROR('TO-Prüfung'!O13,"")</f>
        <v>Die TO ermöglicht doppelten Kostenabzug</v>
      </c>
      <c r="C18" s="2607"/>
      <c r="D18" s="2607"/>
      <c r="E18" s="2607"/>
      <c r="F18" s="2607"/>
      <c r="G18" s="2607"/>
      <c r="H18" s="2607"/>
      <c r="I18" s="2608"/>
      <c r="J18" s="2507"/>
      <c r="K18" s="2508"/>
      <c r="L18" s="2508"/>
      <c r="M18" s="2508"/>
      <c r="N18" s="2508"/>
      <c r="O18" s="2508"/>
      <c r="P18" s="2508"/>
      <c r="Q18" s="2508"/>
      <c r="R18" s="1602"/>
      <c r="S18" s="1720" t="s">
        <v>21</v>
      </c>
      <c r="T18" s="1720" t="s">
        <v>1528</v>
      </c>
      <c r="U18" s="1721" t="s">
        <v>21</v>
      </c>
      <c r="V18" s="1722" t="s">
        <v>1529</v>
      </c>
      <c r="W18" s="1145"/>
      <c r="X18" s="1173"/>
      <c r="Y18" s="1648" t="s">
        <v>1534</v>
      </c>
      <c r="Z18" s="2008">
        <f>+BC19</f>
        <v>0</v>
      </c>
      <c r="AA18" s="2009">
        <f>+BC20</f>
        <v>0</v>
      </c>
      <c r="AB18" s="2008" t="s">
        <v>175</v>
      </c>
      <c r="AC18" s="2010" t="s">
        <v>176</v>
      </c>
      <c r="AD18" s="2058">
        <v>17</v>
      </c>
      <c r="AE18" s="2072"/>
      <c r="AF18" s="969">
        <v>2004</v>
      </c>
      <c r="AG18" s="1577">
        <v>53086.508000000002</v>
      </c>
      <c r="AH18" s="1581">
        <v>51809.852299999999</v>
      </c>
      <c r="AI18" s="1578">
        <f t="shared" si="1"/>
        <v>0.97595140934868041</v>
      </c>
      <c r="AJ18" s="1554"/>
      <c r="AK18" s="1579">
        <f t="shared" si="0"/>
        <v>5.5E-2</v>
      </c>
      <c r="AL18" s="1572" t="s">
        <v>1639</v>
      </c>
      <c r="AM18" s="1572" t="str">
        <f t="shared" si="2"/>
        <v>2004 / 5,5%</v>
      </c>
      <c r="AN18" s="1572"/>
      <c r="AO18" s="1582" t="s">
        <v>256</v>
      </c>
      <c r="AP18" s="1582" t="s">
        <v>1362</v>
      </c>
      <c r="AQ18" s="1527" t="s">
        <v>1483</v>
      </c>
      <c r="AR18" s="1527" t="s">
        <v>1484</v>
      </c>
      <c r="AS18" s="1582" t="s">
        <v>1361</v>
      </c>
      <c r="AT18" s="1582" t="s">
        <v>279</v>
      </c>
      <c r="AU18" s="1582" t="s">
        <v>280</v>
      </c>
      <c r="AV18" s="2521"/>
      <c r="AW18" s="2521"/>
      <c r="AX18" s="2521"/>
      <c r="AY18" s="1527" t="s">
        <v>175</v>
      </c>
      <c r="AZ18" s="1527" t="s">
        <v>176</v>
      </c>
      <c r="BA18" s="1527"/>
      <c r="BB18" s="1583"/>
      <c r="BC18" s="1527"/>
      <c r="BG18" s="1556" t="e">
        <f>ROUND(-PV(P27-RententrendDRV,IF(AP27=1,BB$5,BB$6),Y27*12),2)</f>
        <v>#VALUE!</v>
      </c>
    </row>
    <row r="19" spans="1:64" s="1493" customFormat="1" ht="18" customHeight="1" thickBot="1">
      <c r="A19" s="2584"/>
      <c r="B19" s="2609"/>
      <c r="C19" s="2610"/>
      <c r="D19" s="2610"/>
      <c r="E19" s="2610"/>
      <c r="F19" s="2610"/>
      <c r="G19" s="2610"/>
      <c r="H19" s="2610"/>
      <c r="I19" s="2611"/>
      <c r="J19" s="2474"/>
      <c r="K19" s="2475"/>
      <c r="L19" s="2475"/>
      <c r="M19" s="2475"/>
      <c r="N19" s="2475"/>
      <c r="O19" s="2475"/>
      <c r="P19" s="2475"/>
      <c r="Q19" s="2475"/>
      <c r="R19" s="1602" t="str">
        <f>IF(AJ19=0,"",AJ19)</f>
        <v/>
      </c>
      <c r="S19" s="1433"/>
      <c r="T19" s="2011"/>
      <c r="U19" s="1433"/>
      <c r="V19" s="1434"/>
      <c r="W19" s="1145"/>
      <c r="X19" s="1145"/>
      <c r="Y19" s="2041" t="s">
        <v>1535</v>
      </c>
      <c r="Z19" s="2004">
        <f>IFERROR(T20/Z18,0)</f>
        <v>0</v>
      </c>
      <c r="AA19" s="2005">
        <f>IFERROR(V20/AA18,0)</f>
        <v>0</v>
      </c>
      <c r="AB19" s="2006">
        <f>IFERROR(-PV(-DynamikBerstdV,AO19,S19*12*(1+DynamikBerstdV)^AP19,,1)/IF(ReSummeM,AO19*12,1),0)</f>
        <v>0</v>
      </c>
      <c r="AC19" s="2007">
        <f>IFERROR(-PV(-DynamikBerstdV,AO20,U19*12*(1+DynamikBerstdV)^AP20,,1)/IF(ReSummeM,AO20*12,1),0)</f>
        <v>0</v>
      </c>
      <c r="AD19" s="2059">
        <v>18</v>
      </c>
      <c r="AE19" s="2072"/>
      <c r="AF19" s="969">
        <v>2005</v>
      </c>
      <c r="AG19" s="1577">
        <v>53086.508000000002</v>
      </c>
      <c r="AH19" s="1581">
        <v>51991.378599999996</v>
      </c>
      <c r="AI19" s="1578">
        <f t="shared" si="1"/>
        <v>0.9793708525714292</v>
      </c>
      <c r="AJ19" s="1554">
        <f>IF(U19+S19&gt;0,MAX(AJ$9:AJ18)+1,0)</f>
        <v>0</v>
      </c>
      <c r="AK19" s="1579">
        <f t="shared" si="0"/>
        <v>5.5E-2</v>
      </c>
      <c r="AL19" s="1554"/>
      <c r="AM19" s="1572" t="str">
        <f t="shared" si="2"/>
        <v>2005 / 5,5%</v>
      </c>
      <c r="AN19" s="1572"/>
      <c r="AO19" s="1535" t="e">
        <f>+AR12</f>
        <v>#VALUE!</v>
      </c>
      <c r="AP19" s="1411" t="e">
        <f>+AR11</f>
        <v>#VALUE!</v>
      </c>
      <c r="AQ19" s="1527"/>
      <c r="AR19" s="1527"/>
      <c r="AS19" s="1540" t="e">
        <f>+BE5</f>
        <v>#VALUE!</v>
      </c>
      <c r="AT19" s="1537">
        <f>IFERROR(VLOOKUP(AV$5,CHOOSE(IF(IF(Dat_RentnerM,AV5,AR10)&lt;60,60,IF(AR10&gt;67,67,AR10))-59,HRIR60,HRIR61,HRIR62,HRIR63,HRIR64,HRIR,HRIR66,HRIR67),IF(Dat_Unisex,26,8))*0.6,0)</f>
        <v>0</v>
      </c>
      <c r="AU19" s="1537">
        <f>IFERROR(IF(Dat_RentnerM,0,VLOOKUP(AV$5,CHOOSE(IF(AR10&lt;60,60,IF(AR10&gt;67,67,AR10))-59,HRIR60,HRIR61,HRIR62,HRIR63,HRIR64,HRIR,HRIR66,HRIR67),IF(Dat_Unisex,25,7))),0)</f>
        <v>0</v>
      </c>
      <c r="AV19" s="1584" t="e">
        <f>-PV(BilMoG-DynamikBerstdV,AO19,AW14*12)</f>
        <v>#VALUE!</v>
      </c>
      <c r="AW19" s="1584" t="e">
        <f>-PV(BilMoG,AR11,,AV19)</f>
        <v>#VALUE!</v>
      </c>
      <c r="AX19" s="1585" t="e">
        <f>+AW19*(1+(AT19+AU19))*AS19</f>
        <v>#VALUE!</v>
      </c>
      <c r="AY19" s="1562" t="e">
        <f>+AX19</f>
        <v>#VALUE!</v>
      </c>
      <c r="AZ19" s="1562"/>
      <c r="BA19" s="1562" t="e">
        <f>IFERROR(T19*Dat_UFaktorEzE,0)*aktRW_DatErf</f>
        <v>#N/A</v>
      </c>
      <c r="BB19" s="1562">
        <f>IFERROR(BA19*(1+DynamikBerstdV)^Fallerfassung!AR11,0)</f>
        <v>0</v>
      </c>
      <c r="BC19" s="1562">
        <f>IFERROR(PV(BilMoG,AR11,,PV(Dat_BilMoG-RententrendDRV,Fallerfassung!AR12,Fallerfassung!BB19*12))*BE5*(1+AX5/0.55*0.6+AY5),0)</f>
        <v>0</v>
      </c>
    </row>
    <row r="20" spans="1:64" s="1493" customFormat="1" ht="17.100000000000001" customHeight="1" thickBot="1">
      <c r="A20" s="2584"/>
      <c r="B20" s="2618" t="s">
        <v>1493</v>
      </c>
      <c r="C20" s="2619"/>
      <c r="D20" s="2619"/>
      <c r="E20" s="2619"/>
      <c r="F20" s="2619"/>
      <c r="G20" s="2619"/>
      <c r="H20" s="2619"/>
      <c r="I20" s="2620"/>
      <c r="J20" s="2522"/>
      <c r="K20" s="2523"/>
      <c r="L20" s="2523"/>
      <c r="M20" s="2523"/>
      <c r="N20" s="2523"/>
      <c r="O20" s="2523"/>
      <c r="P20" s="2523"/>
      <c r="Q20" s="2523"/>
      <c r="R20" s="1606" t="str">
        <f>IF(AJ20=0,"",AJ20)</f>
        <v/>
      </c>
      <c r="S20" s="1372" t="str">
        <f>"Barwert "&amp;IF(Dat_Unisex,divers,"")</f>
        <v xml:space="preserve">Barwert </v>
      </c>
      <c r="T20" s="1373" t="str">
        <f>IFERROR(AY19,"")</f>
        <v/>
      </c>
      <c r="U20" s="1372" t="str">
        <f>+S20</f>
        <v xml:space="preserve">Barwert </v>
      </c>
      <c r="V20" s="1374" t="str">
        <f>IFERROR(AZ20,"")</f>
        <v/>
      </c>
      <c r="W20" s="1145"/>
      <c r="X20" s="1173"/>
      <c r="Y20" s="2572" t="s">
        <v>2039</v>
      </c>
      <c r="Z20" s="2573"/>
      <c r="AA20" s="2574"/>
      <c r="AB20" s="2491" t="str">
        <f>IF(ReSummeM,"Ø erwartbare monatl. Renten-leistung aus bAV und pAV","∑ der in bAV und pAV erwartbaren Rentenleistungen")</f>
        <v>Ø erwartbare monatl. Renten-leistung aus bAV und pAV</v>
      </c>
      <c r="AC20" s="2492"/>
      <c r="AD20" s="2058">
        <v>19</v>
      </c>
      <c r="AE20" s="2069"/>
      <c r="AF20" s="969">
        <v>2006</v>
      </c>
      <c r="AG20" s="1577">
        <v>53086.508000000002</v>
      </c>
      <c r="AH20" s="1581">
        <v>52850.847000000002</v>
      </c>
      <c r="AI20" s="1578">
        <f t="shared" si="1"/>
        <v>0.99556081179798073</v>
      </c>
      <c r="AJ20" s="1554"/>
      <c r="AK20" s="1579">
        <f t="shared" si="0"/>
        <v>5.5E-2</v>
      </c>
      <c r="AL20" s="1554"/>
      <c r="AM20" s="1572" t="str">
        <f t="shared" si="2"/>
        <v>2006 / 5,5%</v>
      </c>
      <c r="AN20" s="1572"/>
      <c r="AO20" s="1535" t="e">
        <f>AS12</f>
        <v>#VALUE!</v>
      </c>
      <c r="AP20" s="1411" t="e">
        <f>AS11</f>
        <v>#VALUE!</v>
      </c>
      <c r="AQ20" s="1527"/>
      <c r="AR20" s="1527"/>
      <c r="AS20" s="1540" t="e">
        <f>+BE6</f>
        <v>#VALUE!</v>
      </c>
      <c r="AT20" s="1537">
        <f>IFERROR(VLOOKUP(AV$6,CHOOSE(IF(IF(Dat_RentnerF,AV6,AS10)&lt;60,60,IF(AS10&gt;67,67,AS10))-59,HRIR60,HRIR61,HRIR62,HRIR63,HRIR64,HRIR,HRIR66,HRIR67),IF(Dat_Unisex,26,17))*0.6,0)</f>
        <v>0</v>
      </c>
      <c r="AU20" s="1537">
        <f>IFERROR(IF(Dat_RentnerF,0,VLOOKUP(AV$6,CHOOSE(IF(AS10&lt;60,60,IF(AS10&gt;67,67,AS10))-59,HRIR60,HRIR61,HRIR62,HRIR63,HRIR64,HRIR,HRIR66,HRIR67),IF(Dat_Unisex,25,16))),0)</f>
        <v>0</v>
      </c>
      <c r="AV20" s="1584" t="e">
        <f>-PV(BilMoG-DynamikBerstdV,AO20,AX14*12)</f>
        <v>#VALUE!</v>
      </c>
      <c r="AW20" s="1584" t="e">
        <f>-PV(BilMoG,Fallerfassung!AS11,,AV20)</f>
        <v>#VALUE!</v>
      </c>
      <c r="AX20" s="1585" t="e">
        <f>+AW20*(1+(AT20+AU20))*AS20</f>
        <v>#VALUE!</v>
      </c>
      <c r="AY20" s="1527"/>
      <c r="AZ20" s="1562" t="e">
        <f>+AX20</f>
        <v>#VALUE!</v>
      </c>
      <c r="BA20" s="1562" t="e">
        <f>IFERROR(V19*Dat_UFaktorEzE,0)*aktRW_DatErf</f>
        <v>#N/A</v>
      </c>
      <c r="BB20" s="1562">
        <f>IFERROR(BA20*(1+DynamikBerstdV)^Fallerfassung!AS11,0)</f>
        <v>0</v>
      </c>
      <c r="BC20" s="1562">
        <f>IFERROR(PV(BilMoG,AS11,,PV(Dat_BilMoG-RententrendDRV,Fallerfassung!AS12,Fallerfassung!BB20*12))*BE6*(1+AX6/0.55*0.6+AY6),0)</f>
        <v>0</v>
      </c>
    </row>
    <row r="21" spans="1:64" s="1493" customFormat="1" ht="17.25" customHeight="1" thickTop="1">
      <c r="A21" s="1495"/>
      <c r="B21" s="2504" t="s">
        <v>1573</v>
      </c>
      <c r="C21" s="2505"/>
      <c r="D21" s="2505"/>
      <c r="E21" s="2505"/>
      <c r="F21" s="2505"/>
      <c r="G21" s="2505"/>
      <c r="H21" s="2505"/>
      <c r="I21" s="2505"/>
      <c r="J21" s="2505"/>
      <c r="K21" s="2505"/>
      <c r="L21" s="2505"/>
      <c r="M21" s="2505"/>
      <c r="N21" s="2505"/>
      <c r="O21" s="2505"/>
      <c r="P21" s="2505"/>
      <c r="Q21" s="2506"/>
      <c r="R21" s="1607"/>
      <c r="S21" s="2561" t="s">
        <v>1570</v>
      </c>
      <c r="T21" s="2561"/>
      <c r="U21" s="2561"/>
      <c r="V21" s="2562"/>
      <c r="W21" s="1145"/>
      <c r="X21" s="2638" t="s">
        <v>1452</v>
      </c>
      <c r="Y21" s="2575"/>
      <c r="Z21" s="2576"/>
      <c r="AA21" s="2577"/>
      <c r="AB21" s="2493"/>
      <c r="AC21" s="2494"/>
      <c r="AD21" s="2059">
        <v>20</v>
      </c>
      <c r="AE21" s="2069"/>
      <c r="AF21" s="969">
        <v>2007</v>
      </c>
      <c r="AG21" s="1577">
        <v>53086.508000000002</v>
      </c>
      <c r="AH21" s="1581">
        <v>52212.732300000003</v>
      </c>
      <c r="AI21" s="1578">
        <f t="shared" si="1"/>
        <v>0.98354053161680932</v>
      </c>
      <c r="AJ21" s="1554"/>
      <c r="AK21" s="1579">
        <f t="shared" si="0"/>
        <v>5.5E-2</v>
      </c>
      <c r="AL21" s="1554"/>
      <c r="AM21" s="1572" t="str">
        <f t="shared" si="2"/>
        <v>2007 / 5,5%</v>
      </c>
      <c r="AN21" s="1572"/>
      <c r="AO21" s="1586"/>
      <c r="AP21" s="1526"/>
      <c r="AQ21" s="1587"/>
      <c r="AR21" s="1588"/>
      <c r="AS21" s="1589"/>
      <c r="AT21" s="1588"/>
      <c r="AU21" s="1588"/>
      <c r="AV21" s="1590"/>
      <c r="AW21" s="1590"/>
      <c r="AX21" s="1591"/>
      <c r="AZ21" s="1556"/>
      <c r="BB21" s="1556"/>
      <c r="BC21" s="1556"/>
    </row>
    <row r="22" spans="1:64" s="1493" customFormat="1" ht="17.25" customHeight="1">
      <c r="A22" s="2542"/>
      <c r="B22" s="2586" t="s">
        <v>266</v>
      </c>
      <c r="C22" s="2552" t="s">
        <v>1460</v>
      </c>
      <c r="D22" s="2590" t="s">
        <v>1457</v>
      </c>
      <c r="E22" s="2585" t="s">
        <v>1616</v>
      </c>
      <c r="F22" s="2588" t="s">
        <v>1617</v>
      </c>
      <c r="G22" s="2590" t="s">
        <v>1461</v>
      </c>
      <c r="H22" s="2569" t="s">
        <v>1487</v>
      </c>
      <c r="I22" s="2552" t="s">
        <v>1472</v>
      </c>
      <c r="J22" s="2552" t="s">
        <v>1459</v>
      </c>
      <c r="K22" s="2622" t="s">
        <v>1638</v>
      </c>
      <c r="L22" s="2623" t="s">
        <v>1841</v>
      </c>
      <c r="M22" s="2511" t="s">
        <v>1506</v>
      </c>
      <c r="N22" s="2511" t="s">
        <v>1507</v>
      </c>
      <c r="O22" s="2515" t="s">
        <v>1458</v>
      </c>
      <c r="P22" s="2515"/>
      <c r="Q22" s="2513" t="s">
        <v>1794</v>
      </c>
      <c r="R22" s="2563" t="s">
        <v>1389</v>
      </c>
      <c r="S22" s="2636" t="s">
        <v>1574</v>
      </c>
      <c r="T22" s="2636"/>
      <c r="U22" s="2636"/>
      <c r="V22" s="2637"/>
      <c r="W22" s="1145"/>
      <c r="X22" s="2638"/>
      <c r="Y22" s="2546" t="s">
        <v>1942</v>
      </c>
      <c r="Z22" s="2547"/>
      <c r="AA22" s="2548"/>
      <c r="AB22" s="2495" t="s">
        <v>1956</v>
      </c>
      <c r="AC22" s="2496"/>
      <c r="AD22" s="2058">
        <v>21</v>
      </c>
      <c r="AE22" s="2069"/>
      <c r="AF22" s="969">
        <v>2008</v>
      </c>
      <c r="AG22" s="1577">
        <v>53086.508000000002</v>
      </c>
      <c r="AH22" s="1581">
        <v>51348.516300000003</v>
      </c>
      <c r="AI22" s="1578">
        <f t="shared" si="1"/>
        <v>0.96726114100403815</v>
      </c>
      <c r="AJ22" s="1554"/>
      <c r="AK22" s="1579">
        <f t="shared" si="0"/>
        <v>5.5E-2</v>
      </c>
      <c r="AL22" s="1554"/>
      <c r="AM22" s="1572" t="str">
        <f t="shared" si="2"/>
        <v>2008 / 5,5%</v>
      </c>
      <c r="AN22" s="1572"/>
      <c r="AO22" s="1527" t="s">
        <v>1626</v>
      </c>
      <c r="AP22" s="1529">
        <v>19.715199999999999</v>
      </c>
      <c r="AR22" s="1493">
        <f>254.15*(1+0)^4.63</f>
        <v>254.15</v>
      </c>
      <c r="AT22" s="1556">
        <f>-PV(0,19.15,254.15*12*(1+0)^4.63,,1)</f>
        <v>58403.67</v>
      </c>
      <c r="AU22" s="1592"/>
      <c r="AV22" s="1591"/>
      <c r="AW22" s="1590"/>
      <c r="AX22" s="1593"/>
      <c r="AY22" s="1556">
        <f>-PV(1.5%,16.89,500*12)</f>
        <v>88936.869951674089</v>
      </c>
      <c r="BA22" s="2076" t="e">
        <f>VLOOKUP(CHOOSE(AP27,AV$5,AV$6),CHOOSE(IF(I27&lt;60,60,IF(I27&gt;67,67,I27))-59,HRIR60,HRIR61,HRIR62,HRIR63,HRIR64,HRIR,HRIR66,HRIR67),CHOOSE(AQ27,7,16,25))</f>
        <v>#VALUE!</v>
      </c>
    </row>
    <row r="23" spans="1:64" s="1493" customFormat="1" ht="17.25" customHeight="1">
      <c r="A23" s="2542"/>
      <c r="B23" s="2587"/>
      <c r="C23" s="2512"/>
      <c r="D23" s="2589"/>
      <c r="E23" s="2512"/>
      <c r="F23" s="2589"/>
      <c r="G23" s="2589"/>
      <c r="H23" s="2512"/>
      <c r="I23" s="2512"/>
      <c r="J23" s="2512"/>
      <c r="K23" s="2512"/>
      <c r="L23" s="2512"/>
      <c r="M23" s="2512"/>
      <c r="N23" s="2512"/>
      <c r="O23" s="2621" t="str">
        <f>IF(Dat_EzE&lt;BilMoGAnfang,"kein BilMoG",IF(AA10&gt;0,"manueller ReZins",IF(Bilanz_BilMoG10,IF(Dat_EzE&lt;BilMoG10Anfang,"kein BilMoG-10","BilMoG-10"),IF(Dat_EzE&lt;BilMoGAnfang,"kein BilMoG-7","BilMoG-7"))))</f>
        <v>kein BilMoG</v>
      </c>
      <c r="P23" s="2392"/>
      <c r="Q23" s="2514"/>
      <c r="R23" s="2564"/>
      <c r="S23" s="2636"/>
      <c r="T23" s="2636"/>
      <c r="U23" s="2636"/>
      <c r="V23" s="2637"/>
      <c r="W23" s="1145"/>
      <c r="X23" s="2638"/>
      <c r="Y23" s="2549"/>
      <c r="Z23" s="2550"/>
      <c r="AA23" s="2551"/>
      <c r="AB23" s="2497"/>
      <c r="AC23" s="2498"/>
      <c r="AD23" s="2059">
        <v>22</v>
      </c>
      <c r="AE23" s="2069"/>
      <c r="AF23" s="969">
        <v>2009</v>
      </c>
      <c r="AG23" s="1577">
        <v>53086.508000000002</v>
      </c>
      <c r="AH23" s="1581">
        <v>51622.173900000002</v>
      </c>
      <c r="AI23" s="1578">
        <f t="shared" si="1"/>
        <v>0.97241607792322671</v>
      </c>
      <c r="AJ23" s="1554"/>
      <c r="AK23" s="1579">
        <f t="shared" si="0"/>
        <v>5.2499999999999998E-2</v>
      </c>
      <c r="AL23" s="1554"/>
      <c r="AM23" s="1572" t="str">
        <f t="shared" si="2"/>
        <v>2009 / 5,25%</v>
      </c>
      <c r="AN23" s="1572"/>
      <c r="AY23" s="1556"/>
      <c r="BA23" s="1556"/>
      <c r="BB23" s="1493">
        <f>IF(I27&gt;67,67,I27)-59</f>
        <v>-59</v>
      </c>
      <c r="BF23" s="1493" t="s">
        <v>1924</v>
      </c>
      <c r="BG23" s="1494" t="b">
        <v>1</v>
      </c>
    </row>
    <row r="24" spans="1:64" s="1493" customFormat="1" ht="17.25" customHeight="1">
      <c r="A24" s="2543"/>
      <c r="B24" s="2587"/>
      <c r="C24" s="2512"/>
      <c r="D24" s="2589"/>
      <c r="E24" s="2512"/>
      <c r="F24" s="2589"/>
      <c r="G24" s="2589"/>
      <c r="H24" s="2512"/>
      <c r="I24" s="2512"/>
      <c r="J24" s="2512"/>
      <c r="K24" s="2512"/>
      <c r="L24" s="2512"/>
      <c r="M24" s="2512"/>
      <c r="N24" s="2512"/>
      <c r="O24" s="2567">
        <f>+AA6</f>
        <v>0.06</v>
      </c>
      <c r="P24" s="2568"/>
      <c r="Q24" s="2514"/>
      <c r="R24" s="2564"/>
      <c r="S24" s="2222" t="s">
        <v>2008</v>
      </c>
      <c r="T24" s="1562"/>
      <c r="U24" s="2223" t="str">
        <f>IFERROR(TEXT(VLOOKUP(YEAR(Dat_EzE),MonatlicheBezugsgröße,2)*2.4,"#.##0 €")&amp;" / "&amp;TEXT(VLOOKUP(YEAR(Dat_EzE),MonatlicheBezugsgröße,2)*0.02,"#.##0,00 €"),"")</f>
        <v/>
      </c>
      <c r="V24" s="2224" t="str">
        <f>IFERROR(VLOOKUP(YEAR(Dat_EzE),MonatlicheBezugsgröße,2),"")</f>
        <v/>
      </c>
      <c r="W24" s="1145"/>
      <c r="X24" s="2638"/>
      <c r="Y24" s="2578" t="s">
        <v>1925</v>
      </c>
      <c r="Z24" s="2536" t="s">
        <v>1668</v>
      </c>
      <c r="AA24" s="2509" t="str">
        <f>IF(Dat_DRV_ReSumme,IF(ReSummeM,"Ø monatl. DRV-Rente in Leistungszeit","∑ erwartbarer Monatsrenten in der DRV"),"Barwert der Rente im EzE")</f>
        <v>Ø monatl. DRV-Rente in Leistungszeit</v>
      </c>
      <c r="AB24" s="2497"/>
      <c r="AC24" s="2498"/>
      <c r="AD24" s="2058">
        <v>23</v>
      </c>
      <c r="AE24" s="2069"/>
      <c r="AF24" s="969">
        <v>2010</v>
      </c>
      <c r="AG24" s="1577">
        <v>53086.508000000002</v>
      </c>
      <c r="AH24" s="1581">
        <v>50175.5867</v>
      </c>
      <c r="AI24" s="1578">
        <f t="shared" si="1"/>
        <v>0.94516645736050298</v>
      </c>
      <c r="AJ24" s="1554"/>
      <c r="AK24" s="1579">
        <f t="shared" si="0"/>
        <v>5.1500000000000004E-2</v>
      </c>
      <c r="AL24" s="1554"/>
      <c r="AM24" s="1572" t="str">
        <f t="shared" si="2"/>
        <v>2010 / 5,15%</v>
      </c>
      <c r="AN24" s="1572"/>
      <c r="AO24" s="2397" t="s">
        <v>1453</v>
      </c>
      <c r="AP24" s="2397"/>
      <c r="AQ24" s="2397"/>
      <c r="AR24" s="2397"/>
      <c r="AS24" s="2397"/>
      <c r="AT24" s="2397"/>
      <c r="AU24" s="2397"/>
      <c r="AV24" s="2397"/>
      <c r="AW24" s="2397"/>
      <c r="AX24" s="2397"/>
      <c r="AY24" s="2397"/>
      <c r="AZ24" s="2397"/>
      <c r="BA24" s="2397"/>
      <c r="BB24" s="2397"/>
      <c r="BC24" s="2397"/>
      <c r="BD24" s="2398" t="s">
        <v>1189</v>
      </c>
      <c r="BE24" s="2399"/>
      <c r="BF24" s="2399"/>
      <c r="BG24" s="2400"/>
      <c r="BH24" s="1594" t="s">
        <v>1462</v>
      </c>
    </row>
    <row r="25" spans="1:64" s="1493" customFormat="1" ht="17.25" customHeight="1">
      <c r="A25" s="2543"/>
      <c r="B25" s="2587"/>
      <c r="C25" s="2512"/>
      <c r="D25" s="2589"/>
      <c r="E25" s="2512"/>
      <c r="F25" s="2589"/>
      <c r="G25" s="2589"/>
      <c r="H25" s="2512"/>
      <c r="I25" s="2512"/>
      <c r="J25" s="2512"/>
      <c r="K25" s="2512"/>
      <c r="L25" s="2512"/>
      <c r="M25" s="2512"/>
      <c r="N25" s="2512"/>
      <c r="O25" s="2566" t="s">
        <v>1393</v>
      </c>
      <c r="P25" s="2566"/>
      <c r="Q25" s="2514"/>
      <c r="R25" s="2564"/>
      <c r="S25" s="2222" t="s">
        <v>2009</v>
      </c>
      <c r="T25" s="1562"/>
      <c r="U25" s="2582" t="str">
        <f>IFERROR(VLOOKUP(YEAR(Dat_EzE),BBMG,4),"")</f>
        <v/>
      </c>
      <c r="V25" s="2583"/>
      <c r="W25" s="1145"/>
      <c r="X25" s="2638"/>
      <c r="Y25" s="2579"/>
      <c r="Z25" s="2537"/>
      <c r="AA25" s="2510"/>
      <c r="AB25" s="2497"/>
      <c r="AC25" s="2498"/>
      <c r="AD25" s="2059">
        <v>24</v>
      </c>
      <c r="AE25" s="2069"/>
      <c r="AF25" s="969">
        <v>2011</v>
      </c>
      <c r="AG25" s="1577">
        <v>53086.508000000002</v>
      </c>
      <c r="AH25" s="1581">
        <v>53305.087699999996</v>
      </c>
      <c r="AI25" s="1578">
        <f t="shared" si="1"/>
        <v>1.0041174247136391</v>
      </c>
      <c r="AJ25" s="1554"/>
      <c r="AK25" s="1579">
        <f t="shared" si="0"/>
        <v>5.1399999999999994E-2</v>
      </c>
      <c r="AL25" s="1554"/>
      <c r="AM25" s="1572" t="str">
        <f t="shared" si="2"/>
        <v>2011 / 5,14%</v>
      </c>
      <c r="AN25" s="1572"/>
      <c r="AO25" s="1527"/>
      <c r="AP25" s="1527"/>
      <c r="AQ25" s="1527" t="s">
        <v>1366</v>
      </c>
      <c r="AR25" s="1529" t="b">
        <v>1</v>
      </c>
      <c r="AS25" s="1527"/>
      <c r="AT25" s="2524" t="s">
        <v>1483</v>
      </c>
      <c r="AU25" s="2524" t="s">
        <v>1484</v>
      </c>
      <c r="AV25" s="1527"/>
      <c r="AW25" s="1527"/>
      <c r="AX25" s="1527"/>
      <c r="AY25" s="2521" t="s">
        <v>1490</v>
      </c>
      <c r="AZ25" s="2521" t="s">
        <v>1586</v>
      </c>
      <c r="BA25" s="2521" t="s">
        <v>1587</v>
      </c>
      <c r="BB25" s="2397" t="s">
        <v>1585</v>
      </c>
      <c r="BC25" s="2397"/>
      <c r="BD25" s="1527"/>
      <c r="BE25" s="1527"/>
      <c r="BF25" s="1527" t="s">
        <v>175</v>
      </c>
      <c r="BG25" s="1527" t="s">
        <v>1416</v>
      </c>
      <c r="BH25" s="1573">
        <f>IF(V25+T25=0,0,ABS(IF(V25+T25&gt;0,(V25+T25)/F25-1,1)))</f>
        <v>0</v>
      </c>
      <c r="BI25" s="1595"/>
      <c r="BK25" s="1556">
        <v>68376</v>
      </c>
    </row>
    <row r="26" spans="1:64" s="1493" customFormat="1" ht="17.25" customHeight="1">
      <c r="A26" s="2543"/>
      <c r="B26" s="2587"/>
      <c r="C26" s="2512"/>
      <c r="D26" s="2589"/>
      <c r="E26" s="2512" t="s">
        <v>499</v>
      </c>
      <c r="F26" s="2589"/>
      <c r="G26" s="2589"/>
      <c r="H26" s="2512"/>
      <c r="I26" s="2512"/>
      <c r="J26" s="2512"/>
      <c r="K26" s="2512"/>
      <c r="L26" s="2512"/>
      <c r="M26" s="2512"/>
      <c r="N26" s="2512" t="s">
        <v>279</v>
      </c>
      <c r="O26" s="1489" t="s">
        <v>1392</v>
      </c>
      <c r="P26" s="1489" t="s">
        <v>1370</v>
      </c>
      <c r="Q26" s="2514"/>
      <c r="R26" s="2565"/>
      <c r="S26" s="1172" t="s">
        <v>21</v>
      </c>
      <c r="T26" s="1172" t="s">
        <v>559</v>
      </c>
      <c r="U26" s="1171" t="s">
        <v>21</v>
      </c>
      <c r="V26" s="1248" t="s">
        <v>559</v>
      </c>
      <c r="W26" s="1145"/>
      <c r="X26" s="2638"/>
      <c r="Y26" s="2579"/>
      <c r="Z26" s="2537"/>
      <c r="AA26" s="2510"/>
      <c r="AB26" s="2499"/>
      <c r="AC26" s="2500"/>
      <c r="AD26" s="2058">
        <v>25</v>
      </c>
      <c r="AE26" s="2069"/>
      <c r="AF26" s="969">
        <v>2012</v>
      </c>
      <c r="AG26" s="1577">
        <v>53086.508000000002</v>
      </c>
      <c r="AH26" s="1581">
        <v>51992.227400000003</v>
      </c>
      <c r="AI26" s="1578">
        <f t="shared" si="1"/>
        <v>0.97938684156810618</v>
      </c>
      <c r="AJ26" s="1554"/>
      <c r="AK26" s="1579">
        <f t="shared" si="0"/>
        <v>5.0499999999999996E-2</v>
      </c>
      <c r="AL26" s="1554"/>
      <c r="AM26" s="1572" t="str">
        <f t="shared" si="2"/>
        <v>2012 / 5,05%</v>
      </c>
      <c r="AN26" s="1572"/>
      <c r="AO26" s="1527" t="s">
        <v>1394</v>
      </c>
      <c r="AP26" s="1527" t="s">
        <v>612</v>
      </c>
      <c r="AQ26" s="1582" t="s">
        <v>1363</v>
      </c>
      <c r="AR26" s="1582" t="s">
        <v>256</v>
      </c>
      <c r="AS26" s="1582" t="s">
        <v>1362</v>
      </c>
      <c r="AT26" s="2525"/>
      <c r="AU26" s="2525"/>
      <c r="AV26" s="1582" t="s">
        <v>1361</v>
      </c>
      <c r="AW26" s="1582" t="s">
        <v>279</v>
      </c>
      <c r="AX26" s="1582" t="s">
        <v>280</v>
      </c>
      <c r="AY26" s="2521"/>
      <c r="AZ26" s="2521"/>
      <c r="BA26" s="2521"/>
      <c r="BB26" s="1527" t="s">
        <v>175</v>
      </c>
      <c r="BC26" s="1527" t="s">
        <v>176</v>
      </c>
      <c r="BD26" s="1411" t="s">
        <v>279</v>
      </c>
      <c r="BE26" s="1411" t="s">
        <v>280</v>
      </c>
      <c r="BF26" s="1527"/>
      <c r="BG26" s="1562"/>
      <c r="BH26" s="1573"/>
      <c r="BI26" s="1493" t="s">
        <v>1491</v>
      </c>
    </row>
    <row r="27" spans="1:64" s="1493" customFormat="1" ht="18" customHeight="1">
      <c r="A27" s="2543"/>
      <c r="B27" s="1297"/>
      <c r="C27" s="1148"/>
      <c r="D27" s="1304"/>
      <c r="E27" s="1149"/>
      <c r="F27" s="1149"/>
      <c r="G27" s="1149"/>
      <c r="H27" s="1317"/>
      <c r="I27" s="1318"/>
      <c r="J27" s="1319"/>
      <c r="K27" s="1319"/>
      <c r="L27" s="1320"/>
      <c r="M27" s="1306"/>
      <c r="N27" s="1321"/>
      <c r="O27" s="1365"/>
      <c r="P27" s="1491" t="str">
        <f t="shared" ref="P27:P38" si="3">IF(B27="","",IF(O27&lt;&gt;"",O27,BilMoG))</f>
        <v/>
      </c>
      <c r="Q27" s="1490" t="str">
        <f>IFERROR(IF(F27=0,"",1-(IF(B27="m",T27,V27))/F27),"")</f>
        <v/>
      </c>
      <c r="R27" s="1603" t="str">
        <f>IF(+AJ27&gt;0,AJ27,"")</f>
        <v/>
      </c>
      <c r="S27" s="1146" t="str">
        <f t="shared" ref="S27:S38" si="4">IF(OR(B27="",B27="w",L27="x"),"",IF(AND(B27="M",SUM(E27:G27)&gt;0,I27=""),"Renteneintritt?",IF(B27="m",IF(AND(OR(H27="K",H27="u"),E27=""),BK27,E27),0)))</f>
        <v/>
      </c>
      <c r="T27" s="1152">
        <f t="shared" ref="T27:T38" si="5">IF(OR(B27="w",B27="",L27="x"),,IFERROR(IF(AND(T$6="",B27="m"),"GebDat Mann?",IF(H27="K",CHOOSE(AP27,G27,0),IF(I27=0,0,IF(AND(G27&gt;0,AP27=1),G27,IF(B27="m",+BA27,0))))),""))</f>
        <v>0</v>
      </c>
      <c r="U27" s="1147" t="str">
        <f t="shared" ref="U27:U38" si="6">IF(OR(B27="",B27="m",L27="x"),"",IF(AND(SUM(E27:G27)&gt;0,I27="",B27="w"),"Renteneintritt?",IF(B27="W",IF(AND(OR(H27="K",H27="u"),E27=""),BK27,E27),0)))</f>
        <v/>
      </c>
      <c r="V27" s="1379">
        <f t="shared" ref="V27:V38" si="7">IF(OR(B27="",B27="m",L27="x"),0,IFERROR(IF(AND($V$6="",B27="w"),"GebDat Frau?",IF(H27="K",CHOOSE(AP27,0,G27),IF(I27=0,0,IF(AND(G27&gt;0,AP27=2),G27,IF(B27="w",BA27,0))))),0))</f>
        <v>0</v>
      </c>
      <c r="W27" s="1228"/>
      <c r="X27" s="1145"/>
      <c r="Y27" s="1505" t="str">
        <f t="shared" ref="Y27:Y38" si="8">IF(B27="","",IFERROR(ROUND(VLOOKUP(V$3,Umrechnungsfaktoren_BeitraginEP,2)*IF(B27="m",T27,V27)*$AK$4,2),0))</f>
        <v/>
      </c>
      <c r="Z27" s="1506" t="str">
        <f t="shared" ref="Z27:Z38" si="9">IF(B27="","",IFERROR(Y27*(1+RententrendDRV)^IF(B27="M",Dat_AZeit_M,Dat_AZeit_F),0))</f>
        <v/>
      </c>
      <c r="AA27" s="1504" t="str">
        <f>IF(B27="","",IF(SUM(S27:V27)=0,0,TEXT(BG27,"#.##0 €")&amp;IF(H27="u","**)","")))</f>
        <v/>
      </c>
      <c r="AB27" s="1992" t="str">
        <f t="shared" ref="AB27:AB38" si="10">IFERROR(IF(AP27=1,-PV(-K27,AR27,IF(E27=0,S27,E27)*12*(1+J27)^AS27,,1)/IF(ReSummeM,AR27*12,1),""),0)</f>
        <v/>
      </c>
      <c r="AC27" s="1993" t="str">
        <f t="shared" ref="AC27:AC38" si="11">IFERROR(IF(AP27=2,-PV(-K27,AR27,IF(E27=0,U27,E27)*12*(1+J27)^AS27,,1)/IF(ReSummeM,AR27*12,1),""),0)</f>
        <v/>
      </c>
      <c r="AD27" s="2059">
        <v>26</v>
      </c>
      <c r="AE27" s="2073"/>
      <c r="AF27" s="969">
        <v>2013</v>
      </c>
      <c r="AG27" s="1577">
        <v>53086.508000000002</v>
      </c>
      <c r="AH27" s="1581">
        <v>51818.584900000002</v>
      </c>
      <c r="AI27" s="1578">
        <f t="shared" si="1"/>
        <v>0.97611590688918548</v>
      </c>
      <c r="AJ27" s="1554">
        <f>IF(SUM(S27:V27)&gt;0,MAX(AJ$9:AJ26)+1,0)</f>
        <v>0</v>
      </c>
      <c r="AK27" s="1579">
        <f t="shared" si="0"/>
        <v>4.8899999999999999E-2</v>
      </c>
      <c r="AL27" s="1554" t="str">
        <f>IF(AR27+AS27=0,"","AZeit: "&amp;TEXT(AS27,"0,0")&amp;" /  Lzeit: "&amp;TEXT(AR27,"0,0"))</f>
        <v/>
      </c>
      <c r="AM27" s="1572" t="str">
        <f t="shared" si="2"/>
        <v>2013 / 4,89%</v>
      </c>
      <c r="AN27" s="1572"/>
      <c r="AO27" s="1535">
        <f t="shared" ref="AO27:AO38" si="12">IFERROR(CHOOSE(AP27,AV$5,AV$6),0)</f>
        <v>0</v>
      </c>
      <c r="AP27" s="1411">
        <f t="shared" ref="AP27:AP38" si="13">IF(B27="M",1,IF(B27="w",2,0))</f>
        <v>0</v>
      </c>
      <c r="AQ27" s="1411">
        <f t="shared" ref="AQ27:AQ38" si="14">IF(H27="u",3,IF(B27="m",1,IF(B27="w",2,)))</f>
        <v>0</v>
      </c>
      <c r="AR27" s="1535">
        <f t="shared" ref="AR27:AR38" si="15">IFERROR(ROUND(VLOOKUP(IF(I27&lt;CHOOSE(AP27,$AV$5,$AV$6),CHOOSE(AP27,$AV$5,$AV$6),I27),CHOOSE(AQ27,Lebenserwartung_M_V2,Lebenserwartung_F_V2,Lebenserwartung_N_V2),CHOOSE(AP27,YEAR(T$6)+IF(MONTH($T$6)&gt;6,1,0),YEAR(V$6)+IF(MONTH($V$6)&gt;6,1,0))-1900+2),3),0)</f>
        <v>0</v>
      </c>
      <c r="AS27" s="1535">
        <f t="shared" ref="AS27:AS38" si="16">IF(B27="",0,IF(I27-IF(AP27=1,AV$5,AV$6)&lt;0,0,I27-IF(AP27=1,AV$5,AV$6)))</f>
        <v>0</v>
      </c>
      <c r="AT27" s="1535">
        <f t="shared" ref="AT27:AT38" si="17">IFERROR(VLOOKUP(ROUND(I27,0),CHOOSE(AQ27,G_Kohorte_M,G_Kohorte_F,G_Kohorte_N),CHOOSE(AP27,YEAR(T$6)+IF(MONTH($T$6)&gt;6,1,0),YEAR(V$6)+IF(MONTH($V$6)&gt;6,1,0))-1900+2),0)</f>
        <v>0</v>
      </c>
      <c r="AU27" s="1535">
        <f t="shared" ref="AU27:AU38" si="18">IFERROR(VLOOKUP(ROUND(CHOOSE(AP27,AV$5,AV$6),0),CHOOSE(AQ27,G_Kohorte_M,G_Kohorte_F,G_Kohorte_N),CHOOSE(AP27,YEAR(T$6)+IF(MONTH($T$6)&gt;6,1,0),YEAR(V$6)+IF(MONTH($V$6)&gt;6,1,0))-1900+2),0)</f>
        <v>0</v>
      </c>
      <c r="AV27" s="1538">
        <f t="shared" ref="AV27:AV38" si="19">+IFERROR(ROUND(IF(AT27/AU27&gt;1,1,AT27/AU27),4),0)</f>
        <v>0</v>
      </c>
      <c r="AW27" s="1537">
        <f t="shared" ref="AW27:AW38" si="20">IFERROR(ROUND(VLOOKUP(CHOOSE(AP27,AV$5,AV$6),CHOOSE(IF(I27&lt;60,60,IF(I27&gt;67,67,I27))-59,HRIR60,HRIR61,HRIR62,HRIR63,HRIR64,HRIR,HRIR66,HRIR67),CHOOSE(AQ27,8,17,26))*N27,4),0)</f>
        <v>0</v>
      </c>
      <c r="AX27" s="1537">
        <f t="shared" ref="AX27:AX38" si="21">ROUND(IF(I27&lt;=IF(AP27=2,$AV$6,$AV$5),0,IFERROR(VLOOKUP(CHOOSE(AP27,AV$5,AV$6),CHOOSE(IF(I27&lt;60,60,IF(I27&gt;67,67,I27))-59,HRIR60,HRIR61,HRIR62,HRIR63,HRIR64,HRIR,HRIR66,HRIR67),CHOOSE(AQ27,7,16,25))*M27,0)),4)</f>
        <v>0</v>
      </c>
      <c r="AY27" s="1585" t="e">
        <f t="shared" ref="AY27:AY38" si="22">-PV(P27-K27,AR27,E27*(1+J27)^AS27*12)</f>
        <v>#VALUE!</v>
      </c>
      <c r="AZ27" s="1562" t="str">
        <f t="shared" ref="AZ27:AZ38" si="23">IFERROR(-PV(P27,AS27,,AY27),"")</f>
        <v/>
      </c>
      <c r="BA27" s="1562" t="str">
        <f t="shared" ref="BA27:BA38" si="24">IFERROR(IF(G27&gt;0,G27,+AZ27*(1+AX27+AW27)*AV27),"")</f>
        <v/>
      </c>
      <c r="BB27" s="1562">
        <f t="shared" ref="BB27:BB38" si="25">IFERROR(CHOOSE(AP27,S27,0)*(1+J27)^AS27,0)</f>
        <v>0</v>
      </c>
      <c r="BC27" s="1562" t="str">
        <f t="shared" ref="BC27:BC38" si="26">IFERROR(CHOOSE(AP27,0,U27)*(1+J27)^AS27,"")</f>
        <v/>
      </c>
      <c r="BD27" s="1537">
        <f t="shared" ref="BD27:BD38" si="27">IFERROR(ROUND(VLOOKUP(CHOOSE(AP27,AV$5,AV$6),CHOOSE(IF(I27&lt;60,60,IF(I27&gt;67,67,I27))-59,HRIR60,HRIR61,HRIR62,HRIR63,HRIR64,HRIR,HRIR66,HRIR67),CHOOSE(AQ27,8,17,26))*0.55,4),0)</f>
        <v>0</v>
      </c>
      <c r="BE27" s="1537">
        <f t="shared" ref="BE27:BE38" si="28">ROUND(IF(I27&lt;=IF(AP27=2,$AV$6,$AV$5),0,IFERROR(VLOOKUP(CHOOSE(AP27,AV$5,AV$6),CHOOSE(IF(I27&lt;60,60,IF(I27&gt;67,67,I27))-59,HRIR60,HRIR61,HRIR62,HRIR63,HRIR64,HRIR,HRIR66,HRIR67),CHOOSE(AQ27,7,16,25))*1,0)),4)</f>
        <v>0</v>
      </c>
      <c r="BF27" s="1527"/>
      <c r="BG27" s="1562">
        <f t="shared" ref="BG27:BG38" si="29">IFERROR(IF(Dat_DRV_ReSumme,-PV(-RententrendDRV,IF(AQ27=1,BB$5,BB$6),Z27*12,,1)/IF(ReSummeM,12*AR27,1),-PV(P27-RententrendDRV,CHOOSE(AP27,Dat_AZeit_M,Dat_AZeit_F),,-PV(P27-RententrendDRV,IF(AP27=1,BB$5,BB$6),Y27*12,,1)*(1+CHOOSE(AP27,AX$5+AY$5,AX$6+AY$6))*CHOOSE(AP27,BE$5,BE$6))),0)</f>
        <v>0</v>
      </c>
      <c r="BH27" s="1573">
        <f t="shared" ref="BH27:BH38" si="30">IF(V27+T27=0,0,ABS(IF(V27+T27&gt;0,(V27+T27)/F27-1,1)))</f>
        <v>0</v>
      </c>
      <c r="BI27" s="1556" t="e">
        <f>BA27/(1+AW27+AX27)</f>
        <v>#VALUE!</v>
      </c>
      <c r="BJ27" s="1556" t="e">
        <f>-FV(P27-J27,AS27,,-PMT(P27-K27,AR27,BI27)*(1)^-AS27/AV27)</f>
        <v>#VALUE!</v>
      </c>
      <c r="BK27" s="1556" t="e">
        <f>+BJ27/12</f>
        <v>#VALUE!</v>
      </c>
    </row>
    <row r="28" spans="1:64" s="1493" customFormat="1" ht="18" customHeight="1">
      <c r="A28" s="2543"/>
      <c r="B28" s="1297"/>
      <c r="C28" s="1148"/>
      <c r="D28" s="1304"/>
      <c r="E28" s="1149"/>
      <c r="F28" s="1149"/>
      <c r="G28" s="1149"/>
      <c r="H28" s="1317"/>
      <c r="I28" s="1318"/>
      <c r="J28" s="1319"/>
      <c r="K28" s="1319"/>
      <c r="L28" s="1320"/>
      <c r="M28" s="1306"/>
      <c r="N28" s="1321"/>
      <c r="O28" s="2292"/>
      <c r="P28" s="1491" t="str">
        <f t="shared" si="3"/>
        <v/>
      </c>
      <c r="Q28" s="1490" t="str">
        <f t="shared" ref="Q28:Q38" si="31">IFERROR(IF(F28=0,"",1-(IF(B28="m",T28,V28))/F28),"")</f>
        <v/>
      </c>
      <c r="R28" s="1603" t="str">
        <f>IF(+AJ28&gt;0,AJ28,"")</f>
        <v/>
      </c>
      <c r="S28" s="1146" t="str">
        <f t="shared" si="4"/>
        <v/>
      </c>
      <c r="T28" s="1152">
        <f t="shared" si="5"/>
        <v>0</v>
      </c>
      <c r="U28" s="1147" t="str">
        <f t="shared" si="6"/>
        <v/>
      </c>
      <c r="V28" s="1379">
        <f t="shared" si="7"/>
        <v>0</v>
      </c>
      <c r="W28" s="1295"/>
      <c r="X28" s="1145"/>
      <c r="Y28" s="1505" t="str">
        <f t="shared" si="8"/>
        <v/>
      </c>
      <c r="Z28" s="1506" t="str">
        <f t="shared" si="9"/>
        <v/>
      </c>
      <c r="AA28" s="1504" t="str">
        <f t="shared" ref="AA28:AA38" si="32">IF(B28="","",IF(SUM(S28:V28)=0,0,TEXT(BG28,"#.##0 €")&amp;IF(H28="u","**)","")))</f>
        <v/>
      </c>
      <c r="AB28" s="1992" t="str">
        <f t="shared" si="10"/>
        <v/>
      </c>
      <c r="AC28" s="1993" t="str">
        <f t="shared" si="11"/>
        <v/>
      </c>
      <c r="AD28" s="2058">
        <v>27</v>
      </c>
      <c r="AE28" s="2073"/>
      <c r="AF28" s="969">
        <v>2014</v>
      </c>
      <c r="AG28" s="1577">
        <v>53086.508000000002</v>
      </c>
      <c r="AH28" s="1581">
        <v>51656.880899999996</v>
      </c>
      <c r="AI28" s="1578">
        <f t="shared" si="1"/>
        <v>0.97306985985968397</v>
      </c>
      <c r="AJ28" s="1554">
        <f>IF(SUM(S28:V28)&gt;0,MAX(AJ$9:AJ27)+1,0)</f>
        <v>0</v>
      </c>
      <c r="AK28" s="1579">
        <f t="shared" si="0"/>
        <v>4.58E-2</v>
      </c>
      <c r="AL28" s="1554" t="str">
        <f t="shared" ref="AL28:AL38" si="33">IF(AR28+AS28=0,"","AZeit: "&amp;TEXT(AS28,"0,0")&amp;" /  Lzeit: "&amp;TEXT(AR28,"0,0"))</f>
        <v/>
      </c>
      <c r="AM28" s="1572" t="str">
        <f t="shared" si="2"/>
        <v>2014 / 4,58%</v>
      </c>
      <c r="AN28" s="1572"/>
      <c r="AO28" s="1535">
        <f t="shared" si="12"/>
        <v>0</v>
      </c>
      <c r="AP28" s="1411">
        <f t="shared" si="13"/>
        <v>0</v>
      </c>
      <c r="AQ28" s="1411">
        <f t="shared" si="14"/>
        <v>0</v>
      </c>
      <c r="AR28" s="1535">
        <f t="shared" si="15"/>
        <v>0</v>
      </c>
      <c r="AS28" s="1535">
        <f t="shared" si="16"/>
        <v>0</v>
      </c>
      <c r="AT28" s="1539">
        <f t="shared" si="17"/>
        <v>0</v>
      </c>
      <c r="AU28" s="1539">
        <f t="shared" si="18"/>
        <v>0</v>
      </c>
      <c r="AV28" s="1538">
        <f t="shared" si="19"/>
        <v>0</v>
      </c>
      <c r="AW28" s="2077">
        <f t="shared" si="20"/>
        <v>0</v>
      </c>
      <c r="AX28" s="2077">
        <f t="shared" si="21"/>
        <v>0</v>
      </c>
      <c r="AY28" s="1585" t="e">
        <f t="shared" si="22"/>
        <v>#VALUE!</v>
      </c>
      <c r="AZ28" s="1562" t="str">
        <f t="shared" si="23"/>
        <v/>
      </c>
      <c r="BA28" s="1562" t="str">
        <f t="shared" si="24"/>
        <v/>
      </c>
      <c r="BB28" s="1562">
        <f t="shared" si="25"/>
        <v>0</v>
      </c>
      <c r="BC28" s="1562" t="str">
        <f t="shared" si="26"/>
        <v/>
      </c>
      <c r="BD28" s="1537">
        <f t="shared" si="27"/>
        <v>0</v>
      </c>
      <c r="BE28" s="1537">
        <f t="shared" si="28"/>
        <v>0</v>
      </c>
      <c r="BF28" s="1527"/>
      <c r="BG28" s="1562">
        <f t="shared" si="29"/>
        <v>0</v>
      </c>
      <c r="BH28" s="1573">
        <f t="shared" si="30"/>
        <v>0</v>
      </c>
      <c r="BI28" s="1556" t="e">
        <f>BA28/(1+AW28+AX28)</f>
        <v>#VALUE!</v>
      </c>
      <c r="BJ28" s="1556" t="e">
        <f>-FV(P28-J28,AS28,,-PMT(P28-K28,AR28,BI28)*(1)^-AS28/AV28)</f>
        <v>#VALUE!</v>
      </c>
      <c r="BK28" s="1556" t="e">
        <f t="shared" ref="BK28:BK38" si="34">+BJ28/12</f>
        <v>#VALUE!</v>
      </c>
    </row>
    <row r="29" spans="1:64" s="1493" customFormat="1" ht="18" customHeight="1">
      <c r="A29" s="2543"/>
      <c r="B29" s="1297"/>
      <c r="C29" s="1148"/>
      <c r="D29" s="1304"/>
      <c r="E29" s="1149"/>
      <c r="F29" s="1149"/>
      <c r="G29" s="1149"/>
      <c r="H29" s="1317"/>
      <c r="I29" s="1318"/>
      <c r="J29" s="1319"/>
      <c r="K29" s="1319"/>
      <c r="L29" s="1320"/>
      <c r="M29" s="1306"/>
      <c r="N29" s="1321"/>
      <c r="O29" s="1365"/>
      <c r="P29" s="1491" t="str">
        <f t="shared" si="3"/>
        <v/>
      </c>
      <c r="Q29" s="1490" t="str">
        <f t="shared" si="31"/>
        <v/>
      </c>
      <c r="R29" s="1603" t="str">
        <f t="shared" ref="R29:R38" si="35">IF(+AJ29&gt;0,AJ29,"")</f>
        <v/>
      </c>
      <c r="S29" s="1146" t="str">
        <f t="shared" si="4"/>
        <v/>
      </c>
      <c r="T29" s="1152">
        <f t="shared" si="5"/>
        <v>0</v>
      </c>
      <c r="U29" s="1147" t="str">
        <f t="shared" si="6"/>
        <v/>
      </c>
      <c r="V29" s="1379">
        <f t="shared" si="7"/>
        <v>0</v>
      </c>
      <c r="W29" s="1145"/>
      <c r="X29" s="1145"/>
      <c r="Y29" s="1505" t="str">
        <f t="shared" si="8"/>
        <v/>
      </c>
      <c r="Z29" s="1506" t="str">
        <f t="shared" si="9"/>
        <v/>
      </c>
      <c r="AA29" s="1504" t="str">
        <f t="shared" si="32"/>
        <v/>
      </c>
      <c r="AB29" s="1992" t="str">
        <f t="shared" si="10"/>
        <v/>
      </c>
      <c r="AC29" s="1993" t="str">
        <f t="shared" si="11"/>
        <v/>
      </c>
      <c r="AD29" s="2059">
        <v>28</v>
      </c>
      <c r="AE29" s="2073"/>
      <c r="AF29" s="969">
        <v>2015</v>
      </c>
      <c r="AG29" s="1577">
        <v>53086.508000000002</v>
      </c>
      <c r="AH29" s="1581">
        <v>52997.950100000002</v>
      </c>
      <c r="AI29" s="1578">
        <f t="shared" si="1"/>
        <v>0.99833181907538537</v>
      </c>
      <c r="AJ29" s="1554">
        <f>IF(SUM(S29:V29)&gt;0,MAX(AJ$9:AJ28)+1,0)</f>
        <v>0</v>
      </c>
      <c r="AK29" s="1579">
        <f t="shared" si="0"/>
        <v>3.9399999999999998E-2</v>
      </c>
      <c r="AL29" s="1554" t="str">
        <f t="shared" si="33"/>
        <v/>
      </c>
      <c r="AM29" s="1572" t="str">
        <f t="shared" si="2"/>
        <v>2015 / 3,94%</v>
      </c>
      <c r="AN29" s="1572"/>
      <c r="AO29" s="1535">
        <f t="shared" si="12"/>
        <v>0</v>
      </c>
      <c r="AP29" s="1411">
        <f t="shared" si="13"/>
        <v>0</v>
      </c>
      <c r="AQ29" s="1411">
        <f t="shared" si="14"/>
        <v>0</v>
      </c>
      <c r="AR29" s="1535">
        <f t="shared" si="15"/>
        <v>0</v>
      </c>
      <c r="AS29" s="1535">
        <f t="shared" si="16"/>
        <v>0</v>
      </c>
      <c r="AT29" s="1539">
        <f t="shared" si="17"/>
        <v>0</v>
      </c>
      <c r="AU29" s="1539">
        <f t="shared" si="18"/>
        <v>0</v>
      </c>
      <c r="AV29" s="1538">
        <f t="shared" si="19"/>
        <v>0</v>
      </c>
      <c r="AW29" s="2077">
        <f t="shared" si="20"/>
        <v>0</v>
      </c>
      <c r="AX29" s="2077">
        <f t="shared" si="21"/>
        <v>0</v>
      </c>
      <c r="AY29" s="1585" t="e">
        <f t="shared" si="22"/>
        <v>#VALUE!</v>
      </c>
      <c r="AZ29" s="1562" t="str">
        <f t="shared" si="23"/>
        <v/>
      </c>
      <c r="BA29" s="1562" t="str">
        <f t="shared" si="24"/>
        <v/>
      </c>
      <c r="BB29" s="1562">
        <f t="shared" si="25"/>
        <v>0</v>
      </c>
      <c r="BC29" s="1562" t="str">
        <f t="shared" si="26"/>
        <v/>
      </c>
      <c r="BD29" s="1537">
        <f t="shared" si="27"/>
        <v>0</v>
      </c>
      <c r="BE29" s="1537">
        <f t="shared" si="28"/>
        <v>0</v>
      </c>
      <c r="BF29" s="1527"/>
      <c r="BG29" s="1562">
        <f t="shared" si="29"/>
        <v>0</v>
      </c>
      <c r="BH29" s="1573">
        <f t="shared" si="30"/>
        <v>0</v>
      </c>
      <c r="BI29" s="1556" t="e">
        <f>BA29/(1+AW29+AX29)</f>
        <v>#VALUE!</v>
      </c>
      <c r="BJ29" s="1556" t="e">
        <f>-FV(P29-J29,AS29,,(-PMT(P29-K29,AR29,BI29))/AV29)</f>
        <v>#VALUE!</v>
      </c>
      <c r="BK29" s="1556" t="e">
        <f t="shared" si="34"/>
        <v>#VALUE!</v>
      </c>
      <c r="BL29" s="1556"/>
    </row>
    <row r="30" spans="1:64" s="1493" customFormat="1" ht="18" customHeight="1">
      <c r="A30" s="2543"/>
      <c r="B30" s="1297"/>
      <c r="C30" s="1148"/>
      <c r="D30" s="1304"/>
      <c r="E30" s="1149"/>
      <c r="F30" s="1149"/>
      <c r="G30" s="1149"/>
      <c r="H30" s="1317"/>
      <c r="I30" s="1318"/>
      <c r="J30" s="1319"/>
      <c r="K30" s="1319"/>
      <c r="L30" s="1320"/>
      <c r="M30" s="1306"/>
      <c r="N30" s="1321"/>
      <c r="O30" s="1365"/>
      <c r="P30" s="1491" t="str">
        <f t="shared" si="3"/>
        <v/>
      </c>
      <c r="Q30" s="1490" t="str">
        <f t="shared" si="31"/>
        <v/>
      </c>
      <c r="R30" s="1603" t="str">
        <f t="shared" si="35"/>
        <v/>
      </c>
      <c r="S30" s="1146" t="str">
        <f t="shared" si="4"/>
        <v/>
      </c>
      <c r="T30" s="1152">
        <f t="shared" si="5"/>
        <v>0</v>
      </c>
      <c r="U30" s="1147" t="str">
        <f t="shared" si="6"/>
        <v/>
      </c>
      <c r="V30" s="1379">
        <f t="shared" si="7"/>
        <v>0</v>
      </c>
      <c r="W30" s="1145"/>
      <c r="X30" s="1145"/>
      <c r="Y30" s="1505" t="str">
        <f t="shared" si="8"/>
        <v/>
      </c>
      <c r="Z30" s="1506" t="str">
        <f t="shared" si="9"/>
        <v/>
      </c>
      <c r="AA30" s="1504" t="str">
        <f t="shared" si="32"/>
        <v/>
      </c>
      <c r="AB30" s="1992" t="str">
        <f t="shared" si="10"/>
        <v/>
      </c>
      <c r="AC30" s="1993" t="str">
        <f t="shared" si="11"/>
        <v/>
      </c>
      <c r="AD30" s="2058">
        <v>29</v>
      </c>
      <c r="AE30" s="2073"/>
      <c r="AF30" s="969">
        <v>2016</v>
      </c>
      <c r="AG30" s="1577">
        <v>53086.508000000002</v>
      </c>
      <c r="AH30" s="1581">
        <v>53750.841699999997</v>
      </c>
      <c r="AI30" s="1578">
        <f t="shared" si="1"/>
        <v>1.0125141721508597</v>
      </c>
      <c r="AJ30" s="1554">
        <f>IF(SUM(S30:V30)&gt;0,MAX(AJ$9:AJ29)+1,0)</f>
        <v>0</v>
      </c>
      <c r="AK30" s="1579">
        <f t="shared" si="0"/>
        <v>3.2799999999999996E-2</v>
      </c>
      <c r="AL30" s="1554" t="str">
        <f t="shared" si="33"/>
        <v/>
      </c>
      <c r="AM30" s="1572" t="str">
        <f t="shared" si="2"/>
        <v>2016 / 3,28%</v>
      </c>
      <c r="AN30" s="1572"/>
      <c r="AO30" s="1535">
        <f t="shared" si="12"/>
        <v>0</v>
      </c>
      <c r="AP30" s="1411">
        <f t="shared" si="13"/>
        <v>0</v>
      </c>
      <c r="AQ30" s="1411">
        <f t="shared" si="14"/>
        <v>0</v>
      </c>
      <c r="AR30" s="1535">
        <f t="shared" si="15"/>
        <v>0</v>
      </c>
      <c r="AS30" s="1535">
        <f t="shared" si="16"/>
        <v>0</v>
      </c>
      <c r="AT30" s="1539">
        <f t="shared" si="17"/>
        <v>0</v>
      </c>
      <c r="AU30" s="1539">
        <f t="shared" si="18"/>
        <v>0</v>
      </c>
      <c r="AV30" s="1538">
        <f t="shared" si="19"/>
        <v>0</v>
      </c>
      <c r="AW30" s="2077">
        <f t="shared" si="20"/>
        <v>0</v>
      </c>
      <c r="AX30" s="2077">
        <f t="shared" si="21"/>
        <v>0</v>
      </c>
      <c r="AY30" s="1585" t="e">
        <f t="shared" si="22"/>
        <v>#VALUE!</v>
      </c>
      <c r="AZ30" s="1562" t="str">
        <f t="shared" si="23"/>
        <v/>
      </c>
      <c r="BA30" s="1562" t="str">
        <f t="shared" si="24"/>
        <v/>
      </c>
      <c r="BB30" s="1562">
        <f t="shared" si="25"/>
        <v>0</v>
      </c>
      <c r="BC30" s="1562" t="str">
        <f t="shared" si="26"/>
        <v/>
      </c>
      <c r="BD30" s="1537">
        <f t="shared" si="27"/>
        <v>0</v>
      </c>
      <c r="BE30" s="1537">
        <f t="shared" si="28"/>
        <v>0</v>
      </c>
      <c r="BF30" s="1527"/>
      <c r="BG30" s="1562">
        <f t="shared" si="29"/>
        <v>0</v>
      </c>
      <c r="BH30" s="1573">
        <f t="shared" si="30"/>
        <v>0</v>
      </c>
      <c r="BI30" s="1556" t="e">
        <f t="shared" ref="BI30:BI38" si="36">BA30/(1+AW30+AX30)</f>
        <v>#VALUE!</v>
      </c>
      <c r="BJ30" s="1556" t="e">
        <f t="shared" ref="BJ30:BJ38" si="37">-FV(P30-J30,AS30,,-PMT(P30-K30,AR30,BI30)*(1)^-AS30/AV30)</f>
        <v>#VALUE!</v>
      </c>
      <c r="BK30" s="1556" t="e">
        <f t="shared" si="34"/>
        <v>#VALUE!</v>
      </c>
    </row>
    <row r="31" spans="1:64" s="1493" customFormat="1" ht="18" customHeight="1">
      <c r="A31" s="2543"/>
      <c r="B31" s="1297"/>
      <c r="C31" s="1382"/>
      <c r="D31" s="1304"/>
      <c r="E31" s="1149"/>
      <c r="F31" s="1149"/>
      <c r="G31" s="1149"/>
      <c r="H31" s="1317"/>
      <c r="I31" s="1318"/>
      <c r="J31" s="1319"/>
      <c r="K31" s="1319"/>
      <c r="L31" s="1320"/>
      <c r="M31" s="1306"/>
      <c r="N31" s="1321"/>
      <c r="O31" s="1365"/>
      <c r="P31" s="1491" t="str">
        <f t="shared" si="3"/>
        <v/>
      </c>
      <c r="Q31" s="1490" t="str">
        <f t="shared" si="31"/>
        <v/>
      </c>
      <c r="R31" s="1603" t="str">
        <f t="shared" si="35"/>
        <v/>
      </c>
      <c r="S31" s="1146" t="str">
        <f t="shared" si="4"/>
        <v/>
      </c>
      <c r="T31" s="1152">
        <f t="shared" si="5"/>
        <v>0</v>
      </c>
      <c r="U31" s="1147" t="str">
        <f t="shared" si="6"/>
        <v/>
      </c>
      <c r="V31" s="1379">
        <f t="shared" si="7"/>
        <v>0</v>
      </c>
      <c r="W31" s="1145"/>
      <c r="X31" s="1145"/>
      <c r="Y31" s="1505" t="str">
        <f t="shared" si="8"/>
        <v/>
      </c>
      <c r="Z31" s="1506" t="str">
        <f t="shared" si="9"/>
        <v/>
      </c>
      <c r="AA31" s="1504" t="str">
        <f t="shared" si="32"/>
        <v/>
      </c>
      <c r="AB31" s="1992" t="str">
        <f t="shared" si="10"/>
        <v/>
      </c>
      <c r="AC31" s="1993" t="str">
        <f t="shared" si="11"/>
        <v/>
      </c>
      <c r="AD31" s="2059">
        <v>30</v>
      </c>
      <c r="AE31" s="2073"/>
      <c r="AF31" s="969">
        <v>2017</v>
      </c>
      <c r="AG31" s="1577">
        <v>53086.508000000002</v>
      </c>
      <c r="AH31" s="1581">
        <v>53969.843399999998</v>
      </c>
      <c r="AI31" s="1578">
        <f t="shared" si="1"/>
        <v>1.0166395461536102</v>
      </c>
      <c r="AJ31" s="1554">
        <f>IF(SUM(S31:V31)&gt;0,MAX(AJ$9:AJ30)+1,0)</f>
        <v>0</v>
      </c>
      <c r="AK31" s="1579">
        <f t="shared" si="0"/>
        <v>2.8399999999999998E-2</v>
      </c>
      <c r="AL31" s="1554" t="str">
        <f t="shared" si="33"/>
        <v/>
      </c>
      <c r="AM31" s="1572" t="str">
        <f t="shared" si="2"/>
        <v>2017 / 2,84%</v>
      </c>
      <c r="AN31" s="1572"/>
      <c r="AO31" s="1535">
        <f t="shared" si="12"/>
        <v>0</v>
      </c>
      <c r="AP31" s="1411">
        <f t="shared" si="13"/>
        <v>0</v>
      </c>
      <c r="AQ31" s="1411">
        <f t="shared" si="14"/>
        <v>0</v>
      </c>
      <c r="AR31" s="1535">
        <f t="shared" si="15"/>
        <v>0</v>
      </c>
      <c r="AS31" s="1535">
        <f t="shared" si="16"/>
        <v>0</v>
      </c>
      <c r="AT31" s="1539">
        <f t="shared" si="17"/>
        <v>0</v>
      </c>
      <c r="AU31" s="1539">
        <f t="shared" si="18"/>
        <v>0</v>
      </c>
      <c r="AV31" s="1538">
        <f t="shared" si="19"/>
        <v>0</v>
      </c>
      <c r="AW31" s="2077">
        <f t="shared" si="20"/>
        <v>0</v>
      </c>
      <c r="AX31" s="2077">
        <f t="shared" si="21"/>
        <v>0</v>
      </c>
      <c r="AY31" s="1585" t="e">
        <f t="shared" si="22"/>
        <v>#VALUE!</v>
      </c>
      <c r="AZ31" s="1562" t="str">
        <f t="shared" si="23"/>
        <v/>
      </c>
      <c r="BA31" s="1562" t="str">
        <f t="shared" si="24"/>
        <v/>
      </c>
      <c r="BB31" s="1562">
        <f t="shared" si="25"/>
        <v>0</v>
      </c>
      <c r="BC31" s="1562" t="str">
        <f t="shared" si="26"/>
        <v/>
      </c>
      <c r="BD31" s="1537">
        <f t="shared" si="27"/>
        <v>0</v>
      </c>
      <c r="BE31" s="1537">
        <f t="shared" si="28"/>
        <v>0</v>
      </c>
      <c r="BF31" s="1527"/>
      <c r="BG31" s="1562">
        <f t="shared" si="29"/>
        <v>0</v>
      </c>
      <c r="BH31" s="1573">
        <f t="shared" si="30"/>
        <v>0</v>
      </c>
      <c r="BI31" s="1556" t="e">
        <f t="shared" si="36"/>
        <v>#VALUE!</v>
      </c>
      <c r="BJ31" s="1556" t="e">
        <f t="shared" si="37"/>
        <v>#VALUE!</v>
      </c>
      <c r="BK31" s="1556" t="e">
        <f t="shared" si="34"/>
        <v>#VALUE!</v>
      </c>
    </row>
    <row r="32" spans="1:64" s="1493" customFormat="1" ht="18" customHeight="1">
      <c r="A32" s="2543"/>
      <c r="B32" s="1297"/>
      <c r="C32" s="1148"/>
      <c r="D32" s="1304"/>
      <c r="E32" s="1149"/>
      <c r="F32" s="1149"/>
      <c r="G32" s="1149"/>
      <c r="H32" s="1317"/>
      <c r="I32" s="1318"/>
      <c r="J32" s="1319"/>
      <c r="K32" s="1319"/>
      <c r="L32" s="1320"/>
      <c r="M32" s="1306"/>
      <c r="N32" s="1321"/>
      <c r="O32" s="1365"/>
      <c r="P32" s="1491" t="str">
        <f t="shared" si="3"/>
        <v/>
      </c>
      <c r="Q32" s="1490" t="str">
        <f t="shared" si="31"/>
        <v/>
      </c>
      <c r="R32" s="1603" t="str">
        <f t="shared" si="35"/>
        <v/>
      </c>
      <c r="S32" s="1146" t="str">
        <f t="shared" si="4"/>
        <v/>
      </c>
      <c r="T32" s="1152">
        <f t="shared" si="5"/>
        <v>0</v>
      </c>
      <c r="U32" s="1147" t="str">
        <f t="shared" si="6"/>
        <v/>
      </c>
      <c r="V32" s="1379">
        <f t="shared" si="7"/>
        <v>0</v>
      </c>
      <c r="W32" s="1145"/>
      <c r="X32" s="1145"/>
      <c r="Y32" s="1505" t="str">
        <f t="shared" si="8"/>
        <v/>
      </c>
      <c r="Z32" s="1506" t="str">
        <f t="shared" si="9"/>
        <v/>
      </c>
      <c r="AA32" s="1504" t="str">
        <f t="shared" si="32"/>
        <v/>
      </c>
      <c r="AB32" s="1992" t="str">
        <f t="shared" si="10"/>
        <v/>
      </c>
      <c r="AC32" s="1993" t="str">
        <f t="shared" si="11"/>
        <v/>
      </c>
      <c r="AD32" s="2058">
        <v>31</v>
      </c>
      <c r="AE32" s="2073"/>
      <c r="AF32" s="969">
        <v>2018</v>
      </c>
      <c r="AG32" s="1577">
        <v>53086.508000000002</v>
      </c>
      <c r="AH32" s="1581">
        <v>55307.095200000003</v>
      </c>
      <c r="AI32" s="1578">
        <f t="shared" si="1"/>
        <v>1.0418295963260571</v>
      </c>
      <c r="AJ32" s="1554">
        <f>IF(SUM(S32:V32)&gt;0,MAX(AJ$9:AJ31)+1,0)</f>
        <v>0</v>
      </c>
      <c r="AK32" s="1579">
        <f t="shared" si="0"/>
        <v>2.3599999999999999E-2</v>
      </c>
      <c r="AL32" s="1554" t="str">
        <f t="shared" si="33"/>
        <v/>
      </c>
      <c r="AM32" s="1572" t="str">
        <f t="shared" si="2"/>
        <v>2018 / 2,36%</v>
      </c>
      <c r="AN32" s="1572"/>
      <c r="AO32" s="1535">
        <f t="shared" si="12"/>
        <v>0</v>
      </c>
      <c r="AP32" s="1411">
        <f t="shared" si="13"/>
        <v>0</v>
      </c>
      <c r="AQ32" s="1411">
        <f t="shared" si="14"/>
        <v>0</v>
      </c>
      <c r="AR32" s="1535">
        <f t="shared" si="15"/>
        <v>0</v>
      </c>
      <c r="AS32" s="1535">
        <f t="shared" si="16"/>
        <v>0</v>
      </c>
      <c r="AT32" s="1539">
        <f t="shared" si="17"/>
        <v>0</v>
      </c>
      <c r="AU32" s="1539">
        <f t="shared" si="18"/>
        <v>0</v>
      </c>
      <c r="AV32" s="1538">
        <f t="shared" si="19"/>
        <v>0</v>
      </c>
      <c r="AW32" s="2077">
        <f t="shared" si="20"/>
        <v>0</v>
      </c>
      <c r="AX32" s="2077">
        <f t="shared" si="21"/>
        <v>0</v>
      </c>
      <c r="AY32" s="1585" t="e">
        <f t="shared" si="22"/>
        <v>#VALUE!</v>
      </c>
      <c r="AZ32" s="1562" t="str">
        <f t="shared" si="23"/>
        <v/>
      </c>
      <c r="BA32" s="1562" t="str">
        <f t="shared" si="24"/>
        <v/>
      </c>
      <c r="BB32" s="1562">
        <f t="shared" si="25"/>
        <v>0</v>
      </c>
      <c r="BC32" s="1562" t="str">
        <f t="shared" si="26"/>
        <v/>
      </c>
      <c r="BD32" s="1537">
        <f t="shared" si="27"/>
        <v>0</v>
      </c>
      <c r="BE32" s="1537">
        <f t="shared" si="28"/>
        <v>0</v>
      </c>
      <c r="BF32" s="1527"/>
      <c r="BG32" s="1562">
        <f t="shared" si="29"/>
        <v>0</v>
      </c>
      <c r="BH32" s="1573">
        <f t="shared" si="30"/>
        <v>0</v>
      </c>
      <c r="BI32" s="1556" t="e">
        <f t="shared" si="36"/>
        <v>#VALUE!</v>
      </c>
      <c r="BJ32" s="1556" t="e">
        <f t="shared" si="37"/>
        <v>#VALUE!</v>
      </c>
      <c r="BK32" s="1556" t="e">
        <f t="shared" si="34"/>
        <v>#VALUE!</v>
      </c>
    </row>
    <row r="33" spans="1:63" s="1493" customFormat="1" ht="18" customHeight="1">
      <c r="A33" s="2543"/>
      <c r="B33" s="1297"/>
      <c r="C33" s="1148"/>
      <c r="D33" s="1304"/>
      <c r="E33" s="1149"/>
      <c r="F33" s="1149"/>
      <c r="G33" s="1149"/>
      <c r="H33" s="1317"/>
      <c r="I33" s="1318"/>
      <c r="J33" s="1319"/>
      <c r="K33" s="1319"/>
      <c r="L33" s="1320"/>
      <c r="M33" s="1306"/>
      <c r="N33" s="1306"/>
      <c r="O33" s="1365"/>
      <c r="P33" s="1491" t="str">
        <f t="shared" si="3"/>
        <v/>
      </c>
      <c r="Q33" s="1490" t="str">
        <f t="shared" si="31"/>
        <v/>
      </c>
      <c r="R33" s="1603" t="str">
        <f t="shared" si="35"/>
        <v/>
      </c>
      <c r="S33" s="1146" t="str">
        <f t="shared" si="4"/>
        <v/>
      </c>
      <c r="T33" s="1152">
        <f t="shared" si="5"/>
        <v>0</v>
      </c>
      <c r="U33" s="1147" t="str">
        <f t="shared" si="6"/>
        <v/>
      </c>
      <c r="V33" s="1379">
        <f t="shared" si="7"/>
        <v>0</v>
      </c>
      <c r="W33" s="1145"/>
      <c r="X33" s="1145"/>
      <c r="Y33" s="1505" t="str">
        <f t="shared" si="8"/>
        <v/>
      </c>
      <c r="Z33" s="1506" t="str">
        <f t="shared" si="9"/>
        <v/>
      </c>
      <c r="AA33" s="1504" t="str">
        <f t="shared" si="32"/>
        <v/>
      </c>
      <c r="AB33" s="1992" t="str">
        <f t="shared" si="10"/>
        <v/>
      </c>
      <c r="AC33" s="1993" t="str">
        <f t="shared" si="11"/>
        <v/>
      </c>
      <c r="AD33" s="2059">
        <v>32</v>
      </c>
      <c r="AE33" s="2073"/>
      <c r="AF33" s="969">
        <v>2019</v>
      </c>
      <c r="AG33" s="1577">
        <v>53086.508000000002</v>
      </c>
      <c r="AH33" s="1581">
        <v>55993.125200000002</v>
      </c>
      <c r="AI33" s="1578">
        <f t="shared" si="1"/>
        <v>1.0547524655417155</v>
      </c>
      <c r="AJ33" s="1554">
        <f>IF(SUM(S33:V33)&gt;0,MAX(AJ$9:AJ32)+1,0)</f>
        <v>0</v>
      </c>
      <c r="AK33" s="1579">
        <f t="shared" si="0"/>
        <v>0.02</v>
      </c>
      <c r="AL33" s="1554" t="str">
        <f t="shared" si="33"/>
        <v/>
      </c>
      <c r="AM33" s="1572" t="str">
        <f t="shared" si="2"/>
        <v>2019 / 2,%</v>
      </c>
      <c r="AN33" s="1572"/>
      <c r="AO33" s="1535">
        <f t="shared" si="12"/>
        <v>0</v>
      </c>
      <c r="AP33" s="1411">
        <f t="shared" si="13"/>
        <v>0</v>
      </c>
      <c r="AQ33" s="1411">
        <f t="shared" si="14"/>
        <v>0</v>
      </c>
      <c r="AR33" s="1535">
        <f t="shared" si="15"/>
        <v>0</v>
      </c>
      <c r="AS33" s="1535">
        <f t="shared" si="16"/>
        <v>0</v>
      </c>
      <c r="AT33" s="1539">
        <f t="shared" si="17"/>
        <v>0</v>
      </c>
      <c r="AU33" s="1539">
        <f t="shared" si="18"/>
        <v>0</v>
      </c>
      <c r="AV33" s="1538">
        <f t="shared" si="19"/>
        <v>0</v>
      </c>
      <c r="AW33" s="2077">
        <f t="shared" si="20"/>
        <v>0</v>
      </c>
      <c r="AX33" s="2077">
        <f t="shared" si="21"/>
        <v>0</v>
      </c>
      <c r="AY33" s="1585" t="e">
        <f t="shared" si="22"/>
        <v>#VALUE!</v>
      </c>
      <c r="AZ33" s="1562" t="str">
        <f t="shared" si="23"/>
        <v/>
      </c>
      <c r="BA33" s="1562" t="str">
        <f t="shared" si="24"/>
        <v/>
      </c>
      <c r="BB33" s="1562">
        <f t="shared" si="25"/>
        <v>0</v>
      </c>
      <c r="BC33" s="1562" t="str">
        <f t="shared" si="26"/>
        <v/>
      </c>
      <c r="BD33" s="1537">
        <f t="shared" si="27"/>
        <v>0</v>
      </c>
      <c r="BE33" s="1537">
        <f t="shared" si="28"/>
        <v>0</v>
      </c>
      <c r="BF33" s="1527"/>
      <c r="BG33" s="1562">
        <f t="shared" si="29"/>
        <v>0</v>
      </c>
      <c r="BH33" s="1573">
        <f t="shared" si="30"/>
        <v>0</v>
      </c>
      <c r="BI33" s="1556" t="e">
        <f t="shared" si="36"/>
        <v>#VALUE!</v>
      </c>
      <c r="BJ33" s="1556" t="e">
        <f t="shared" si="37"/>
        <v>#VALUE!</v>
      </c>
      <c r="BK33" s="1556" t="e">
        <f t="shared" si="34"/>
        <v>#VALUE!</v>
      </c>
    </row>
    <row r="34" spans="1:63" s="1493" customFormat="1" ht="18" customHeight="1">
      <c r="A34" s="2543"/>
      <c r="B34" s="1297"/>
      <c r="C34" s="1148"/>
      <c r="D34" s="1304"/>
      <c r="E34" s="1149"/>
      <c r="F34" s="1149"/>
      <c r="G34" s="1149"/>
      <c r="H34" s="1317"/>
      <c r="I34" s="1318"/>
      <c r="J34" s="1319"/>
      <c r="K34" s="1319"/>
      <c r="L34" s="1320"/>
      <c r="M34" s="1306"/>
      <c r="N34" s="1306"/>
      <c r="O34" s="1365"/>
      <c r="P34" s="1491" t="str">
        <f t="shared" si="3"/>
        <v/>
      </c>
      <c r="Q34" s="1490" t="str">
        <f t="shared" si="31"/>
        <v/>
      </c>
      <c r="R34" s="1603" t="str">
        <f t="shared" si="35"/>
        <v/>
      </c>
      <c r="S34" s="1146" t="str">
        <f t="shared" si="4"/>
        <v/>
      </c>
      <c r="T34" s="1152">
        <f t="shared" si="5"/>
        <v>0</v>
      </c>
      <c r="U34" s="1147" t="str">
        <f t="shared" si="6"/>
        <v/>
      </c>
      <c r="V34" s="1379">
        <f t="shared" si="7"/>
        <v>0</v>
      </c>
      <c r="W34" s="1145"/>
      <c r="X34" s="1145"/>
      <c r="Y34" s="1505" t="str">
        <f t="shared" si="8"/>
        <v/>
      </c>
      <c r="Z34" s="1506" t="str">
        <f t="shared" si="9"/>
        <v/>
      </c>
      <c r="AA34" s="1504" t="str">
        <f t="shared" si="32"/>
        <v/>
      </c>
      <c r="AB34" s="1992" t="str">
        <f t="shared" si="10"/>
        <v/>
      </c>
      <c r="AC34" s="1993" t="str">
        <f t="shared" si="11"/>
        <v/>
      </c>
      <c r="AD34" s="2058">
        <v>33</v>
      </c>
      <c r="AE34" s="2073"/>
      <c r="AF34" s="969">
        <v>2020</v>
      </c>
      <c r="AG34" s="1577">
        <v>53086.508000000002</v>
      </c>
      <c r="AH34" s="1581">
        <v>56000.048199999997</v>
      </c>
      <c r="AI34" s="1578">
        <f t="shared" si="1"/>
        <v>1.0548828753249317</v>
      </c>
      <c r="AJ34" s="1554">
        <f>IF(SUM(S34:V34)&gt;0,MAX(AJ$9:AJ33)+1,0)</f>
        <v>0</v>
      </c>
      <c r="AK34" s="1579">
        <f t="shared" si="0"/>
        <v>1.6399999999999998E-2</v>
      </c>
      <c r="AL34" s="1554" t="str">
        <f t="shared" si="33"/>
        <v/>
      </c>
      <c r="AM34" s="1572" t="str">
        <f t="shared" si="2"/>
        <v>2020 / 1,64%</v>
      </c>
      <c r="AN34" s="1572"/>
      <c r="AO34" s="1535">
        <f t="shared" si="12"/>
        <v>0</v>
      </c>
      <c r="AP34" s="1411">
        <f t="shared" si="13"/>
        <v>0</v>
      </c>
      <c r="AQ34" s="1411">
        <f t="shared" si="14"/>
        <v>0</v>
      </c>
      <c r="AR34" s="1535">
        <f t="shared" si="15"/>
        <v>0</v>
      </c>
      <c r="AS34" s="1535">
        <f t="shared" si="16"/>
        <v>0</v>
      </c>
      <c r="AT34" s="1539">
        <f t="shared" si="17"/>
        <v>0</v>
      </c>
      <c r="AU34" s="1539">
        <f t="shared" si="18"/>
        <v>0</v>
      </c>
      <c r="AV34" s="1538">
        <f t="shared" si="19"/>
        <v>0</v>
      </c>
      <c r="AW34" s="2077">
        <f t="shared" si="20"/>
        <v>0</v>
      </c>
      <c r="AX34" s="2077">
        <f t="shared" si="21"/>
        <v>0</v>
      </c>
      <c r="AY34" s="1585" t="e">
        <f t="shared" si="22"/>
        <v>#VALUE!</v>
      </c>
      <c r="AZ34" s="1562" t="str">
        <f t="shared" si="23"/>
        <v/>
      </c>
      <c r="BA34" s="1562" t="str">
        <f t="shared" si="24"/>
        <v/>
      </c>
      <c r="BB34" s="1562">
        <f t="shared" si="25"/>
        <v>0</v>
      </c>
      <c r="BC34" s="1562" t="str">
        <f t="shared" si="26"/>
        <v/>
      </c>
      <c r="BD34" s="1537">
        <f t="shared" si="27"/>
        <v>0</v>
      </c>
      <c r="BE34" s="1537">
        <f t="shared" si="28"/>
        <v>0</v>
      </c>
      <c r="BF34" s="1527"/>
      <c r="BG34" s="1562">
        <f t="shared" si="29"/>
        <v>0</v>
      </c>
      <c r="BH34" s="1573">
        <f t="shared" si="30"/>
        <v>0</v>
      </c>
      <c r="BI34" s="1556" t="e">
        <f t="shared" si="36"/>
        <v>#VALUE!</v>
      </c>
      <c r="BJ34" s="1556" t="e">
        <f t="shared" si="37"/>
        <v>#VALUE!</v>
      </c>
      <c r="BK34" s="1556" t="e">
        <f t="shared" si="34"/>
        <v>#VALUE!</v>
      </c>
    </row>
    <row r="35" spans="1:63" s="1493" customFormat="1" ht="18" customHeight="1">
      <c r="A35" s="2543"/>
      <c r="B35" s="1297"/>
      <c r="C35" s="1148"/>
      <c r="D35" s="1304"/>
      <c r="E35" s="1149"/>
      <c r="F35" s="1149"/>
      <c r="G35" s="1149"/>
      <c r="H35" s="1317"/>
      <c r="I35" s="1318"/>
      <c r="J35" s="1319"/>
      <c r="K35" s="1319"/>
      <c r="L35" s="1320"/>
      <c r="M35" s="1306"/>
      <c r="N35" s="1306"/>
      <c r="O35" s="1365"/>
      <c r="P35" s="1491" t="str">
        <f t="shared" si="3"/>
        <v/>
      </c>
      <c r="Q35" s="1490" t="str">
        <f t="shared" si="31"/>
        <v/>
      </c>
      <c r="R35" s="1603" t="str">
        <f t="shared" si="35"/>
        <v/>
      </c>
      <c r="S35" s="1146" t="str">
        <f t="shared" si="4"/>
        <v/>
      </c>
      <c r="T35" s="1152">
        <f t="shared" si="5"/>
        <v>0</v>
      </c>
      <c r="U35" s="1147" t="str">
        <f t="shared" si="6"/>
        <v/>
      </c>
      <c r="V35" s="1379">
        <f t="shared" si="7"/>
        <v>0</v>
      </c>
      <c r="W35" s="1145"/>
      <c r="X35" s="1145"/>
      <c r="Y35" s="1505" t="str">
        <f t="shared" si="8"/>
        <v/>
      </c>
      <c r="Z35" s="1506" t="str">
        <f t="shared" si="9"/>
        <v/>
      </c>
      <c r="AA35" s="1504" t="str">
        <f t="shared" si="32"/>
        <v/>
      </c>
      <c r="AB35" s="1992" t="str">
        <f t="shared" si="10"/>
        <v/>
      </c>
      <c r="AC35" s="1993" t="str">
        <f t="shared" si="11"/>
        <v/>
      </c>
      <c r="AD35" s="2059">
        <v>34</v>
      </c>
      <c r="AE35" s="2073"/>
      <c r="AF35" s="969">
        <v>2021</v>
      </c>
      <c r="AG35" s="1577">
        <v>53086.508000000002</v>
      </c>
      <c r="AH35" s="1581">
        <v>55089.223599999998</v>
      </c>
      <c r="AI35" s="1578">
        <f t="shared" si="1"/>
        <v>1.0377255102181517</v>
      </c>
      <c r="AJ35" s="1554">
        <f>IF(SUM(S35:V35)&gt;0,MAX(AJ$9:AJ34)+1,0)</f>
        <v>0</v>
      </c>
      <c r="AK35" s="1579">
        <f t="shared" si="0"/>
        <v>1.3600000000000001E-2</v>
      </c>
      <c r="AL35" s="1554" t="str">
        <f t="shared" si="33"/>
        <v/>
      </c>
      <c r="AM35" s="1572" t="str">
        <f t="shared" si="2"/>
        <v>2021 / 1,36%</v>
      </c>
      <c r="AN35" s="1572"/>
      <c r="AO35" s="1535">
        <f t="shared" si="12"/>
        <v>0</v>
      </c>
      <c r="AP35" s="1411">
        <f t="shared" si="13"/>
        <v>0</v>
      </c>
      <c r="AQ35" s="1411">
        <f t="shared" si="14"/>
        <v>0</v>
      </c>
      <c r="AR35" s="1535">
        <f t="shared" si="15"/>
        <v>0</v>
      </c>
      <c r="AS35" s="1535">
        <f t="shared" si="16"/>
        <v>0</v>
      </c>
      <c r="AT35" s="1539">
        <f t="shared" si="17"/>
        <v>0</v>
      </c>
      <c r="AU35" s="1539">
        <f t="shared" si="18"/>
        <v>0</v>
      </c>
      <c r="AV35" s="1538">
        <f t="shared" si="19"/>
        <v>0</v>
      </c>
      <c r="AW35" s="2077">
        <f t="shared" si="20"/>
        <v>0</v>
      </c>
      <c r="AX35" s="2077">
        <f t="shared" si="21"/>
        <v>0</v>
      </c>
      <c r="AY35" s="1585" t="e">
        <f t="shared" si="22"/>
        <v>#VALUE!</v>
      </c>
      <c r="AZ35" s="1562" t="str">
        <f t="shared" si="23"/>
        <v/>
      </c>
      <c r="BA35" s="1562" t="str">
        <f t="shared" si="24"/>
        <v/>
      </c>
      <c r="BB35" s="1562">
        <f t="shared" si="25"/>
        <v>0</v>
      </c>
      <c r="BC35" s="1562" t="str">
        <f t="shared" si="26"/>
        <v/>
      </c>
      <c r="BD35" s="1537">
        <f t="shared" si="27"/>
        <v>0</v>
      </c>
      <c r="BE35" s="1537">
        <f t="shared" si="28"/>
        <v>0</v>
      </c>
      <c r="BF35" s="1527"/>
      <c r="BG35" s="1562">
        <f t="shared" si="29"/>
        <v>0</v>
      </c>
      <c r="BH35" s="1573">
        <f t="shared" si="30"/>
        <v>0</v>
      </c>
      <c r="BI35" s="1556" t="e">
        <f t="shared" si="36"/>
        <v>#VALUE!</v>
      </c>
      <c r="BJ35" s="1556" t="e">
        <f t="shared" si="37"/>
        <v>#VALUE!</v>
      </c>
      <c r="BK35" s="1556" t="e">
        <f t="shared" si="34"/>
        <v>#VALUE!</v>
      </c>
    </row>
    <row r="36" spans="1:63" s="1493" customFormat="1" ht="18" customHeight="1">
      <c r="A36" s="2543"/>
      <c r="B36" s="1297"/>
      <c r="C36" s="1148"/>
      <c r="D36" s="1304"/>
      <c r="E36" s="1149"/>
      <c r="F36" s="1149"/>
      <c r="G36" s="1149"/>
      <c r="H36" s="1317"/>
      <c r="I36" s="1318"/>
      <c r="J36" s="1319"/>
      <c r="K36" s="1319"/>
      <c r="L36" s="1320"/>
      <c r="M36" s="1306"/>
      <c r="N36" s="1306"/>
      <c r="O36" s="1365"/>
      <c r="P36" s="1491" t="str">
        <f t="shared" si="3"/>
        <v/>
      </c>
      <c r="Q36" s="1490" t="str">
        <f t="shared" si="31"/>
        <v/>
      </c>
      <c r="R36" s="1603" t="str">
        <f t="shared" si="35"/>
        <v/>
      </c>
      <c r="S36" s="1146" t="str">
        <f t="shared" si="4"/>
        <v/>
      </c>
      <c r="T36" s="1152">
        <f t="shared" si="5"/>
        <v>0</v>
      </c>
      <c r="U36" s="1147" t="str">
        <f t="shared" si="6"/>
        <v/>
      </c>
      <c r="V36" s="1379">
        <f t="shared" si="7"/>
        <v>0</v>
      </c>
      <c r="W36" s="1145"/>
      <c r="X36" s="1145"/>
      <c r="Y36" s="1505" t="str">
        <f t="shared" si="8"/>
        <v/>
      </c>
      <c r="Z36" s="1506" t="str">
        <f t="shared" si="9"/>
        <v/>
      </c>
      <c r="AA36" s="1504" t="str">
        <f t="shared" si="32"/>
        <v/>
      </c>
      <c r="AB36" s="1992" t="str">
        <f t="shared" si="10"/>
        <v/>
      </c>
      <c r="AC36" s="1993" t="str">
        <f t="shared" si="11"/>
        <v/>
      </c>
      <c r="AD36" s="2058">
        <v>35</v>
      </c>
      <c r="AE36" s="2073"/>
      <c r="AF36" s="969">
        <v>2022</v>
      </c>
      <c r="AG36" s="1577">
        <v>53086.508000000002</v>
      </c>
      <c r="AH36" s="1581">
        <v>57765.682000000001</v>
      </c>
      <c r="AI36" s="1578">
        <f t="shared" si="1"/>
        <v>1.0881424334785781</v>
      </c>
      <c r="AJ36" s="1554">
        <f>IF(SUM(S36:V36)&gt;0,MAX(AJ$9:AJ35)+1,0)</f>
        <v>0</v>
      </c>
      <c r="AK36" s="1579">
        <f t="shared" si="0"/>
        <v>1.43E-2</v>
      </c>
      <c r="AL36" s="1554" t="str">
        <f t="shared" si="33"/>
        <v/>
      </c>
      <c r="AM36" s="1572" t="str">
        <f t="shared" si="2"/>
        <v>2022 / 1,43%</v>
      </c>
      <c r="AN36" s="1572"/>
      <c r="AO36" s="1535">
        <f t="shared" si="12"/>
        <v>0</v>
      </c>
      <c r="AP36" s="1411">
        <f t="shared" si="13"/>
        <v>0</v>
      </c>
      <c r="AQ36" s="1411">
        <f t="shared" si="14"/>
        <v>0</v>
      </c>
      <c r="AR36" s="1973">
        <f t="shared" si="15"/>
        <v>0</v>
      </c>
      <c r="AS36" s="1973">
        <f t="shared" si="16"/>
        <v>0</v>
      </c>
      <c r="AT36" s="1539">
        <f t="shared" si="17"/>
        <v>0</v>
      </c>
      <c r="AU36" s="1539">
        <f t="shared" si="18"/>
        <v>0</v>
      </c>
      <c r="AV36" s="1538">
        <f t="shared" si="19"/>
        <v>0</v>
      </c>
      <c r="AW36" s="2077">
        <f t="shared" si="20"/>
        <v>0</v>
      </c>
      <c r="AX36" s="2077">
        <f t="shared" si="21"/>
        <v>0</v>
      </c>
      <c r="AY36" s="1585" t="e">
        <f t="shared" si="22"/>
        <v>#VALUE!</v>
      </c>
      <c r="AZ36" s="1562" t="str">
        <f t="shared" si="23"/>
        <v/>
      </c>
      <c r="BA36" s="1562" t="str">
        <f t="shared" si="24"/>
        <v/>
      </c>
      <c r="BB36" s="1562">
        <f t="shared" si="25"/>
        <v>0</v>
      </c>
      <c r="BC36" s="1562" t="str">
        <f t="shared" si="26"/>
        <v/>
      </c>
      <c r="BD36" s="1537">
        <f t="shared" si="27"/>
        <v>0</v>
      </c>
      <c r="BE36" s="1537">
        <f t="shared" si="28"/>
        <v>0</v>
      </c>
      <c r="BF36" s="1527"/>
      <c r="BG36" s="1562">
        <f t="shared" si="29"/>
        <v>0</v>
      </c>
      <c r="BH36" s="1573">
        <f t="shared" si="30"/>
        <v>0</v>
      </c>
      <c r="BI36" s="1556" t="e">
        <f t="shared" si="36"/>
        <v>#VALUE!</v>
      </c>
      <c r="BJ36" s="1556" t="e">
        <f t="shared" si="37"/>
        <v>#VALUE!</v>
      </c>
      <c r="BK36" s="1556" t="e">
        <f t="shared" si="34"/>
        <v>#VALUE!</v>
      </c>
    </row>
    <row r="37" spans="1:63" s="1493" customFormat="1" ht="18" customHeight="1">
      <c r="A37" s="2543"/>
      <c r="B37" s="1297"/>
      <c r="C37" s="1148"/>
      <c r="D37" s="1304"/>
      <c r="E37" s="1149"/>
      <c r="F37" s="1149"/>
      <c r="G37" s="1149"/>
      <c r="H37" s="1317"/>
      <c r="I37" s="1318"/>
      <c r="J37" s="1319"/>
      <c r="K37" s="1319"/>
      <c r="L37" s="1320"/>
      <c r="M37" s="1306"/>
      <c r="N37" s="1306"/>
      <c r="O37" s="1365"/>
      <c r="P37" s="1491" t="str">
        <f t="shared" si="3"/>
        <v/>
      </c>
      <c r="Q37" s="1490" t="str">
        <f t="shared" si="31"/>
        <v/>
      </c>
      <c r="R37" s="1603" t="str">
        <f t="shared" si="35"/>
        <v/>
      </c>
      <c r="S37" s="1146" t="str">
        <f t="shared" si="4"/>
        <v/>
      </c>
      <c r="T37" s="1152">
        <f t="shared" si="5"/>
        <v>0</v>
      </c>
      <c r="U37" s="1147" t="str">
        <f t="shared" si="6"/>
        <v/>
      </c>
      <c r="V37" s="1379">
        <f t="shared" si="7"/>
        <v>0</v>
      </c>
      <c r="W37" s="1145"/>
      <c r="X37" s="1145"/>
      <c r="Y37" s="1505" t="str">
        <f t="shared" si="8"/>
        <v/>
      </c>
      <c r="Z37" s="1506" t="str">
        <f t="shared" si="9"/>
        <v/>
      </c>
      <c r="AA37" s="1504" t="str">
        <f t="shared" si="32"/>
        <v/>
      </c>
      <c r="AB37" s="1992" t="str">
        <f t="shared" si="10"/>
        <v/>
      </c>
      <c r="AC37" s="1993" t="str">
        <f t="shared" si="11"/>
        <v/>
      </c>
      <c r="AD37" s="2059">
        <v>36</v>
      </c>
      <c r="AE37" s="2073"/>
      <c r="AF37" s="969">
        <v>2023</v>
      </c>
      <c r="AG37" s="1577">
        <v>53086.508000000002</v>
      </c>
      <c r="AH37" s="1581">
        <v>59220.2114</v>
      </c>
      <c r="AI37" s="1578">
        <f t="shared" si="1"/>
        <v>1.1155416626763244</v>
      </c>
      <c r="AJ37" s="1554">
        <f>IF(SUM(S37:V37)&gt;0,MAX(AJ$9:AJ36)+1,0)</f>
        <v>0</v>
      </c>
      <c r="AK37" s="1579">
        <f t="shared" si="0"/>
        <v>1.72E-2</v>
      </c>
      <c r="AL37" s="1554" t="str">
        <f t="shared" si="33"/>
        <v/>
      </c>
      <c r="AM37" s="1572" t="str">
        <f t="shared" si="2"/>
        <v>2023 / 1,72%</v>
      </c>
      <c r="AN37" s="1572"/>
      <c r="AO37" s="1535">
        <f t="shared" si="12"/>
        <v>0</v>
      </c>
      <c r="AP37" s="1411">
        <f t="shared" si="13"/>
        <v>0</v>
      </c>
      <c r="AQ37" s="1411">
        <f t="shared" si="14"/>
        <v>0</v>
      </c>
      <c r="AR37" s="1973">
        <f t="shared" si="15"/>
        <v>0</v>
      </c>
      <c r="AS37" s="1973">
        <f t="shared" si="16"/>
        <v>0</v>
      </c>
      <c r="AT37" s="1539">
        <f t="shared" si="17"/>
        <v>0</v>
      </c>
      <c r="AU37" s="1539">
        <f t="shared" si="18"/>
        <v>0</v>
      </c>
      <c r="AV37" s="1538">
        <f t="shared" si="19"/>
        <v>0</v>
      </c>
      <c r="AW37" s="2077">
        <f t="shared" si="20"/>
        <v>0</v>
      </c>
      <c r="AX37" s="2077">
        <f t="shared" si="21"/>
        <v>0</v>
      </c>
      <c r="AY37" s="1585" t="e">
        <f t="shared" si="22"/>
        <v>#VALUE!</v>
      </c>
      <c r="AZ37" s="1562" t="str">
        <f t="shared" si="23"/>
        <v/>
      </c>
      <c r="BA37" s="1562" t="str">
        <f t="shared" si="24"/>
        <v/>
      </c>
      <c r="BB37" s="1562">
        <f t="shared" si="25"/>
        <v>0</v>
      </c>
      <c r="BC37" s="1562" t="str">
        <f t="shared" si="26"/>
        <v/>
      </c>
      <c r="BD37" s="1537">
        <f t="shared" si="27"/>
        <v>0</v>
      </c>
      <c r="BE37" s="1537">
        <f t="shared" si="28"/>
        <v>0</v>
      </c>
      <c r="BF37" s="1527"/>
      <c r="BG37" s="1562">
        <f t="shared" si="29"/>
        <v>0</v>
      </c>
      <c r="BH37" s="1573">
        <f t="shared" si="30"/>
        <v>0</v>
      </c>
      <c r="BI37" s="1556" t="e">
        <f t="shared" si="36"/>
        <v>#VALUE!</v>
      </c>
      <c r="BJ37" s="1556" t="e">
        <f t="shared" si="37"/>
        <v>#VALUE!</v>
      </c>
      <c r="BK37" s="1556" t="e">
        <f t="shared" si="34"/>
        <v>#VALUE!</v>
      </c>
    </row>
    <row r="38" spans="1:63" s="1493" customFormat="1" ht="17.100000000000001" customHeight="1" thickBot="1">
      <c r="A38" s="2543"/>
      <c r="B38" s="1297"/>
      <c r="C38" s="1298"/>
      <c r="D38" s="1304"/>
      <c r="E38" s="1149"/>
      <c r="F38" s="1149"/>
      <c r="G38" s="1149"/>
      <c r="H38" s="1317"/>
      <c r="I38" s="1318"/>
      <c r="J38" s="1322"/>
      <c r="K38" s="1322"/>
      <c r="L38" s="1323"/>
      <c r="M38" s="1381"/>
      <c r="N38" s="1381"/>
      <c r="O38" s="1365"/>
      <c r="P38" s="1491" t="str">
        <f t="shared" si="3"/>
        <v/>
      </c>
      <c r="Q38" s="1490" t="str">
        <f t="shared" si="31"/>
        <v/>
      </c>
      <c r="R38" s="1603" t="str">
        <f t="shared" si="35"/>
        <v/>
      </c>
      <c r="S38" s="1146" t="str">
        <f t="shared" si="4"/>
        <v/>
      </c>
      <c r="T38" s="1152">
        <f t="shared" si="5"/>
        <v>0</v>
      </c>
      <c r="U38" s="1147" t="str">
        <f t="shared" si="6"/>
        <v/>
      </c>
      <c r="V38" s="1379">
        <f t="shared" si="7"/>
        <v>0</v>
      </c>
      <c r="W38" s="1145"/>
      <c r="X38" s="1145"/>
      <c r="Y38" s="2063" t="str">
        <f t="shared" si="8"/>
        <v/>
      </c>
      <c r="Z38" s="2064" t="str">
        <f t="shared" si="9"/>
        <v/>
      </c>
      <c r="AA38" s="2065" t="str">
        <f t="shared" si="32"/>
        <v/>
      </c>
      <c r="AB38" s="2061" t="str">
        <f t="shared" si="10"/>
        <v/>
      </c>
      <c r="AC38" s="2062" t="str">
        <f t="shared" si="11"/>
        <v/>
      </c>
      <c r="AD38" s="2058">
        <v>37</v>
      </c>
      <c r="AE38" s="2073"/>
      <c r="AF38" s="1596"/>
      <c r="AG38" s="1597" t="str">
        <f>IFERROR(V38/U38,"")</f>
        <v/>
      </c>
      <c r="AH38" s="1556"/>
      <c r="AI38" s="1598">
        <f>AVERAGE(AI14:AI37)</f>
        <v>1.005388977396416</v>
      </c>
      <c r="AJ38" s="1554">
        <f>IF(SUM(S38:V38)&gt;0,MAX(AJ$9:AJ37)+1,0)</f>
        <v>0</v>
      </c>
      <c r="AK38" s="1554"/>
      <c r="AL38" s="1554" t="str">
        <f t="shared" si="33"/>
        <v/>
      </c>
      <c r="AM38" s="1554"/>
      <c r="AN38" s="1554"/>
      <c r="AO38" s="1535">
        <f t="shared" si="12"/>
        <v>0</v>
      </c>
      <c r="AP38" s="1411">
        <f t="shared" si="13"/>
        <v>0</v>
      </c>
      <c r="AQ38" s="1411">
        <f t="shared" si="14"/>
        <v>0</v>
      </c>
      <c r="AR38" s="1973">
        <f t="shared" si="15"/>
        <v>0</v>
      </c>
      <c r="AS38" s="1973">
        <f t="shared" si="16"/>
        <v>0</v>
      </c>
      <c r="AT38" s="1539">
        <f t="shared" si="17"/>
        <v>0</v>
      </c>
      <c r="AU38" s="1539">
        <f t="shared" si="18"/>
        <v>0</v>
      </c>
      <c r="AV38" s="1538">
        <f t="shared" si="19"/>
        <v>0</v>
      </c>
      <c r="AW38" s="2077">
        <f t="shared" si="20"/>
        <v>0</v>
      </c>
      <c r="AX38" s="2077">
        <f t="shared" si="21"/>
        <v>0</v>
      </c>
      <c r="AY38" s="1585" t="e">
        <f t="shared" si="22"/>
        <v>#VALUE!</v>
      </c>
      <c r="AZ38" s="1562" t="str">
        <f t="shared" si="23"/>
        <v/>
      </c>
      <c r="BA38" s="1562" t="str">
        <f t="shared" si="24"/>
        <v/>
      </c>
      <c r="BB38" s="1562">
        <f t="shared" si="25"/>
        <v>0</v>
      </c>
      <c r="BC38" s="1562" t="str">
        <f t="shared" si="26"/>
        <v/>
      </c>
      <c r="BD38" s="1537">
        <f t="shared" si="27"/>
        <v>0</v>
      </c>
      <c r="BE38" s="1599">
        <f t="shared" si="28"/>
        <v>0</v>
      </c>
      <c r="BF38" s="1527"/>
      <c r="BG38" s="1562">
        <f t="shared" si="29"/>
        <v>0</v>
      </c>
      <c r="BH38" s="1573">
        <f t="shared" si="30"/>
        <v>0</v>
      </c>
      <c r="BI38" s="1556" t="e">
        <f t="shared" si="36"/>
        <v>#VALUE!</v>
      </c>
      <c r="BJ38" s="1556" t="e">
        <f t="shared" si="37"/>
        <v>#VALUE!</v>
      </c>
      <c r="BK38" s="1556" t="e">
        <f t="shared" si="34"/>
        <v>#VALUE!</v>
      </c>
    </row>
    <row r="39" spans="1:63" s="1493" customFormat="1" ht="17.100000000000001" customHeight="1" thickTop="1">
      <c r="A39" s="1507"/>
      <c r="B39" s="2544" t="s">
        <v>1521</v>
      </c>
      <c r="C39" s="2545"/>
      <c r="D39" s="2545"/>
      <c r="E39" s="1780">
        <f>SUMIF($B$27:$B$38,"m",E$27:E$38)</f>
        <v>0</v>
      </c>
      <c r="F39" s="1508">
        <f>SUMIF($B$27:$B$38,"m",F$27:F$38)</f>
        <v>0</v>
      </c>
      <c r="G39" s="1509">
        <f>SUMIF($B$27:$B$38,"m",G$27:G$38)</f>
        <v>0</v>
      </c>
      <c r="H39" s="2555" t="s">
        <v>1503</v>
      </c>
      <c r="I39" s="2556"/>
      <c r="J39" s="2556"/>
      <c r="K39" s="2556"/>
      <c r="L39" s="2557"/>
      <c r="M39" s="2482" t="s">
        <v>1502</v>
      </c>
      <c r="N39" s="2482"/>
      <c r="O39" s="2482"/>
      <c r="P39" s="2482"/>
      <c r="Q39" s="2482"/>
      <c r="R39" s="2483"/>
      <c r="S39" s="1510">
        <f>SUM(S27:S38,S15:S16,S13,S19)</f>
        <v>0</v>
      </c>
      <c r="T39" s="1510">
        <f>SUM(T27:T38,T15:T16,T13,T20)</f>
        <v>0</v>
      </c>
      <c r="U39" s="1510">
        <f>SUM(U27:U38,U15:U16,U13,U19)</f>
        <v>0</v>
      </c>
      <c r="V39" s="1511">
        <f>SUM(V27:V38,V15:V16,V13,V20)</f>
        <v>0</v>
      </c>
      <c r="W39" s="1512"/>
      <c r="Y39" s="2479" t="s">
        <v>1481</v>
      </c>
      <c r="Z39" s="2480"/>
      <c r="AA39" s="2481"/>
      <c r="AB39" s="2458" t="str">
        <f>IF(ReSummeM,Durchschnitt&amp;" Rentenerwartung/Leistungsmonat",Summenzeichen&amp;" der erwartbaren Rentenleistungen")</f>
        <v>Ø Rentenerwartung/Leistungsmonat</v>
      </c>
      <c r="AC39" s="2459"/>
      <c r="AD39" s="2059">
        <v>38</v>
      </c>
      <c r="AE39" s="2072"/>
      <c r="AF39" s="969"/>
      <c r="AJ39" s="1526"/>
      <c r="AK39" s="1526"/>
      <c r="AL39" s="1526"/>
      <c r="AM39" s="1526"/>
      <c r="AN39" s="1526"/>
      <c r="BA39" s="1493" t="s">
        <v>143</v>
      </c>
      <c r="BB39" s="1556" t="e">
        <f>+SUM(BB27:BB38)+AW10+AW12+AW14</f>
        <v>#VALUE!</v>
      </c>
      <c r="BC39" s="1556" t="e">
        <f>+SUM(BC27:BC38)+AX10+AX12+AX14</f>
        <v>#VALUE!</v>
      </c>
    </row>
    <row r="40" spans="1:63" s="1493" customFormat="1" ht="17.100000000000001" customHeight="1" thickBot="1">
      <c r="A40" s="1513"/>
      <c r="B40" s="2580" t="s">
        <v>1522</v>
      </c>
      <c r="C40" s="2581"/>
      <c r="D40" s="2581"/>
      <c r="E40" s="1514">
        <f>SUMIF($B$27:$B$38,"w",E$27:E$38)</f>
        <v>0</v>
      </c>
      <c r="F40" s="1514">
        <f>SUMIF($B$27:$B$38,"w",F$27:F$38)</f>
        <v>0</v>
      </c>
      <c r="G40" s="1515">
        <f>SUMIF($B$27:$B$38,"w",G$27:G$38)</f>
        <v>0</v>
      </c>
      <c r="H40" s="2558"/>
      <c r="I40" s="2559"/>
      <c r="J40" s="2559"/>
      <c r="K40" s="2559"/>
      <c r="L40" s="2560"/>
      <c r="M40" s="2553" t="s">
        <v>1523</v>
      </c>
      <c r="N40" s="2553"/>
      <c r="O40" s="2553"/>
      <c r="P40" s="2553"/>
      <c r="Q40" s="2553"/>
      <c r="R40" s="2554"/>
      <c r="S40" s="1516" t="str">
        <f>IFERROR(BB39,"")</f>
        <v/>
      </c>
      <c r="T40" s="1517"/>
      <c r="U40" s="1516" t="str">
        <f>IFERROR(BC39,"")</f>
        <v/>
      </c>
      <c r="V40" s="1518"/>
      <c r="Y40" s="2570" t="s">
        <v>1482</v>
      </c>
      <c r="Z40" s="2383"/>
      <c r="AA40" s="2571"/>
      <c r="AB40" s="1983">
        <f>SUM(AB27:AB38,AB19,AB15:AB16,AB13)</f>
        <v>0</v>
      </c>
      <c r="AC40" s="1984">
        <f>SUM(AC27:AC38,AC19,AC15:AC16,AC13)</f>
        <v>0</v>
      </c>
      <c r="AD40" s="2058">
        <v>39</v>
      </c>
      <c r="AE40" s="2072"/>
      <c r="AF40" s="969"/>
      <c r="AG40" s="1590"/>
      <c r="AH40" s="1600"/>
      <c r="AI40" s="1600"/>
      <c r="AJ40" s="1526"/>
      <c r="AK40" s="1526"/>
      <c r="AL40" s="1526"/>
      <c r="AM40" s="1526"/>
      <c r="AN40" s="1526"/>
      <c r="AO40" s="1527"/>
      <c r="AP40" s="1530" t="s">
        <v>1375</v>
      </c>
      <c r="AQ40" s="1601">
        <v>203</v>
      </c>
      <c r="AR40" s="1530" t="s">
        <v>1425</v>
      </c>
      <c r="AS40" s="1530" t="str">
        <f>VLOOKUP(TOs+4,'TO Ziff.5'!$B$7:$P$425,4)</f>
        <v>5.3.</v>
      </c>
      <c r="AT40" s="1530"/>
      <c r="AU40" s="1530"/>
      <c r="AV40" s="1530" t="s">
        <v>1044</v>
      </c>
      <c r="AW40" s="1530" t="s">
        <v>1045</v>
      </c>
      <c r="AX40" s="1530" t="s">
        <v>1376</v>
      </c>
      <c r="AY40" s="1530" t="s">
        <v>1377</v>
      </c>
      <c r="AZ40" s="1530"/>
      <c r="BA40" s="1527"/>
    </row>
    <row r="41" spans="1:63" ht="17.100000000000001" customHeight="1" thickTop="1">
      <c r="A41" s="1519"/>
      <c r="B41" s="1520" t="s">
        <v>844</v>
      </c>
      <c r="C41" s="1520"/>
      <c r="D41" s="1520"/>
      <c r="E41" s="1520"/>
      <c r="F41" s="1520"/>
      <c r="G41" s="1520"/>
      <c r="H41" s="1521" t="s">
        <v>1624</v>
      </c>
      <c r="I41" s="1519"/>
      <c r="J41" s="1520"/>
      <c r="K41" s="2485" t="str">
        <f>IFERROR(ABS(AR41),"")</f>
        <v/>
      </c>
      <c r="L41" s="2485"/>
      <c r="M41" s="1520"/>
      <c r="N41" s="1520"/>
      <c r="O41" s="1520"/>
      <c r="P41" s="1520"/>
      <c r="Q41" s="1520"/>
      <c r="R41" s="1520"/>
      <c r="S41" s="2478" t="s">
        <v>1623</v>
      </c>
      <c r="T41" s="2478"/>
      <c r="U41" s="1522">
        <f>ABS(T39-V39)</f>
        <v>0</v>
      </c>
      <c r="V41" s="1520"/>
      <c r="W41" s="971"/>
      <c r="X41" s="971"/>
      <c r="Y41" s="1475" t="s">
        <v>1868</v>
      </c>
      <c r="Z41" s="1564" t="str">
        <f>IFERROR(VLOOKUP(YEAR(Dat_EzE),MonatlicheBezugsgroesse,4),"")</f>
        <v/>
      </c>
      <c r="AA41" s="1564" t="str">
        <f>IFERROR(VLOOKUP(YEAR(Dat_EzE),MonatlicheBezugsgroesse,5),"")</f>
        <v/>
      </c>
      <c r="AB41" s="2501">
        <f>+ABS(Barwertdifferenz-AC40)</f>
        <v>0</v>
      </c>
      <c r="AC41" s="2501"/>
      <c r="AD41" s="2059">
        <v>40</v>
      </c>
      <c r="AE41" s="2072"/>
      <c r="AF41" s="1412"/>
      <c r="AG41" s="469"/>
      <c r="AJ41" s="1154"/>
      <c r="AK41" s="1154"/>
      <c r="AL41" s="1154"/>
      <c r="AM41" s="1154"/>
      <c r="AN41" s="1154"/>
      <c r="AO41" s="1210" t="s">
        <v>1625</v>
      </c>
      <c r="AP41" s="1435" t="e">
        <f>+KoKaDRV+Z15+Z16+Dat_bstdKoKa_M+F39</f>
        <v>#VALUE!</v>
      </c>
      <c r="AQ41" s="1435" t="e">
        <f>KoKaDRV_F+AA15+AA16+Dat_bstdKoKa_F+F40</f>
        <v>#VALUE!</v>
      </c>
      <c r="AR41" s="1435" t="e">
        <f>+AP41-AQ41</f>
        <v>#VALUE!</v>
      </c>
      <c r="AV41" s="1210">
        <f>VLOOKUP(TOs+4,'TO Ziff.5'!$B$7:$P$425,10)</f>
        <v>0</v>
      </c>
      <c r="AW41" s="1210">
        <f>VLOOKUP(TOs+4,'TO Ziff.5'!$B$7:$P$425,11)</f>
        <v>0</v>
      </c>
      <c r="AX41" s="1210">
        <f>VLOOKUP(TOs,'TO Ziff.5'!$B$7:$P$425,12)</f>
        <v>0</v>
      </c>
      <c r="AY41" s="1210">
        <f>VLOOKUP(TOs+4,'TO Ziff.5'!$B$7:$P$425,13)</f>
        <v>0</v>
      </c>
      <c r="AZ41" s="1210">
        <f>SUM(AV41:AY41)</f>
        <v>0</v>
      </c>
      <c r="BC41" s="469" t="e">
        <f>+BA27/AW11</f>
        <v>#VALUE!</v>
      </c>
    </row>
    <row r="42" spans="1:63" ht="14.25" hidden="1" customHeight="1">
      <c r="AK42" s="1154"/>
      <c r="AP42" s="1210"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54"/>
    </row>
    <row r="44" spans="1:63" ht="14.25" hidden="1" customHeight="1">
      <c r="AK44" s="1154"/>
    </row>
    <row r="45" spans="1:63" ht="14.25" hidden="1" customHeight="1">
      <c r="AK45" s="1154"/>
    </row>
    <row r="46" spans="1:63" ht="14.25" hidden="1" customHeight="1">
      <c r="AK46" s="1154"/>
    </row>
    <row r="47" spans="1:63" ht="14.25" hidden="1" customHeight="1">
      <c r="AK47" s="1154"/>
    </row>
    <row r="48" spans="1:63" ht="14.25" hidden="1" customHeight="1">
      <c r="AK48" s="1154"/>
    </row>
    <row r="49" spans="37:37" ht="14.25" hidden="1" customHeight="1">
      <c r="AK49" s="1154"/>
    </row>
  </sheetData>
  <sheetProtection algorithmName="SHA-512" hashValue="yGDsbYqq1Qz7PLMfUdbbedA3AJdzXYvtkZGa4DJ7Q/HO5II7o+6athslGksBp53MSMuTQ389h4xw6B9qKfZiIg==" saltValue="YtqJ8qUuWoEdO+TlXKzKSQ==" spinCount="100000" sheet="1" selectLockedCells="1"/>
  <mergeCells count="144">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U25:V25"/>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J16:Q16"/>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O9:Q9"/>
    <mergeCell ref="O10:Q10"/>
    <mergeCell ref="O2:Q3"/>
    <mergeCell ref="B4:D4"/>
    <mergeCell ref="E4:G4"/>
    <mergeCell ref="E5:G5"/>
    <mergeCell ref="S4:T4"/>
    <mergeCell ref="B7:D7"/>
    <mergeCell ref="R3:R7"/>
    <mergeCell ref="S9:T9"/>
    <mergeCell ref="S8:V8"/>
    <mergeCell ref="B5:D5"/>
    <mergeCell ref="B2:N3"/>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s>
  <conditionalFormatting sqref="B39:B40 E39:V40">
    <cfRule type="expression" dxfId="422" priority="645">
      <formula>$A$21=1</formula>
    </cfRule>
  </conditionalFormatting>
  <conditionalFormatting sqref="B27:C38">
    <cfRule type="expression" dxfId="421" priority="1127">
      <formula>OR(B27="w",B27="f")</formula>
    </cfRule>
    <cfRule type="expression" dxfId="420" priority="1128">
      <formula>B27="m"</formula>
    </cfRule>
  </conditionalFormatting>
  <conditionalFormatting sqref="B4:E4 H4">
    <cfRule type="expression" dxfId="419" priority="1740">
      <formula>$AK$3=1</formula>
    </cfRule>
  </conditionalFormatting>
  <conditionalFormatting sqref="B5:E5">
    <cfRule type="expression" dxfId="418" priority="1742">
      <formula>$AK$3=2</formula>
    </cfRule>
  </conditionalFormatting>
  <conditionalFormatting sqref="B15:F16">
    <cfRule type="expression" dxfId="417" priority="467">
      <formula>TO_vorhanden&gt;12</formula>
    </cfRule>
  </conditionalFormatting>
  <conditionalFormatting sqref="E27:E38">
    <cfRule type="expression" dxfId="410" priority="2400">
      <formula>AND($BH27&lt;=5%,E27&gt;0,$T27+$V27&gt;0,$H27&lt;&gt;"K")</formula>
    </cfRule>
    <cfRule type="expression" dxfId="409" priority="2399">
      <formula>AND(D27&gt;0,E27=0,$H27&lt;&gt;"K")</formula>
    </cfRule>
    <cfRule type="expression" dxfId="408" priority="2401">
      <formula>AND($BH27&gt;5%,$BH27&lt;10%,$T27+$V27&gt;0,$H27&lt;&gt;"K")</formula>
    </cfRule>
  </conditionalFormatting>
  <conditionalFormatting sqref="E39:H39 B39:B40 M39:M40 S39:V40 E40:G40">
    <cfRule type="expression" dxfId="407" priority="914">
      <formula>b_p_AVverbergen</formula>
    </cfRule>
  </conditionalFormatting>
  <conditionalFormatting sqref="F27:F38">
    <cfRule type="expression" dxfId="406" priority="2404">
      <formula>AND($BH27&lt;=5%,F27&gt;0,$T27+$V27&gt;0,$H27&lt;&gt;"K")</formula>
    </cfRule>
    <cfRule type="expression" dxfId="405" priority="2405">
      <formula>AND($BH27&gt;5%,$BH27&lt;10%,$T27+$V27&gt;0,$H27&lt;&gt;"K")</formula>
    </cfRule>
    <cfRule type="expression" dxfId="404" priority="2406">
      <formula>AND(F27&gt;0,$BH27&gt;10%,$T27+$V27&gt;0,$H27&lt;&gt;"K")</formula>
    </cfRule>
    <cfRule type="expression" dxfId="403" priority="2407">
      <formula>AND(F27&gt;0,$BH27&gt;10%,$T27+$V27&gt;0,$H27&lt;&gt;"K")</formula>
    </cfRule>
    <cfRule type="expression" dxfId="402" priority="2408">
      <formula>AND(F27&gt;0,$BH27&gt;10%,$T27+$V27&gt;0,$H27&lt;&gt;"K",L27&lt;&gt;"i")</formula>
    </cfRule>
    <cfRule type="expression" dxfId="401" priority="2402">
      <formula>AND(F27&gt;0,$BH27&gt;10%,$T27+$V27&gt;0,$H27&lt;&gt;"K")</formula>
    </cfRule>
    <cfRule type="expression" dxfId="400" priority="2403">
      <formula>AND(E27&gt;0,F27=0,$H27&lt;&gt;"K")</formula>
    </cfRule>
  </conditionalFormatting>
  <conditionalFormatting sqref="G27:G38">
    <cfRule type="expression" dxfId="399" priority="465">
      <formula>AND(G27="",H27="K")</formula>
    </cfRule>
    <cfRule type="expression" dxfId="398" priority="1832">
      <formula>AND($I27&gt;0,$F28&gt;0,$E27=0,G27=0)</formula>
    </cfRule>
  </conditionalFormatting>
  <conditionalFormatting sqref="H27:H38">
    <cfRule type="expression" dxfId="397" priority="474">
      <formula>H27="u"</formula>
    </cfRule>
    <cfRule type="expression" dxfId="396" priority="488">
      <formula>AND(E27=0,F27+G27&gt;0,H27&lt;&gt;"k")</formula>
    </cfRule>
  </conditionalFormatting>
  <conditionalFormatting sqref="I27:I38">
    <cfRule type="expression" dxfId="395" priority="1138">
      <formula>AND(B27&lt;&gt;"",I27="")</formula>
    </cfRule>
  </conditionalFormatting>
  <conditionalFormatting sqref="J9:R10">
    <cfRule type="expression" dxfId="394" priority="456">
      <formula>DRV_VersorgungenVerbergen</formula>
    </cfRule>
  </conditionalFormatting>
  <conditionalFormatting sqref="J11:S13 T12 V12 Z13:AA13">
    <cfRule type="expression" dxfId="393" priority="912">
      <formula>DRV_VersorgungenVerbergen</formula>
    </cfRule>
  </conditionalFormatting>
  <conditionalFormatting sqref="J15:S16 U15:U16 Z15:AA16">
    <cfRule type="expression" dxfId="392" priority="911">
      <formula>BeamtV_Verbergen</formula>
    </cfRule>
  </conditionalFormatting>
  <conditionalFormatting sqref="J18:V18 J19:Q19 S19:V19 J20 T20 V20">
    <cfRule type="expression" dxfId="391" priority="910">
      <formula>BerstdV_verbergen</formula>
    </cfRule>
  </conditionalFormatting>
  <conditionalFormatting sqref="L27:L38">
    <cfRule type="expression" dxfId="390" priority="2699">
      <formula>OR(AND(C27="p",IF(AP27=1,T27,V27)&gt;$BC$12,,L27="e"),AND(C27="b",IF(AP27=1,T27,V27)&gt;$BC$11,L27="e"))</formula>
    </cfRule>
    <cfRule type="expression" dxfId="389" priority="2698">
      <formula>AND(L27="e",$T27+$V27&gt;$BC$12,C27="p")</formula>
    </cfRule>
  </conditionalFormatting>
  <conditionalFormatting sqref="L9:N9">
    <cfRule type="expression" dxfId="388" priority="2700">
      <formula>AND($AO$12=1,$T$6&gt;0)</formula>
    </cfRule>
  </conditionalFormatting>
  <conditionalFormatting sqref="L10:N10">
    <cfRule type="expression" dxfId="387" priority="2701">
      <formula>AND($AO$13=1,$V$6&gt;0)</formula>
    </cfRule>
  </conditionalFormatting>
  <conditionalFormatting sqref="Q27:Q38">
    <cfRule type="expression" dxfId="386" priority="1089">
      <formula>AND(ABS(Q27)&lt;0.1,ABS(Q27)&gt;0.05,L27="e")</formula>
    </cfRule>
    <cfRule type="expression" dxfId="385" priority="1090">
      <formula>ABS(Q27)&lt;=0.05</formula>
    </cfRule>
    <cfRule type="expression" dxfId="384" priority="1091">
      <formula>AND(ABS(Q27)&gt;0.1,L27="e")</formula>
    </cfRule>
  </conditionalFormatting>
  <conditionalFormatting sqref="R19:R20">
    <cfRule type="expression" dxfId="383" priority="473">
      <formula>BeamtV_Verbergen</formula>
    </cfRule>
  </conditionalFormatting>
  <conditionalFormatting sqref="R1:V1">
    <cfRule type="expression" dxfId="382" priority="4">
      <formula>V3&gt;Enddatum</formula>
    </cfRule>
  </conditionalFormatting>
  <conditionalFormatting sqref="R2:V2">
    <cfRule type="expression" dxfId="381" priority="6">
      <formula>V3&gt;Enddatum</formula>
    </cfRule>
  </conditionalFormatting>
  <conditionalFormatting sqref="S6">
    <cfRule type="expression" dxfId="380" priority="940">
      <formula>AND(T6="",S6="")</formula>
    </cfRule>
  </conditionalFormatting>
  <conditionalFormatting sqref="S10">
    <cfRule type="expression" dxfId="379" priority="7">
      <formula>DRV_VersorgungenVerbergen</formula>
    </cfRule>
  </conditionalFormatting>
  <conditionalFormatting sqref="S27:S38 U27:U38">
    <cfRule type="expression" dxfId="378" priority="927">
      <formula>AND($E27="",$H27="K")</formula>
    </cfRule>
  </conditionalFormatting>
  <conditionalFormatting sqref="S9:V9">
    <cfRule type="expression" dxfId="377" priority="455">
      <formula>DRV_VersorgungenVerbergen</formula>
    </cfRule>
  </conditionalFormatting>
  <conditionalFormatting sqref="T27:T38">
    <cfRule type="expression" dxfId="376" priority="2705">
      <formula>AND(T27&lt;$BC$10,T27&gt;0)</formula>
    </cfRule>
    <cfRule type="expression" dxfId="375" priority="2702">
      <formula>AND(E27&gt;0,G27=0)</formula>
    </cfRule>
    <cfRule type="expression" dxfId="374" priority="2703">
      <formula>AND($B27="m",$T$6="")</formula>
    </cfRule>
    <cfRule type="expression" dxfId="373" priority="2704">
      <formula>AND(L27="e",T27&gt;$BC$11)</formula>
    </cfRule>
  </conditionalFormatting>
  <conditionalFormatting sqref="U6">
    <cfRule type="expression" dxfId="372" priority="639">
      <formula>AND(V6="",U6="")</formula>
    </cfRule>
  </conditionalFormatting>
  <conditionalFormatting sqref="U10:U13">
    <cfRule type="expression" dxfId="371" priority="459">
      <formula>DRV_VersorgungenVerbergen</formula>
    </cfRule>
  </conditionalFormatting>
  <conditionalFormatting sqref="V3">
    <cfRule type="expression" dxfId="370" priority="1731">
      <formula>AND($T$6+$V$6&gt;0,$V$3="")</formula>
    </cfRule>
    <cfRule type="expression" dxfId="369" priority="1732">
      <formula>V3=""</formula>
    </cfRule>
    <cfRule type="expression" dxfId="368" priority="5">
      <formula>V3&gt;Enddatum</formula>
    </cfRule>
  </conditionalFormatting>
  <conditionalFormatting sqref="V27:V38">
    <cfRule type="expression" dxfId="367" priority="2706">
      <formula>AND(E27&gt;0,G27=0)</formula>
    </cfRule>
    <cfRule type="expression" dxfId="366" priority="2707">
      <formula>AND(B27="w",$V$6="")</formula>
    </cfRule>
    <cfRule type="expression" dxfId="365" priority="2709">
      <formula>AND(V27&lt;$BC$10,V27&gt;0)</formula>
    </cfRule>
    <cfRule type="expression" dxfId="364" priority="2708">
      <formula>AND(L27="e",V27&gt;$BC$11)</formula>
    </cfRule>
  </conditionalFormatting>
  <conditionalFormatting sqref="X13">
    <cfRule type="expression" dxfId="363" priority="1928">
      <formula>OR($Z$13&lt;T13,$AA$13&lt;V13)</formula>
    </cfRule>
    <cfRule type="expression" dxfId="362" priority="1927">
      <formula>OR($Z$13&gt;$T$13,$AA$13,$V$13)</formula>
    </cfRule>
  </conditionalFormatting>
  <conditionalFormatting sqref="X15:X16">
    <cfRule type="expression" dxfId="361" priority="1999">
      <formula>OR(Z15&gt;T15,AA15&gt;V15)</formula>
    </cfRule>
    <cfRule type="expression" dxfId="360" priority="2000">
      <formula>OR($Z$16&lt;$T$16,$AA$16&lt;$V$16)</formula>
    </cfRule>
  </conditionalFormatting>
  <conditionalFormatting sqref="X19">
    <cfRule type="expression" dxfId="359" priority="2710">
      <formula>OR($T$19&lt;$AW$15,$V$19&lt;$AX$15)</formula>
    </cfRule>
  </conditionalFormatting>
  <conditionalFormatting sqref="X20">
    <cfRule type="expression" dxfId="358" priority="2001">
      <formula>OR(#REF!&gt;#REF!,#REF!&gt;#REF!)</formula>
    </cfRule>
    <cfRule type="expression" dxfId="357" priority="2002">
      <formula>OR($Z$16&lt;$T$16,$AA$16&lt;$V$16)</formula>
    </cfRule>
  </conditionalFormatting>
  <conditionalFormatting sqref="X27:X38">
    <cfRule type="expression" dxfId="356" priority="1120">
      <formula>$T27+$V27&lt;$AA27</formula>
    </cfRule>
  </conditionalFormatting>
  <conditionalFormatting sqref="AI14:AI37">
    <cfRule type="expression" dxfId="355" priority="2713">
      <formula>AND(BO14&lt;AC14+#REF!,T14="e")</formula>
    </cfRule>
    <cfRule type="expression" dxfId="354" priority="2714">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6" id="{2BF23E20-C735-4183-A008-C0B1B224E4A8}">
            <xm:f>AND($L27="i",'TO Ziff.5'!$S7&gt;1)</xm:f>
            <x14:dxf>
              <fill>
                <patternFill>
                  <bgColor theme="7" tint="0.59996337778862885"/>
                </patternFill>
              </fill>
            </x14:dxf>
          </x14:cfRule>
          <xm:sqref>D27:D28</xm:sqref>
        </x14:conditionalFormatting>
        <x14:conditionalFormatting xmlns:xm="http://schemas.microsoft.com/office/excel/2006/main">
          <x14:cfRule type="expression" priority="472"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8" id="{DFCF0D40-BDA7-407F-96A2-18C93856D1B4}">
            <xm:f>AND($L29="i",'TO Ziff.5'!$S10&gt;1)</xm:f>
            <x14:dxf>
              <fill>
                <patternFill>
                  <bgColor theme="7"/>
                </patternFill>
              </fill>
            </x14:dxf>
          </x14:cfRule>
          <x14:cfRule type="expression" priority="2717" id="{2BF23E20-C735-4183-A008-C0B1B224E4A8}">
            <xm:f>AND($L29="i",'TO Ziff.5'!$S10&gt;1)</xm:f>
            <x14:dxf>
              <fill>
                <patternFill>
                  <bgColor theme="7" tint="0.59996337778862885"/>
                </patternFill>
              </fill>
            </x14:dxf>
          </x14:cfRule>
          <xm:sqref>D29:D33</xm:sqref>
        </x14:conditionalFormatting>
        <x14:conditionalFormatting xmlns:xm="http://schemas.microsoft.com/office/excel/2006/main">
          <x14:cfRule type="expression" priority="2185" id="{2BF23E20-C735-4183-A008-C0B1B224E4A8}">
            <xm:f>AND($L34="i",'TO Ziff.5'!$S16&gt;1)</xm:f>
            <x14:dxf>
              <fill>
                <patternFill>
                  <bgColor theme="7" tint="0.59996337778862885"/>
                </patternFill>
              </fill>
            </x14:dxf>
          </x14:cfRule>
          <x14:cfRule type="expression" priority="2187" id="{DFCF0D40-BDA7-407F-96A2-18C93856D1B4}">
            <xm:f>AND($L34="i",'TO Ziff.5'!$S16&gt;1)</xm:f>
            <x14:dxf>
              <fill>
                <patternFill>
                  <bgColor theme="7"/>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1901</v>
      </c>
      <c r="Q2" s="58">
        <v>45017</v>
      </c>
    </row>
    <row r="3" spans="4:19">
      <c r="P3" t="s">
        <v>1902</v>
      </c>
      <c r="Q3" s="58">
        <v>49248</v>
      </c>
    </row>
    <row r="4" spans="4:19">
      <c r="P4" t="s">
        <v>1903</v>
      </c>
      <c r="Q4">
        <f>ROUND(YEARFRAC(Q2,Q3,4),2)</f>
        <v>11.58</v>
      </c>
      <c r="R4" s="1960" t="s">
        <v>1907</v>
      </c>
    </row>
    <row r="5" spans="4:19">
      <c r="P5" t="s">
        <v>1904</v>
      </c>
      <c r="Q5" s="149">
        <f>47.09*12</f>
        <v>565.08000000000004</v>
      </c>
    </row>
    <row r="6" spans="4:19" ht="15" thickBot="1">
      <c r="P6" t="s">
        <v>1905</v>
      </c>
      <c r="Q6" s="149">
        <f>Q5*YEARFRAC(Q2,Q3,4)</f>
        <v>6543.9403333333339</v>
      </c>
    </row>
    <row r="7" spans="4:19">
      <c r="H7" s="2645" t="s">
        <v>1898</v>
      </c>
      <c r="I7" s="2646"/>
      <c r="J7" s="2646"/>
      <c r="K7" s="2646"/>
      <c r="L7" s="2646"/>
      <c r="M7" s="2646"/>
      <c r="N7" s="2647"/>
      <c r="P7" t="s">
        <v>617</v>
      </c>
      <c r="Q7" s="1962">
        <v>1.8369217090344052E-2</v>
      </c>
    </row>
    <row r="8" spans="4:19" ht="15" thickBot="1">
      <c r="H8" s="2648"/>
      <c r="I8" s="2649"/>
      <c r="J8" s="2649"/>
      <c r="K8" s="2649"/>
      <c r="L8" s="2649"/>
      <c r="M8" s="2649"/>
      <c r="N8" s="2650"/>
      <c r="P8" t="s">
        <v>1906</v>
      </c>
      <c r="Q8" s="149">
        <f>-PV(Q7,YEARFRAC(Q2,Q3,4),Q5)</f>
        <v>5846.7000007168572</v>
      </c>
      <c r="R8" s="1961" t="s">
        <v>1908</v>
      </c>
    </row>
    <row r="9" spans="4:19" ht="42.75">
      <c r="D9">
        <v>2004</v>
      </c>
      <c r="E9">
        <v>3172.17</v>
      </c>
      <c r="F9">
        <v>26.13</v>
      </c>
      <c r="H9" s="1942" t="s">
        <v>60</v>
      </c>
      <c r="I9" s="1941" t="s">
        <v>1892</v>
      </c>
      <c r="J9" s="1943" t="s">
        <v>1635</v>
      </c>
      <c r="K9" s="1948" t="s">
        <v>1893</v>
      </c>
      <c r="L9" s="1941" t="s">
        <v>1635</v>
      </c>
      <c r="M9" s="1949" t="s">
        <v>1894</v>
      </c>
      <c r="N9" s="1943" t="s">
        <v>1895</v>
      </c>
    </row>
    <row r="10" spans="4:19" ht="15">
      <c r="D10">
        <v>2024</v>
      </c>
      <c r="E10">
        <v>5814.97</v>
      </c>
      <c r="F10">
        <v>38.92</v>
      </c>
      <c r="H10" s="1944">
        <v>38534</v>
      </c>
      <c r="I10" s="147">
        <v>0</v>
      </c>
      <c r="J10" s="1945">
        <v>100</v>
      </c>
      <c r="K10" s="1950">
        <f t="shared" ref="K10:K29" si="0">VLOOKUP(H10,aktRW,2)</f>
        <v>26.13</v>
      </c>
      <c r="L10" s="499">
        <v>100</v>
      </c>
      <c r="M10" s="499">
        <f>+L10+0.073*L10</f>
        <v>107.3</v>
      </c>
      <c r="N10" s="1946">
        <f>+M10/J10</f>
        <v>1.073</v>
      </c>
      <c r="O10">
        <f>YEAR(H10)</f>
        <v>2005</v>
      </c>
    </row>
    <row r="11" spans="4:19" ht="15">
      <c r="E11" s="146">
        <f>_xlfn.RRI(20,E9,E10)</f>
        <v>3.076473356874998E-2</v>
      </c>
      <c r="F11" s="146">
        <f>_xlfn.RRI(20,F9,F10)</f>
        <v>2.0120960396642573E-2</v>
      </c>
      <c r="H11" s="1944">
        <v>38899</v>
      </c>
      <c r="I11" s="147">
        <v>0</v>
      </c>
      <c r="J11" s="1945">
        <v>100</v>
      </c>
      <c r="K11" s="1950">
        <f t="shared" si="0"/>
        <v>26.13</v>
      </c>
      <c r="L11" s="499">
        <f>+L10*K11/K10</f>
        <v>100</v>
      </c>
      <c r="M11" s="499">
        <f t="shared" ref="M11:M29" si="1">+L11+0.073*L11</f>
        <v>107.3</v>
      </c>
      <c r="N11" s="1946">
        <f t="shared" ref="N11:N29" si="2">+M11/J11</f>
        <v>1.073</v>
      </c>
      <c r="O11">
        <f t="shared" ref="O11:O29" si="3">YEAR(H11)</f>
        <v>2006</v>
      </c>
    </row>
    <row r="12" spans="4:19" ht="15">
      <c r="H12" s="1944">
        <v>39264</v>
      </c>
      <c r="I12" s="147">
        <v>0</v>
      </c>
      <c r="J12" s="1945">
        <v>100</v>
      </c>
      <c r="K12" s="1950">
        <f t="shared" si="0"/>
        <v>26.27</v>
      </c>
      <c r="L12" s="499">
        <f t="shared" ref="L12:L29" si="4">+L11*K12/K11</f>
        <v>100.53578262533487</v>
      </c>
      <c r="M12" s="499">
        <f t="shared" si="1"/>
        <v>107.87489475698432</v>
      </c>
      <c r="N12" s="1946">
        <f t="shared" si="2"/>
        <v>1.0787489475698431</v>
      </c>
      <c r="O12">
        <f t="shared" si="3"/>
        <v>2007</v>
      </c>
    </row>
    <row r="13" spans="4:19" ht="15">
      <c r="H13" s="1944">
        <v>39630</v>
      </c>
      <c r="I13" s="147">
        <v>2.5600000000000001E-2</v>
      </c>
      <c r="J13" s="1945">
        <f>+J12+J12*I13</f>
        <v>102.56</v>
      </c>
      <c r="K13" s="1950">
        <f t="shared" si="0"/>
        <v>26.56</v>
      </c>
      <c r="L13" s="499">
        <f t="shared" si="4"/>
        <v>101.64561806352852</v>
      </c>
      <c r="M13" s="499">
        <f t="shared" si="1"/>
        <v>109.0657481821661</v>
      </c>
      <c r="N13" s="1946">
        <f t="shared" si="2"/>
        <v>1.0634335821194043</v>
      </c>
      <c r="O13">
        <f t="shared" si="3"/>
        <v>2008</v>
      </c>
    </row>
    <row r="14" spans="4:19" ht="15">
      <c r="H14" s="1944">
        <v>39995</v>
      </c>
      <c r="I14" s="147">
        <v>2.2599999999999999E-2</v>
      </c>
      <c r="J14" s="1945">
        <f t="shared" ref="J14:J29" si="5">+J13+J13*I14</f>
        <v>104.87785600000001</v>
      </c>
      <c r="K14" s="1950">
        <f t="shared" si="0"/>
        <v>27.2</v>
      </c>
      <c r="L14" s="499">
        <f t="shared" si="4"/>
        <v>104.09491006505934</v>
      </c>
      <c r="M14" s="499">
        <f t="shared" si="1"/>
        <v>111.69383849980866</v>
      </c>
      <c r="N14" s="1946">
        <f t="shared" si="2"/>
        <v>1.0649897200397447</v>
      </c>
      <c r="O14">
        <f t="shared" si="3"/>
        <v>2009</v>
      </c>
    </row>
    <row r="15" spans="4:19" ht="15.75" thickBot="1">
      <c r="H15" s="1944">
        <v>40360</v>
      </c>
      <c r="I15" s="147">
        <v>6.6E-3</v>
      </c>
      <c r="J15" s="1945">
        <f t="shared" si="5"/>
        <v>105.57004984960001</v>
      </c>
      <c r="K15" s="1950">
        <f t="shared" si="0"/>
        <v>27.2</v>
      </c>
      <c r="L15" s="499">
        <f t="shared" si="4"/>
        <v>104.09491006505935</v>
      </c>
      <c r="M15" s="499">
        <f t="shared" si="1"/>
        <v>111.69383849980869</v>
      </c>
      <c r="N15" s="1946">
        <f t="shared" si="2"/>
        <v>1.0580068746669431</v>
      </c>
      <c r="O15">
        <f t="shared" si="3"/>
        <v>2010</v>
      </c>
    </row>
    <row r="16" spans="4:19" ht="15">
      <c r="H16" s="1944">
        <v>40725</v>
      </c>
      <c r="I16" s="147">
        <v>3.5999999999999999E-3</v>
      </c>
      <c r="J16" s="1945">
        <f t="shared" si="5"/>
        <v>105.95010202905857</v>
      </c>
      <c r="K16" s="1950">
        <f t="shared" si="0"/>
        <v>27.469280000000001</v>
      </c>
      <c r="L16" s="499">
        <f t="shared" si="4"/>
        <v>105.12544967470345</v>
      </c>
      <c r="M16" s="499">
        <f t="shared" si="1"/>
        <v>112.7996075009568</v>
      </c>
      <c r="N16" s="1946">
        <f t="shared" si="2"/>
        <v>1.0646484084557053</v>
      </c>
      <c r="O16">
        <f t="shared" si="3"/>
        <v>2011</v>
      </c>
      <c r="Q16" s="2651" t="s">
        <v>1899</v>
      </c>
      <c r="R16" s="2652"/>
      <c r="S16" s="2653"/>
    </row>
    <row r="17" spans="8:19" ht="15">
      <c r="H17" s="1944">
        <v>41091</v>
      </c>
      <c r="I17" s="147">
        <v>3.3000000000000002E-2</v>
      </c>
      <c r="J17" s="1945">
        <f t="shared" si="5"/>
        <v>109.4464553960175</v>
      </c>
      <c r="K17" s="1950">
        <f t="shared" si="0"/>
        <v>28.07</v>
      </c>
      <c r="L17" s="499">
        <f t="shared" si="4"/>
        <v>107.42441637964029</v>
      </c>
      <c r="M17" s="499">
        <f t="shared" si="1"/>
        <v>115.26639877535403</v>
      </c>
      <c r="N17" s="1946">
        <f t="shared" si="2"/>
        <v>1.0531761705600957</v>
      </c>
      <c r="O17">
        <f t="shared" si="3"/>
        <v>2012</v>
      </c>
      <c r="Q17" s="89" t="s">
        <v>60</v>
      </c>
      <c r="R17" s="66" t="s">
        <v>559</v>
      </c>
      <c r="S17" s="168" t="s">
        <v>1900</v>
      </c>
    </row>
    <row r="18" spans="8:19" ht="15">
      <c r="H18" s="1944">
        <v>41456</v>
      </c>
      <c r="I18" s="147">
        <v>2.4E-2</v>
      </c>
      <c r="J18" s="1945">
        <f t="shared" si="5"/>
        <v>112.07317032552191</v>
      </c>
      <c r="K18" s="1950">
        <f t="shared" si="0"/>
        <v>28.14</v>
      </c>
      <c r="L18" s="499">
        <f t="shared" si="4"/>
        <v>107.69230769230774</v>
      </c>
      <c r="M18" s="499">
        <f t="shared" si="1"/>
        <v>115.55384615384619</v>
      </c>
      <c r="N18" s="1946">
        <f t="shared" si="2"/>
        <v>1.0310571729006548</v>
      </c>
      <c r="O18">
        <f t="shared" si="3"/>
        <v>2013</v>
      </c>
      <c r="Q18" s="1954">
        <v>39264</v>
      </c>
      <c r="R18" s="441">
        <v>5223</v>
      </c>
      <c r="S18" s="1955"/>
    </row>
    <row r="19" spans="8:19" ht="15">
      <c r="H19" s="1944">
        <v>41821</v>
      </c>
      <c r="I19" s="147">
        <v>2.8000000000000001E-2</v>
      </c>
      <c r="J19" s="1945">
        <f t="shared" si="5"/>
        <v>115.21121909463653</v>
      </c>
      <c r="K19" s="1950">
        <f t="shared" si="0"/>
        <v>28.61</v>
      </c>
      <c r="L19" s="499">
        <f t="shared" si="4"/>
        <v>109.49100650593192</v>
      </c>
      <c r="M19" s="499">
        <f t="shared" si="1"/>
        <v>117.48384998086495</v>
      </c>
      <c r="N19" s="1946">
        <f t="shared" si="2"/>
        <v>1.0197257776116546</v>
      </c>
      <c r="O19">
        <f t="shared" si="3"/>
        <v>2014</v>
      </c>
      <c r="Q19" s="1954">
        <v>41091</v>
      </c>
      <c r="R19" s="441">
        <v>5635</v>
      </c>
      <c r="S19" s="1956">
        <f>+R19/R18-1</f>
        <v>7.88818686578594E-2</v>
      </c>
    </row>
    <row r="20" spans="8:19" ht="15">
      <c r="H20" s="1944">
        <v>42186</v>
      </c>
      <c r="I20" s="147">
        <v>2.1999999999999999E-2</v>
      </c>
      <c r="J20" s="1945">
        <f t="shared" si="5"/>
        <v>117.74586591471854</v>
      </c>
      <c r="K20" s="1950">
        <f t="shared" si="0"/>
        <v>29.21</v>
      </c>
      <c r="L20" s="499">
        <f t="shared" si="4"/>
        <v>111.78721775736706</v>
      </c>
      <c r="M20" s="499">
        <f t="shared" si="1"/>
        <v>119.94768465365486</v>
      </c>
      <c r="N20" s="1946">
        <f t="shared" si="2"/>
        <v>1.0186997541003355</v>
      </c>
      <c r="O20">
        <f t="shared" si="3"/>
        <v>2015</v>
      </c>
      <c r="Q20" s="1954">
        <v>42917</v>
      </c>
      <c r="R20" s="441">
        <v>8441</v>
      </c>
      <c r="S20" s="1956">
        <f t="shared" ref="S20:S21" si="6">+R20/R19-1</f>
        <v>0.49795918367346936</v>
      </c>
    </row>
    <row r="21" spans="8:19" ht="15">
      <c r="H21" s="1944">
        <v>42552</v>
      </c>
      <c r="I21" s="147">
        <v>2.1999999999999999E-2</v>
      </c>
      <c r="J21" s="1945">
        <f t="shared" si="5"/>
        <v>120.33627496484235</v>
      </c>
      <c r="K21" s="1950">
        <f t="shared" si="0"/>
        <v>30.45</v>
      </c>
      <c r="L21" s="499">
        <f t="shared" si="4"/>
        <v>116.53272101033299</v>
      </c>
      <c r="M21" s="499">
        <f t="shared" si="1"/>
        <v>125.03960964408731</v>
      </c>
      <c r="N21" s="1946">
        <f t="shared" si="2"/>
        <v>1.0390849283029502</v>
      </c>
      <c r="O21">
        <f t="shared" si="3"/>
        <v>2016</v>
      </c>
      <c r="Q21" s="1954">
        <v>44743</v>
      </c>
      <c r="R21" s="441">
        <v>15147</v>
      </c>
      <c r="S21" s="1956">
        <f t="shared" si="6"/>
        <v>0.79445563321881285</v>
      </c>
    </row>
    <row r="22" spans="8:19" ht="15.75" thickBot="1">
      <c r="H22" s="1944">
        <v>42917</v>
      </c>
      <c r="I22" s="147">
        <v>2.35E-2</v>
      </c>
      <c r="J22" s="1945">
        <f t="shared" si="5"/>
        <v>123.16417742651615</v>
      </c>
      <c r="K22" s="1950">
        <f t="shared" si="0"/>
        <v>31.03</v>
      </c>
      <c r="L22" s="499">
        <f t="shared" si="4"/>
        <v>118.75239188672029</v>
      </c>
      <c r="M22" s="499">
        <f t="shared" si="1"/>
        <v>127.42131649445088</v>
      </c>
      <c r="N22" s="1946">
        <f t="shared" si="2"/>
        <v>1.0345647505377502</v>
      </c>
      <c r="O22">
        <f t="shared" si="3"/>
        <v>2017</v>
      </c>
      <c r="Q22" s="1957">
        <v>45474</v>
      </c>
      <c r="R22" s="1958">
        <v>15117</v>
      </c>
      <c r="S22" s="1959">
        <f>+R22/R21-1</f>
        <v>-1.9805902158843702E-3</v>
      </c>
    </row>
    <row r="23" spans="8:19" ht="15">
      <c r="H23" s="1944">
        <v>43282</v>
      </c>
      <c r="I23" s="147">
        <v>2.9899999999999999E-2</v>
      </c>
      <c r="J23" s="1945">
        <f t="shared" si="5"/>
        <v>126.84678633156898</v>
      </c>
      <c r="K23" s="1950">
        <f t="shared" si="0"/>
        <v>32.03</v>
      </c>
      <c r="L23" s="499">
        <f t="shared" si="4"/>
        <v>122.57941063911218</v>
      </c>
      <c r="M23" s="499">
        <f t="shared" si="1"/>
        <v>131.52770761576738</v>
      </c>
      <c r="N23" s="1946">
        <f t="shared" si="2"/>
        <v>1.0369021669336012</v>
      </c>
      <c r="O23">
        <f t="shared" si="3"/>
        <v>2018</v>
      </c>
    </row>
    <row r="24" spans="8:19" ht="15">
      <c r="H24" s="1944">
        <v>43647</v>
      </c>
      <c r="I24" s="147">
        <v>3.09E-2</v>
      </c>
      <c r="J24" s="1945">
        <f t="shared" si="5"/>
        <v>130.76635202921446</v>
      </c>
      <c r="K24" s="1950">
        <f t="shared" si="0"/>
        <v>33.049999999999997</v>
      </c>
      <c r="L24" s="499">
        <f t="shared" si="4"/>
        <v>126.48296976655189</v>
      </c>
      <c r="M24" s="499">
        <f t="shared" si="1"/>
        <v>135.71622655951018</v>
      </c>
      <c r="N24" s="1946">
        <f t="shared" si="2"/>
        <v>1.0378528149901274</v>
      </c>
      <c r="O24">
        <f t="shared" si="3"/>
        <v>2019</v>
      </c>
    </row>
    <row r="25" spans="8:19" ht="15">
      <c r="H25" s="1944">
        <v>44013</v>
      </c>
      <c r="I25" s="147">
        <v>1.06E-2</v>
      </c>
      <c r="J25" s="1945">
        <f t="shared" si="5"/>
        <v>132.15247536072414</v>
      </c>
      <c r="K25" s="1950">
        <f t="shared" si="0"/>
        <v>34.19</v>
      </c>
      <c r="L25" s="499">
        <f t="shared" si="4"/>
        <v>130.84577114427864</v>
      </c>
      <c r="M25" s="499">
        <f t="shared" si="1"/>
        <v>140.39751243781097</v>
      </c>
      <c r="N25" s="1946">
        <f t="shared" si="2"/>
        <v>1.0623903340030607</v>
      </c>
      <c r="O25">
        <f t="shared" si="3"/>
        <v>2020</v>
      </c>
    </row>
    <row r="26" spans="8:19" ht="15">
      <c r="H26" s="1944">
        <v>44378</v>
      </c>
      <c r="I26" s="147">
        <v>1.2E-2</v>
      </c>
      <c r="J26" s="1945">
        <f t="shared" si="5"/>
        <v>133.73830506505283</v>
      </c>
      <c r="K26" s="1950">
        <f t="shared" si="0"/>
        <v>34.19</v>
      </c>
      <c r="L26" s="499">
        <f t="shared" si="4"/>
        <v>130.84577114427864</v>
      </c>
      <c r="M26" s="499">
        <f t="shared" si="1"/>
        <v>140.39751243781097</v>
      </c>
      <c r="N26" s="1946">
        <f t="shared" si="2"/>
        <v>1.0497928201611273</v>
      </c>
      <c r="O26">
        <f t="shared" si="3"/>
        <v>2021</v>
      </c>
    </row>
    <row r="27" spans="8:19" ht="15">
      <c r="H27" s="1944">
        <v>44743</v>
      </c>
      <c r="I27" s="147">
        <v>1.7999999999999999E-2</v>
      </c>
      <c r="J27" s="1945">
        <f t="shared" si="5"/>
        <v>136.14559455622378</v>
      </c>
      <c r="K27" s="1950">
        <f t="shared" si="0"/>
        <v>36.020000000000003</v>
      </c>
      <c r="L27" s="499">
        <f t="shared" si="4"/>
        <v>137.84921546115584</v>
      </c>
      <c r="M27" s="499">
        <f t="shared" si="1"/>
        <v>147.91220818982021</v>
      </c>
      <c r="N27" s="1946">
        <f t="shared" si="2"/>
        <v>1.0864266939517986</v>
      </c>
      <c r="O27">
        <f t="shared" si="3"/>
        <v>2022</v>
      </c>
    </row>
    <row r="28" spans="8:19" ht="15">
      <c r="H28" s="1944">
        <v>45108</v>
      </c>
      <c r="I28" s="147">
        <v>0</v>
      </c>
      <c r="J28" s="1945">
        <f t="shared" si="5"/>
        <v>136.14559455622378</v>
      </c>
      <c r="K28" s="1950">
        <f t="shared" si="0"/>
        <v>37.6</v>
      </c>
      <c r="L28" s="499">
        <f t="shared" si="4"/>
        <v>143.89590508993501</v>
      </c>
      <c r="M28" s="499">
        <f t="shared" si="1"/>
        <v>154.40030616150028</v>
      </c>
      <c r="N28" s="1946">
        <f t="shared" si="2"/>
        <v>1.134082279083499</v>
      </c>
      <c r="O28">
        <f t="shared" si="3"/>
        <v>2023</v>
      </c>
    </row>
    <row r="29" spans="8:19" ht="15">
      <c r="H29" s="1944">
        <v>45474</v>
      </c>
      <c r="I29" s="147">
        <v>5.2999999999999999E-2</v>
      </c>
      <c r="J29" s="1945">
        <f t="shared" si="5"/>
        <v>143.36131106770364</v>
      </c>
      <c r="K29" s="1950">
        <f t="shared" si="0"/>
        <v>39.32</v>
      </c>
      <c r="L29" s="499">
        <f t="shared" si="4"/>
        <v>150.47837734404905</v>
      </c>
      <c r="M29" s="499">
        <f t="shared" si="1"/>
        <v>161.46329889016462</v>
      </c>
      <c r="N29" s="1946">
        <f t="shared" si="2"/>
        <v>1.1262682915470281</v>
      </c>
      <c r="O29">
        <f t="shared" si="3"/>
        <v>2024</v>
      </c>
    </row>
    <row r="30" spans="8:19">
      <c r="H30" s="2641" t="s">
        <v>1896</v>
      </c>
      <c r="I30" s="2642"/>
      <c r="J30" s="1946">
        <f>+J29/J10</f>
        <v>1.4336131106770365</v>
      </c>
      <c r="K30" s="1951">
        <f>+K29/K10</f>
        <v>1.5047837734404899</v>
      </c>
      <c r="L30" s="147">
        <f>+L29/L10</f>
        <v>1.5047837734404905</v>
      </c>
      <c r="M30" s="147">
        <f t="shared" ref="M30" si="7">+M29/M10</f>
        <v>1.5047837734404905</v>
      </c>
      <c r="N30" s="1946"/>
    </row>
    <row r="31" spans="8:19" ht="15" thickBot="1">
      <c r="H31" s="2643" t="s">
        <v>1897</v>
      </c>
      <c r="I31" s="2644"/>
      <c r="J31" s="1947">
        <f>_xlfn.RRI(COUNT(J10:J29),J10,J29)</f>
        <v>1.8173051593956879E-2</v>
      </c>
      <c r="K31" s="1952">
        <f>_xlfn.RRI(COUNT(K10:K29),K10,K29)</f>
        <v>2.0642632515461834E-2</v>
      </c>
      <c r="L31" s="1953">
        <f>_xlfn.RRI(COUNT(L10:L29),L10,L29)</f>
        <v>2.0642632515461834E-2</v>
      </c>
      <c r="M31" s="1953">
        <f t="shared" ref="M31" si="8">_xlfn.RRI(COUNT(M10:M29),M10,M29)</f>
        <v>2.0642632515461834E-2</v>
      </c>
      <c r="N31" s="1947"/>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OutlineSymbols="0" topLeftCell="A2" zoomScale="120" zoomScaleNormal="120" workbookViewId="0">
      <selection activeCell="E14" sqref="E14"/>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887">
        <v>140</v>
      </c>
      <c r="B1" s="2664" t="s">
        <v>340</v>
      </c>
      <c r="C1" s="2664"/>
      <c r="D1" s="2664"/>
      <c r="E1" s="2664"/>
      <c r="F1" s="2664"/>
      <c r="G1" s="2664"/>
      <c r="H1" s="2664"/>
      <c r="I1" s="54"/>
      <c r="J1" s="54"/>
      <c r="K1" s="54"/>
      <c r="L1" s="2662" t="s">
        <v>1566</v>
      </c>
      <c r="M1" s="2663"/>
      <c r="N1" s="54"/>
      <c r="O1" s="54"/>
      <c r="P1" t="e">
        <f>VLOOKUP(E_Alter,CHOOSE(IF(E_Rentenalter&lt;60,60,IF(E_Rentenalter&gt;67,67,E_Rentenalter))-59,HRIR60,HRIR61,HRIR62,HRIR63,HRIR62,HRIR,HRIR66,HRIR67),2)</f>
        <v>#VALUE!</v>
      </c>
      <c r="R1" t="s">
        <v>171</v>
      </c>
      <c r="S1" s="15">
        <v>2</v>
      </c>
      <c r="U1" t="s">
        <v>1207</v>
      </c>
      <c r="V1" t="e">
        <f>YEAR(E_Datum1)+IF(MONTH(E_Datum1)&gt;6,1,0)</f>
        <v>#VALUE!</v>
      </c>
      <c r="W1" t="s">
        <v>1215</v>
      </c>
      <c r="X1" t="e">
        <f>+V1-1900+2</f>
        <v>#VALUE!</v>
      </c>
      <c r="AA1" t="s">
        <v>21</v>
      </c>
      <c r="AB1" t="s">
        <v>61</v>
      </c>
    </row>
    <row r="2" spans="1:34" ht="36" customHeight="1" thickBot="1">
      <c r="A2" s="30"/>
      <c r="B2" s="2665" t="s">
        <v>1578</v>
      </c>
      <c r="C2" s="2666"/>
      <c r="D2" s="2666"/>
      <c r="E2" s="2666"/>
      <c r="F2" s="2666"/>
      <c r="G2" s="2666"/>
      <c r="H2" s="2666"/>
      <c r="I2" s="2670" t="s">
        <v>2007</v>
      </c>
      <c r="J2" s="2671"/>
      <c r="K2" s="880"/>
      <c r="L2" s="2688" t="s">
        <v>1565</v>
      </c>
      <c r="M2" s="2688"/>
      <c r="N2" s="880"/>
      <c r="O2" s="880"/>
      <c r="P2" s="58">
        <f ca="1">TODAY()</f>
        <v>46090</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1208</v>
      </c>
      <c r="V2" t="e">
        <f>YEAR(E_BerDat2)+IF(MONTH(E_BerDat2)&gt;6,1,0)</f>
        <v>#VALUE!</v>
      </c>
      <c r="W2" t="e">
        <f>+V2-1900+2</f>
        <v>#VALUE!</v>
      </c>
      <c r="Z2" t="s">
        <v>1017</v>
      </c>
      <c r="AA2" s="149" t="e">
        <f>VLOOKUP(YEAR(E_BerDat1),MonatlicheBezugsgröße,4)</f>
        <v>#VALUE!</v>
      </c>
      <c r="AB2" s="149" t="e">
        <f>VLOOKUP(YEAR(E_BerDat1),MonatlicheBezugsgröße,5)</f>
        <v>#VALUE!</v>
      </c>
    </row>
    <row r="3" spans="1:34" ht="24" customHeight="1">
      <c r="A3" s="30"/>
      <c r="B3" s="2679" t="s">
        <v>1577</v>
      </c>
      <c r="C3" s="2680"/>
      <c r="D3" s="2680"/>
      <c r="E3" s="2680"/>
      <c r="F3" s="2680"/>
      <c r="G3" s="2680"/>
      <c r="H3" s="2681"/>
      <c r="I3" s="31"/>
      <c r="J3" s="1169"/>
      <c r="K3" s="31"/>
      <c r="L3" s="2689" t="str">
        <f>IF(E_RenteKapital=1,"Berechnung nur bei Barwertberechnung möglich","nach BGH XII ZB 443/14 (Flugsicherung)")</f>
        <v>nach BGH XII ZB 443/14 (Flugsicherung)</v>
      </c>
      <c r="M3" s="2689"/>
      <c r="N3" s="31"/>
      <c r="O3" s="31"/>
      <c r="P3" s="3" t="s">
        <v>114</v>
      </c>
      <c r="Q3" s="1263">
        <v>44926</v>
      </c>
      <c r="R3" s="148">
        <v>46387</v>
      </c>
      <c r="S3" s="3"/>
      <c r="T3" s="3" t="str">
        <f ca="1">LEFT(CELL("dateiname",T3),FIND("[",CELL("Dateiname",T3))-1)</f>
        <v>https://d.docs.live.net/a7fa01d38a6bdd72/KapitalwertKontrolle/</v>
      </c>
      <c r="U3" s="3"/>
      <c r="V3" s="3"/>
      <c r="AF3" s="71" t="s">
        <v>1189</v>
      </c>
      <c r="AH3" t="s">
        <v>1545</v>
      </c>
    </row>
    <row r="4" spans="1:34" ht="12" hidden="1" customHeight="1" thickBot="1">
      <c r="A4" s="19"/>
      <c r="B4" s="623"/>
      <c r="C4" s="624"/>
      <c r="D4" s="624"/>
      <c r="E4" s="624"/>
      <c r="F4" s="624"/>
      <c r="G4" s="624"/>
      <c r="H4" s="625"/>
      <c r="I4" s="31"/>
      <c r="J4" s="1170"/>
      <c r="K4" s="21"/>
      <c r="N4" s="21"/>
      <c r="O4" s="21"/>
      <c r="P4" s="3"/>
      <c r="Q4" s="3"/>
      <c r="R4" s="3"/>
      <c r="S4" s="3"/>
      <c r="T4" s="3"/>
      <c r="U4" s="3"/>
      <c r="V4" s="3"/>
    </row>
    <row r="5" spans="1:34" s="71" customFormat="1" ht="27" customHeight="1">
      <c r="A5" s="20"/>
      <c r="B5" s="1184" t="str">
        <f>"1. Geburtsdatum des Inhabers der Versorgung "</f>
        <v xml:space="preserve">1. Geburtsdatum des Inhabers der Versorgung </v>
      </c>
      <c r="C5" s="1377" t="str">
        <f>IFERROR(IF(Dat_GebDat_M+Dat_GebDat_F=0,"",IF(E5&lt;&gt;"","","Übernahme aus Datenerfassung:")),"")</f>
        <v/>
      </c>
      <c r="D5" s="1378" t="str">
        <f>IF(E5&lt;&gt;"",E5,IF(AND(Dat_GebDat_M="",+Dat_GebDat_F=""),"",IF(E_sex=1,Dat_GebDat_M,IF(E_sex=2,Dat_GebDat_F,IF(E_sex=3,E5)))))</f>
        <v/>
      </c>
      <c r="E5" s="1187"/>
      <c r="F5" s="1967" t="str">
        <f>IFERROR(IF(E5&gt;0,"",IF(Dat_GebDat_M&gt;0,TEXT(Dat_GebDat_M,"TT.MM.JJJ")&amp;" "&amp;männlich,"")),"")</f>
        <v xml:space="preserve"> ♂</v>
      </c>
      <c r="G5" s="1967" t="str">
        <f>IFERROR(IF(E5&gt;0,"",IF(Dat_GebDat_F&gt;0,TEXT(Dat_GebDat_F,"TT.MM.JJJ")&amp;" "&amp;weiblich,"")),"")</f>
        <v xml:space="preserve"> ♀</v>
      </c>
      <c r="H5" s="1189" t="str">
        <f>"Version "&amp;TEXT(MONTH(Enddatum),"00")&amp;"/"&amp;TEXT(YEAR(Enddatum),"####")</f>
        <v>Version 02/2026</v>
      </c>
      <c r="I5" s="2684" t="str">
        <f>IFERROR("aktueller RW im EzE: "&amp;TEXT(VLOOKUP(E_BerDat1,aktRW,IF(Ost,3,2)),"#0,00 €")&amp;CHAR(10)&amp;"Kosten 1 EP DRV: "&amp;TEXT(VLOOKUP(E_BerDat1,UmrechnungEP_Kap,IF(Ost,3,2)),"#.##0,0000 €"),"")</f>
        <v/>
      </c>
      <c r="J5" s="2685"/>
      <c r="K5" s="51"/>
      <c r="L5" s="1344" t="s">
        <v>1559</v>
      </c>
      <c r="M5" s="1343">
        <f>DATE(YEAR(E6),12,31)</f>
        <v>366</v>
      </c>
      <c r="N5" s="1329"/>
      <c r="O5" s="1329"/>
      <c r="P5" s="540" t="s">
        <v>77</v>
      </c>
      <c r="Q5" s="1264">
        <v>2</v>
      </c>
      <c r="R5" s="540" t="s">
        <v>91</v>
      </c>
      <c r="S5" s="1278" t="e">
        <f>IF(Rentenalter&gt;E_Alter,ROUND(Rentenalter-E_Alter,2),0)</f>
        <v>#VALUE!</v>
      </c>
      <c r="T5" s="540" t="s">
        <v>159</v>
      </c>
      <c r="U5" s="1265">
        <f>IF(E_RenteKapital=2,IF(E_KapWert&gt;0,E_KapWert,E_Ergebnis),E_Kapital)*VLOOKUP(IF(EzE_P&gt;0,EzE_P,E_BerDat1),Umrechnungsfaktoren,IF(Ost,3,2))</f>
        <v>0</v>
      </c>
      <c r="V5" s="540" t="e">
        <f>VLOOKUP(E_BerDat1,aktRW,IF(Ost,3,2))</f>
        <v>#N/A</v>
      </c>
      <c r="W5" s="780" t="e">
        <f>+V5*Entgeltpunkte1</f>
        <v>#N/A</v>
      </c>
      <c r="X5" s="780" t="e">
        <f>IF(E_BerDat1&gt;E_Renteneintritt,W5,-FV(RententrendDRV,YEARFRAC(E_BerDat1,E_Renteneintritt,3),,'Einzel-Bewertung'!W5))*IF(KV_Beitrag,(1+KV_Beitragssatz),1)</f>
        <v>#VALUE!</v>
      </c>
      <c r="Z5" s="71" t="s">
        <v>186</v>
      </c>
      <c r="AF5" s="71" t="s">
        <v>1192</v>
      </c>
      <c r="AG5" s="787" t="e">
        <f>DATE(YEAR(E_Datum1)+65,MONTH(E_Datum1)+VLOOKUP(YEAR(E_Datum1),Renteneintrittstabelle,2)+1,1)</f>
        <v>#VALUE!</v>
      </c>
    </row>
    <row r="6" spans="1:34" s="71" customFormat="1" ht="27" customHeight="1">
      <c r="A6" s="20"/>
      <c r="B6" s="1185" t="s">
        <v>119</v>
      </c>
      <c r="C6" s="1188" t="str">
        <f>IF(AND(Dat_EzE&gt;0,E6=0),"Übernahme aus Datenerfassung:","")</f>
        <v/>
      </c>
      <c r="D6" s="1238" t="str">
        <f>IF(E6&lt;&gt;"",E6,IF(Dat_EzE=0,"",Dat_EzE))</f>
        <v/>
      </c>
      <c r="E6" s="1187"/>
      <c r="F6" s="2669" t="str">
        <f>IFERROR(IF(E_BerDat1&gt;0," Versicherungsalter im Berechnungszeitpunkt: "&amp;TEXT(E_Alter,"#0,00") &amp;" bzw. "&amp;TEXT(INT(E_Alter),"0")&amp;"/"&amp;TEXT((E_Alter-INT(E_Alter))*12,"0")&amp;" Monate",""),"")</f>
        <v/>
      </c>
      <c r="G6" s="2669"/>
      <c r="H6" s="2669"/>
      <c r="I6" s="2673"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674"/>
      <c r="K6" s="22"/>
      <c r="L6" s="1357" t="s">
        <v>255</v>
      </c>
      <c r="M6" s="1361" t="str">
        <f>CHOOSE(E_sex,"w","m","u")</f>
        <v>w</v>
      </c>
      <c r="N6" s="1359"/>
      <c r="O6" s="1359"/>
      <c r="P6" s="540" t="s">
        <v>78</v>
      </c>
      <c r="Q6" s="1264" t="e">
        <f>YEARFRAC(E_Datum1,E_BerDat1,0)</f>
        <v>#VALUE!</v>
      </c>
      <c r="R6" s="540" t="s">
        <v>81</v>
      </c>
      <c r="S6" s="66" t="e">
        <f>ROUND(YEARFRAC(E_Datum1,E_BerDat1,4),2)</f>
        <v>#VALUE!</v>
      </c>
      <c r="T6" s="540" t="s">
        <v>160</v>
      </c>
      <c r="U6" s="1265"/>
      <c r="V6" s="540" t="e">
        <f>VLOOKUP(E_BerDat1,aktRW,IF(Ost,3,2))</f>
        <v>#N/A</v>
      </c>
      <c r="W6" s="780" t="e">
        <f>+V6*Entgeltpunkte1</f>
        <v>#N/A</v>
      </c>
      <c r="X6" s="780" t="e">
        <f>IF(E_BerDat1&gt;Q41,W6,-FV(RententrendDRV,YEARFRAC(E_BerDat1,Q41,3),,'Einzel-Bewertung'!W6))*IF(KV_Beitrag,(1+KV_Beitragssatz),1)</f>
        <v>#VALUE!</v>
      </c>
      <c r="Z6" s="16" t="b">
        <v>0</v>
      </c>
      <c r="AA6" s="71" t="s">
        <v>184</v>
      </c>
      <c r="AB6" s="16" t="b">
        <v>0</v>
      </c>
      <c r="AF6" s="71" t="s">
        <v>1193</v>
      </c>
      <c r="AG6" s="71" t="e">
        <f>IF(YEARFRAC(E_Datum1,AG5,3)&gt;67,67,YEARFRAC(E_Datum1,AG5,3))</f>
        <v>#VALUE!</v>
      </c>
    </row>
    <row r="7" spans="1:34" s="71" customFormat="1" ht="27" customHeight="1" thickBot="1">
      <c r="A7" s="20"/>
      <c r="B7" s="2682" t="s">
        <v>120</v>
      </c>
      <c r="C7" s="2683"/>
      <c r="D7" s="2683"/>
      <c r="E7" s="1718"/>
      <c r="F7" s="1718"/>
      <c r="G7" s="1718"/>
      <c r="H7" s="1719" t="str">
        <f>CHOOSE(E_sex,männlich,weiblich,divers)</f>
        <v>♂</v>
      </c>
      <c r="I7" s="2675"/>
      <c r="J7" s="2676"/>
      <c r="K7" s="22"/>
      <c r="L7" s="1344" t="s">
        <v>1560</v>
      </c>
      <c r="M7" s="1345">
        <f>YEARFRAC(E6,M5,3)</f>
        <v>1.0027397260273974</v>
      </c>
      <c r="N7" s="1327"/>
      <c r="O7" s="1327"/>
      <c r="P7" s="1266" t="str">
        <f>CHOOSE(E_sex=1,Dat_GebDat_M,6,"")</f>
        <v/>
      </c>
      <c r="Q7" s="1266"/>
      <c r="R7" s="1266" t="s">
        <v>79</v>
      </c>
      <c r="S7" s="1267">
        <v>1</v>
      </c>
      <c r="T7" s="1266"/>
      <c r="U7" s="1268"/>
      <c r="V7" s="540"/>
      <c r="W7" s="780"/>
      <c r="X7" s="780"/>
      <c r="Z7" s="71" t="s">
        <v>187</v>
      </c>
      <c r="AA7" s="71" t="e">
        <f>YEAR(E_Datum1)</f>
        <v>#VALUE!</v>
      </c>
      <c r="AB7" s="781">
        <f>IF(Längerlebigkeitszuschlag,_xlfn.IFNA(VLOOKUP(AA7,AA9:AB30,2),0),0)</f>
        <v>0</v>
      </c>
      <c r="AF7" s="71" t="s">
        <v>256</v>
      </c>
      <c r="AG7" s="620" t="e">
        <f>VLOOKUP(IF(E_Alter&gt;AG6,E_Alter,AG6),CHOOSE(E_sex,Lebenserwartung_M_V2,Lebenserwartung_F_V2,Lebenserwartung_N_V2),E_Versicherungsjahrgang-1900+2)</f>
        <v>#VALUE!</v>
      </c>
    </row>
    <row r="8" spans="1:34" s="71" customFormat="1" ht="27" customHeight="1">
      <c r="A8" s="20"/>
      <c r="B8" s="2667" t="s">
        <v>115</v>
      </c>
      <c r="C8" s="2668"/>
      <c r="D8" s="2668"/>
      <c r="E8" s="2672"/>
      <c r="F8" s="2672"/>
      <c r="G8" s="2672"/>
      <c r="H8" s="2672"/>
      <c r="I8" s="2677" t="str">
        <f>IFERROR(IF(E_RenteKapital=2,IF(E_BerDat1&gt;0,IF(AND(E_Kapital&gt;0,E_Kapital&lt;AA2),"Ausgl.Wert &lt;= "&amp;TEXT(AA2,"0,00 €") &amp;" § 18 III VersAusglG","")&amp;IF(AND(E_Ergebnis&gt;0,E_Ergebnis&lt;AB2),CHAR(10)&amp;"Kapitalwert &lt;= "&amp;TEXT(AB2,"#.##0,00")&amp;" § 18 III VersAusglG",""),""),""),"")</f>
        <v/>
      </c>
      <c r="J8" s="2678"/>
      <c r="K8" s="64"/>
      <c r="L8" s="1344" t="str">
        <f>"mit "&amp;TEXT(E_Rezins/100,"0,00%")&amp;" auf-gezinster AusglW:"</f>
        <v>mit 0,00% auf-gezinster AusglW:</v>
      </c>
      <c r="M8" s="1346">
        <f>E_Ergebnis*(1+E_Rezins/100)^RK_Zeitabstand_EzE</f>
        <v>0</v>
      </c>
      <c r="N8" s="1328"/>
      <c r="O8" s="1328"/>
      <c r="P8" s="1269" t="s">
        <v>85</v>
      </c>
      <c r="Q8" s="1270" t="b">
        <v>1</v>
      </c>
      <c r="R8" s="1271" t="s">
        <v>86</v>
      </c>
      <c r="S8" s="1371" t="str">
        <f>IFERROR(ROUND(IF(OR(E_Datum1="",E_BerDat1=""),"",IF(AND(E_Invalidität,F9&lt;&gt;"Rentner!"),VLOOKUP(E_Alter,CHOOSE(IF(E_Rentenalter&lt;60,60,IF(E_Rentenalter&gt;67,67,E_Rentenalter))-59,HRIR60,HRIR61,HRIR62,HRIR63,HRIR64,HRIR,HRIR66,HRIR67),CHOOSE(E_sex,7,16,25),1)*J11,0)),4),"")</f>
        <v/>
      </c>
      <c r="T8" s="2692" t="s">
        <v>1209</v>
      </c>
      <c r="U8" s="2690" t="e">
        <f>+E_Ifaktor+E_HFaktor</f>
        <v>#VALUE!</v>
      </c>
      <c r="X8" s="780" t="e">
        <f>-FV(E_ReTrend1,E_LXYAlterABer/2,,E_RenteausKapitalAglBer)</f>
        <v>#VALUE!</v>
      </c>
      <c r="AF8" s="71" t="s">
        <v>257</v>
      </c>
      <c r="AG8" s="71" t="e">
        <f>IF(AG6-E_Alter&lt;0,0,AG6-E_Alter)</f>
        <v>#VALUE!</v>
      </c>
    </row>
    <row r="9" spans="1:34" s="71" customFormat="1" ht="27" customHeight="1" thickBot="1">
      <c r="A9" s="20"/>
      <c r="B9" s="2682" t="str">
        <f>IF(E_RenteKapital=2,"5. Höhe des Ehezeitanteils (Ausgleichswert) der Monatsrente eingeben","5. Zu verrentenden Kapitalbetrag eingeben")</f>
        <v>5. Höhe des Ehezeitanteils (Ausgleichswert) der Monatsrente eingeben</v>
      </c>
      <c r="C9" s="2683"/>
      <c r="D9" s="2700"/>
      <c r="E9" s="1144"/>
      <c r="F9" s="2733" t="str">
        <f>IFERROR(IF(E_BerDat1="","",IF(E_Alter&gt;=IF(E_Rentenaltereingabe&gt;0,E_Rentenaltereingabe,E_Rentenalter),"Rentner"&amp;CHOOSE(E_sex,"","in","")&amp;"! Bitte Kapitalverzehr beachten","")),"")</f>
        <v/>
      </c>
      <c r="G9" s="2733"/>
      <c r="H9" s="2734"/>
      <c r="I9" s="2723" t="str">
        <f>IF(F9&lt;&gt;"","BGH XII ZB 447/13 v. 17.2.2016 - FamRB 2016, 176","")</f>
        <v/>
      </c>
      <c r="J9" s="2724"/>
      <c r="K9" s="78"/>
      <c r="L9" s="1355" t="s">
        <v>1541</v>
      </c>
      <c r="M9" s="345" t="e">
        <f>ROUND(E_Alterswahl+YEARFRAC(E_BerDat1,RK_Datum,3),4)</f>
        <v>#VALUE!</v>
      </c>
      <c r="N9" s="1337"/>
      <c r="O9" s="1337"/>
      <c r="P9" s="1272" t="s">
        <v>87</v>
      </c>
      <c r="Q9" s="1273" t="b">
        <v>1</v>
      </c>
      <c r="R9" s="1274" t="s">
        <v>88</v>
      </c>
      <c r="S9" s="1370" t="str">
        <f>IFERROR(ROUND(IF(OR(E_Datum1="",E_BerDat1=""),"",IF(E_Hinterbliebene,VLOOKUP(E_Alter,CHOOSE(IF(E_Rentenalter&lt;60,60,IF(E_Rentenalter&gt;67,67,E_Rentenalter))-59,HRIR60,HRIR61,HRIR62,HRIR63,HRIR64,HRIR,HRIR66,HRIR67),CHOOSE(E_sex,8,17,26),1)*J12,0)),4),"")</f>
        <v/>
      </c>
      <c r="T9" s="2693"/>
      <c r="U9" s="2691"/>
      <c r="V9" s="2687" t="s">
        <v>1548</v>
      </c>
      <c r="W9" s="2687"/>
      <c r="X9" s="2687"/>
      <c r="Y9" s="2687"/>
      <c r="AB9" s="782"/>
      <c r="AF9" s="71" t="s">
        <v>1190</v>
      </c>
      <c r="AG9" s="790" t="str">
        <f>+Berechnungstext!C19</f>
        <v/>
      </c>
    </row>
    <row r="10" spans="1:34" s="71" customFormat="1" ht="27" customHeight="1" thickBot="1">
      <c r="A10" s="20"/>
      <c r="B10" s="2667" t="s">
        <v>121</v>
      </c>
      <c r="C10" s="2668"/>
      <c r="D10" s="2717"/>
      <c r="E10" s="56"/>
      <c r="F10" s="2732"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704"/>
      <c r="H10" s="2705"/>
      <c r="I10" s="2725" t="str">
        <f>IFERROR("Regel-Renteneintritt Pflicht.: "&amp;IF(E_Datum1&gt;0,TEXT(DATE(YEAR(E_Datum1)+IF(E_Rentenaltereingabe="",65,E_Rentenaltereingabe),MONTH(E_Datum1)+IF(E_Rentenaltereingabe="",VLOOKUP(YEAR(E_Datum1),Renteneintrittstabelle,2),(E_Rentenaltereingabe-INT(E_Rentenaltereingabe))*12)+1,1),"TT.MM.JJJJ"),""),"")</f>
        <v/>
      </c>
      <c r="J10" s="2726"/>
      <c r="K10" s="81"/>
      <c r="L10" s="1347" t="str">
        <f>"Biometrische Korrektur VVR"&amp;CHOOSE(E_sex,"m","w","u")&amp;"EZE zu RK"</f>
        <v>Biometrische Korrektur VVRmEZE zu RK</v>
      </c>
      <c r="M10" s="1348" t="e">
        <f>+U13</f>
        <v>#VALUE!</v>
      </c>
      <c r="N10" s="1333"/>
      <c r="O10" s="1333"/>
      <c r="P10" s="71" t="s">
        <v>155</v>
      </c>
      <c r="Q10" s="783" t="e">
        <f>VLOOKUP(ROUND(E_Alter,0),CHOOSE(E_sex,G_Kohorte_M,G_Kohorte_F,G_Kohorte_N),E_Tabschritt)</f>
        <v>#VALUE!</v>
      </c>
      <c r="R10" s="784"/>
      <c r="T10" s="540" t="s">
        <v>1542</v>
      </c>
      <c r="U10" s="1338" t="e">
        <f>VLOOKUP(ROUND(RK_AlterAusglBer,0),CHOOSE(E_sex,G_Kohorte_M,G_Kohorte_F,G_Kohorte_N),E_Tabschritt)</f>
        <v>#VALUE!</v>
      </c>
      <c r="V10" s="1341" t="s">
        <v>1547</v>
      </c>
      <c r="W10" s="614" t="e">
        <f>ROUND(IF(OR(E_Datum1="",E_BerDat1=""),"",IF(AND(E_InvaliditätAusglBer,F9&lt;&gt;"Rentner!"),VLOOKUP(RK_AlterAusglBer,CHOOSE(IF(E_Rentenalter&lt;60,60,IF(E_Rentenalter&gt;67,67,E_Rentenalter))-59,HRIR60,HRIR61,HRIR62,HRIR63,HRIR64,HRIR,HRIR66,HRIR67),CHOOSE(E_sex,16,7,25),1)*J11,0)),4)</f>
        <v>#VALUE!</v>
      </c>
      <c r="X10" s="2686" t="e">
        <f>ROUND(W10+W11,4)</f>
        <v>#VALUE!</v>
      </c>
      <c r="Y10" s="66" t="s">
        <v>1544</v>
      </c>
      <c r="AB10" s="782"/>
      <c r="AF10" s="71" t="s">
        <v>1191</v>
      </c>
      <c r="AG10" s="790" t="str">
        <f>+Berechnungstext!C20</f>
        <v/>
      </c>
    </row>
    <row r="11" spans="1:34" s="71" customFormat="1" ht="27" customHeight="1">
      <c r="A11" s="20"/>
      <c r="B11" s="2682" t="s">
        <v>122</v>
      </c>
      <c r="C11" s="2683"/>
      <c r="D11" s="2683"/>
      <c r="E11" s="27"/>
      <c r="F11" s="2704"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704"/>
      <c r="H11" s="2705"/>
      <c r="I11" s="639" t="s">
        <v>693</v>
      </c>
      <c r="J11" s="640">
        <v>1</v>
      </c>
      <c r="K11" s="1200"/>
      <c r="L11" s="1349" t="str">
        <f>"aufgezinster korr. AusglWert RK"</f>
        <v>aufgezinster korr. AusglWert RK</v>
      </c>
      <c r="M11" s="1350" t="e">
        <f>RK_aufgezinsterBW*(1+RK_biometrKorrektur)</f>
        <v>#VALUE!</v>
      </c>
      <c r="N11" s="1337"/>
      <c r="O11" s="1337"/>
      <c r="P11" s="71" t="s">
        <v>154</v>
      </c>
      <c r="Q11" s="783" t="e">
        <f>VLOOKUP(ROUND(E_Rentenalter,0),CHOOSE(E_sex,G_Kohorte_M,G_Kohorte_F,G_Kohorte_N),E_Tabschritt)</f>
        <v>#VALUE!</v>
      </c>
      <c r="R11" s="71" t="s">
        <v>101</v>
      </c>
      <c r="S11" s="71" t="e">
        <f>TEXT(E_VVR2,"###.##0")&amp;" / "&amp;TEXT(E_VVR1,"###.##0")</f>
        <v>#VALUE!</v>
      </c>
      <c r="T11" s="540"/>
      <c r="U11" s="541" t="e">
        <f>+E_VVR2</f>
        <v>#VALUE!</v>
      </c>
      <c r="V11" s="1341" t="s">
        <v>1549</v>
      </c>
      <c r="W11" s="614" t="str">
        <f>IFERROR(ROUND(IF(OR(E_Datum1="",E_BerDat1=""),"",IF(E_HinterbliebeneAusglBer,VLOOKUP(RK_AlterAusglBer,CHOOSE(IF(E_Rentenalter&lt;60,60,IF(E_Rentenalter&gt;67,67,E_Rentenalter))-59,HRIR60,HRIR61,HRIR62,HRIR63,HRIR64,HRIR,HRIR66,HRIR67),CHOOSE(E_sex,17,8,26),1)*J12,0)),4),"")</f>
        <v/>
      </c>
      <c r="X11" s="2687"/>
      <c r="Y11" s="66" t="e">
        <f>ROUND(X10/HRIR_Zuschlag,4)</f>
        <v>#VALUE!</v>
      </c>
      <c r="Z11" s="790" t="e">
        <f>+RK_Nebenleistungen-T22</f>
        <v>#VALUE!</v>
      </c>
      <c r="AB11" s="782"/>
      <c r="AF11" s="71" t="s">
        <v>1194</v>
      </c>
      <c r="AG11" s="1045" t="e">
        <f>-PV(E_Rezins/100-RententrendDRV,AG7,E_Kapital*12)</f>
        <v>#VALUE!</v>
      </c>
    </row>
    <row r="12" spans="1:34" s="71" customFormat="1" ht="27" customHeight="1">
      <c r="A12" s="2694"/>
      <c r="B12" s="2682" t="s">
        <v>123</v>
      </c>
      <c r="C12" s="2683"/>
      <c r="D12" s="2683"/>
      <c r="E12" s="27"/>
      <c r="F12" s="2704"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704"/>
      <c r="H12" s="2705"/>
      <c r="I12" s="606" t="s">
        <v>694</v>
      </c>
      <c r="J12" s="88">
        <v>0.6</v>
      </c>
      <c r="K12" s="1200"/>
      <c r="L12" s="1349" t="s">
        <v>1551</v>
      </c>
      <c r="M12" s="1348" t="e">
        <f>+Z13</f>
        <v>#VALUE!</v>
      </c>
      <c r="N12" s="1333"/>
      <c r="O12" s="1333"/>
      <c r="P12" s="71" t="s">
        <v>80</v>
      </c>
      <c r="Q12" s="1363" t="e">
        <f>ROUND(IF(E_Alter&gt;=E_Rentenalter,1,E_VVR2/E_VVR1),4)</f>
        <v>#VALUE!</v>
      </c>
      <c r="R12" s="71" t="e" vm="1">
        <f>_xleta.PV</f>
        <v>#VALUE!</v>
      </c>
      <c r="S12" s="784">
        <v>100</v>
      </c>
      <c r="T12" s="540" t="s">
        <v>1543</v>
      </c>
      <c r="U12" s="541" t="e">
        <f>ROUND(IF(E_RelegalterABer&lt;=RK_AlterAusglBer,1,U11/U10),4)</f>
        <v>#VALUE!</v>
      </c>
      <c r="V12" s="2687" t="s">
        <v>1550</v>
      </c>
      <c r="W12" s="2687"/>
      <c r="X12" s="2687"/>
      <c r="Y12" s="2687"/>
      <c r="AB12" s="782"/>
      <c r="AF12" s="71" t="s">
        <v>1195</v>
      </c>
      <c r="AG12" s="154" t="e">
        <f>-PV(E_Rezins/100-RententrendDRV,AG8,,AG11)</f>
        <v>#VALUE!</v>
      </c>
    </row>
    <row r="13" spans="1:34" s="71" customFormat="1" ht="27" customHeight="1">
      <c r="A13" s="2694"/>
      <c r="B13" s="2682"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83"/>
      <c r="D13" s="2700"/>
      <c r="E13" s="57"/>
      <c r="F13" s="2715"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715"/>
      <c r="H13" s="2716"/>
      <c r="I13" s="2658" t="str">
        <f>IF(E_Bilmog10_test=0,"","BliMoG-10: "&amp;TEXT(VLOOKUP(E_BerDat1,BilMoG10,16)/100,"#0,00%"))</f>
        <v/>
      </c>
      <c r="J13" s="2659"/>
      <c r="K13" s="52"/>
      <c r="L13" s="1349" t="s">
        <v>1552</v>
      </c>
      <c r="M13" s="1350" t="e">
        <f>+RK_AusgW*(1+M12)</f>
        <v>#VALUE!</v>
      </c>
      <c r="N13" s="1334"/>
      <c r="O13" s="1334"/>
      <c r="P13" s="71" t="s">
        <v>128</v>
      </c>
      <c r="Q13" s="71">
        <f>IF(OR(E_BerDat1&lt;BilMoGMin,E_BerDat1&gt;BilMoGmax),0,1)</f>
        <v>0</v>
      </c>
      <c r="R13" s="71" t="s">
        <v>827</v>
      </c>
      <c r="S13" s="786"/>
      <c r="T13" s="540" t="s">
        <v>1544</v>
      </c>
      <c r="U13" s="1342" t="e">
        <f>+U12/E_VVR-1</f>
        <v>#VALUE!</v>
      </c>
      <c r="V13" s="1340" t="str">
        <f>+V10</f>
        <v>Invaliditätskorrektur</v>
      </c>
      <c r="W13" s="1339" t="e">
        <f>ROUND(IF(OR(E_Datum1="",E_BerDat1=""),"",IF(AND(E_Invalidität,F9&lt;&gt;"Rentner!"),VLOOKUP(E_Alter+RK_Zeitabstand_EzE,CHOOSE(IF(E_Rentenalter&lt;60,60,IF(E_Rentenalter&gt;67,67,E_Rentenalter))-59,HRIR60,HRIR61,HRIR62,HRIR63,HRIR64,HRIR,HRIR66,HRIR67),CHOOSE(E_sex,7,16,25),1)*J11,0)),4)</f>
        <v>#VALUE!</v>
      </c>
      <c r="X13" s="2686" t="e">
        <f>ROUND(W14+W13,4)</f>
        <v>#VALUE!</v>
      </c>
      <c r="Y13" s="540"/>
      <c r="Z13" s="790" t="e">
        <f>ROUND(X13-HRIR_Zuschlag,4)</f>
        <v>#VALUE!</v>
      </c>
      <c r="AB13" s="782"/>
      <c r="AF13" s="784" t="s">
        <v>1196</v>
      </c>
      <c r="AG13" s="71" t="e">
        <f>+AG12*(1+(AG10+AG9))</f>
        <v>#VALUE!</v>
      </c>
    </row>
    <row r="14" spans="1:34" s="71" customFormat="1" ht="27" customHeight="1">
      <c r="A14" s="2694"/>
      <c r="B14" s="2682" t="str">
        <f>"10. Annahme eines Rententrends (Leistungsdynamik) in Höhe von (in %)?"</f>
        <v>10. Annahme eines Rententrends (Leistungsdynamik) in Höhe von (in %)?</v>
      </c>
      <c r="C14" s="2683"/>
      <c r="D14" s="2700"/>
      <c r="E14" s="75"/>
      <c r="F14" s="2709" t="str">
        <f>IF(E_Kapital="","","Bei Betriebsrenten ist nach BGH XII ZB 408/14 (FamRB 2018, 218) ein Rententrend anzugeben (§ 16 BetrAVG); i.d.R.ein Satz zwischen 1 bis 2%. ")</f>
        <v/>
      </c>
      <c r="G14" s="2710"/>
      <c r="H14" s="2711"/>
      <c r="I14" s="2660" t="str">
        <f ca="1">R13&amp;" Dynamisierung letzte 10 Jahre: "&amp;CHAR(10)&amp;"VPI: "&amp;TEXT(_xlfn.RRI(10,VLOOKUP(VPI_10,VPI_Jahr,2),VLOOKUP(Heute,VPI_Jahr,2)),"0,00%")&amp;" / DRV: "&amp;TEXT(DRV_10,"0,00%")</f>
        <v>Ø Dynamisierung letzte 10 Jahre: 
VPI: 3,16% / DRV: 3,40%</v>
      </c>
      <c r="J14" s="2661"/>
      <c r="K14" s="82"/>
      <c r="L14" s="1351" t="s">
        <v>1561</v>
      </c>
      <c r="M14" s="1358" t="e">
        <f>IF(+S36&lt;0,0,S36)</f>
        <v>#VALUE!</v>
      </c>
      <c r="N14" s="1334"/>
      <c r="O14" s="1334"/>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4" t="s">
        <v>826</v>
      </c>
      <c r="S14" s="787">
        <f ca="1">DATE(YEAR(Heute)-10,MONTH(Heute),DAY(Heute))</f>
        <v>42438</v>
      </c>
      <c r="T14" s="788" t="s">
        <v>828</v>
      </c>
      <c r="U14" s="789">
        <f ca="1">_xlfn.RRI(10,VLOOKUP(VPI_10,aktRW,IF(Ost,3,2)),VLOOKUP(Heute,aktRW,IF(Ost,3,2)))</f>
        <v>3.3956373985723154E-2</v>
      </c>
      <c r="V14" s="1340" t="str">
        <f>+V11</f>
        <v>Hinterbliebenenkorrektur</v>
      </c>
      <c r="W14" s="1339" t="e">
        <f>ROUND(IFERROR(IF(OR(E_Datum1="",E_BerDat1=""),"",IF(E_Hinterbliebene,VLOOKUP(E_Alter+RK_Zeitabstand_EzE,CHOOSE(IF(E_Rentenalter&lt;60,60,IF(E_Rentenalter&gt;67,67,E_Rentenalter))-59,HRIR60,HRIR61,HRIR62,HRIR63,HRIR64,HRIR,HRIR66,HRIR67),CHOOSE(E_sex,8,17,26),1)*J12,0)),""),4)</f>
        <v>#VALUE!</v>
      </c>
      <c r="X14" s="2687"/>
      <c r="Y14" s="66" t="e">
        <f>ROUND(+X13/HRIR_Zuschlag,4)</f>
        <v>#VALUE!</v>
      </c>
      <c r="Z14" s="71" t="e">
        <f>RK_AlterAusglBer+RK_Zeitabstand_EzE</f>
        <v>#VALUE!</v>
      </c>
      <c r="AB14" s="782"/>
      <c r="AF14" s="784" t="s">
        <v>1197</v>
      </c>
      <c r="AG14" s="71" t="e">
        <f>IF(E_Alter&gt;AG6,1,VLOOKUP(AG6,G_Kohorte_M,YEAR(E_Datum1)-1900+2)/E_VVR1)</f>
        <v>#VALUE!</v>
      </c>
    </row>
    <row r="15" spans="1:34" s="71" customFormat="1" ht="32.1" customHeight="1" thickBot="1">
      <c r="A15" s="20"/>
      <c r="B15" s="2706" t="str">
        <f>IF(E_RenteKapital=1,"11. Monatsrente aus dem Kapital nach Mitteilung des Versorgungsträgers:","11. Kapitalwert der Versorgung nach Mitteilung des Versorgungsträgers")</f>
        <v>11. Kapitalwert der Versorgung nach Mitteilung des Versorgungsträgers</v>
      </c>
      <c r="C15" s="2707"/>
      <c r="D15" s="2708"/>
      <c r="E15" s="1610"/>
      <c r="F15" s="2654" t="str">
        <f>IF(E_Kapital="","",IF(E_RenteKapital=1,"zu erwartende Monatsrente bei interner Teilung:","Barwert der Monatsrente:"))</f>
        <v/>
      </c>
      <c r="G15" s="2655"/>
      <c r="H15" s="1611">
        <f>IF(E_Datum1=0,"",IFERROR(ROUND(IF(E_Kapital=0,0,IF(E_RenteKapital=1,E_RenteausKapital,E_BarwertderRente)),0),""))</f>
        <v>0</v>
      </c>
      <c r="I15" s="2721" t="str">
        <f>IFERROR(IF(X6&gt;ErgebnisABer,"Externe Teilung in DRV kann günstiger als die interne sein.",""),"")</f>
        <v/>
      </c>
      <c r="J15" s="2722"/>
      <c r="K15" s="83"/>
      <c r="L15" s="1351" t="s">
        <v>1562</v>
      </c>
      <c r="M15" s="1358" t="e">
        <f>+S35</f>
        <v>#VALUE!</v>
      </c>
      <c r="N15" s="1336"/>
      <c r="O15" s="1336"/>
      <c r="P15" s="71" t="s">
        <v>84</v>
      </c>
      <c r="Q15" s="1245" t="e">
        <f>Z17</f>
        <v>#VALUE!</v>
      </c>
      <c r="W15" s="2731" t="s">
        <v>1546</v>
      </c>
      <c r="X15" s="2731"/>
      <c r="Y15" s="2731"/>
      <c r="Z15" s="2687"/>
      <c r="AB15" s="782"/>
      <c r="AF15" s="71" t="s">
        <v>559</v>
      </c>
      <c r="AG15" s="154" t="e">
        <f>+AG13*AG14</f>
        <v>#VALUE!</v>
      </c>
    </row>
    <row r="16" spans="1:34" s="71" customFormat="1" ht="27" customHeight="1" thickTop="1">
      <c r="A16" s="20"/>
      <c r="B16" s="2737" t="s">
        <v>137</v>
      </c>
      <c r="C16" s="2738"/>
      <c r="D16" s="2738"/>
      <c r="E16" s="2738"/>
      <c r="F16" s="2738"/>
      <c r="G16" s="1612"/>
      <c r="H16" s="1613"/>
      <c r="I16" s="2684" t="str">
        <f>IFERROR(IF(E_Ergebnis=0,"",IF(E_RenteKapital=1,"",IF(E_Ergebnis&gt;VLOOKUP(YEAR(E_BerDat1),BBMG,IF(Ost,5,4)),"nur interne Teilung möglich"&amp;CHAR(10)&amp;"§ 17, extern d. Vereinbarung","externe Teilung möglich, § 17 "))),"")</f>
        <v/>
      </c>
      <c r="J16" s="2685"/>
      <c r="K16" s="84"/>
      <c r="L16" s="1356" t="s">
        <v>1563</v>
      </c>
      <c r="M16" s="1352" t="e">
        <f>+RK_Nebenleistungen</f>
        <v>#VALUE!</v>
      </c>
      <c r="N16" s="1335"/>
      <c r="O16" s="1335"/>
      <c r="P16" s="71" t="s">
        <v>102</v>
      </c>
      <c r="Q16" s="1969" t="e">
        <f>ROUND(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2)</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12" t="e">
        <f>-PMT(0%,E_LXYAlterABer,E_Ergebnis,,1)</f>
        <v>#VALUE!</v>
      </c>
      <c r="T16" s="154" t="e">
        <f>S16/12</f>
        <v>#VALUE!</v>
      </c>
      <c r="W16" s="66" t="s">
        <v>1464</v>
      </c>
      <c r="X16" s="1131" t="s">
        <v>1465</v>
      </c>
      <c r="Y16" s="66" t="s">
        <v>1466</v>
      </c>
      <c r="Z16" s="66" t="s">
        <v>1467</v>
      </c>
      <c r="AB16" s="782"/>
    </row>
    <row r="17" spans="1:33" s="71" customFormat="1" ht="26.25" customHeight="1" thickBot="1">
      <c r="A17" s="20"/>
      <c r="B17" s="2656" t="str">
        <f>"13. Geburtsdatum der ausgleichsberechtigten Person ("&amp;CHOOSE(E_sex,"weiblich","männlich","unisex")&amp;")"</f>
        <v>13. Geburtsdatum der ausgleichsberechtigten Person (weiblich)</v>
      </c>
      <c r="C17" s="2657"/>
      <c r="D17" s="1287" t="str">
        <f>IF(E17&lt;&gt;"",E17,IF(E_sex=1,Dat_GebDat_F,IF(E_sex=2,Dat_GebDat_M,IF(AND(E_sex=3,E17&lt;&gt;""),E17,""))))</f>
        <v/>
      </c>
      <c r="E17" s="1288"/>
      <c r="F17" s="2735"/>
      <c r="G17" s="2736"/>
      <c r="H17" s="1614" t="str">
        <f>IFERROR(IF(E_RenteKapital=1,E_RenteausKapitalAglBer,IF(E_BerDat2="","",+E_RenteausKapitalAglBer))/IF(E_Halbteilung,2,1),"")</f>
        <v/>
      </c>
      <c r="I17" s="2741" t="str">
        <f>IFERROR("Rentenerwerb in DRV für AusglBer. zum "&amp;TEXT(E_BerDat1,"T.M.JJ")&amp;": "&amp;TEXT(IF(E_RenteKapital=2,IF(E_KapWert&gt;0,E_KapWert,E_Ergebnis),E_Kapital)/VLOOKUP(E_BerDat1,UmrechnungEP_Kap,IF(Ost,3,2))*VLOOKUP(E_BerDat1,aktRW,IF(Ost,3,2)),"#.##0,00 €"),"")</f>
        <v/>
      </c>
      <c r="J17" s="2742"/>
      <c r="K17" s="85"/>
      <c r="L17" s="1354" t="s">
        <v>1564</v>
      </c>
      <c r="M17" s="1353" t="e">
        <f>IF(E_ReZins1-E_ReTrend1=0,M13/RK_Leistungszeit/12,M13*IF(RK_AnwZeit&gt;0,(1+E_ReZins1)^(RK_AnwZeit),1)*(E_ReZins1-E_ReTrend1)/(1-1/(1+(E_ReZins1-E_ReTrend1))^RK_Leistungezeit)/RK_VVRAglBer_Faktor/12/IF(OR(E_InvaliditätAusglBer,E_HinterbliebeneAusglBer),(1+RK_Nebenleistungen),1))</f>
        <v>#VALUE!</v>
      </c>
      <c r="N17" s="1360"/>
      <c r="O17" s="1360"/>
      <c r="P17" s="71" t="s">
        <v>1622</v>
      </c>
      <c r="Q17" s="16" t="b">
        <v>0</v>
      </c>
      <c r="R17" s="154" t="e">
        <f>-PMT(E_RezinsAngabe,E_LXYAlterABer,E_Kapital,,K26)/12/IF(OR(E_InvaliditätAusglBer,E_HinterbliebeneAusglBer),(1+T22),1)</f>
        <v>#VALUE!</v>
      </c>
      <c r="W17" s="1971" t="e">
        <f>ROUND(-PV(E_Rezins/100-E_ReTrend1,E_LxyRAlter,E_Kapital*12*IF(E_Volldynamik,(1+E_ReTrend1)^E_Anwartschaftszeit,1)),2)</f>
        <v>#VALUE!</v>
      </c>
      <c r="X17" s="1971" t="e">
        <f>ROUND(-PV(E_Rezins/100,E_Anwartschaftszeit,,W17),2)</f>
        <v>#VALUE!</v>
      </c>
      <c r="Y17" s="1971" t="e">
        <f>ROUND(X17*(1+HRIR_Zuschlag),2)</f>
        <v>#VALUE!</v>
      </c>
      <c r="Z17" s="1971" t="e">
        <f>ROUND(Y17*E_VVR,2)</f>
        <v>#VALUE!</v>
      </c>
      <c r="AB17" s="782"/>
    </row>
    <row r="18" spans="1:33" ht="19.5" customHeight="1" thickTop="1">
      <c r="A18" s="18"/>
      <c r="B18" s="2718"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719"/>
      <c r="D18" s="2719"/>
      <c r="E18" s="2719"/>
      <c r="F18" s="2719"/>
      <c r="G18" s="2719"/>
      <c r="H18" s="2720"/>
      <c r="I18" s="2739" t="str">
        <f>IFERROR(IF(E_AlterABer&gt;E_Rentenalter,"DRV als ZV nur bis zur Bewilligung einer Volltente wg. Alters (§ 187 SGV VI)",""),"")</f>
        <v/>
      </c>
      <c r="J18" s="2740"/>
      <c r="K18" s="86"/>
      <c r="L18" s="2759"/>
      <c r="M18" s="2759"/>
      <c r="N18" s="2759"/>
      <c r="O18" s="2759"/>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727" t="s">
        <v>1909</v>
      </c>
      <c r="X18" s="2727"/>
      <c r="Y18" s="2727"/>
      <c r="Z18" s="2220" t="e">
        <f>IF(E_RenteKapital=2,-PV(-E_ReTrend1,E_LxyRAlter,IF(E_Volldynamik,AA18,E_Kapital*12),,K26),IF(E_Volldynamik,-PV(-E_ReTrend1,LebenserwartungabRente,E_Ergebnis*12*(1+E_ReTrend1)^Anwartschaftszeit,,),-PV(-E_ReTrend1,LebenserwartungabRente,E_Ergebnis*12)))</f>
        <v>#VALUE!</v>
      </c>
      <c r="AA18" s="1246" t="e">
        <f>-FV(E_ReTrend1,E_Anwartschaftszeit,,E_Kapital*12,)</f>
        <v>#VALUE!</v>
      </c>
      <c r="AB18" s="791"/>
    </row>
    <row r="19" spans="1:33" ht="16.5" hidden="1" customHeight="1">
      <c r="A19" s="18"/>
      <c r="B19" s="2712" t="str">
        <f>IFERROR(IF(B20="","","Darstellung der finanzmathematischen Berechnungsparameter. Geringe Ergebnisabweichungen beruhen auf Rundungs- und Interpolationsdifferenzen:"),"")</f>
        <v/>
      </c>
      <c r="C19" s="2713"/>
      <c r="D19" s="2713"/>
      <c r="E19" s="2713"/>
      <c r="F19" s="2713"/>
      <c r="G19" s="2713"/>
      <c r="H19" s="2714"/>
      <c r="I19" s="2749" t="str">
        <f>IFERROR("Barwertfaktor (Jahr): "&amp;TEXT(IF(E_RenteKapital=2,+E_Ergebnis/E_Kapital/12,E_Kapital/E_Ergebnis/12),"###,####"),"")</f>
        <v/>
      </c>
      <c r="J19" s="2750"/>
      <c r="K19" s="53"/>
      <c r="L19" s="2759"/>
      <c r="M19" s="2759"/>
      <c r="N19" s="2759"/>
      <c r="O19" s="2759"/>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727" t="s">
        <v>1910</v>
      </c>
      <c r="X19" s="2727"/>
      <c r="Y19" s="2727"/>
      <c r="Z19" s="2221" t="e">
        <f>IF(E_RenteKapital=2,-PV(-E_ReTrend1,E_LXYAlterABer,ErgebnisABer*12,,K26),IF(E_Volldynamik,-PV(-E_ReTrend1,E_LXYAlterABer,ErgebnisABer*12*(1+E_ReTrend1)^E_AnwartschaftszeitABer,,),-PV(-E_ReTrend1,E_LXYAlterABer,E_Ergebnis*12)))</f>
        <v>#VALUE!</v>
      </c>
      <c r="AA19" s="1246" t="e">
        <f>-FV(E_ReTrend1,E_AnwartschaftszeitABer,,ErgebnisABer*12,1)</f>
        <v>#VALUE!</v>
      </c>
      <c r="AB19" s="791"/>
    </row>
    <row r="20" spans="1:33" ht="32.25" hidden="1" customHeight="1">
      <c r="A20" s="18"/>
      <c r="B20" s="2728" t="str">
        <f>IFERROR(IF(E_RenteKapital=1,Q19,E_BarwertText),"")</f>
        <v/>
      </c>
      <c r="C20" s="2729"/>
      <c r="D20" s="2729"/>
      <c r="E20" s="2729"/>
      <c r="F20" s="2729"/>
      <c r="G20" s="2729"/>
      <c r="H20" s="2730"/>
      <c r="I20" s="1316"/>
      <c r="J20" s="1324"/>
      <c r="K20" s="23"/>
      <c r="L20" s="2759"/>
      <c r="M20" s="2759"/>
      <c r="N20" s="2759"/>
      <c r="O20" s="2759"/>
      <c r="P20" t="s">
        <v>89</v>
      </c>
      <c r="Q20" s="792" t="e">
        <f>ABS(1-H15/E15)</f>
        <v>#DIV/0!</v>
      </c>
      <c r="AA20" s="71"/>
      <c r="AB20" s="791"/>
    </row>
    <row r="21" spans="1:33" ht="17.25" hidden="1" customHeight="1">
      <c r="A21" s="18"/>
      <c r="B21" s="2701" t="str">
        <f>IFERROR(IF(E_RenteKapital=2,T_Barwert,T_Verrentung),"")</f>
        <v/>
      </c>
      <c r="C21" s="2702"/>
      <c r="D21" s="2702"/>
      <c r="E21" s="2702"/>
      <c r="F21" s="2702"/>
      <c r="G21" s="2702"/>
      <c r="H21" s="2703"/>
      <c r="I21" s="1325"/>
      <c r="J21" s="1326"/>
      <c r="K21" s="21"/>
      <c r="L21" s="21"/>
      <c r="M21" s="21"/>
      <c r="N21" s="21"/>
      <c r="O21" s="21"/>
      <c r="P21" t="s">
        <v>90</v>
      </c>
      <c r="AA21" s="71"/>
      <c r="AB21" s="791"/>
    </row>
    <row r="22" spans="1:33" ht="20.25" customHeight="1" thickBot="1">
      <c r="A22" s="18"/>
      <c r="B22" s="24" t="s">
        <v>117</v>
      </c>
      <c r="C22" s="1186"/>
      <c r="D22" s="2698" t="s">
        <v>846</v>
      </c>
      <c r="E22" s="2698"/>
      <c r="F22" s="2698" t="s">
        <v>118</v>
      </c>
      <c r="G22" s="2698"/>
      <c r="H22" s="2699"/>
      <c r="I22" s="2760" t="s">
        <v>116</v>
      </c>
      <c r="J22" s="2761"/>
      <c r="K22" s="87"/>
      <c r="L22" s="87"/>
      <c r="M22" s="87"/>
      <c r="N22" s="87"/>
      <c r="O22" s="87"/>
      <c r="P22" t="s">
        <v>110</v>
      </c>
      <c r="Q22" s="15" t="b">
        <v>0</v>
      </c>
      <c r="R22" s="3" t="s">
        <v>111</v>
      </c>
      <c r="S22" s="1331">
        <f>IF(E_InvaliditätAusglBer,VLOOKUP(E_AlterABer,CHOOSE(IF(E_RelegalterABer&lt;60,60,IF(E_RelegalterABer&gt;67,67,E_RelegalterABer))-59,HRIR60,HRIR61,HRIR62,HRIR63,HRIR64,HRIR,HRIR66,HRIR67),CHOOSE(E_sex,16,7,25),1),0)*J11</f>
        <v>0</v>
      </c>
      <c r="T22" s="2748">
        <f>ROUND(E_IFaktorAusglBer+E_HfaktorAusglBer,4)</f>
        <v>0</v>
      </c>
      <c r="W22" t="s">
        <v>1916</v>
      </c>
      <c r="AA22" s="71"/>
      <c r="AB22" s="791"/>
    </row>
    <row r="23" spans="1:33" s="71" customFormat="1" ht="19.5" hidden="1" customHeight="1">
      <c r="A23" s="20"/>
      <c r="B23" s="2695" t="s">
        <v>158</v>
      </c>
      <c r="C23" s="2696"/>
      <c r="D23" s="2696"/>
      <c r="E23" s="2696"/>
      <c r="F23" s="2696"/>
      <c r="G23" s="2696"/>
      <c r="H23" s="2697"/>
      <c r="I23" s="2751" t="str">
        <f>IF(E_BerDat2="","","Renten-Barwerte Berecht.")</f>
        <v/>
      </c>
      <c r="J23" s="2752"/>
      <c r="K23" s="659"/>
      <c r="L23" s="659"/>
      <c r="M23" s="659"/>
      <c r="N23" s="659"/>
      <c r="O23" s="659"/>
      <c r="P23" s="71" t="s">
        <v>112</v>
      </c>
      <c r="Q23" s="16" t="b">
        <v>0</v>
      </c>
      <c r="R23" s="540" t="s">
        <v>113</v>
      </c>
      <c r="S23" s="1332">
        <f>IF(E_HinterbliebeneAusglBer,VLOOKUP(E_AlterABer,CHOOSE(IF(E_RelegalterABer&lt;60,60,IF(E_RelegalterABer&gt;67,67,E_RelegalterABer))-59,HRIR60,HRIR61,HRIR62,HRIR63,HRIR64,HRIR,HRIR66,HRIR67),CHOOSE(E_sex,17,8,26),1)*J12,0)</f>
        <v>0</v>
      </c>
      <c r="T23" s="2748"/>
      <c r="U23" s="790"/>
      <c r="W23"/>
      <c r="X23" s="1963" t="str">
        <f>" x "&amp;"(1 + "&amp;IF(E_Ifaktor&gt;0,TEXT(E_Ifaktor,"##0,00%"),"")&amp;IF(AND(E_Ifaktor&gt;0,E_HFaktor&gt;0)," + ","")&amp;IF(E_HFaktor&gt;0,TEXT(E_HFaktor,"##0,00%")&amp;IF(AND(E_Ifaktor&gt;0,E_HFaktor&gt;0),")",")"),")")</f>
        <v xml:space="preserve"> x (1 +  + )</v>
      </c>
      <c r="Y23"/>
      <c r="Z23"/>
      <c r="AB23" s="782"/>
    </row>
    <row r="24" spans="1:33" s="314" customFormat="1" ht="17.25" hidden="1" customHeight="1">
      <c r="A24" s="55"/>
      <c r="B24" s="2762"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763"/>
      <c r="D24" s="2763"/>
      <c r="E24" s="2763"/>
      <c r="F24" s="2763"/>
      <c r="G24" s="2763"/>
      <c r="H24" s="2764"/>
      <c r="I24" s="2755" t="str">
        <f>IFERROR("Quellversorgung: "&amp;TEXT(E33,"#.##0 €"),"")</f>
        <v/>
      </c>
      <c r="J24" s="2756"/>
      <c r="K24" s="79"/>
      <c r="L24" s="79"/>
      <c r="M24" s="79"/>
      <c r="N24" s="79"/>
      <c r="O24" s="79"/>
      <c r="P24" s="314" t="s">
        <v>92</v>
      </c>
      <c r="Q24" s="314" t="e">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#VALUE!</v>
      </c>
      <c r="AA24" s="71"/>
      <c r="AB24" s="793"/>
      <c r="AG24" s="794"/>
    </row>
    <row r="25" spans="1:33" ht="17.25" hidden="1" customHeight="1" thickBot="1">
      <c r="A25" s="18"/>
      <c r="B25" s="2762"/>
      <c r="C25" s="2763"/>
      <c r="D25" s="2763"/>
      <c r="E25" s="2763"/>
      <c r="F25" s="2763"/>
      <c r="G25" s="2763"/>
      <c r="H25" s="2764"/>
      <c r="I25" s="2753" t="str">
        <f>IFERROR("DRV: "&amp;+TEXT(E30/IF(E_Halbteilung,2,1),"#.##0 €"),"")</f>
        <v/>
      </c>
      <c r="J25" s="2754"/>
      <c r="K25" s="80"/>
      <c r="L25" s="80"/>
      <c r="M25" s="80"/>
      <c r="N25" s="80"/>
      <c r="O25" s="80"/>
      <c r="Q25" t="e">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#VALUE!</v>
      </c>
      <c r="AA25" s="71"/>
      <c r="AB25" s="791"/>
    </row>
    <row r="26" spans="1:33" ht="23.25" customHeight="1" thickTop="1" thickBot="1">
      <c r="A26" s="1964"/>
      <c r="B26" s="1966" t="s">
        <v>1915</v>
      </c>
      <c r="C26" s="2743" t="str">
        <f>IFERROR("Ausglpfl.: "&amp;Summenzeichen &amp;IFERROR(TEXT(Z18,"#.##0 €")&amp;" p.a.≙"&amp;TEXT(Z18/(Berechnungstext!C16*12),"#.##0 €")&amp;" p.m. über "&amp;TEXT(E_LxyRAlter,"0,0")&amp;" Jahre",""),"")</f>
        <v>Ausglpfl.: ∑</v>
      </c>
      <c r="D26" s="2744"/>
      <c r="E26" s="2745"/>
      <c r="F26" s="2746" t="str">
        <f>"Ausglber.: "&amp;Summenzeichen&amp;IFERROR(TEXT(Z19,"#.##0 €")&amp;" p.a.≙"&amp;TEXT(Z19/(E_LXYAlterABer*12),"#.### €")&amp;" p.m. über "&amp;TEXT(E_LXYAlterABer,"0,00")&amp;" Jahre","")</f>
        <v>Ausglber.: ∑</v>
      </c>
      <c r="G26" s="2744"/>
      <c r="H26" s="2747"/>
      <c r="I26" s="2757"/>
      <c r="J26" s="2757"/>
      <c r="K26" s="2075">
        <v>1</v>
      </c>
      <c r="L26" s="21"/>
      <c r="M26" s="21"/>
      <c r="N26" s="21"/>
      <c r="O26" s="21"/>
      <c r="P26" s="404" t="s">
        <v>95</v>
      </c>
      <c r="Q26" s="1277">
        <f>IF(E_RezinsAngabe&lt;&gt;"",E_RezinsAngabe*100,IF(E_BerDat1&lt;IF(E_BilMoG10,BilMoG10Anfang,BilMoGAnfang),6,IF(E_BerDat1&lt;=BilMogEnde,VLOOKUP(E_BerDat1,IF(E_BilMoG10,BilMoG10,BilmoGZins),IF(AND(Realdauer=TRUE,E_LxyRAlter&lt;15),E_LxyRAlter+1,16)),0)))</f>
        <v>0</v>
      </c>
      <c r="R26" s="58">
        <f>BilMogEnde</f>
        <v>46081</v>
      </c>
      <c r="S26" s="795" t="e">
        <f>IF(E_Anwartschaftszeit&gt;0," x "&amp;TEXT(E_VVR2,"###.###")&amp;" / "&amp;TEXT(E_VVR1,"###.###"),"")</f>
        <v>#VALUE!</v>
      </c>
      <c r="T26" t="e">
        <f>VLOOKUP(E_BerDat1,BilmoGZins,16)</f>
        <v>#N/A</v>
      </c>
      <c r="U26" t="s">
        <v>396</v>
      </c>
      <c r="V26" s="15" t="b">
        <v>1</v>
      </c>
      <c r="AB26" s="791"/>
    </row>
    <row r="27" spans="1:33" ht="14.25" customHeight="1" thickTop="1">
      <c r="A27" s="25"/>
      <c r="B27" s="2758" t="str">
        <f>"Datenpflege bis "&amp;TEXT(Enddatum,"TT.MM.JJ")&amp;" Aktualisierung unter &lt;Parameter&gt; möglich. Laufzeitbegrenzung bis: "&amp;TEXT(Laufzeitbegrenzung,"TT.MM.JJ")</f>
        <v>Datenpflege bis 28.02.26 Aktualisierung unter &lt;Parameter&gt; möglich. Laufzeitbegrenzung bis: 31.12.26</v>
      </c>
      <c r="C27" s="2758"/>
      <c r="D27" s="2758"/>
      <c r="E27" s="2758"/>
      <c r="F27" s="2758"/>
      <c r="G27" s="2758"/>
      <c r="H27" s="2758"/>
      <c r="I27" s="2757"/>
      <c r="J27" s="2757"/>
      <c r="K27" s="21"/>
      <c r="L27" s="21"/>
      <c r="M27" s="21"/>
      <c r="N27" s="21"/>
      <c r="O27" s="21"/>
      <c r="P27" t="s">
        <v>97</v>
      </c>
      <c r="Q27" s="58" t="e">
        <f>DATE(YEAR(E_Datum1)+E_Rentenalter,MONTH(E_Datum1)+(E_Rentenalter-INT(E_Rentenalter))*12,DAY(E_Datum1))</f>
        <v>#VALUE!</v>
      </c>
      <c r="AA27" s="71"/>
      <c r="AB27" s="791"/>
    </row>
    <row r="28" spans="1:33" ht="18" hidden="1" customHeight="1">
      <c r="B28" s="638"/>
      <c r="C28" s="638"/>
      <c r="D28" s="638"/>
      <c r="E28" s="638"/>
      <c r="F28" s="638"/>
      <c r="G28" s="638"/>
      <c r="H28" s="638"/>
      <c r="I28" s="638"/>
      <c r="J28" s="638"/>
      <c r="K28" s="618"/>
      <c r="L28" s="618"/>
      <c r="M28" s="618"/>
      <c r="N28" s="618"/>
      <c r="O28" s="618"/>
      <c r="P28" t="s">
        <v>96</v>
      </c>
      <c r="Q28">
        <f>IF(F9="Rentner!",1,0)</f>
        <v>0</v>
      </c>
      <c r="U28" s="396" t="e">
        <f>E_Kapital*IF(E_AnwartschaftszeitABer&gt;0,(1+E_ReZins1)^(E_AnwartschaftszeitABer),1)*((E_ReZins1-E_ReTrend1)/(1-1/(1+(E_ReZins1-E_ReTrend1))^E_LXYAlterABer))/E_VVRAusglBer/12/IF(OR(E_InvaliditätAusglBer,E_HinterbliebeneAusglBer),(1+T22),1)</f>
        <v>#VALUE!</v>
      </c>
      <c r="AA28" s="71"/>
      <c r="AB28" s="791"/>
    </row>
    <row r="29" spans="1:33" ht="18" hidden="1" customHeight="1">
      <c r="B29" t="s">
        <v>822</v>
      </c>
      <c r="E29" s="149" t="e">
        <f>IF(E_RenteKapital=2,E_Ergebnis,E_Kapital)/VLOOKUP(E_BerDat1,UmrechnungEP_Kap,IF(Ost,3,2))*VLOOKUP(E_BerDat1,aktRW,IF(Ost,3,2))</f>
        <v>#N/A</v>
      </c>
      <c r="P29" t="s">
        <v>853</v>
      </c>
      <c r="Q29" s="91" t="str">
        <f>IF(E_Datum1="","",IF(E_Rentenaltereingabe="",VLOOKUP(YEAR(E_Datum1),Renteneintrittstabelle,3),E_Rentenaltereingabe))</f>
        <v/>
      </c>
      <c r="U29" s="396" t="s">
        <v>1553</v>
      </c>
      <c r="AA29" s="71"/>
      <c r="AB29" s="791"/>
    </row>
    <row r="30" spans="1:33" ht="18" hidden="1" customHeight="1">
      <c r="B30" t="s">
        <v>821</v>
      </c>
      <c r="E30" s="149" t="e">
        <f>-PV(E_ReZins1-RententrendDRV,E_AnwartschaftszeitABer,,-PV(E_ReZins1-RententrendDRV,E_LXYAlterABer,E29*12))</f>
        <v>#VALUE!</v>
      </c>
      <c r="I30" s="149"/>
      <c r="U30" t="s">
        <v>1554</v>
      </c>
      <c r="V30">
        <v>66534</v>
      </c>
      <c r="W30">
        <v>66534</v>
      </c>
      <c r="X30">
        <v>66556</v>
      </c>
      <c r="AA30" s="71"/>
      <c r="AB30" s="791"/>
    </row>
    <row r="31" spans="1:33" ht="18" hidden="1" customHeight="1">
      <c r="B31" t="s">
        <v>823</v>
      </c>
      <c r="I31" s="149"/>
      <c r="P31" t="s">
        <v>98</v>
      </c>
      <c r="Q31" s="619">
        <f>IF(E_RezinsAngabe&lt;&gt;"",E_RezinsAngabe,IF(E_Rezins/100&gt;0,E_Rezins/100,0))</f>
        <v>0</v>
      </c>
      <c r="U31" t="s">
        <v>104</v>
      </c>
      <c r="V31" t="e">
        <f>E_AnwartschaftszeitABer</f>
        <v>#VALUE!</v>
      </c>
      <c r="W31">
        <v>20</v>
      </c>
      <c r="X31">
        <v>20</v>
      </c>
    </row>
    <row r="32" spans="1:33" ht="18" hidden="1" customHeight="1">
      <c r="P32" t="s">
        <v>856</v>
      </c>
      <c r="Q32" t="e">
        <f>YEAR(E_Datum1)+IF(MONTH(E_Datum1)&gt;6,1,0)</f>
        <v>#VALUE!</v>
      </c>
      <c r="R32" s="396"/>
      <c r="S32" s="71"/>
      <c r="T32" s="71"/>
      <c r="U32" t="s">
        <v>1555</v>
      </c>
      <c r="V32" t="e">
        <f>(1+E_ReZins1)^(E_AnwartschaftszeitABer)</f>
        <v>#VALUE!</v>
      </c>
      <c r="W32">
        <v>1.485947396</v>
      </c>
      <c r="X32" t="e">
        <f>(1+E_ReZins1)^(E_AnwartschaftszeitABer)</f>
        <v>#VALUE!</v>
      </c>
    </row>
    <row r="33" spans="2:24" ht="18" hidden="1" customHeight="1">
      <c r="B33" t="s">
        <v>824</v>
      </c>
      <c r="E33" s="149" t="e">
        <f>-PV(E_ReZins1,E_AnwartschaftszeitABer,,-PV(E_ReZins1-E_ReTrend1,E_LXYAlterABer,ErgebnisABer*12))</f>
        <v>#VALUE!</v>
      </c>
      <c r="P33" s="71" t="s">
        <v>82</v>
      </c>
      <c r="Q33" s="1330" t="e">
        <f>ROUND(VLOOKUP(IF(E_Rentenalter&gt;E_Alter,ROUND(E_Rentenalter,2),ROUND(E_Alter,2)),CHOOSE(E_sex,Lebenserwartung_M_V2,Lebenserwartung_F_V2,Lebenserwartung_N_V2),E_Tabschritt),2)</f>
        <v>#VALUE!</v>
      </c>
      <c r="R33" s="1364" t="s">
        <v>1540</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47" t="s">
        <v>1540</v>
      </c>
      <c r="U34" s="396" t="s">
        <v>1556</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1970" t="e">
        <f>VLOOKUP(IF(E_RelegalterABer&gt;E_AlterABer,ROUND(E_RelegalterABer,2),ROUND(E_AlterABer,2)),CHOOSE(E_sex,Lebenserwartung_F_V2,Lebenserwartung_M_V2,Lebenserwartung_N_V2),E_Tabschritt2)</f>
        <v>#VALUE!</v>
      </c>
      <c r="R35" s="747" t="s">
        <v>1540</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63" t="e">
        <f>ROUND(IF(E_RelegalterABer-E_AlterABer&lt;0,0,E_RelegalterABer-E_AlterABer),2)</f>
        <v>#VALUE!</v>
      </c>
      <c r="R36" s="747" t="str">
        <f>+R35</f>
        <v>RK</v>
      </c>
      <c r="S36" s="1362" t="e">
        <f>ROUND(E_AnwartschaftszeitABer-M7,4)</f>
        <v>#VALUE!</v>
      </c>
    </row>
    <row r="37" spans="2:24" ht="18" hidden="1" customHeight="1">
      <c r="B37" t="s">
        <v>1211</v>
      </c>
      <c r="E37" s="149"/>
      <c r="P37" s="71" t="s">
        <v>109</v>
      </c>
      <c r="Q37" s="785" t="e">
        <f>IF(+E_VVR2AglBer/E_VVR1AglBer&gt;1,1,+E_VVR2AglBer/E_VVR1AglBer)</f>
        <v>#VALUE!</v>
      </c>
    </row>
    <row r="38" spans="2:24" ht="18" hidden="1" customHeight="1">
      <c r="B38" t="s">
        <v>1212</v>
      </c>
      <c r="E38" s="149"/>
      <c r="G38" t="e">
        <f>E37*(1+E_ReZins1)^-Anwartschaftszeit</f>
        <v>#VALUE!</v>
      </c>
      <c r="P38" s="71" t="s">
        <v>109</v>
      </c>
      <c r="Q38" s="71" t="e">
        <f>TEXT(E_VVR2AglBer,"###.##0")&amp;" / "&amp;TEXT(E_VVR1AglBer,"###.##0")</f>
        <v>#VALUE!</v>
      </c>
    </row>
    <row r="39" spans="2:24" ht="18" hidden="1" customHeight="1">
      <c r="B39" t="s">
        <v>1213</v>
      </c>
      <c r="E39" s="149"/>
      <c r="P39" s="71" t="s">
        <v>108</v>
      </c>
      <c r="Q39" s="783" t="e">
        <f>VLOOKUP(E_RelegalterABer,CHOOSE(E_sex,G_Kohorte_F,G_Kohorte_M,G_Kohorte_N),E_Tabschritt2)</f>
        <v>#VALUE!</v>
      </c>
      <c r="R39" s="71" t="s">
        <v>107</v>
      </c>
      <c r="S39" s="783" t="e">
        <f>VLOOKUP(E_AlterABer,CHOOSE(E_sex,G_Kohorte_F,G_Kohorte_M,G_Kohorte_N),E_Tabschritt2)</f>
        <v>#VALUE!</v>
      </c>
      <c r="T39" t="s">
        <v>1557</v>
      </c>
      <c r="U39" t="e">
        <f>VLOOKUP(RK_AlterAusglBer,CHOOSE(E_sex,G_Kohorte_F,G_Kohorte_M,G_Kohorte_N),E_Tabschritt2)</f>
        <v>#VALUE!</v>
      </c>
      <c r="V39" t="s">
        <v>1558</v>
      </c>
      <c r="W39" t="e">
        <f>+E_VVR2AglBer/RK_VVAAusglBer</f>
        <v>#VALUE!</v>
      </c>
    </row>
    <row r="40" spans="2:24" ht="18" hidden="1" customHeight="1">
      <c r="B40" s="404" t="s">
        <v>1214</v>
      </c>
      <c r="C40" s="404"/>
      <c r="D40" s="404"/>
      <c r="E40" s="502"/>
      <c r="G40" t="e">
        <f>+G38*E_VVR</f>
        <v>#VALUE!</v>
      </c>
      <c r="P40" s="71" t="s">
        <v>103</v>
      </c>
      <c r="Q40" s="620"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796"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otOb18cYxD+4Uw7j8FJdJ1dUafHM7d5lJ7fK+2GXwBhKJ/K9aGRGePNYlOSKLTDeD9N5WUA/MXGbZxJOYnA63A==" saltValue="Bz2XmkbwX4sNGARc1/8ZUQ==" spinCount="100000" sheet="1" objects="1" scenarios="1" selectLockedCells="1"/>
  <dataConsolidate/>
  <mergeCells count="68">
    <mergeCell ref="C26:E26"/>
    <mergeCell ref="F26:H26"/>
    <mergeCell ref="T22:T23"/>
    <mergeCell ref="I19:J19"/>
    <mergeCell ref="I23:J23"/>
    <mergeCell ref="I25:J25"/>
    <mergeCell ref="I24:J24"/>
    <mergeCell ref="I26:J27"/>
    <mergeCell ref="B27:H27"/>
    <mergeCell ref="L18:O20"/>
    <mergeCell ref="I22:J22"/>
    <mergeCell ref="B24:H25"/>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X13:X14"/>
    <mergeCell ref="L2:M2"/>
    <mergeCell ref="L3:M3"/>
    <mergeCell ref="V9:Y9"/>
    <mergeCell ref="X10:X11"/>
    <mergeCell ref="V12:Y12"/>
    <mergeCell ref="U8:U9"/>
    <mergeCell ref="T8:T9"/>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s>
  <phoneticPr fontId="60" type="noConversion"/>
  <conditionalFormatting sqref="B7 E7:H7">
    <cfRule type="expression" dxfId="353" priority="19">
      <formula>E_sex=2</formula>
    </cfRule>
    <cfRule type="expression" dxfId="352" priority="20">
      <formula>E_sex=1</formula>
    </cfRule>
  </conditionalFormatting>
  <conditionalFormatting sqref="B18:D18">
    <cfRule type="expression" dxfId="351" priority="59">
      <formula>AND(E_Abweichung&gt;5%,E_Abweichung&lt;10%)</formula>
    </cfRule>
    <cfRule type="expression" dxfId="350" priority="60">
      <formula>ABS(E_Abweichung)&lt;5%</formula>
    </cfRule>
    <cfRule type="expression" dxfId="349" priority="61">
      <formula>E_Abweichung&gt;0.05</formula>
    </cfRule>
  </conditionalFormatting>
  <conditionalFormatting sqref="B7:H7">
    <cfRule type="expression" dxfId="348" priority="7">
      <formula>E_sex=3</formula>
    </cfRule>
  </conditionalFormatting>
  <conditionalFormatting sqref="C26:E26">
    <cfRule type="expression" dxfId="347" priority="4">
      <formula>E_sex =2</formula>
    </cfRule>
    <cfRule type="expression" dxfId="346" priority="5">
      <formula>E_sex=1</formula>
    </cfRule>
  </conditionalFormatting>
  <conditionalFormatting sqref="C26:H26">
    <cfRule type="expression" dxfId="345" priority="1">
      <formula>E_sex=3</formula>
    </cfRule>
  </conditionalFormatting>
  <conditionalFormatting sqref="D17">
    <cfRule type="expression" dxfId="341" priority="17">
      <formula>E_sex=2</formula>
    </cfRule>
    <cfRule type="expression" dxfId="340" priority="18">
      <formula>E_sex=1</formula>
    </cfRule>
  </conditionalFormatting>
  <conditionalFormatting sqref="E5">
    <cfRule type="expression" dxfId="339" priority="25">
      <formula>AND($E$5="",$D$5="")</formula>
    </cfRule>
  </conditionalFormatting>
  <conditionalFormatting sqref="E6">
    <cfRule type="expression" dxfId="338" priority="24">
      <formula>AND($E$6="",$D$6="")</formula>
    </cfRule>
  </conditionalFormatting>
  <conditionalFormatting sqref="E9">
    <cfRule type="expression" dxfId="337" priority="10">
      <formula>E_Rente_Kapital=1</formula>
    </cfRule>
    <cfRule type="expression" dxfId="336" priority="27">
      <formula>AND(E9&gt;0,E9&lt;=$AA$2)</formula>
    </cfRule>
    <cfRule type="expression" dxfId="335" priority="31">
      <formula>E9=""</formula>
    </cfRule>
  </conditionalFormatting>
  <conditionalFormatting sqref="E13">
    <cfRule type="expression" dxfId="334" priority="52">
      <formula>AND(E_Rezins=0,E13=0)</formula>
    </cfRule>
  </conditionalFormatting>
  <conditionalFormatting sqref="E14">
    <cfRule type="expression" dxfId="333" priority="8">
      <formula>AND(E_Volldynamik,E14="")</formula>
    </cfRule>
  </conditionalFormatting>
  <conditionalFormatting sqref="F26:H26">
    <cfRule type="expression" dxfId="332" priority="2">
      <formula>E_sex=2</formula>
    </cfRule>
    <cfRule type="expression" dxfId="331" priority="6">
      <formula>E_sex=1</formula>
    </cfRule>
  </conditionalFormatting>
  <conditionalFormatting sqref="H15">
    <cfRule type="expression" dxfId="330" priority="26">
      <formula>IF(E_RenteKapital=2,AND($H$15&gt;0,$H$15&lt;=$AB$2))</formula>
    </cfRule>
  </conditionalFormatting>
  <conditionalFormatting sqref="H17">
    <cfRule type="expression" dxfId="329" priority="13" stopIfTrue="1">
      <formula>AND(E_Invalidität=TRUE,OR(E_Rentenalter&lt;60,E_Rentenalter&gt;67),$E$9&gt;0)</formula>
    </cfRule>
  </conditionalFormatting>
  <conditionalFormatting sqref="I2:J2">
    <cfRule type="expression" dxfId="328" priority="544">
      <formula>AND($D$6&gt;Enddatum,D6&lt;&gt;"")</formula>
    </cfRule>
  </conditionalFormatting>
  <conditionalFormatting sqref="I8:J8">
    <cfRule type="expression" dxfId="327" priority="28">
      <formula>$I$8&lt;&gt;""</formula>
    </cfRule>
  </conditionalFormatting>
  <conditionalFormatting sqref="L4:M17">
    <cfRule type="expression" dxfId="326"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295275</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8</xdr:row>
                    <xdr:rowOff>0</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57150</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533400</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4</xdr:row>
                    <xdr:rowOff>0</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85725</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1171575</xdr:colOff>
                    <xdr:row>13</xdr:row>
                    <xdr:rowOff>66675</xdr:rowOff>
                  </from>
                  <to>
                    <xdr:col>3</xdr:col>
                    <xdr:colOff>752475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4"/>
  <sheetViews>
    <sheetView showGridLines="0" showRowColHeaders="0" showZeros="0" zoomScale="160" zoomScaleNormal="160" workbookViewId="0">
      <selection activeCell="B8" sqref="B8"/>
    </sheetView>
  </sheetViews>
  <sheetFormatPr baseColWidth="10" defaultColWidth="11" defaultRowHeight="14.25" zeroHeight="1"/>
  <cols>
    <col min="1" max="1" width="11" customWidth="1"/>
    <col min="2" max="2" width="71" customWidth="1"/>
    <col min="3" max="3" width="14.625" customWidth="1"/>
    <col min="4" max="9" width="11" customWidth="1"/>
    <col min="10" max="10" width="11.625" customWidth="1"/>
  </cols>
  <sheetData>
    <row r="1" spans="1:10"/>
    <row r="2" spans="1:10" ht="15" thickBot="1">
      <c r="A2" s="1888">
        <v>160</v>
      </c>
    </row>
    <row r="3" spans="1:10" ht="36.75" customHeight="1">
      <c r="B3" s="2773" t="s">
        <v>1177</v>
      </c>
      <c r="C3" s="2774"/>
    </row>
    <row r="4" spans="1:10" ht="36.75" customHeight="1" thickBot="1">
      <c r="B4" s="2775" t="s">
        <v>69</v>
      </c>
      <c r="C4" s="2776"/>
    </row>
    <row r="5" spans="1:10" ht="18" hidden="1">
      <c r="B5" s="2777" t="e">
        <f>Name &amp;IF(Aktennummer&lt;&gt;""," / " &amp; Aktennummer,"")&amp; IF(#NAME?&lt;&gt;""," / " &amp;#NAME?,"")</f>
        <v>#NAME?</v>
      </c>
      <c r="C5" s="2778"/>
    </row>
    <row r="6" spans="1:10" ht="18" hidden="1">
      <c r="B6" s="2779" t="e">
        <f>"Versorgungsträger: "&amp;VT_Name</f>
        <v>#NAME?</v>
      </c>
      <c r="C6" s="2780"/>
    </row>
    <row r="7" spans="1:10" ht="18" hidden="1">
      <c r="B7" s="2781" t="s">
        <v>67</v>
      </c>
      <c r="C7" s="2782"/>
    </row>
    <row r="8" spans="1:10" ht="15.75" thickBot="1">
      <c r="B8" s="70"/>
      <c r="C8" s="1305"/>
    </row>
    <row r="9" spans="1:10">
      <c r="B9" s="32" t="str">
        <f>"Geburtsdatum"&amp;IF(E_sex=1," des Versorungsinhabers (m): ","der Versorgungsinhaberin (w):")</f>
        <v xml:space="preserve">Geburtsdatum des Versorungsinhabers (m): </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kapitalisierende Monatsrente:</v>
      </c>
      <c r="C11" s="626"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tr">
        <f>IF(E_Volldynamik,"Dynamik in Anwartschafts- und Leistungsphase:","Leistungsdynamik: ")</f>
        <v xml:space="preserve">Leistungsdynamik: </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4" customFormat="1" ht="29.25" customHeight="1" thickTop="1" thickBot="1">
      <c r="B21" s="2217" t="str">
        <f>IF(E_RenteKapital=1,"zu erwartende Monatsrente im Berechnungszeitpunkt:","Barwert der Rente:")</f>
        <v>Barwert der Rente:</v>
      </c>
      <c r="C21" s="2218">
        <f>E_Ergebnis</f>
        <v>0</v>
      </c>
    </row>
    <row r="22" spans="2:3" ht="29.25" hidden="1" customHeight="1" thickBot="1">
      <c r="B22" s="1133" t="str">
        <f>IF(E_BerDat2=0,"","Rentenerwartung der am "&amp;TEXT(E_BerDat2,"TT.MM.JJJJ")&amp;" geborenen auglber.Person bei Renteneintritt im Alter "&amp;TEXT(Berechnungstext!C15,"0,00"))</f>
        <v xml:space="preserve">Rentenerwartung der am  geborenen auglber.Person bei Renteneintritt im Alter </v>
      </c>
      <c r="C22" s="1134" t="str">
        <f>IF(ErgebnisABer&gt;0,ErgebnisABer,"")</f>
        <v/>
      </c>
    </row>
    <row r="23" spans="2:3" ht="29.25" hidden="1" customHeight="1" thickBot="1">
      <c r="B23" s="2219" t="str">
        <f>Summenzeichen&amp;" der über die Leistungszeit von "&amp;TEXT(LebenserwartungabRente,"0,00")&amp;" Jahren erwartbaren Rentenzahlungen unter Beachtung der Dynamik der Versorgung:"</f>
        <v>∑ der über die Leistungszeit von  Jahren erwartbaren Rentenzahlungen unter Beachtung der Dynamik der Versorgung:</v>
      </c>
      <c r="C23" s="1134" t="str">
        <f>IFERROR(-PV(-C14,LebenserwartungabRente,C21*12,,),"")</f>
        <v/>
      </c>
    </row>
    <row r="24" spans="2:3" ht="25.5" customHeight="1">
      <c r="B24" s="2765" t="str">
        <f>IF(E_BerDat1="","",'Einzel-Bewertung'!B20)</f>
        <v/>
      </c>
      <c r="C24" s="2766"/>
    </row>
    <row r="25" spans="2:3" ht="25.5" customHeight="1">
      <c r="B25" s="2767"/>
      <c r="C25" s="2768"/>
    </row>
    <row r="26" spans="2:3">
      <c r="B26" s="2769" t="str">
        <f>IF(E_BerDat1="","",'Einzel-Bewertung'!B21)</f>
        <v/>
      </c>
      <c r="C26" s="2770"/>
    </row>
    <row r="27" spans="2:3" ht="15" thickBot="1">
      <c r="B27" s="2771"/>
      <c r="C27" s="2772"/>
    </row>
    <row r="28" spans="2:3" hidden="1">
      <c r="B28" s="656"/>
      <c r="C28" s="656"/>
    </row>
    <row r="34" ht="15" hidden="1" customHeight="1"/>
  </sheetData>
  <sheetProtection algorithmName="SHA-512" hashValue="oNM/5RsbiruuUaOyvbMees4s70G71F23SDTi7due0MzqRCiyt1KyncKlrxQbOXIerKMPpjrBa1gu8za6ti9hbg==" saltValue="ghMyDH4BkjOtnyY2zRYKOQ==" spinCount="100000" sheet="1" objects="1" scenarios="1" selectLockedCells="1"/>
  <mergeCells count="7">
    <mergeCell ref="B24:C25"/>
    <mergeCell ref="B26:C27"/>
    <mergeCell ref="B3:C3"/>
    <mergeCell ref="B4:C4"/>
    <mergeCell ref="B5:C5"/>
    <mergeCell ref="B6:C6"/>
    <mergeCell ref="B7:C7"/>
  </mergeCells>
  <phoneticPr fontId="60"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B7" sqref="B7:C7"/>
    </sheetView>
  </sheetViews>
  <sheetFormatPr baseColWidth="10" defaultColWidth="0" defaultRowHeight="14.25" zeroHeight="1"/>
  <cols>
    <col min="1" max="1" width="2.625" customWidth="1"/>
    <col min="2" max="3" width="11.625" style="4" customWidth="1"/>
    <col min="4" max="4" width="6.5" style="4" customWidth="1"/>
    <col min="5" max="5" width="11.375" style="260"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823"/>
      <c r="C1" s="2823"/>
      <c r="D1" s="2823"/>
      <c r="E1" s="2823"/>
      <c r="F1" s="2823"/>
      <c r="G1" s="2823"/>
      <c r="H1" s="25"/>
      <c r="I1" s="25"/>
      <c r="J1" s="25"/>
      <c r="K1" s="25"/>
      <c r="L1" s="25"/>
      <c r="M1" s="25"/>
      <c r="N1" s="25"/>
      <c r="O1" s="25"/>
      <c r="P1" s="25"/>
      <c r="Q1" s="25"/>
      <c r="R1" s="25"/>
      <c r="S1" s="25"/>
      <c r="T1" s="25"/>
      <c r="U1" s="25"/>
      <c r="V1" s="25"/>
      <c r="W1" s="25"/>
      <c r="X1" s="25"/>
      <c r="Y1" s="25"/>
      <c r="Z1" s="25"/>
      <c r="AA1" s="2799"/>
      <c r="AB1" s="2800"/>
      <c r="AE1" t="s">
        <v>818</v>
      </c>
    </row>
    <row r="2" spans="1:31" ht="18">
      <c r="A2" s="18"/>
      <c r="B2" s="2814" t="s">
        <v>1880</v>
      </c>
      <c r="C2" s="2815"/>
      <c r="D2" s="2815"/>
      <c r="E2" s="2815"/>
      <c r="F2" s="2815"/>
      <c r="G2" s="2816"/>
      <c r="H2" s="312"/>
      <c r="I2" s="656"/>
      <c r="J2" s="656"/>
      <c r="K2" s="656"/>
      <c r="L2" s="657" t="s">
        <v>139</v>
      </c>
      <c r="M2" s="656"/>
      <c r="N2" s="656"/>
      <c r="O2" s="656"/>
      <c r="P2" s="656"/>
      <c r="Q2" s="656"/>
      <c r="R2" s="656"/>
      <c r="S2" s="656"/>
      <c r="T2" s="656"/>
      <c r="U2" s="656"/>
      <c r="V2" s="2786" t="s">
        <v>140</v>
      </c>
      <c r="W2" s="2787"/>
      <c r="X2" s="2787"/>
      <c r="Y2" s="2787"/>
      <c r="Z2" s="2787"/>
      <c r="AA2" s="2788"/>
      <c r="AB2" s="25"/>
      <c r="AE2" t="s">
        <v>819</v>
      </c>
    </row>
    <row r="3" spans="1:31" ht="14.85" customHeight="1" thickBot="1">
      <c r="A3" s="18"/>
      <c r="B3" s="2817" t="str">
        <f>IF(OR(Ehevon="",Ehebis=""),"Bitte zunächst die Ehezeit ausfüllen →→→→→→→→→→→→→→→→→→→→→","Ehezeit wird in rosa angezeigt")</f>
        <v>Bitte zunächst die Ehezeit ausfüllen →→→→→→→→→→→→→→→→→→→→→</v>
      </c>
      <c r="C3" s="2818"/>
      <c r="D3" s="2818"/>
      <c r="E3" s="2818"/>
      <c r="F3" s="2818"/>
      <c r="G3" s="2819"/>
      <c r="H3" s="2824" t="s">
        <v>825</v>
      </c>
      <c r="L3" s="651" t="s">
        <v>141</v>
      </c>
      <c r="V3" s="2789" t="s">
        <v>170</v>
      </c>
      <c r="W3" s="2790"/>
      <c r="X3" s="25"/>
      <c r="Y3" s="25"/>
      <c r="Z3" s="25"/>
      <c r="AA3" s="2052"/>
      <c r="AB3" s="25"/>
      <c r="AD3" s="15" t="b">
        <v>0</v>
      </c>
      <c r="AE3" t="s">
        <v>536</v>
      </c>
    </row>
    <row r="4" spans="1:31" ht="14.85" customHeight="1" thickBot="1">
      <c r="A4" s="18"/>
      <c r="B4" s="2820" t="s">
        <v>142</v>
      </c>
      <c r="C4" s="2821"/>
      <c r="D4" s="2821"/>
      <c r="E4" s="2821"/>
      <c r="F4" s="2821"/>
      <c r="G4" s="2822"/>
      <c r="H4" s="2824"/>
      <c r="L4" s="15">
        <v>2</v>
      </c>
      <c r="V4" s="1302"/>
      <c r="W4" s="1303">
        <v>42735</v>
      </c>
      <c r="X4" s="2825"/>
      <c r="Y4" s="2826"/>
      <c r="Z4" s="2826"/>
      <c r="AA4" s="2827"/>
      <c r="AB4" s="25"/>
      <c r="AE4" s="15">
        <v>2</v>
      </c>
    </row>
    <row r="5" spans="1:31" ht="14.85" customHeight="1" thickBot="1">
      <c r="A5" s="18"/>
      <c r="B5" s="2801" t="s">
        <v>1579</v>
      </c>
      <c r="C5" s="2803" t="s">
        <v>1580</v>
      </c>
      <c r="D5" s="2805" t="s">
        <v>1581</v>
      </c>
      <c r="E5" s="2807" t="s">
        <v>1582</v>
      </c>
      <c r="F5" s="1181"/>
      <c r="G5" s="2809" t="str">
        <f>CHOOSE(BerBasis,"5. Tage","5. volle Monate","5. Jahre")</f>
        <v>5. volle Monate</v>
      </c>
      <c r="H5" s="1180"/>
      <c r="L5" s="15"/>
      <c r="V5" s="1183" t="str">
        <f>IF(V4&gt;0,V4,IF(Dat_EzA&lt;&gt;"",Dat_EzA,""))</f>
        <v/>
      </c>
      <c r="W5" s="1183">
        <f>IF(W4&gt;0,W4,IF(Dat_EzE&lt;&gt;"",Dat_EzE,""))</f>
        <v>42735</v>
      </c>
      <c r="X5" s="2828"/>
      <c r="Y5" s="2829"/>
      <c r="Z5" s="2829"/>
      <c r="AA5" s="2830"/>
      <c r="AB5" s="25"/>
      <c r="AE5" s="15"/>
    </row>
    <row r="6" spans="1:31" ht="14.85" customHeight="1" thickBot="1">
      <c r="A6" s="18"/>
      <c r="B6" s="2802"/>
      <c r="C6" s="2804"/>
      <c r="D6" s="2806"/>
      <c r="E6" s="2808"/>
      <c r="F6" s="1182"/>
      <c r="G6" s="2810"/>
      <c r="H6" s="25"/>
      <c r="L6">
        <f>IF(L4=1,360,365)</f>
        <v>365</v>
      </c>
      <c r="V6" s="2791" t="s">
        <v>1583</v>
      </c>
      <c r="W6" s="2792"/>
      <c r="X6" s="2811" t="str">
        <f>CHOOSE(BerBasis,"7. Tage","7. volle Monate","7. Jahre")</f>
        <v>7. volle Monate</v>
      </c>
      <c r="Y6" s="2812"/>
      <c r="Z6" s="2813"/>
      <c r="AA6" s="2053" t="str">
        <f>CHOOSE(BerBasis,"8. Tage","8. volle Monate","8. Jahre")</f>
        <v>8. volle Monate</v>
      </c>
      <c r="AB6" s="25"/>
      <c r="AC6" t="s">
        <v>820</v>
      </c>
      <c r="AD6" s="15" t="b">
        <v>0</v>
      </c>
    </row>
    <row r="7" spans="1:31" ht="15" thickTop="1">
      <c r="A7" s="18"/>
      <c r="B7" s="61"/>
      <c r="C7" s="63"/>
      <c r="D7" s="48"/>
      <c r="E7" s="1034" t="str">
        <f t="shared" ref="E7:E15" si="0">IFERROR(IF(C7+B7=0,"",IF(TZ_Faktor,CHOOSE(BerBasis,C7-B7+1,DATEDIF(B7,C7+1,"M"),YEARFRAC(B7,C7,3))*IF(D7&lt;&gt;0,D7,1),"")),"")</f>
        <v/>
      </c>
      <c r="F7" s="1034"/>
      <c r="G7" s="1380" t="str">
        <f t="shared" ref="G7:G26" si="1">IF(OR(B7="",C7=""),"",CHOOSE(BerBasis,C7-B7+1,DATEDIF(B7,C7+1,"M"),YEARFRAC(B7,C7,3)))</f>
        <v/>
      </c>
      <c r="H7" s="658"/>
      <c r="K7">
        <f t="shared" ref="K7:K26" si="2">IF(OR(B7="",C7=""),0,1)</f>
        <v>0</v>
      </c>
      <c r="V7" s="636" t="str">
        <f t="shared" ref="V7:V26" si="3">IF(OR(Ehevon="",Ehebis="",B7=""),"",IF(AND(Ehevon&gt;=B7,Ehevon&lt;=C7),Ehevon,IF(AND(Ehevon&lt;B7,Ehebis&gt;=B7),B7,"")))</f>
        <v/>
      </c>
      <c r="W7" s="637" t="str">
        <f>IFERROR(IF(OR(Ehevon="",Ehebis="",C7=""),"",IF(AND(Ehebis&lt;=C7,Ehebis&gt;=B7),Ehebis,IF(AND(Ehebis&gt;=C7,V7&lt;&gt;""),C7,""))),"")</f>
        <v/>
      </c>
      <c r="X7" s="2793" t="str">
        <f t="shared" ref="X7:X15" si="4">IF(OR(V7="",W7=""),"",CHOOSE(BerBasis,W7-V7+1,DATEDIF(V7,W7+1,"m"),YEARFRAC(V7,W7,3)))</f>
        <v/>
      </c>
      <c r="Y7" s="2794"/>
      <c r="Z7" s="2795"/>
      <c r="AA7" s="2054" t="str">
        <f t="shared" ref="AA7:AA15" si="5">IF(OR(V7="",W7=""),"",CHOOSE(BerBasis,W7-V7+1,DATEDIF(V7,W7+1,"m"),YEARFRAC(V7,W7,3)))</f>
        <v/>
      </c>
      <c r="AB7" s="25"/>
    </row>
    <row r="8" spans="1:31">
      <c r="A8" s="18"/>
      <c r="B8" s="62"/>
      <c r="C8" s="63"/>
      <c r="D8" s="49"/>
      <c r="E8" s="1034" t="str">
        <f t="shared" si="0"/>
        <v/>
      </c>
      <c r="F8" s="1034"/>
      <c r="G8" s="1035" t="str">
        <f t="shared" si="1"/>
        <v/>
      </c>
      <c r="H8" s="658"/>
      <c r="K8">
        <f t="shared" si="2"/>
        <v>0</v>
      </c>
      <c r="V8" s="636" t="str">
        <f t="shared" si="3"/>
        <v/>
      </c>
      <c r="W8" s="637" t="str">
        <f t="shared" ref="W8:W26" si="6">IF(OR(Ehevon="",Ehebis="",C8=""),"",IF(AND(Ehebis&lt;=C8,Ehebis&gt;=B8),Ehebis,IF(AND(Ehebis&gt;=C8,V8&lt;&gt;""),C8,"")))</f>
        <v/>
      </c>
      <c r="X8" s="2783" t="str">
        <f t="shared" si="4"/>
        <v/>
      </c>
      <c r="Y8" s="2784"/>
      <c r="Z8" s="2785"/>
      <c r="AA8" s="2054" t="str">
        <f t="shared" si="5"/>
        <v/>
      </c>
      <c r="AB8" s="25"/>
    </row>
    <row r="9" spans="1:31">
      <c r="A9" s="18"/>
      <c r="B9" s="62"/>
      <c r="C9" s="63"/>
      <c r="D9" s="39"/>
      <c r="E9" s="1034" t="str">
        <f t="shared" si="0"/>
        <v/>
      </c>
      <c r="F9" s="1034"/>
      <c r="G9" s="1035" t="str">
        <f t="shared" si="1"/>
        <v/>
      </c>
      <c r="H9" s="658"/>
      <c r="K9">
        <f t="shared" si="2"/>
        <v>0</v>
      </c>
      <c r="V9" s="636" t="str">
        <f t="shared" si="3"/>
        <v/>
      </c>
      <c r="W9" s="637" t="str">
        <f t="shared" si="6"/>
        <v/>
      </c>
      <c r="X9" s="2783" t="str">
        <f t="shared" si="4"/>
        <v/>
      </c>
      <c r="Y9" s="2784"/>
      <c r="Z9" s="2785"/>
      <c r="AA9" s="2054" t="str">
        <f t="shared" si="5"/>
        <v/>
      </c>
      <c r="AB9" s="26"/>
    </row>
    <row r="10" spans="1:31">
      <c r="A10" s="18"/>
      <c r="B10" s="62"/>
      <c r="C10" s="63"/>
      <c r="D10" s="49"/>
      <c r="E10" s="1034" t="str">
        <f t="shared" si="0"/>
        <v/>
      </c>
      <c r="F10" s="1034"/>
      <c r="G10" s="1035" t="str">
        <f t="shared" si="1"/>
        <v/>
      </c>
      <c r="H10" s="658"/>
      <c r="K10">
        <f t="shared" si="2"/>
        <v>0</v>
      </c>
      <c r="V10" s="636" t="str">
        <f t="shared" si="3"/>
        <v/>
      </c>
      <c r="W10" s="637" t="str">
        <f t="shared" si="6"/>
        <v/>
      </c>
      <c r="X10" s="2783" t="str">
        <f t="shared" si="4"/>
        <v/>
      </c>
      <c r="Y10" s="2784"/>
      <c r="Z10" s="2785"/>
      <c r="AA10" s="2054" t="str">
        <f t="shared" si="5"/>
        <v/>
      </c>
      <c r="AB10" s="26"/>
    </row>
    <row r="11" spans="1:31">
      <c r="A11" s="18"/>
      <c r="B11" s="62"/>
      <c r="C11" s="63"/>
      <c r="D11" s="49"/>
      <c r="E11" s="1034" t="str">
        <f t="shared" si="0"/>
        <v/>
      </c>
      <c r="F11" s="1034"/>
      <c r="G11" s="1035" t="str">
        <f t="shared" si="1"/>
        <v/>
      </c>
      <c r="H11" s="658"/>
      <c r="K11">
        <f t="shared" si="2"/>
        <v>0</v>
      </c>
      <c r="V11" s="636" t="str">
        <f t="shared" si="3"/>
        <v/>
      </c>
      <c r="W11" s="637" t="str">
        <f t="shared" si="6"/>
        <v/>
      </c>
      <c r="X11" s="2783" t="str">
        <f t="shared" si="4"/>
        <v/>
      </c>
      <c r="Y11" s="2784"/>
      <c r="Z11" s="2785"/>
      <c r="AA11" s="2054" t="str">
        <f t="shared" si="5"/>
        <v/>
      </c>
      <c r="AB11" s="40"/>
    </row>
    <row r="12" spans="1:31">
      <c r="A12" s="18"/>
      <c r="B12" s="62"/>
      <c r="C12" s="63"/>
      <c r="D12" s="49"/>
      <c r="E12" s="1034" t="str">
        <f t="shared" si="0"/>
        <v/>
      </c>
      <c r="F12" s="1036"/>
      <c r="G12" s="1035" t="str">
        <f t="shared" si="1"/>
        <v/>
      </c>
      <c r="H12" s="658"/>
      <c r="K12">
        <f t="shared" si="2"/>
        <v>0</v>
      </c>
      <c r="V12" s="28" t="str">
        <f t="shared" si="3"/>
        <v/>
      </c>
      <c r="W12" s="35" t="str">
        <f t="shared" si="6"/>
        <v/>
      </c>
      <c r="X12" s="2783" t="str">
        <f t="shared" si="4"/>
        <v/>
      </c>
      <c r="Y12" s="2784"/>
      <c r="Z12" s="2785"/>
      <c r="AA12" s="2054" t="str">
        <f t="shared" si="5"/>
        <v/>
      </c>
      <c r="AB12" s="25"/>
    </row>
    <row r="13" spans="1:31">
      <c r="A13" s="18"/>
      <c r="B13" s="62"/>
      <c r="C13" s="63"/>
      <c r="D13" s="49"/>
      <c r="E13" s="1034" t="str">
        <f t="shared" si="0"/>
        <v/>
      </c>
      <c r="F13" s="1036"/>
      <c r="G13" s="1035" t="str">
        <f t="shared" si="1"/>
        <v/>
      </c>
      <c r="H13" s="658"/>
      <c r="K13">
        <f t="shared" si="2"/>
        <v>0</v>
      </c>
      <c r="V13" s="28" t="str">
        <f t="shared" si="3"/>
        <v/>
      </c>
      <c r="W13" s="35" t="str">
        <f t="shared" si="6"/>
        <v/>
      </c>
      <c r="X13" s="2783" t="str">
        <f t="shared" si="4"/>
        <v/>
      </c>
      <c r="Y13" s="2784"/>
      <c r="Z13" s="2785"/>
      <c r="AA13" s="2054" t="str">
        <f t="shared" si="5"/>
        <v/>
      </c>
      <c r="AB13" s="25"/>
    </row>
    <row r="14" spans="1:31">
      <c r="A14" s="18"/>
      <c r="B14" s="62"/>
      <c r="C14" s="63"/>
      <c r="D14" s="49"/>
      <c r="E14" s="1034" t="str">
        <f t="shared" si="0"/>
        <v/>
      </c>
      <c r="F14" s="1036"/>
      <c r="G14" s="1035" t="str">
        <f t="shared" si="1"/>
        <v/>
      </c>
      <c r="H14" s="658"/>
      <c r="K14">
        <f t="shared" si="2"/>
        <v>0</v>
      </c>
      <c r="V14" s="28" t="str">
        <f t="shared" si="3"/>
        <v/>
      </c>
      <c r="W14" s="35" t="str">
        <f t="shared" si="6"/>
        <v/>
      </c>
      <c r="X14" s="2783" t="str">
        <f t="shared" si="4"/>
        <v/>
      </c>
      <c r="Y14" s="2784"/>
      <c r="Z14" s="2785"/>
      <c r="AA14" s="2054" t="str">
        <f t="shared" si="5"/>
        <v/>
      </c>
      <c r="AB14" s="25"/>
    </row>
    <row r="15" spans="1:31" ht="15" thickBot="1">
      <c r="A15" s="18"/>
      <c r="B15" s="62"/>
      <c r="C15" s="63"/>
      <c r="D15" s="49"/>
      <c r="E15" s="1034" t="str">
        <f t="shared" si="0"/>
        <v/>
      </c>
      <c r="F15" s="1036"/>
      <c r="G15" s="1035" t="str">
        <f t="shared" si="1"/>
        <v/>
      </c>
      <c r="H15" s="658"/>
      <c r="K15">
        <f t="shared" si="2"/>
        <v>0</v>
      </c>
      <c r="V15" s="28" t="str">
        <f t="shared" si="3"/>
        <v/>
      </c>
      <c r="W15" s="35" t="str">
        <f t="shared" si="6"/>
        <v/>
      </c>
      <c r="X15" s="2783" t="str">
        <f t="shared" si="4"/>
        <v/>
      </c>
      <c r="Y15" s="2784"/>
      <c r="Z15" s="2785"/>
      <c r="AA15" s="2054" t="str">
        <f t="shared" si="5"/>
        <v/>
      </c>
      <c r="AB15" s="25"/>
    </row>
    <row r="16" spans="1:31" hidden="1">
      <c r="A16" s="18"/>
      <c r="B16" s="36"/>
      <c r="C16" s="37"/>
      <c r="D16" s="38"/>
      <c r="E16" s="1034" t="str">
        <f t="shared" ref="E16:E26" si="7">IF(C16+B16=0,"",IF(TZ_Faktor,CHOOSE(BerBasis,C16-B16+1,DATEDIF(B16,C16+1,"M"),YEARFRAC(B16,C16,3))*IF(D16&lt;&gt;0,D16,1),""))</f>
        <v/>
      </c>
      <c r="F16" s="1036"/>
      <c r="G16" s="1035" t="str">
        <f t="shared" si="1"/>
        <v/>
      </c>
      <c r="H16" s="658"/>
      <c r="K16">
        <f t="shared" si="2"/>
        <v>0</v>
      </c>
      <c r="V16" s="28" t="str">
        <f t="shared" si="3"/>
        <v/>
      </c>
      <c r="W16" s="35" t="str">
        <f t="shared" si="6"/>
        <v/>
      </c>
      <c r="X16" s="1040" t="str">
        <f t="shared" ref="X16:X26" si="8">IF(OR(V16="",Tage),"",ROUND(YEARFRAC(V16,W16+1,1),3)*IF(D16&gt;0,D16,1))</f>
        <v/>
      </c>
      <c r="Y16" s="1041"/>
      <c r="Z16" s="1042"/>
      <c r="AA16" s="2054" t="str">
        <f t="shared" ref="AA16:AA26" si="9">IF(OR(V16="",Tage),"",DATEDIF(V16,W16+1,"m")*IF(D16&gt;0,D16,1))</f>
        <v/>
      </c>
      <c r="AB16" s="25"/>
    </row>
    <row r="17" spans="1:30" hidden="1">
      <c r="A17" s="18"/>
      <c r="B17" s="36"/>
      <c r="C17" s="37"/>
      <c r="D17" s="38"/>
      <c r="E17" s="1034" t="str">
        <f t="shared" si="7"/>
        <v/>
      </c>
      <c r="F17" s="1036"/>
      <c r="G17" s="1035" t="str">
        <f t="shared" si="1"/>
        <v/>
      </c>
      <c r="H17" s="658"/>
      <c r="K17">
        <f t="shared" si="2"/>
        <v>0</v>
      </c>
      <c r="V17" s="28" t="str">
        <f t="shared" si="3"/>
        <v/>
      </c>
      <c r="W17" s="35" t="str">
        <f t="shared" si="6"/>
        <v/>
      </c>
      <c r="X17" s="1040" t="str">
        <f t="shared" si="8"/>
        <v/>
      </c>
      <c r="Y17" s="1041"/>
      <c r="Z17" s="1042"/>
      <c r="AA17" s="2054" t="str">
        <f t="shared" si="9"/>
        <v/>
      </c>
      <c r="AB17" s="25"/>
    </row>
    <row r="18" spans="1:30" hidden="1">
      <c r="A18" s="18"/>
      <c r="B18" s="36"/>
      <c r="C18" s="37"/>
      <c r="D18" s="38"/>
      <c r="E18" s="1034" t="str">
        <f t="shared" si="7"/>
        <v/>
      </c>
      <c r="F18" s="1036"/>
      <c r="G18" s="1035" t="str">
        <f t="shared" si="1"/>
        <v/>
      </c>
      <c r="H18" s="658"/>
      <c r="K18">
        <f t="shared" si="2"/>
        <v>0</v>
      </c>
      <c r="V18" s="28" t="str">
        <f t="shared" si="3"/>
        <v/>
      </c>
      <c r="W18" s="35" t="str">
        <f t="shared" si="6"/>
        <v/>
      </c>
      <c r="X18" s="1040" t="str">
        <f t="shared" si="8"/>
        <v/>
      </c>
      <c r="Y18" s="1041"/>
      <c r="Z18" s="1042"/>
      <c r="AA18" s="2054" t="str">
        <f t="shared" si="9"/>
        <v/>
      </c>
      <c r="AB18" s="25"/>
    </row>
    <row r="19" spans="1:30" hidden="1">
      <c r="A19" s="25"/>
      <c r="B19" s="36"/>
      <c r="C19" s="37"/>
      <c r="D19" s="38"/>
      <c r="E19" s="1034" t="str">
        <f t="shared" si="7"/>
        <v/>
      </c>
      <c r="F19" s="1036"/>
      <c r="G19" s="1035" t="str">
        <f t="shared" si="1"/>
        <v/>
      </c>
      <c r="H19" s="658"/>
      <c r="K19">
        <f t="shared" si="2"/>
        <v>0</v>
      </c>
      <c r="V19" s="28" t="str">
        <f t="shared" si="3"/>
        <v/>
      </c>
      <c r="W19" s="35" t="str">
        <f t="shared" si="6"/>
        <v/>
      </c>
      <c r="X19" s="1040" t="str">
        <f t="shared" si="8"/>
        <v/>
      </c>
      <c r="Y19" s="1041"/>
      <c r="Z19" s="1042"/>
      <c r="AA19" s="2054" t="str">
        <f t="shared" si="9"/>
        <v/>
      </c>
      <c r="AB19" s="25"/>
    </row>
    <row r="20" spans="1:30" hidden="1">
      <c r="A20" s="25"/>
      <c r="B20" s="36"/>
      <c r="C20" s="37"/>
      <c r="D20" s="38"/>
      <c r="E20" s="1034" t="str">
        <f t="shared" si="7"/>
        <v/>
      </c>
      <c r="F20" s="1036"/>
      <c r="G20" s="1035" t="str">
        <f t="shared" si="1"/>
        <v/>
      </c>
      <c r="H20" s="658"/>
      <c r="K20">
        <f t="shared" si="2"/>
        <v>0</v>
      </c>
      <c r="V20" s="28" t="str">
        <f t="shared" si="3"/>
        <v/>
      </c>
      <c r="W20" s="35" t="str">
        <f t="shared" si="6"/>
        <v/>
      </c>
      <c r="X20" s="1040" t="str">
        <f t="shared" si="8"/>
        <v/>
      </c>
      <c r="Y20" s="1041"/>
      <c r="Z20" s="1042"/>
      <c r="AA20" s="2054" t="str">
        <f t="shared" si="9"/>
        <v/>
      </c>
      <c r="AB20" s="25"/>
    </row>
    <row r="21" spans="1:30" hidden="1">
      <c r="A21" s="25"/>
      <c r="B21" s="36"/>
      <c r="C21" s="37"/>
      <c r="D21" s="38"/>
      <c r="E21" s="1034" t="str">
        <f t="shared" si="7"/>
        <v/>
      </c>
      <c r="F21" s="1036"/>
      <c r="G21" s="1035" t="str">
        <f t="shared" si="1"/>
        <v/>
      </c>
      <c r="H21" s="658"/>
      <c r="K21">
        <f t="shared" si="2"/>
        <v>0</v>
      </c>
      <c r="V21" s="28" t="str">
        <f t="shared" si="3"/>
        <v/>
      </c>
      <c r="W21" s="35" t="str">
        <f t="shared" si="6"/>
        <v/>
      </c>
      <c r="X21" s="1040" t="str">
        <f t="shared" si="8"/>
        <v/>
      </c>
      <c r="Y21" s="1041"/>
      <c r="Z21" s="1042"/>
      <c r="AA21" s="2054" t="str">
        <f t="shared" si="9"/>
        <v/>
      </c>
      <c r="AB21" s="25"/>
    </row>
    <row r="22" spans="1:30" hidden="1">
      <c r="A22" s="25"/>
      <c r="B22" s="36"/>
      <c r="C22" s="37"/>
      <c r="D22" s="38"/>
      <c r="E22" s="1034" t="str">
        <f t="shared" si="7"/>
        <v/>
      </c>
      <c r="F22" s="1036"/>
      <c r="G22" s="1035" t="str">
        <f t="shared" si="1"/>
        <v/>
      </c>
      <c r="H22" s="658"/>
      <c r="K22">
        <f t="shared" si="2"/>
        <v>0</v>
      </c>
      <c r="V22" s="28" t="str">
        <f t="shared" si="3"/>
        <v/>
      </c>
      <c r="W22" s="35" t="str">
        <f t="shared" si="6"/>
        <v/>
      </c>
      <c r="X22" s="1040" t="str">
        <f t="shared" si="8"/>
        <v/>
      </c>
      <c r="Y22" s="1041"/>
      <c r="Z22" s="1042"/>
      <c r="AA22" s="2054" t="str">
        <f t="shared" si="9"/>
        <v/>
      </c>
      <c r="AB22" s="25"/>
    </row>
    <row r="23" spans="1:30" hidden="1">
      <c r="A23" s="25"/>
      <c r="B23" s="36"/>
      <c r="C23" s="37"/>
      <c r="D23" s="38"/>
      <c r="E23" s="1034" t="str">
        <f t="shared" si="7"/>
        <v/>
      </c>
      <c r="F23" s="1036"/>
      <c r="G23" s="1035" t="str">
        <f t="shared" si="1"/>
        <v/>
      </c>
      <c r="H23" s="658"/>
      <c r="K23">
        <f t="shared" si="2"/>
        <v>0</v>
      </c>
      <c r="V23" s="28" t="str">
        <f t="shared" si="3"/>
        <v/>
      </c>
      <c r="W23" s="35" t="str">
        <f t="shared" si="6"/>
        <v/>
      </c>
      <c r="X23" s="1040" t="str">
        <f t="shared" si="8"/>
        <v/>
      </c>
      <c r="Y23" s="1041"/>
      <c r="Z23" s="1042"/>
      <c r="AA23" s="2054" t="str">
        <f t="shared" si="9"/>
        <v/>
      </c>
      <c r="AB23" s="25"/>
    </row>
    <row r="24" spans="1:30" hidden="1">
      <c r="A24" s="25"/>
      <c r="B24" s="36"/>
      <c r="C24" s="37"/>
      <c r="D24" s="38"/>
      <c r="E24" s="1034" t="str">
        <f t="shared" si="7"/>
        <v/>
      </c>
      <c r="F24" s="1036"/>
      <c r="G24" s="1035" t="str">
        <f t="shared" si="1"/>
        <v/>
      </c>
      <c r="H24" s="658"/>
      <c r="K24">
        <f t="shared" si="2"/>
        <v>0</v>
      </c>
      <c r="V24" s="28" t="str">
        <f t="shared" si="3"/>
        <v/>
      </c>
      <c r="W24" s="35" t="str">
        <f t="shared" si="6"/>
        <v/>
      </c>
      <c r="X24" s="1040" t="str">
        <f t="shared" si="8"/>
        <v/>
      </c>
      <c r="Y24" s="1041"/>
      <c r="Z24" s="1042"/>
      <c r="AA24" s="2054" t="str">
        <f t="shared" si="9"/>
        <v/>
      </c>
      <c r="AB24" s="41"/>
    </row>
    <row r="25" spans="1:30" hidden="1">
      <c r="A25" s="25"/>
      <c r="B25" s="42"/>
      <c r="C25" s="43"/>
      <c r="D25" s="44"/>
      <c r="E25" s="1034" t="str">
        <f t="shared" si="7"/>
        <v/>
      </c>
      <c r="F25" s="1036"/>
      <c r="G25" s="1035" t="str">
        <f t="shared" si="1"/>
        <v/>
      </c>
      <c r="H25" s="658"/>
      <c r="K25">
        <f t="shared" si="2"/>
        <v>0</v>
      </c>
      <c r="V25" s="28" t="str">
        <f t="shared" si="3"/>
        <v/>
      </c>
      <c r="W25" s="35" t="str">
        <f t="shared" si="6"/>
        <v/>
      </c>
      <c r="X25" s="1040" t="str">
        <f t="shared" si="8"/>
        <v/>
      </c>
      <c r="Y25" s="1041"/>
      <c r="Z25" s="1042"/>
      <c r="AA25" s="2054" t="str">
        <f t="shared" si="9"/>
        <v/>
      </c>
      <c r="AB25" s="25"/>
    </row>
    <row r="26" spans="1:30" ht="15" hidden="1" thickBot="1">
      <c r="A26" s="25"/>
      <c r="B26" s="45"/>
      <c r="C26" s="46"/>
      <c r="D26" s="47"/>
      <c r="E26" s="1034" t="str">
        <f t="shared" si="7"/>
        <v/>
      </c>
      <c r="F26" s="1036"/>
      <c r="G26" s="1035" t="str">
        <f t="shared" si="1"/>
        <v/>
      </c>
      <c r="H26" s="658"/>
      <c r="K26">
        <f t="shared" si="2"/>
        <v>0</v>
      </c>
      <c r="V26" s="28" t="str">
        <f t="shared" si="3"/>
        <v/>
      </c>
      <c r="W26" s="35" t="str">
        <f t="shared" si="6"/>
        <v/>
      </c>
      <c r="X26" s="1040" t="str">
        <f t="shared" si="8"/>
        <v/>
      </c>
      <c r="Y26" s="1041"/>
      <c r="Z26" s="1042"/>
      <c r="AA26" s="2054" t="str">
        <f t="shared" si="9"/>
        <v/>
      </c>
      <c r="AB26" s="25"/>
    </row>
    <row r="27" spans="1:30" ht="20.85" customHeight="1" thickTop="1" thickBot="1">
      <c r="A27" s="25"/>
      <c r="B27" s="2841" t="s">
        <v>143</v>
      </c>
      <c r="C27" s="2842"/>
      <c r="D27" s="2843"/>
      <c r="E27" s="1037" t="str">
        <f>IF(SUM(E7:E26)=0,"",SUM(E7:E26))</f>
        <v/>
      </c>
      <c r="F27" s="2854"/>
      <c r="G27" s="2857" t="str">
        <f>IF(SUM(G7:G26)=0,"",SUM(G7:G26))</f>
        <v/>
      </c>
      <c r="H27" s="25"/>
      <c r="Q27" t="e">
        <f>+X27/G27</f>
        <v>#VALUE!</v>
      </c>
      <c r="V27" s="2860" t="s">
        <v>143</v>
      </c>
      <c r="W27" s="2861"/>
      <c r="X27" s="2862" t="str">
        <f>IF(SUM(X7:X26)&gt;0,SUM(X7:X26),"")</f>
        <v/>
      </c>
      <c r="Y27" s="2863"/>
      <c r="Z27" s="2864"/>
      <c r="AA27" s="2055" t="str">
        <f>IF(SUM(AA7:AA26)=0,"",SUM(AA7:AA26))</f>
        <v/>
      </c>
      <c r="AB27" s="25"/>
    </row>
    <row r="28" spans="1:30" ht="17.100000000000001" customHeight="1">
      <c r="A28" s="25"/>
      <c r="B28" s="2844"/>
      <c r="C28" s="2845"/>
      <c r="D28" s="2846"/>
      <c r="E28" s="1038" t="str">
        <f>IF(BerBasis=3,"Ruhegehaltsquote","")</f>
        <v/>
      </c>
      <c r="F28" s="2855"/>
      <c r="G28" s="2858"/>
      <c r="H28" s="25"/>
      <c r="V28" s="2868" t="str">
        <f>"9. Ehezeitanteil: "&amp;IFERROR(TEXT(AA27,"#.##0,00")&amp;" / "&amp;TEXT(G27,"#.##0,00")&amp;" = "&amp;TEXT(X27/G27,"0,00%"),"")</f>
        <v xml:space="preserve">9. Ehezeitanteil: </v>
      </c>
      <c r="W28" s="2869"/>
      <c r="X28" s="2869"/>
      <c r="Y28" s="2869"/>
      <c r="Z28" s="2870"/>
      <c r="AA28" s="2796"/>
      <c r="AB28" s="25"/>
      <c r="AC28" t="s">
        <v>172</v>
      </c>
      <c r="AD28" s="15" t="b">
        <v>1</v>
      </c>
    </row>
    <row r="29" spans="1:30" ht="17.100000000000001" customHeight="1" thickBot="1">
      <c r="A29" s="25"/>
      <c r="B29" s="2847"/>
      <c r="C29" s="2848"/>
      <c r="D29" s="2849"/>
      <c r="E29" s="1039" t="str">
        <f>IFERROR(IF(BerBasis=3,IF(71.75/40*E27/100&gt;0.7175,0.7175,71.75/40*E27/100),""),"")</f>
        <v/>
      </c>
      <c r="F29" s="2856"/>
      <c r="G29" s="2859"/>
      <c r="H29" s="25"/>
      <c r="V29" s="2852" t="s">
        <v>1842</v>
      </c>
      <c r="W29" s="2853"/>
      <c r="X29" s="2871">
        <v>10566.93</v>
      </c>
      <c r="Y29" s="2872"/>
      <c r="Z29" s="2873"/>
      <c r="AA29" s="2797"/>
      <c r="AB29" s="25"/>
    </row>
    <row r="30" spans="1:30" ht="17.100000000000001" customHeight="1">
      <c r="A30" s="25"/>
      <c r="B30" s="2835" t="s">
        <v>144</v>
      </c>
      <c r="C30" s="2836"/>
      <c r="D30" s="2836"/>
      <c r="E30" s="2836"/>
      <c r="F30" s="2836"/>
      <c r="G30" s="2836"/>
      <c r="H30" s="25"/>
      <c r="I30" s="25"/>
      <c r="J30" s="25"/>
      <c r="K30" s="25"/>
      <c r="L30" s="25"/>
      <c r="M30" s="25"/>
      <c r="N30" s="25"/>
      <c r="O30" s="25"/>
      <c r="P30" s="25"/>
      <c r="Q30" s="25"/>
      <c r="R30" s="25"/>
      <c r="S30" s="25"/>
      <c r="T30" s="25"/>
      <c r="U30" s="25"/>
      <c r="V30" s="2852" t="s">
        <v>1843</v>
      </c>
      <c r="W30" s="2853"/>
      <c r="X30" s="2874">
        <f>IFERROR(+X27/G27*X29,0)</f>
        <v>0</v>
      </c>
      <c r="Y30" s="2875"/>
      <c r="Z30" s="2876"/>
      <c r="AA30" s="2797"/>
      <c r="AB30" s="25"/>
    </row>
    <row r="31" spans="1:30" ht="17.100000000000001" customHeight="1">
      <c r="A31" s="25"/>
      <c r="B31" s="2837"/>
      <c r="C31" s="2838"/>
      <c r="D31" s="2838"/>
      <c r="E31" s="2838"/>
      <c r="F31" s="2838"/>
      <c r="G31" s="2838"/>
      <c r="H31" s="25"/>
      <c r="I31" s="25"/>
      <c r="J31" s="25"/>
      <c r="K31" s="25"/>
      <c r="L31" s="25"/>
      <c r="M31" s="25"/>
      <c r="N31" s="25"/>
      <c r="O31" s="25"/>
      <c r="P31" s="25"/>
      <c r="Q31" s="25"/>
      <c r="R31" s="25"/>
      <c r="S31" s="25"/>
      <c r="T31" s="25"/>
      <c r="U31" s="25"/>
      <c r="V31" s="2852" t="s">
        <v>1999</v>
      </c>
      <c r="W31" s="2853"/>
      <c r="X31" s="2831"/>
      <c r="Y31" s="2832"/>
      <c r="Z31" s="2833"/>
      <c r="AA31" s="2798"/>
      <c r="AB31" s="25"/>
    </row>
    <row r="32" spans="1:30" ht="17.100000000000001" customHeight="1" thickBot="1">
      <c r="A32" s="25"/>
      <c r="B32" s="2839"/>
      <c r="C32" s="2840"/>
      <c r="D32" s="2840"/>
      <c r="E32" s="2840"/>
      <c r="F32" s="2840"/>
      <c r="G32" s="2840"/>
      <c r="H32" s="313"/>
      <c r="I32" s="313"/>
      <c r="J32" s="313"/>
      <c r="K32" s="313"/>
      <c r="L32" s="313"/>
      <c r="M32" s="313"/>
      <c r="N32" s="313"/>
      <c r="O32" s="313"/>
      <c r="P32" s="313"/>
      <c r="Q32" s="313"/>
      <c r="R32" s="313"/>
      <c r="S32" s="313"/>
      <c r="T32" s="313"/>
      <c r="U32" s="313"/>
      <c r="V32" s="2850" t="s">
        <v>1584</v>
      </c>
      <c r="W32" s="2851"/>
      <c r="X32" s="2865">
        <f>IFERROR(IF(X31=0,X30,+X31*X29),"")</f>
        <v>0</v>
      </c>
      <c r="Y32" s="2866"/>
      <c r="Z32" s="2867"/>
      <c r="AA32" s="2057"/>
      <c r="AB32" s="25"/>
    </row>
    <row r="33" spans="1:28">
      <c r="A33" s="25"/>
      <c r="B33" s="2834" t="s">
        <v>145</v>
      </c>
      <c r="C33" s="2834"/>
      <c r="D33" s="2834"/>
      <c r="E33" s="2834"/>
      <c r="F33" s="2834"/>
      <c r="G33" s="2834"/>
      <c r="H33" s="2834"/>
      <c r="I33" s="2834"/>
      <c r="J33" s="2834"/>
      <c r="K33" s="2834"/>
      <c r="L33" s="2834"/>
      <c r="M33" s="2834"/>
      <c r="N33" s="2834"/>
      <c r="O33" s="2834"/>
      <c r="P33" s="2834"/>
      <c r="Q33" s="2834"/>
      <c r="R33" s="2834"/>
      <c r="S33" s="2834"/>
      <c r="T33" s="2834"/>
      <c r="U33" s="2834"/>
      <c r="V33" s="2834"/>
      <c r="W33" s="2834"/>
      <c r="X33" s="2834"/>
      <c r="Y33" s="2834"/>
      <c r="Z33" s="2834"/>
      <c r="AA33" s="2834"/>
      <c r="AB33" s="25"/>
    </row>
    <row r="34" spans="1:28" hidden="1">
      <c r="B34" s="641"/>
      <c r="C34" s="641"/>
      <c r="D34" s="641"/>
      <c r="E34" s="642"/>
      <c r="F34" s="641"/>
      <c r="G34" s="643"/>
    </row>
    <row r="35" spans="1:28" hidden="1">
      <c r="B35" s="644"/>
      <c r="C35" s="644"/>
      <c r="D35" s="644"/>
      <c r="E35" s="645"/>
      <c r="F35" s="646"/>
    </row>
    <row r="36" spans="1:28" hidden="1">
      <c r="B36" s="644"/>
      <c r="C36" s="644"/>
      <c r="D36" s="644"/>
      <c r="E36" s="645"/>
      <c r="F36" s="646"/>
    </row>
    <row r="37" spans="1:28" hidden="1">
      <c r="B37" s="644"/>
      <c r="C37" s="644"/>
      <c r="D37" s="644"/>
      <c r="E37" s="645"/>
      <c r="F37" s="646"/>
    </row>
    <row r="38" spans="1:28" hidden="1">
      <c r="B38" s="644"/>
      <c r="C38" s="644"/>
      <c r="D38" s="644"/>
      <c r="E38" s="645"/>
      <c r="F38" s="646"/>
    </row>
    <row r="39" spans="1:28" hidden="1">
      <c r="B39" s="644"/>
      <c r="C39" s="644"/>
      <c r="D39" s="644"/>
      <c r="E39" s="645"/>
      <c r="F39" s="646"/>
    </row>
    <row r="40" spans="1:28" hidden="1">
      <c r="B40" s="644"/>
      <c r="C40" s="644"/>
      <c r="D40" s="644"/>
      <c r="E40" s="645"/>
      <c r="F40" s="646"/>
    </row>
    <row r="41" spans="1:28" hidden="1">
      <c r="B41" s="644"/>
      <c r="C41" s="644"/>
      <c r="D41" s="644"/>
      <c r="E41" s="645"/>
      <c r="F41" s="646"/>
    </row>
    <row r="42" spans="1:28" hidden="1">
      <c r="B42" s="644"/>
      <c r="C42" s="644"/>
      <c r="D42" s="644"/>
      <c r="E42" s="645"/>
      <c r="F42" s="646"/>
    </row>
    <row r="43" spans="1:28" hidden="1">
      <c r="B43" s="644"/>
      <c r="C43" s="644"/>
      <c r="D43" s="644"/>
      <c r="E43" s="645"/>
      <c r="F43" s="646"/>
    </row>
    <row r="44" spans="1:28" hidden="1">
      <c r="B44" s="644"/>
      <c r="C44" s="644"/>
      <c r="D44" s="644"/>
      <c r="E44" s="645"/>
      <c r="F44" s="646"/>
    </row>
    <row r="45" spans="1:28" hidden="1">
      <c r="B45" s="644"/>
      <c r="C45" s="644"/>
      <c r="D45" s="644"/>
      <c r="E45" s="645"/>
      <c r="F45" s="646"/>
    </row>
    <row r="46" spans="1:28" hidden="1">
      <c r="B46" s="644"/>
      <c r="C46" s="644"/>
      <c r="D46" s="644"/>
      <c r="E46" s="645"/>
      <c r="F46" s="646"/>
    </row>
    <row r="47" spans="1:28" hidden="1">
      <c r="B47" s="644"/>
      <c r="C47" s="644"/>
      <c r="D47" s="644"/>
      <c r="E47" s="645"/>
      <c r="F47" s="646"/>
    </row>
    <row r="48" spans="1:28" hidden="1">
      <c r="B48" s="644"/>
      <c r="C48" s="644"/>
      <c r="D48" s="644"/>
      <c r="E48" s="645"/>
      <c r="F48" s="646"/>
    </row>
    <row r="49" spans="1:30" hidden="1">
      <c r="B49" s="644"/>
      <c r="C49" s="644"/>
      <c r="D49" s="644"/>
      <c r="E49" s="645"/>
      <c r="F49" s="646"/>
    </row>
    <row r="50" spans="1:30" hidden="1">
      <c r="B50" s="644"/>
      <c r="C50" s="644"/>
      <c r="D50" s="644"/>
      <c r="E50" s="645"/>
      <c r="F50" s="646"/>
    </row>
    <row r="51" spans="1:30" hidden="1">
      <c r="B51" s="644"/>
      <c r="C51" s="644"/>
      <c r="D51" s="644"/>
      <c r="E51" s="645"/>
      <c r="F51" s="646"/>
    </row>
    <row r="52" spans="1:30" hidden="1">
      <c r="B52" s="644"/>
      <c r="C52" s="644"/>
      <c r="D52" s="644"/>
      <c r="E52" s="645"/>
      <c r="F52" s="646"/>
    </row>
    <row r="53" spans="1:30" hidden="1">
      <c r="B53" s="644"/>
      <c r="C53" s="644"/>
      <c r="D53" s="644"/>
      <c r="E53" s="645"/>
      <c r="F53" s="646"/>
    </row>
    <row r="54" spans="1:30" hidden="1">
      <c r="B54" s="644"/>
      <c r="C54" s="644"/>
      <c r="D54" s="644"/>
      <c r="E54" s="645"/>
      <c r="F54" s="646"/>
    </row>
    <row r="55" spans="1:30" ht="27" hidden="1">
      <c r="B55" s="647"/>
      <c r="C55" s="647"/>
      <c r="D55" s="648"/>
      <c r="E55" s="649"/>
      <c r="F55" s="650"/>
      <c r="G55" s="641"/>
    </row>
    <row r="56" spans="1:30" ht="27" hidden="1">
      <c r="B56" s="647"/>
      <c r="C56" s="647"/>
      <c r="D56" s="648"/>
      <c r="E56" s="649"/>
      <c r="F56" s="650"/>
    </row>
    <row r="57" spans="1:30" ht="27" hidden="1">
      <c r="B57" s="647"/>
      <c r="C57" s="647"/>
      <c r="D57" s="648"/>
      <c r="E57" s="649"/>
      <c r="F57" s="650"/>
    </row>
    <row r="59" spans="1:30" s="25" customFormat="1" hidden="1">
      <c r="A59"/>
      <c r="B59" s="4"/>
      <c r="C59" s="4"/>
      <c r="D59" s="4"/>
      <c r="E59" s="260"/>
      <c r="F59"/>
      <c r="G59" s="4"/>
      <c r="H59"/>
      <c r="I59"/>
      <c r="J59"/>
      <c r="K59"/>
      <c r="L59"/>
      <c r="M59"/>
      <c r="N59"/>
      <c r="O59"/>
      <c r="P59"/>
      <c r="Q59"/>
      <c r="R59"/>
      <c r="S59"/>
      <c r="T59"/>
      <c r="U59"/>
      <c r="V59" s="651"/>
      <c r="W59" s="652"/>
      <c r="X59" s="652"/>
      <c r="Y59"/>
      <c r="Z59"/>
      <c r="AA59" s="68"/>
      <c r="AB59"/>
      <c r="AC59"/>
      <c r="AD59"/>
    </row>
    <row r="60" spans="1:30" s="25" customFormat="1" hidden="1">
      <c r="A60"/>
      <c r="B60" s="4"/>
      <c r="C60" s="4"/>
      <c r="D60" s="4"/>
      <c r="E60" s="260"/>
      <c r="F60"/>
      <c r="G60" s="4"/>
      <c r="H60"/>
      <c r="I60"/>
      <c r="J60"/>
      <c r="K60"/>
      <c r="L60"/>
      <c r="M60"/>
      <c r="N60"/>
      <c r="O60"/>
      <c r="P60"/>
      <c r="Q60"/>
      <c r="R60"/>
      <c r="S60"/>
      <c r="T60"/>
      <c r="U60"/>
      <c r="V60"/>
      <c r="W60"/>
      <c r="X60"/>
      <c r="Y60"/>
      <c r="Z60"/>
      <c r="AA60" s="68"/>
      <c r="AB60"/>
      <c r="AC60"/>
      <c r="AD60"/>
    </row>
    <row r="61" spans="1:30" hidden="1">
      <c r="B61" s="653"/>
      <c r="C61" s="653"/>
      <c r="D61" s="653"/>
      <c r="E61" s="654"/>
      <c r="F61" s="655"/>
      <c r="G61" s="653"/>
      <c r="H61" s="655"/>
      <c r="I61" s="655"/>
      <c r="J61" s="655"/>
      <c r="K61" s="655"/>
      <c r="L61" s="655"/>
      <c r="M61" s="655"/>
      <c r="N61" s="655"/>
      <c r="O61" s="655"/>
      <c r="P61" s="655"/>
      <c r="Q61" s="655"/>
      <c r="R61" s="655"/>
      <c r="S61" s="655"/>
      <c r="T61" s="655"/>
      <c r="U61" s="655"/>
      <c r="V61" s="655"/>
      <c r="W61" s="655"/>
      <c r="X61" s="655"/>
      <c r="Y61" s="655"/>
      <c r="Z61" s="655"/>
      <c r="AA61" s="2056"/>
    </row>
    <row r="62" spans="1:30" hidden="1">
      <c r="B62" s="653"/>
      <c r="C62" s="653"/>
      <c r="D62" s="653"/>
      <c r="E62" s="654"/>
      <c r="F62" s="655"/>
      <c r="G62" s="653"/>
      <c r="H62" s="655"/>
      <c r="I62" s="655"/>
      <c r="J62" s="655"/>
      <c r="K62" s="655"/>
      <c r="L62" s="655"/>
      <c r="M62" s="655"/>
      <c r="N62" s="655"/>
      <c r="O62" s="655"/>
      <c r="P62" s="655"/>
      <c r="Q62" s="655"/>
      <c r="R62" s="655"/>
      <c r="S62" s="655"/>
      <c r="T62" s="655"/>
      <c r="U62" s="655"/>
      <c r="V62" s="655"/>
      <c r="W62" s="655"/>
      <c r="X62" s="655"/>
      <c r="Y62" s="655"/>
      <c r="Z62" s="655"/>
      <c r="AA62" s="2056"/>
    </row>
    <row r="63" spans="1:30" hidden="1">
      <c r="B63" s="653"/>
      <c r="C63" s="653"/>
      <c r="D63" s="653"/>
      <c r="E63" s="654"/>
      <c r="F63" s="655"/>
      <c r="G63" s="653"/>
      <c r="H63" s="655"/>
      <c r="I63" s="655"/>
      <c r="J63" s="655"/>
      <c r="K63" s="655"/>
      <c r="L63" s="655"/>
      <c r="M63" s="655"/>
      <c r="N63" s="655"/>
      <c r="O63" s="655"/>
      <c r="P63" s="655"/>
      <c r="Q63" s="655"/>
      <c r="R63" s="655"/>
      <c r="S63" s="655"/>
      <c r="T63" s="655"/>
      <c r="U63" s="655"/>
      <c r="V63" s="655"/>
      <c r="W63" s="655"/>
      <c r="X63" s="655"/>
      <c r="Y63" s="655"/>
      <c r="Z63" s="655"/>
      <c r="AA63" s="2056"/>
    </row>
    <row r="64" spans="1:30" hidden="1">
      <c r="B64" s="653"/>
      <c r="C64" s="653"/>
      <c r="D64" s="653"/>
      <c r="E64" s="654"/>
      <c r="F64" s="655"/>
      <c r="G64" s="653"/>
      <c r="H64" s="655"/>
      <c r="I64" s="655"/>
      <c r="J64" s="655"/>
      <c r="K64" s="655"/>
      <c r="L64" s="655"/>
      <c r="M64" s="655"/>
      <c r="N64" s="655"/>
      <c r="O64" s="655"/>
      <c r="P64" s="655"/>
      <c r="Q64" s="655"/>
      <c r="R64" s="655"/>
      <c r="S64" s="655"/>
      <c r="T64" s="655"/>
      <c r="U64" s="655"/>
      <c r="V64" s="655"/>
      <c r="W64" s="655"/>
      <c r="X64" s="655"/>
      <c r="Y64" s="655"/>
      <c r="Z64" s="655"/>
      <c r="AA64" s="2056"/>
    </row>
    <row r="65" spans="2:27" hidden="1">
      <c r="B65" s="653"/>
      <c r="C65" s="653"/>
      <c r="D65" s="653"/>
      <c r="E65" s="654"/>
      <c r="F65" s="655"/>
      <c r="G65" s="653"/>
      <c r="H65" s="655"/>
      <c r="I65" s="655"/>
      <c r="J65" s="655"/>
      <c r="K65" s="655"/>
      <c r="L65" s="655"/>
      <c r="M65" s="655"/>
      <c r="N65" s="655"/>
      <c r="O65" s="655"/>
      <c r="P65" s="655"/>
      <c r="Q65" s="655"/>
      <c r="R65" s="655"/>
      <c r="S65" s="655"/>
      <c r="T65" s="655"/>
      <c r="U65" s="655"/>
      <c r="V65" s="655"/>
      <c r="W65" s="655"/>
      <c r="X65" s="655"/>
      <c r="Y65" s="655"/>
      <c r="Z65" s="655"/>
      <c r="AA65" s="2056"/>
    </row>
  </sheetData>
  <sheetProtection algorithmName="SHA-512" hashValue="5AMTbSEuTypMUxIfu1pChCB7+572s0N7zC5gsMInrj4HBmGbklDpKIRylijgmj9C0ntHMUT3bw/1UNAj4vJKSg==" saltValue="k8MxvHOG/+SBZxcBeTlfzQ==" spinCount="100000" sheet="1" objects="1" scenarios="1" selectLockedCells="1"/>
  <dataConsolidate/>
  <mergeCells count="4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25" priority="18">
      <formula>B7=""</formula>
    </cfRule>
  </conditionalFormatting>
  <conditionalFormatting sqref="B7:C15">
    <cfRule type="expression" dxfId="324" priority="520">
      <formula>AND(B7&gt;=$V$5,B7&lt;=$W$5)</formula>
    </cfRule>
  </conditionalFormatting>
  <conditionalFormatting sqref="B11:D15">
    <cfRule type="expression" dxfId="323" priority="5">
      <formula>OR(Ehevon="",Ehebis="")</formula>
    </cfRule>
  </conditionalFormatting>
  <conditionalFormatting sqref="B3:G3">
    <cfRule type="expression" dxfId="322" priority="12">
      <formula>"WENN(ODER(Ehevon&lt;&gt;"""";Ehebis&lt;&gt;"""")"</formula>
    </cfRule>
  </conditionalFormatting>
  <conditionalFormatting sqref="B7:G10 E8:E26 G8:G26 E11:G11">
    <cfRule type="expression" dxfId="321" priority="13">
      <formula>OR(Ehevon="",Ehebis="")</formula>
    </cfRule>
  </conditionalFormatting>
  <conditionalFormatting sqref="E7:G11 E8:E26">
    <cfRule type="expression" dxfId="320" priority="8">
      <formula>$AE$4&lt;3</formula>
    </cfRule>
  </conditionalFormatting>
  <conditionalFormatting sqref="E7:G28 X7:AA26 X27 AA27:AA28 F29:G29">
    <cfRule type="expression" dxfId="319" priority="14">
      <formula>BerBasis=3</formula>
    </cfRule>
  </conditionalFormatting>
  <conditionalFormatting sqref="H3:H5">
    <cfRule type="expression" dxfId="318" priority="9">
      <formula>OR(Ehevon&lt;&gt;"",Ehebis&lt;&gt;"")</formula>
    </cfRule>
  </conditionalFormatting>
  <conditionalFormatting sqref="V4">
    <cfRule type="expression" dxfId="317" priority="4">
      <formula>AND($V$4="",V5="")</formula>
    </cfRule>
  </conditionalFormatting>
  <conditionalFormatting sqref="W4">
    <cfRule type="expression" dxfId="315"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15" customWidth="1"/>
    <col min="82" max="82" width="4.125" style="128" customWidth="1"/>
    <col min="83" max="101" width="4.125" style="519" customWidth="1"/>
    <col min="102" max="102" width="4.125" style="363" customWidth="1"/>
    <col min="103" max="118" width="4.625" style="363" customWidth="1"/>
    <col min="119" max="121" width="4.125" style="363" customWidth="1"/>
  </cols>
  <sheetData>
    <row r="1" spans="1:121" s="71" customFormat="1" ht="15" customHeight="1" thickBot="1">
      <c r="A1" s="2962" t="s">
        <v>1998</v>
      </c>
      <c r="B1" s="2963"/>
      <c r="C1" s="2963"/>
      <c r="D1" s="2963"/>
      <c r="E1" s="2963"/>
      <c r="F1" s="2963"/>
      <c r="G1" s="2963"/>
      <c r="H1" s="2963"/>
      <c r="I1" s="2963"/>
      <c r="J1" s="2963"/>
      <c r="K1" s="2963"/>
      <c r="L1" s="2963"/>
      <c r="M1" s="2963"/>
      <c r="N1" s="1309"/>
      <c r="O1" s="1309"/>
      <c r="P1" s="1310"/>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797"/>
      <c r="CD1" s="128"/>
      <c r="CE1" s="519"/>
      <c r="CF1" s="519"/>
      <c r="CG1" s="519"/>
      <c r="CH1" s="519"/>
      <c r="CI1" s="519"/>
      <c r="CJ1" s="519"/>
      <c r="CK1" s="519"/>
      <c r="CL1" s="519"/>
      <c r="CM1" s="519"/>
      <c r="CN1" s="519"/>
      <c r="CO1" s="519"/>
      <c r="CP1" s="519"/>
      <c r="CQ1" s="519"/>
      <c r="CR1" s="519"/>
      <c r="CS1" s="519"/>
      <c r="CT1" s="519"/>
      <c r="CU1" s="519"/>
      <c r="CV1" s="519"/>
      <c r="CW1" s="519"/>
      <c r="CX1" s="348"/>
      <c r="CY1" s="348"/>
      <c r="CZ1" s="348"/>
      <c r="DA1" s="348"/>
      <c r="DB1" s="348"/>
      <c r="DC1" s="348"/>
      <c r="DD1" s="348"/>
      <c r="DE1" s="348"/>
      <c r="DF1" s="348"/>
      <c r="DG1" s="348"/>
      <c r="DH1" s="348"/>
      <c r="DI1" s="348"/>
      <c r="DJ1" s="348"/>
      <c r="DK1" s="348"/>
      <c r="DL1" s="348"/>
      <c r="DM1" s="348"/>
      <c r="DN1" s="348"/>
      <c r="DO1" s="348"/>
      <c r="DP1" s="348"/>
      <c r="DQ1" s="348"/>
    </row>
    <row r="2" spans="1:121" s="71" customFormat="1" ht="15" customHeight="1">
      <c r="A2" s="2964"/>
      <c r="B2" s="2965"/>
      <c r="C2" s="2965"/>
      <c r="D2" s="2965"/>
      <c r="E2" s="2965"/>
      <c r="F2" s="2965"/>
      <c r="G2" s="2965"/>
      <c r="H2" s="2965"/>
      <c r="I2" s="2965"/>
      <c r="J2" s="2965"/>
      <c r="K2" s="2965"/>
      <c r="L2" s="2965"/>
      <c r="M2" s="2965"/>
      <c r="N2" s="1311"/>
      <c r="O2" s="1311"/>
      <c r="P2" s="1312"/>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881" t="s">
        <v>590</v>
      </c>
      <c r="CD2" s="2882"/>
      <c r="CE2" s="2882"/>
      <c r="CF2" s="2882"/>
      <c r="CG2" s="2882"/>
      <c r="CH2" s="2882"/>
      <c r="CI2" s="2882"/>
      <c r="CJ2" s="2882"/>
      <c r="CK2" s="2882"/>
      <c r="CL2" s="2882"/>
      <c r="CM2" s="2882"/>
      <c r="CN2" s="2882"/>
      <c r="CO2" s="2882"/>
      <c r="CP2" s="2882"/>
      <c r="CQ2" s="2882"/>
      <c r="CR2" s="2882"/>
      <c r="CS2" s="2882"/>
      <c r="CT2" s="2882"/>
      <c r="CU2" s="2882"/>
      <c r="CV2" s="2882"/>
      <c r="CW2" s="2883"/>
      <c r="CX2" s="318"/>
      <c r="CY2" s="348"/>
      <c r="CZ2" s="348"/>
      <c r="DA2" s="348"/>
      <c r="DB2" s="348"/>
      <c r="DC2" s="348"/>
      <c r="DD2" s="348"/>
      <c r="DE2" s="348"/>
      <c r="DF2" s="348"/>
      <c r="DG2" s="348"/>
      <c r="DH2" s="348"/>
      <c r="DI2" s="348"/>
      <c r="DJ2" s="348"/>
      <c r="DK2" s="348"/>
      <c r="DL2" s="348"/>
      <c r="DM2" s="348"/>
      <c r="DN2" s="348"/>
      <c r="DO2" s="348"/>
      <c r="DP2" s="348"/>
      <c r="DQ2" s="348"/>
    </row>
    <row r="3" spans="1:121" ht="9.75" hidden="1" customHeight="1">
      <c r="A3" s="2966" t="s">
        <v>11</v>
      </c>
      <c r="B3" s="2967"/>
      <c r="C3" s="2967"/>
      <c r="D3" s="2967"/>
      <c r="E3" s="2967"/>
      <c r="F3" s="2968"/>
      <c r="G3" s="152"/>
      <c r="H3" s="2966" t="s">
        <v>11</v>
      </c>
      <c r="I3" s="2967"/>
      <c r="J3" s="2967"/>
      <c r="K3" s="2967"/>
      <c r="L3" s="2967"/>
      <c r="M3" s="2968"/>
      <c r="P3" s="617"/>
      <c r="CC3" s="2884"/>
      <c r="CD3" s="2885"/>
      <c r="CE3" s="2885"/>
      <c r="CF3" s="2885"/>
      <c r="CG3" s="2885"/>
      <c r="CH3" s="2885"/>
      <c r="CI3" s="2885"/>
      <c r="CJ3" s="2885"/>
      <c r="CK3" s="2885"/>
      <c r="CL3" s="2885"/>
      <c r="CM3" s="2885"/>
      <c r="CN3" s="2885"/>
      <c r="CO3" s="2885"/>
      <c r="CP3" s="2885"/>
      <c r="CQ3" s="2885"/>
      <c r="CR3" s="2885"/>
      <c r="CS3" s="2885"/>
      <c r="CT3" s="2885"/>
      <c r="CU3" s="2885"/>
      <c r="CV3" s="2885"/>
      <c r="CW3" s="2886"/>
      <c r="CX3" s="536"/>
    </row>
    <row r="4" spans="1:121" ht="15.75" customHeight="1" thickBot="1">
      <c r="A4" s="2969" t="s">
        <v>218</v>
      </c>
      <c r="B4" s="2970"/>
      <c r="C4" s="2970"/>
      <c r="D4" s="2970"/>
      <c r="E4" s="2970"/>
      <c r="F4" s="2971"/>
      <c r="G4" s="152"/>
      <c r="H4" s="2969" t="s">
        <v>219</v>
      </c>
      <c r="I4" s="2970"/>
      <c r="J4" s="2970"/>
      <c r="K4" s="2970"/>
      <c r="L4" s="2970"/>
      <c r="M4" s="2971"/>
      <c r="O4" s="2328" t="s">
        <v>585</v>
      </c>
      <c r="P4" s="2890"/>
      <c r="CC4" s="2884"/>
      <c r="CD4" s="2885"/>
      <c r="CE4" s="2885"/>
      <c r="CF4" s="2885"/>
      <c r="CG4" s="2885"/>
      <c r="CH4" s="2885"/>
      <c r="CI4" s="2885"/>
      <c r="CJ4" s="2885"/>
      <c r="CK4" s="2885"/>
      <c r="CL4" s="2885"/>
      <c r="CM4" s="2885"/>
      <c r="CN4" s="2885"/>
      <c r="CO4" s="2885"/>
      <c r="CP4" s="2885"/>
      <c r="CQ4" s="2885"/>
      <c r="CR4" s="2885"/>
      <c r="CS4" s="2885"/>
      <c r="CT4" s="2885"/>
      <c r="CU4" s="2885"/>
      <c r="CV4" s="2885"/>
      <c r="CW4" s="2886"/>
      <c r="CX4" s="536"/>
    </row>
    <row r="5" spans="1:121" ht="15.75" hidden="1" customHeight="1" thickBot="1">
      <c r="A5" s="2923" t="s">
        <v>220</v>
      </c>
      <c r="B5" s="2924"/>
      <c r="C5" s="2924"/>
      <c r="D5" s="2924"/>
      <c r="E5" s="2924"/>
      <c r="F5" s="2925"/>
      <c r="G5" s="152"/>
      <c r="H5" s="2923" t="s">
        <v>220</v>
      </c>
      <c r="I5" s="2924"/>
      <c r="J5" s="2924"/>
      <c r="K5" s="2924"/>
      <c r="L5" s="2924"/>
      <c r="M5" s="2925"/>
      <c r="P5" s="617"/>
      <c r="CC5" s="2884"/>
      <c r="CD5" s="2885"/>
      <c r="CE5" s="2885"/>
      <c r="CF5" s="2885"/>
      <c r="CG5" s="2885"/>
      <c r="CH5" s="2885"/>
      <c r="CI5" s="2885"/>
      <c r="CJ5" s="2885"/>
      <c r="CK5" s="2885"/>
      <c r="CL5" s="2885"/>
      <c r="CM5" s="2885"/>
      <c r="CN5" s="2885"/>
      <c r="CO5" s="2885"/>
      <c r="CP5" s="2885"/>
      <c r="CQ5" s="2885"/>
      <c r="CR5" s="2885"/>
      <c r="CS5" s="2885"/>
      <c r="CT5" s="2885"/>
      <c r="CU5" s="2885"/>
      <c r="CV5" s="2885"/>
      <c r="CW5" s="2886"/>
      <c r="CX5" s="536"/>
    </row>
    <row r="6" spans="1:121" ht="7.5" customHeight="1" thickBot="1">
      <c r="A6" s="2960" t="s">
        <v>221</v>
      </c>
      <c r="B6" s="2891" t="s">
        <v>222</v>
      </c>
      <c r="C6" s="2893" t="s">
        <v>223</v>
      </c>
      <c r="D6" s="2912" t="s">
        <v>221</v>
      </c>
      <c r="E6" s="2891" t="s">
        <v>222</v>
      </c>
      <c r="F6" s="2893" t="str">
        <f>+C6</f>
        <v>Durchschn. Lebenserwar-tung im Alter x</v>
      </c>
      <c r="G6" s="855"/>
      <c r="H6" s="2960" t="s">
        <v>221</v>
      </c>
      <c r="I6" s="2891" t="s">
        <v>222</v>
      </c>
      <c r="J6" s="2893" t="str">
        <f>+F6</f>
        <v>Durchschn. Lebenserwar-tung im Alter x</v>
      </c>
      <c r="K6" s="2912" t="s">
        <v>221</v>
      </c>
      <c r="L6" s="2891" t="s">
        <v>222</v>
      </c>
      <c r="M6" s="2893" t="str">
        <f>+J6</f>
        <v>Durchschn. Lebenserwar-tung im Alter x</v>
      </c>
      <c r="O6" s="2891" t="s">
        <v>222</v>
      </c>
      <c r="P6" s="2893" t="str">
        <f>+L6</f>
        <v>Überlebende im Alter x</v>
      </c>
      <c r="CC6" s="2884"/>
      <c r="CD6" s="2885"/>
      <c r="CE6" s="2885"/>
      <c r="CF6" s="2885"/>
      <c r="CG6" s="2885"/>
      <c r="CH6" s="2885"/>
      <c r="CI6" s="2885"/>
      <c r="CJ6" s="2885"/>
      <c r="CK6" s="2885"/>
      <c r="CL6" s="2885"/>
      <c r="CM6" s="2885"/>
      <c r="CN6" s="2885"/>
      <c r="CO6" s="2885"/>
      <c r="CP6" s="2885"/>
      <c r="CQ6" s="2885"/>
      <c r="CR6" s="2885"/>
      <c r="CS6" s="2885"/>
      <c r="CT6" s="2885"/>
      <c r="CU6" s="2885"/>
      <c r="CV6" s="2885"/>
      <c r="CW6" s="2886"/>
      <c r="CX6" s="536"/>
    </row>
    <row r="7" spans="1:121" s="71" customFormat="1" ht="11.25" customHeight="1" thickBot="1">
      <c r="A7" s="2961"/>
      <c r="B7" s="2892" t="s">
        <v>224</v>
      </c>
      <c r="C7" s="2894" t="s">
        <v>225</v>
      </c>
      <c r="D7" s="2913"/>
      <c r="E7" s="2892" t="s">
        <v>224</v>
      </c>
      <c r="F7" s="2894" t="s">
        <v>225</v>
      </c>
      <c r="G7" s="856"/>
      <c r="H7" s="2961"/>
      <c r="I7" s="2892" t="s">
        <v>224</v>
      </c>
      <c r="J7" s="2894" t="s">
        <v>225</v>
      </c>
      <c r="K7" s="2913"/>
      <c r="L7" s="2892" t="s">
        <v>224</v>
      </c>
      <c r="M7" s="2894" t="s">
        <v>225</v>
      </c>
      <c r="N7" s="64"/>
      <c r="O7" s="2892" t="s">
        <v>224</v>
      </c>
      <c r="P7" s="2894" t="s">
        <v>225</v>
      </c>
      <c r="W7" s="2895" t="s">
        <v>226</v>
      </c>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7"/>
      <c r="BL7" s="128"/>
      <c r="BX7" s="153"/>
      <c r="BY7" s="154"/>
      <c r="CC7" s="2884"/>
      <c r="CD7" s="2885"/>
      <c r="CE7" s="2885"/>
      <c r="CF7" s="2885"/>
      <c r="CG7" s="2885"/>
      <c r="CH7" s="2885"/>
      <c r="CI7" s="2885"/>
      <c r="CJ7" s="2885"/>
      <c r="CK7" s="2885"/>
      <c r="CL7" s="2885"/>
      <c r="CM7" s="2885"/>
      <c r="CN7" s="2885"/>
      <c r="CO7" s="2885"/>
      <c r="CP7" s="2885"/>
      <c r="CQ7" s="2885"/>
      <c r="CR7" s="2885"/>
      <c r="CS7" s="2885"/>
      <c r="CT7" s="2885"/>
      <c r="CU7" s="2885"/>
      <c r="CV7" s="2885"/>
      <c r="CW7" s="2886"/>
      <c r="CX7" s="318"/>
      <c r="CY7" s="348"/>
      <c r="CZ7" s="348"/>
      <c r="DA7" s="348"/>
      <c r="DB7" s="348"/>
      <c r="DC7" s="348"/>
      <c r="DD7" s="348"/>
      <c r="DE7" s="348"/>
      <c r="DF7" s="348"/>
      <c r="DG7" s="348"/>
      <c r="DH7" s="348"/>
      <c r="DI7" s="348"/>
      <c r="DJ7" s="348"/>
      <c r="DK7" s="348"/>
      <c r="DL7" s="348"/>
      <c r="DM7" s="348"/>
      <c r="DN7" s="348"/>
      <c r="DO7" s="348"/>
      <c r="DP7" s="348"/>
      <c r="DQ7" s="348"/>
    </row>
    <row r="8" spans="1:121" s="71" customFormat="1" ht="11.25" customHeight="1" thickBot="1">
      <c r="A8" s="2961"/>
      <c r="B8" s="2892" t="s">
        <v>227</v>
      </c>
      <c r="C8" s="2894" t="s">
        <v>228</v>
      </c>
      <c r="D8" s="2913"/>
      <c r="E8" s="2892" t="s">
        <v>227</v>
      </c>
      <c r="F8" s="2894" t="s">
        <v>228</v>
      </c>
      <c r="G8" s="856"/>
      <c r="H8" s="2961"/>
      <c r="I8" s="2892" t="s">
        <v>227</v>
      </c>
      <c r="J8" s="2894" t="s">
        <v>228</v>
      </c>
      <c r="K8" s="2913"/>
      <c r="L8" s="2892" t="s">
        <v>227</v>
      </c>
      <c r="M8" s="2894" t="s">
        <v>228</v>
      </c>
      <c r="N8" s="64"/>
      <c r="O8" s="2892" t="s">
        <v>227</v>
      </c>
      <c r="P8" s="2894" t="s">
        <v>228</v>
      </c>
      <c r="S8" s="2914" t="s">
        <v>229</v>
      </c>
      <c r="T8" s="2915"/>
      <c r="U8" s="2916"/>
      <c r="W8" s="2898"/>
      <c r="X8" s="2899"/>
      <c r="Y8" s="2899"/>
      <c r="Z8" s="2899"/>
      <c r="AA8" s="2899"/>
      <c r="AB8" s="2899"/>
      <c r="AC8" s="2899"/>
      <c r="AD8" s="2899"/>
      <c r="AE8" s="2899"/>
      <c r="AF8" s="2899"/>
      <c r="AG8" s="2899"/>
      <c r="AH8" s="2899"/>
      <c r="AI8" s="2899"/>
      <c r="AJ8" s="2899"/>
      <c r="AK8" s="2899"/>
      <c r="AL8" s="2899"/>
      <c r="AM8" s="2899"/>
      <c r="AN8" s="2899"/>
      <c r="AO8" s="2899"/>
      <c r="AP8" s="2899"/>
      <c r="AQ8" s="2899"/>
      <c r="AR8" s="2899"/>
      <c r="AS8" s="2899"/>
      <c r="AT8" s="2899"/>
      <c r="AU8" s="2899"/>
      <c r="AV8" s="2899"/>
      <c r="AW8" s="2899"/>
      <c r="AX8" s="2899"/>
      <c r="AY8" s="2899"/>
      <c r="AZ8" s="2899"/>
      <c r="BA8" s="2899"/>
      <c r="BB8" s="2899"/>
      <c r="BC8" s="2899"/>
      <c r="BD8" s="2899"/>
      <c r="BE8" s="2899"/>
      <c r="BF8" s="2899"/>
      <c r="BG8" s="2899"/>
      <c r="BH8" s="2900"/>
      <c r="BL8" s="128"/>
      <c r="BX8" s="153"/>
      <c r="BY8" s="154"/>
      <c r="CC8" s="2887"/>
      <c r="CD8" s="2888"/>
      <c r="CE8" s="2888"/>
      <c r="CF8" s="2888"/>
      <c r="CG8" s="2888"/>
      <c r="CH8" s="2888"/>
      <c r="CI8" s="2888"/>
      <c r="CJ8" s="2888"/>
      <c r="CK8" s="2888"/>
      <c r="CL8" s="2888"/>
      <c r="CM8" s="2888"/>
      <c r="CN8" s="2888"/>
      <c r="CO8" s="2888"/>
      <c r="CP8" s="2888"/>
      <c r="CQ8" s="2888"/>
      <c r="CR8" s="2888"/>
      <c r="CS8" s="2888"/>
      <c r="CT8" s="2888"/>
      <c r="CU8" s="2888"/>
      <c r="CV8" s="2888"/>
      <c r="CW8" s="2889"/>
      <c r="CX8" s="318"/>
      <c r="CY8" s="348"/>
      <c r="CZ8" s="348"/>
      <c r="DA8" s="348"/>
      <c r="DB8" s="348"/>
      <c r="DC8" s="348"/>
      <c r="DD8" s="348"/>
      <c r="DE8" s="348"/>
      <c r="DF8" s="348"/>
      <c r="DG8" s="348"/>
      <c r="DH8" s="348"/>
      <c r="DI8" s="348"/>
      <c r="DJ8" s="348"/>
      <c r="DK8" s="348"/>
      <c r="DL8" s="348"/>
      <c r="DM8" s="348"/>
      <c r="DN8" s="348"/>
      <c r="DO8" s="348"/>
      <c r="DP8" s="348"/>
      <c r="DQ8" s="348"/>
    </row>
    <row r="9" spans="1:121" ht="7.5" customHeight="1">
      <c r="A9" s="2961"/>
      <c r="B9" s="2892"/>
      <c r="C9" s="2894" t="s">
        <v>227</v>
      </c>
      <c r="D9" s="2913"/>
      <c r="E9" s="2892"/>
      <c r="F9" s="2894" t="s">
        <v>227</v>
      </c>
      <c r="G9" s="855"/>
      <c r="H9" s="2961"/>
      <c r="I9" s="2892"/>
      <c r="J9" s="2894" t="s">
        <v>227</v>
      </c>
      <c r="K9" s="2913"/>
      <c r="L9" s="2892"/>
      <c r="M9" s="2894" t="s">
        <v>227</v>
      </c>
      <c r="O9" s="2892"/>
      <c r="P9" s="2894" t="s">
        <v>227</v>
      </c>
      <c r="S9" s="2917"/>
      <c r="T9" s="2918"/>
      <c r="U9" s="2919"/>
      <c r="W9" s="2926" t="s">
        <v>230</v>
      </c>
      <c r="X9" s="2927"/>
      <c r="Y9" s="2927"/>
      <c r="Z9" s="2927"/>
      <c r="AA9" s="2927"/>
      <c r="AB9" s="2927"/>
      <c r="AC9" s="2927"/>
      <c r="AD9" s="2927"/>
      <c r="AE9" s="2927"/>
      <c r="AF9" s="2927"/>
      <c r="AG9" s="2927"/>
      <c r="AH9" s="2927"/>
      <c r="AI9" s="2927"/>
      <c r="AJ9" s="2927"/>
      <c r="AK9" s="2927"/>
      <c r="AL9" s="2927"/>
      <c r="AM9" s="2927"/>
      <c r="AN9" s="2927"/>
      <c r="AO9" s="2927"/>
      <c r="AP9" s="2927"/>
      <c r="AQ9" s="2927"/>
      <c r="AR9" s="2927"/>
      <c r="AS9" s="2927"/>
      <c r="AT9" s="2927"/>
      <c r="AU9" s="2927"/>
      <c r="AV9" s="2927"/>
      <c r="AW9" s="2927"/>
      <c r="AX9" s="2927"/>
      <c r="AY9" s="2927"/>
      <c r="AZ9" s="2927"/>
      <c r="BA9" s="2927"/>
      <c r="BB9" s="2927"/>
      <c r="BC9" s="2927"/>
      <c r="BD9" s="2927"/>
      <c r="BE9" s="2927"/>
      <c r="BF9" s="2927"/>
      <c r="BG9" s="2927"/>
      <c r="BH9" s="2928"/>
      <c r="CC9" s="2877" t="s">
        <v>597</v>
      </c>
      <c r="CD9" s="2878"/>
      <c r="CE9" s="2878"/>
      <c r="CF9" s="2878"/>
      <c r="CG9" s="2878"/>
      <c r="CH9" s="2878"/>
      <c r="CI9" s="2878"/>
      <c r="CJ9" s="2878"/>
      <c r="CK9" s="2878"/>
      <c r="CL9" s="2878"/>
      <c r="CM9" s="2878"/>
      <c r="CN9" s="2878"/>
      <c r="CO9" s="2878"/>
      <c r="CP9" s="2878"/>
      <c r="CQ9" s="2878"/>
      <c r="CR9" s="2878"/>
      <c r="CS9" s="2878"/>
      <c r="CT9" s="2878"/>
      <c r="CU9" s="2878"/>
      <c r="CV9" s="2878"/>
      <c r="CW9" s="2879"/>
      <c r="CX9" s="536"/>
    </row>
    <row r="10" spans="1:121" ht="7.5" customHeight="1">
      <c r="A10" s="2961"/>
      <c r="B10" s="2892"/>
      <c r="C10" s="2894" t="s">
        <v>231</v>
      </c>
      <c r="D10" s="2913"/>
      <c r="E10" s="2892"/>
      <c r="F10" s="2894" t="s">
        <v>231</v>
      </c>
      <c r="G10" s="855"/>
      <c r="H10" s="2961"/>
      <c r="I10" s="2892"/>
      <c r="J10" s="2894" t="s">
        <v>231</v>
      </c>
      <c r="K10" s="2913"/>
      <c r="L10" s="2892"/>
      <c r="M10" s="2894" t="s">
        <v>231</v>
      </c>
      <c r="O10" s="2892"/>
      <c r="P10" s="2894" t="s">
        <v>231</v>
      </c>
      <c r="S10" s="2920"/>
      <c r="T10" s="2921"/>
      <c r="U10" s="2922"/>
      <c r="W10" s="2929"/>
      <c r="X10" s="2930"/>
      <c r="Y10" s="2930"/>
      <c r="Z10" s="2930"/>
      <c r="AA10" s="2930"/>
      <c r="AB10" s="2930"/>
      <c r="AC10" s="2930"/>
      <c r="AD10" s="2930"/>
      <c r="AE10" s="2930"/>
      <c r="AF10" s="2930"/>
      <c r="AG10" s="2930"/>
      <c r="AH10" s="2930"/>
      <c r="AI10" s="2930"/>
      <c r="AJ10" s="2930"/>
      <c r="AK10" s="2930"/>
      <c r="AL10" s="2930"/>
      <c r="AM10" s="2930"/>
      <c r="AN10" s="2930"/>
      <c r="AO10" s="2930"/>
      <c r="AP10" s="2930"/>
      <c r="AQ10" s="2930"/>
      <c r="AR10" s="2930"/>
      <c r="AS10" s="2930"/>
      <c r="AT10" s="2930"/>
      <c r="AU10" s="2930"/>
      <c r="AV10" s="2930"/>
      <c r="AW10" s="2930"/>
      <c r="AX10" s="2930"/>
      <c r="AY10" s="2930"/>
      <c r="AZ10" s="2930"/>
      <c r="BA10" s="2930"/>
      <c r="BB10" s="2930"/>
      <c r="BC10" s="2930"/>
      <c r="BD10" s="2930"/>
      <c r="BE10" s="2930"/>
      <c r="BF10" s="2930"/>
      <c r="BG10" s="2930"/>
      <c r="BH10" s="2931"/>
      <c r="CC10" s="2877"/>
      <c r="CD10" s="2878"/>
      <c r="CE10" s="2878"/>
      <c r="CF10" s="2878"/>
      <c r="CG10" s="2878"/>
      <c r="CH10" s="2878"/>
      <c r="CI10" s="2878"/>
      <c r="CJ10" s="2878"/>
      <c r="CK10" s="2878"/>
      <c r="CL10" s="2878"/>
      <c r="CM10" s="2878"/>
      <c r="CN10" s="2878"/>
      <c r="CO10" s="2878"/>
      <c r="CP10" s="2878"/>
      <c r="CQ10" s="2878"/>
      <c r="CR10" s="2878"/>
      <c r="CS10" s="2878"/>
      <c r="CT10" s="2878"/>
      <c r="CU10" s="2878"/>
      <c r="CV10" s="2878"/>
      <c r="CW10" s="2879"/>
      <c r="CX10" s="536"/>
    </row>
    <row r="11" spans="1:121">
      <c r="A11" s="2961"/>
      <c r="B11" s="155" t="s">
        <v>232</v>
      </c>
      <c r="C11" s="156" t="s">
        <v>233</v>
      </c>
      <c r="D11" s="2913"/>
      <c r="E11" s="155" t="s">
        <v>232</v>
      </c>
      <c r="F11" s="156" t="s">
        <v>233</v>
      </c>
      <c r="G11" s="857"/>
      <c r="H11" s="2961"/>
      <c r="I11" s="155" t="s">
        <v>586</v>
      </c>
      <c r="J11" s="156" t="s">
        <v>587</v>
      </c>
      <c r="K11" s="2913"/>
      <c r="L11" s="155" t="s">
        <v>586</v>
      </c>
      <c r="M11" s="156" t="s">
        <v>587</v>
      </c>
      <c r="O11" s="155" t="s">
        <v>588</v>
      </c>
      <c r="P11" s="156" t="s">
        <v>589</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910" t="s">
        <v>591</v>
      </c>
      <c r="CD11" s="2911"/>
      <c r="CE11" s="2911"/>
      <c r="CF11" s="2911"/>
      <c r="CG11" s="2911"/>
      <c r="CH11" s="530">
        <v>67</v>
      </c>
      <c r="CI11" s="2909" t="s">
        <v>592</v>
      </c>
      <c r="CJ11" s="2909"/>
      <c r="CK11" s="2909"/>
      <c r="CL11" s="2909"/>
      <c r="CM11" s="2909"/>
      <c r="CN11" s="2909"/>
      <c r="CO11" s="530" t="s">
        <v>384</v>
      </c>
      <c r="CP11" s="2909" t="s">
        <v>594</v>
      </c>
      <c r="CQ11" s="2909"/>
      <c r="CR11" s="2909"/>
      <c r="CS11" s="2909"/>
      <c r="CT11" s="2880">
        <v>18255</v>
      </c>
      <c r="CU11" s="2880"/>
      <c r="CV11" s="2880"/>
      <c r="CW11" s="531"/>
      <c r="CX11" s="536"/>
    </row>
    <row r="12" spans="1:121" ht="14.25">
      <c r="A12" s="163"/>
      <c r="B12" s="164"/>
      <c r="C12" s="165"/>
      <c r="D12" s="166"/>
      <c r="E12" s="164"/>
      <c r="F12" s="165"/>
      <c r="G12" s="152"/>
      <c r="H12" s="163"/>
      <c r="I12" s="164"/>
      <c r="J12" s="165"/>
      <c r="K12" s="166"/>
      <c r="L12" s="164"/>
      <c r="M12" s="165"/>
      <c r="O12" s="164"/>
      <c r="P12" s="165"/>
      <c r="S12" s="167" t="s">
        <v>7</v>
      </c>
      <c r="T12" s="50">
        <v>50</v>
      </c>
      <c r="U12" s="168">
        <v>50</v>
      </c>
      <c r="W12" s="2932" t="s">
        <v>234</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3" t="s">
        <v>7</v>
      </c>
      <c r="CD12" s="520">
        <v>5.0000000000000001E-3</v>
      </c>
      <c r="CE12" s="520">
        <v>6.0000000000000001E-3</v>
      </c>
      <c r="CF12" s="520">
        <v>7.0000000000000001E-3</v>
      </c>
      <c r="CG12" s="520">
        <v>8.0000000000000002E-3</v>
      </c>
      <c r="CH12" s="520">
        <v>8.9999999999999993E-3</v>
      </c>
      <c r="CI12" s="520">
        <v>0.01</v>
      </c>
      <c r="CJ12" s="520">
        <v>1.0999999999999999E-2</v>
      </c>
      <c r="CK12" s="520">
        <v>1.2E-2</v>
      </c>
      <c r="CL12" s="520">
        <v>1.2999999999999999E-2</v>
      </c>
      <c r="CM12" s="520">
        <v>1.4E-2</v>
      </c>
      <c r="CN12" s="520">
        <v>1.4999999999999999E-2</v>
      </c>
      <c r="CO12" s="520">
        <v>1.6E-2</v>
      </c>
      <c r="CP12" s="520">
        <v>1.7000000000000001E-2</v>
      </c>
      <c r="CQ12" s="520">
        <v>1.7999999999999999E-2</v>
      </c>
      <c r="CR12" s="520">
        <v>1.9E-2</v>
      </c>
      <c r="CS12" s="520">
        <v>0.02</v>
      </c>
      <c r="CT12" s="520">
        <v>2.1000000000000001E-2</v>
      </c>
      <c r="CU12" s="520">
        <v>2.1999999999999999E-2</v>
      </c>
      <c r="CV12" s="520">
        <v>2.3E-2</v>
      </c>
      <c r="CW12" s="524">
        <v>2.4E-2</v>
      </c>
      <c r="CX12" s="536"/>
    </row>
    <row r="13" spans="1:121" thickBot="1">
      <c r="A13" s="172">
        <v>0</v>
      </c>
      <c r="B13" s="2213">
        <v>100000</v>
      </c>
      <c r="C13" s="173">
        <v>78.17</v>
      </c>
      <c r="D13" s="174"/>
      <c r="E13" s="2213"/>
      <c r="F13" s="173"/>
      <c r="G13" s="152"/>
      <c r="H13" s="172">
        <v>0</v>
      </c>
      <c r="I13" s="2213">
        <v>100000</v>
      </c>
      <c r="J13" s="173">
        <v>82.99</v>
      </c>
      <c r="K13" s="174"/>
      <c r="L13" s="2213"/>
      <c r="M13" s="173"/>
      <c r="O13" s="2213">
        <f>+(I13+B13)/2</f>
        <v>100000</v>
      </c>
      <c r="P13" s="173">
        <f>+(J13+C13)/2</f>
        <v>80.58</v>
      </c>
      <c r="S13" s="175" t="s">
        <v>235</v>
      </c>
      <c r="T13" s="176">
        <f>VLOOKUP(T12,Sterbetafel,2)</f>
        <v>96093</v>
      </c>
      <c r="U13" s="177">
        <f>VLOOKUP(U12,Sterbetafel,9)</f>
        <v>97748</v>
      </c>
      <c r="W13" s="2932"/>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3">
        <v>30</v>
      </c>
      <c r="CD13" s="521">
        <f t="shared" ref="CD13:CM22" si="4">(((1+CD$12)^$CA$15-1)/CD$12)*$CA$18*(1+CD$12)^($CH$11-$CC13)*12</f>
        <v>265.9232392165593</v>
      </c>
      <c r="CE13" s="521">
        <f t="shared" si="4"/>
        <v>278.2266779897472</v>
      </c>
      <c r="CF13" s="521">
        <f t="shared" si="4"/>
        <v>291.09372978359448</v>
      </c>
      <c r="CG13" s="521">
        <f t="shared" si="4"/>
        <v>304.54995309756288</v>
      </c>
      <c r="CH13" s="521">
        <f t="shared" si="4"/>
        <v>318.6220532952558</v>
      </c>
      <c r="CI13" s="521">
        <f t="shared" si="4"/>
        <v>333.3379334960465</v>
      </c>
      <c r="CJ13" s="521">
        <f t="shared" si="4"/>
        <v>348.72674769800022</v>
      </c>
      <c r="CK13" s="521">
        <f t="shared" si="4"/>
        <v>364.81895622905074</v>
      </c>
      <c r="CL13" s="521">
        <f t="shared" si="4"/>
        <v>381.64638362680489</v>
      </c>
      <c r="CM13" s="521">
        <f t="shared" si="4"/>
        <v>399.24227905230873</v>
      </c>
      <c r="CN13" s="521">
        <f t="shared" ref="CN13:CW22" si="5">(((1+CN$12)^$CA$15-1)/CN$12)*$CA$18*(1+CN$12)^($CH$11-$CC13)*12</f>
        <v>417.641379346966</v>
      </c>
      <c r="CO13" s="521">
        <f t="shared" si="5"/>
        <v>436.87997484707296</v>
      </c>
      <c r="CP13" s="521">
        <f t="shared" si="5"/>
        <v>456.99597807465352</v>
      </c>
      <c r="CQ13" s="521">
        <f t="shared" si="5"/>
        <v>478.02899542904026</v>
      </c>
      <c r="CR13" s="521">
        <f t="shared" si="5"/>
        <v>500.02040200819783</v>
      </c>
      <c r="CS13" s="521">
        <f t="shared" si="5"/>
        <v>523.01341969500049</v>
      </c>
      <c r="CT13" s="521">
        <f t="shared" si="5"/>
        <v>547.05319864871979</v>
      </c>
      <c r="CU13" s="521">
        <f t="shared" si="5"/>
        <v>572.18690234859946</v>
      </c>
      <c r="CV13" s="521">
        <f t="shared" si="5"/>
        <v>598.46379634197001</v>
      </c>
      <c r="CW13" s="525">
        <f t="shared" si="5"/>
        <v>625.93534085650276</v>
      </c>
      <c r="CX13" s="536"/>
      <c r="CY13" s="518"/>
      <c r="CZ13" s="518"/>
      <c r="DA13" s="518"/>
      <c r="DB13" s="518"/>
      <c r="DC13" s="518"/>
      <c r="DD13" s="518"/>
      <c r="DE13" s="518"/>
      <c r="DF13" s="518"/>
      <c r="DG13" s="518"/>
      <c r="DH13" s="518"/>
      <c r="DI13" s="518"/>
      <c r="DJ13" s="518"/>
      <c r="DK13" s="518"/>
      <c r="DL13" s="517">
        <v>3.9E-2</v>
      </c>
      <c r="DM13" s="517">
        <v>0.04</v>
      </c>
      <c r="DN13" s="517">
        <v>4.1000000000000002E-2</v>
      </c>
      <c r="DO13" s="517">
        <v>4.2000000000000003E-2</v>
      </c>
      <c r="DP13" s="517">
        <v>4.2999999999999997E-2</v>
      </c>
      <c r="DQ13" s="517">
        <v>4.3999999999999997E-2</v>
      </c>
    </row>
    <row r="14" spans="1:121" ht="14.25">
      <c r="A14" s="163">
        <v>1</v>
      </c>
      <c r="B14" s="2214">
        <v>99675</v>
      </c>
      <c r="C14" s="179">
        <v>77.42</v>
      </c>
      <c r="D14" s="163">
        <v>51</v>
      </c>
      <c r="E14" s="2214">
        <f>+B64</f>
        <v>95771</v>
      </c>
      <c r="F14" s="179">
        <f>+C64</f>
        <v>29.03</v>
      </c>
      <c r="G14" s="152"/>
      <c r="H14" s="163">
        <v>1</v>
      </c>
      <c r="I14" s="2214">
        <v>99711</v>
      </c>
      <c r="J14" s="179">
        <v>82.23</v>
      </c>
      <c r="K14" s="163">
        <v>51</v>
      </c>
      <c r="L14" s="2214">
        <f>+I64</f>
        <v>97568</v>
      </c>
      <c r="M14" s="179">
        <f>+J64</f>
        <v>33.22</v>
      </c>
      <c r="O14" s="2214">
        <f t="shared" ref="O14:O77" si="6">+(I14+B14)/2</f>
        <v>99693</v>
      </c>
      <c r="P14" s="179">
        <f t="shared" ref="P14:P77" si="7">+(J14+C14)/2</f>
        <v>79.825000000000003</v>
      </c>
      <c r="S14" s="167" t="s">
        <v>174</v>
      </c>
      <c r="T14" s="50">
        <v>67</v>
      </c>
      <c r="U14" s="168">
        <v>67</v>
      </c>
      <c r="W14" s="2932"/>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907" t="s">
        <v>593</v>
      </c>
      <c r="CA14" s="2908"/>
      <c r="CC14" s="523">
        <v>31</v>
      </c>
      <c r="CD14" s="522">
        <f t="shared" si="4"/>
        <v>264.60023802642723</v>
      </c>
      <c r="CE14" s="522">
        <f t="shared" si="4"/>
        <v>276.56727434368509</v>
      </c>
      <c r="CF14" s="522">
        <f t="shared" si="4"/>
        <v>289.07023811677698</v>
      </c>
      <c r="CG14" s="522">
        <f t="shared" si="4"/>
        <v>302.13288997774089</v>
      </c>
      <c r="CH14" s="522">
        <f t="shared" si="4"/>
        <v>315.78003299827139</v>
      </c>
      <c r="CI14" s="522">
        <f t="shared" si="4"/>
        <v>330.03755791687763</v>
      </c>
      <c r="CJ14" s="522">
        <f t="shared" si="4"/>
        <v>344.93249030464909</v>
      </c>
      <c r="CK14" s="522">
        <f t="shared" si="4"/>
        <v>360.49303975202645</v>
      </c>
      <c r="CL14" s="522">
        <f t="shared" si="4"/>
        <v>376.74865116170281</v>
      </c>
      <c r="CM14" s="522">
        <f t="shared" si="4"/>
        <v>393.73005823699077</v>
      </c>
      <c r="CN14" s="522">
        <f t="shared" si="5"/>
        <v>411.46933925809469</v>
      </c>
      <c r="CO14" s="522">
        <f t="shared" si="5"/>
        <v>429.99997524318195</v>
      </c>
      <c r="CP14" s="522">
        <f t="shared" si="5"/>
        <v>449.35691059454626</v>
      </c>
      <c r="CQ14" s="522">
        <f t="shared" si="5"/>
        <v>469.57661633501016</v>
      </c>
      <c r="CR14" s="522">
        <f t="shared" si="5"/>
        <v>490.69715604337398</v>
      </c>
      <c r="CS14" s="522">
        <f t="shared" si="5"/>
        <v>512.75825460294163</v>
      </c>
      <c r="CT14" s="522">
        <f t="shared" si="5"/>
        <v>535.80136988121433</v>
      </c>
      <c r="CU14" s="522">
        <f t="shared" si="5"/>
        <v>559.8697674643829</v>
      </c>
      <c r="CV14" s="522">
        <f t="shared" si="5"/>
        <v>585.00859857475075</v>
      </c>
      <c r="CW14" s="526">
        <f t="shared" si="5"/>
        <v>611.26498130517848</v>
      </c>
      <c r="CX14" s="537"/>
    </row>
    <row r="15" spans="1:121" ht="14.25">
      <c r="A15" s="172">
        <v>2</v>
      </c>
      <c r="B15" s="2213">
        <v>99649</v>
      </c>
      <c r="C15" s="173">
        <v>76.44</v>
      </c>
      <c r="D15" s="172">
        <v>52</v>
      </c>
      <c r="E15" s="2213">
        <f t="shared" ref="E15:F63" si="10">+B65</f>
        <v>95416</v>
      </c>
      <c r="F15" s="173">
        <f t="shared" si="10"/>
        <v>28.14</v>
      </c>
      <c r="G15" s="152"/>
      <c r="H15" s="172">
        <v>2</v>
      </c>
      <c r="I15" s="2213">
        <v>99690</v>
      </c>
      <c r="J15" s="173">
        <v>81.25</v>
      </c>
      <c r="K15" s="172">
        <v>52</v>
      </c>
      <c r="L15" s="2213">
        <f t="shared" ref="L15:M63" si="11">+I65</f>
        <v>97369</v>
      </c>
      <c r="M15" s="173">
        <f t="shared" si="11"/>
        <v>32.28</v>
      </c>
      <c r="O15" s="2213">
        <f t="shared" si="6"/>
        <v>99669.5</v>
      </c>
      <c r="P15" s="173">
        <f t="shared" si="7"/>
        <v>78.844999999999999</v>
      </c>
      <c r="S15" s="157" t="s">
        <v>236</v>
      </c>
      <c r="T15" s="181">
        <f>IF(T12&gt;S12,T14+(T12-S12),T14)</f>
        <v>67</v>
      </c>
      <c r="U15" s="181">
        <f>IF(U12&gt;T12,U14+(U12-T12),U14)</f>
        <v>67</v>
      </c>
      <c r="W15" s="2932"/>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2" t="s">
        <v>595</v>
      </c>
      <c r="CA15" s="533">
        <f>IF(CT11&lt;&gt;"",CA16,CA17)</f>
        <v>17.670000000000002</v>
      </c>
      <c r="CC15" s="523">
        <v>32</v>
      </c>
      <c r="CD15" s="521">
        <f t="shared" si="4"/>
        <v>263.28381893176851</v>
      </c>
      <c r="CE15" s="521">
        <f t="shared" si="4"/>
        <v>274.9177677372615</v>
      </c>
      <c r="CF15" s="521">
        <f t="shared" si="4"/>
        <v>287.06081242976859</v>
      </c>
      <c r="CG15" s="521">
        <f t="shared" si="4"/>
        <v>299.73500989855251</v>
      </c>
      <c r="CH15" s="521">
        <f t="shared" si="4"/>
        <v>312.96336273366836</v>
      </c>
      <c r="CI15" s="521">
        <f t="shared" si="4"/>
        <v>326.76985932364124</v>
      </c>
      <c r="CJ15" s="521">
        <f t="shared" si="4"/>
        <v>341.17951563268957</v>
      </c>
      <c r="CK15" s="521">
        <f t="shared" si="4"/>
        <v>356.21841872729885</v>
      </c>
      <c r="CL15" s="521">
        <f t="shared" si="4"/>
        <v>371.91377212408963</v>
      </c>
      <c r="CM15" s="521">
        <f t="shared" si="4"/>
        <v>388.29394303450761</v>
      </c>
      <c r="CN15" s="521">
        <f t="shared" si="5"/>
        <v>405.38851158432976</v>
      </c>
      <c r="CO15" s="521">
        <f t="shared" si="5"/>
        <v>423.22832208974603</v>
      </c>
      <c r="CP15" s="521">
        <f t="shared" si="5"/>
        <v>441.84553647448013</v>
      </c>
      <c r="CQ15" s="521">
        <f t="shared" si="5"/>
        <v>461.27368991651286</v>
      </c>
      <c r="CR15" s="521">
        <f t="shared" si="5"/>
        <v>481.54774881587235</v>
      </c>
      <c r="CS15" s="521">
        <f t="shared" si="5"/>
        <v>502.70417117935455</v>
      </c>
      <c r="CT15" s="521">
        <f t="shared" si="5"/>
        <v>524.78096952126782</v>
      </c>
      <c r="CU15" s="521">
        <f t="shared" si="5"/>
        <v>547.81777638393635</v>
      </c>
      <c r="CV15" s="521">
        <f t="shared" si="5"/>
        <v>571.85591258528916</v>
      </c>
      <c r="CW15" s="525">
        <f t="shared" si="5"/>
        <v>596.93845830583837</v>
      </c>
      <c r="CX15" s="537"/>
    </row>
    <row r="16" spans="1:121" ht="14.25">
      <c r="A16" s="163">
        <v>3</v>
      </c>
      <c r="B16" s="2214">
        <v>99631</v>
      </c>
      <c r="C16" s="179">
        <v>75.45</v>
      </c>
      <c r="D16" s="163">
        <v>53</v>
      </c>
      <c r="E16" s="2214">
        <f t="shared" si="10"/>
        <v>95023</v>
      </c>
      <c r="F16" s="179">
        <f t="shared" si="10"/>
        <v>27.25</v>
      </c>
      <c r="G16" s="152"/>
      <c r="H16" s="163">
        <v>3</v>
      </c>
      <c r="I16" s="2214">
        <v>99675</v>
      </c>
      <c r="J16" s="179">
        <v>80.260000000000005</v>
      </c>
      <c r="K16" s="163">
        <v>53</v>
      </c>
      <c r="L16" s="2214">
        <f t="shared" si="11"/>
        <v>97149</v>
      </c>
      <c r="M16" s="179">
        <f t="shared" si="11"/>
        <v>31.35</v>
      </c>
      <c r="O16" s="2214">
        <f t="shared" si="6"/>
        <v>99653</v>
      </c>
      <c r="P16" s="179">
        <f t="shared" si="7"/>
        <v>77.855000000000004</v>
      </c>
      <c r="S16" s="175" t="s">
        <v>237</v>
      </c>
      <c r="T16" s="176">
        <f>VLOOKUP(T15,Sterbetafel,2)</f>
        <v>82623</v>
      </c>
      <c r="U16" s="177">
        <f>VLOOKUP(U15,Sterbetafel,9)</f>
        <v>90177</v>
      </c>
      <c r="W16" s="2932"/>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2" t="s">
        <v>596</v>
      </c>
      <c r="CA16" s="533">
        <f>VLOOKUP(CH11,Lebenserwartung_M_V2,YEAR(CT11)-1900+2)</f>
        <v>17.670000000000002</v>
      </c>
      <c r="CC16" s="523">
        <v>33</v>
      </c>
      <c r="CD16" s="522">
        <f t="shared" si="4"/>
        <v>261.97394918583933</v>
      </c>
      <c r="CE16" s="522">
        <f t="shared" si="4"/>
        <v>273.27809914240709</v>
      </c>
      <c r="CF16" s="522">
        <f t="shared" si="4"/>
        <v>285.06535494515265</v>
      </c>
      <c r="CG16" s="522">
        <f t="shared" si="4"/>
        <v>297.35616061364328</v>
      </c>
      <c r="CH16" s="522">
        <f t="shared" si="4"/>
        <v>310.17181638619269</v>
      </c>
      <c r="CI16" s="522">
        <f t="shared" si="4"/>
        <v>323.53451418182306</v>
      </c>
      <c r="CJ16" s="522">
        <f t="shared" si="4"/>
        <v>337.46737451304608</v>
      </c>
      <c r="CK16" s="522">
        <f t="shared" si="4"/>
        <v>351.99448490839808</v>
      </c>
      <c r="CL16" s="522">
        <f t="shared" si="4"/>
        <v>367.14093990532047</v>
      </c>
      <c r="CM16" s="522">
        <f t="shared" si="4"/>
        <v>382.93288267702923</v>
      </c>
      <c r="CN16" s="522">
        <f t="shared" si="5"/>
        <v>399.39754835894558</v>
      </c>
      <c r="CO16" s="522">
        <f t="shared" si="5"/>
        <v>416.56330914345079</v>
      </c>
      <c r="CP16" s="522">
        <f t="shared" si="5"/>
        <v>434.45972121384489</v>
      </c>
      <c r="CQ16" s="522">
        <f t="shared" si="5"/>
        <v>453.11757359185935</v>
      </c>
      <c r="CR16" s="522">
        <f t="shared" si="5"/>
        <v>472.56893897534087</v>
      </c>
      <c r="CS16" s="522">
        <f t="shared" si="5"/>
        <v>492.84722664642607</v>
      </c>
      <c r="CT16" s="522">
        <f t="shared" si="5"/>
        <v>513.98723753307331</v>
      </c>
      <c r="CU16" s="522">
        <f t="shared" si="5"/>
        <v>536.02522151070082</v>
      </c>
      <c r="CV16" s="522">
        <f t="shared" si="5"/>
        <v>558.99893703351836</v>
      </c>
      <c r="CW16" s="526">
        <f t="shared" si="5"/>
        <v>582.9477131892952</v>
      </c>
      <c r="CX16" s="537"/>
    </row>
    <row r="17" spans="1:102" ht="14.25">
      <c r="A17" s="172">
        <v>4</v>
      </c>
      <c r="B17" s="2213">
        <v>99617</v>
      </c>
      <c r="C17" s="173">
        <v>74.47</v>
      </c>
      <c r="D17" s="172">
        <v>54</v>
      </c>
      <c r="E17" s="2213">
        <f t="shared" si="10"/>
        <v>94589</v>
      </c>
      <c r="F17" s="173">
        <f t="shared" si="10"/>
        <v>26.37</v>
      </c>
      <c r="G17" s="152"/>
      <c r="H17" s="172">
        <v>4</v>
      </c>
      <c r="I17" s="2213">
        <v>99663</v>
      </c>
      <c r="J17" s="173">
        <v>79.27</v>
      </c>
      <c r="K17" s="172">
        <v>54</v>
      </c>
      <c r="L17" s="2213">
        <f t="shared" si="11"/>
        <v>96906</v>
      </c>
      <c r="M17" s="173">
        <f t="shared" si="11"/>
        <v>30.43</v>
      </c>
      <c r="O17" s="2213">
        <f t="shared" si="6"/>
        <v>99640</v>
      </c>
      <c r="P17" s="173">
        <f t="shared" si="7"/>
        <v>76.87</v>
      </c>
      <c r="S17" s="157" t="s">
        <v>238</v>
      </c>
      <c r="T17" s="180">
        <f>+T16/T13</f>
        <v>0.85982329618182385</v>
      </c>
      <c r="U17" s="181">
        <f>+U16/U13</f>
        <v>0.92254572983590455</v>
      </c>
      <c r="W17" s="2932"/>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2" t="s">
        <v>595</v>
      </c>
      <c r="CA17" s="533">
        <f>VLOOKUP($CH$11,Sterbetafel,IF(CO11="m",3,IF(CO11="w",10,IF(CO11="d",16))))</f>
        <v>17.594999999999999</v>
      </c>
      <c r="CC17" s="523">
        <v>34</v>
      </c>
      <c r="CD17" s="521">
        <f t="shared" si="4"/>
        <v>260.6705962048153</v>
      </c>
      <c r="CE17" s="521">
        <f t="shared" si="4"/>
        <v>271.64820988310845</v>
      </c>
      <c r="CF17" s="521">
        <f t="shared" si="4"/>
        <v>283.08376856519624</v>
      </c>
      <c r="CG17" s="521">
        <f t="shared" si="4"/>
        <v>294.99619108496358</v>
      </c>
      <c r="CH17" s="521">
        <f t="shared" si="4"/>
        <v>307.40516985747547</v>
      </c>
      <c r="CI17" s="521">
        <f t="shared" si="4"/>
        <v>320.33120216022087</v>
      </c>
      <c r="CJ17" s="521">
        <f t="shared" si="4"/>
        <v>333.79562266374489</v>
      </c>
      <c r="CK17" s="521">
        <f t="shared" si="4"/>
        <v>347.82063726126296</v>
      </c>
      <c r="CL17" s="521">
        <f t="shared" si="4"/>
        <v>362.42935824809524</v>
      </c>
      <c r="CM17" s="521">
        <f t="shared" si="4"/>
        <v>377.64584090436807</v>
      </c>
      <c r="CN17" s="521">
        <f t="shared" si="5"/>
        <v>393.49512153590706</v>
      </c>
      <c r="CO17" s="521">
        <f t="shared" si="5"/>
        <v>410.00325703095552</v>
      </c>
      <c r="CP17" s="521">
        <f t="shared" si="5"/>
        <v>427.1973659919812</v>
      </c>
      <c r="CQ17" s="521">
        <f t="shared" si="5"/>
        <v>445.10567150477345</v>
      </c>
      <c r="CR17" s="521">
        <f t="shared" si="5"/>
        <v>463.75754560877419</v>
      </c>
      <c r="CS17" s="521">
        <f t="shared" si="5"/>
        <v>483.18355553571183</v>
      </c>
      <c r="CT17" s="521">
        <f t="shared" si="5"/>
        <v>503.41551178557631</v>
      </c>
      <c r="CU17" s="521">
        <f t="shared" si="5"/>
        <v>524.48651811223192</v>
      </c>
      <c r="CV17" s="521">
        <f t="shared" si="5"/>
        <v>546.4310234931753</v>
      </c>
      <c r="CW17" s="525">
        <f t="shared" si="5"/>
        <v>569.28487616142115</v>
      </c>
      <c r="CX17" s="537"/>
    </row>
    <row r="18" spans="1:102" ht="15.75" thickBot="1">
      <c r="A18" s="163">
        <v>5</v>
      </c>
      <c r="B18" s="2214">
        <v>99606</v>
      </c>
      <c r="C18" s="179">
        <v>73.47</v>
      </c>
      <c r="D18" s="163">
        <v>55</v>
      </c>
      <c r="E18" s="2214">
        <f t="shared" si="10"/>
        <v>94108</v>
      </c>
      <c r="F18" s="179">
        <f t="shared" si="10"/>
        <v>25.51</v>
      </c>
      <c r="G18" s="152"/>
      <c r="H18" s="163">
        <v>5</v>
      </c>
      <c r="I18" s="2214">
        <v>99653</v>
      </c>
      <c r="J18" s="179">
        <v>78.28</v>
      </c>
      <c r="K18" s="163">
        <v>55</v>
      </c>
      <c r="L18" s="2214">
        <f t="shared" si="11"/>
        <v>96638</v>
      </c>
      <c r="M18" s="179">
        <f t="shared" si="11"/>
        <v>29.51</v>
      </c>
      <c r="O18" s="2214">
        <f t="shared" si="6"/>
        <v>99629.5</v>
      </c>
      <c r="P18" s="179">
        <f t="shared" si="7"/>
        <v>75.875</v>
      </c>
      <c r="S18" s="157" t="s">
        <v>239</v>
      </c>
      <c r="T18" s="2934">
        <f>+T17*U17</f>
        <v>0.79322631030597379</v>
      </c>
      <c r="U18" s="2935"/>
      <c r="W18" s="2932"/>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4" t="s">
        <v>598</v>
      </c>
      <c r="CA18" s="535">
        <v>1</v>
      </c>
      <c r="CC18" s="523">
        <v>35</v>
      </c>
      <c r="CD18" s="522">
        <f t="shared" si="4"/>
        <v>259.37372756698039</v>
      </c>
      <c r="CE18" s="522">
        <f t="shared" si="4"/>
        <v>270.02804163330859</v>
      </c>
      <c r="CF18" s="522">
        <f t="shared" si="4"/>
        <v>281.11595686712644</v>
      </c>
      <c r="CG18" s="522">
        <f t="shared" si="4"/>
        <v>292.65495147317819</v>
      </c>
      <c r="CH18" s="522">
        <f t="shared" si="4"/>
        <v>304.66320104804305</v>
      </c>
      <c r="CI18" s="522">
        <f t="shared" si="4"/>
        <v>317.15960609922854</v>
      </c>
      <c r="CJ18" s="522">
        <f t="shared" si="4"/>
        <v>330.16382063674075</v>
      </c>
      <c r="CK18" s="522">
        <f t="shared" si="4"/>
        <v>343.69628187871831</v>
      </c>
      <c r="CL18" s="522">
        <f t="shared" si="4"/>
        <v>357.77824111361826</v>
      </c>
      <c r="CM18" s="522">
        <f t="shared" si="4"/>
        <v>372.43179576367652</v>
      </c>
      <c r="CN18" s="522">
        <f t="shared" si="5"/>
        <v>387.679922695475</v>
      </c>
      <c r="CO18" s="522">
        <f t="shared" si="5"/>
        <v>403.54651282574366</v>
      </c>
      <c r="CP18" s="522">
        <f t="shared" si="5"/>
        <v>420.05640707176133</v>
      </c>
      <c r="CQ18" s="522">
        <f t="shared" si="5"/>
        <v>437.23543369820572</v>
      </c>
      <c r="CR18" s="522">
        <f t="shared" si="5"/>
        <v>455.11044711361558</v>
      </c>
      <c r="CS18" s="522">
        <f t="shared" si="5"/>
        <v>473.70936817226652</v>
      </c>
      <c r="CT18" s="522">
        <f t="shared" si="5"/>
        <v>493.06122603876236</v>
      </c>
      <c r="CU18" s="522">
        <f t="shared" si="5"/>
        <v>513.19620167537357</v>
      </c>
      <c r="CV18" s="522">
        <f t="shared" si="5"/>
        <v>534.14567301385659</v>
      </c>
      <c r="CW18" s="526">
        <f t="shared" si="5"/>
        <v>555.94226187638787</v>
      </c>
      <c r="CX18" s="537"/>
    </row>
    <row r="19" spans="1:102" ht="14.25">
      <c r="A19" s="172">
        <v>6</v>
      </c>
      <c r="B19" s="2213">
        <v>99595</v>
      </c>
      <c r="C19" s="173">
        <v>72.48</v>
      </c>
      <c r="D19" s="172">
        <v>56</v>
      </c>
      <c r="E19" s="2213">
        <f t="shared" si="10"/>
        <v>93576</v>
      </c>
      <c r="F19" s="173">
        <f t="shared" si="10"/>
        <v>24.65</v>
      </c>
      <c r="G19" s="152"/>
      <c r="H19" s="172">
        <v>6</v>
      </c>
      <c r="I19" s="2213">
        <v>99645</v>
      </c>
      <c r="J19" s="173">
        <v>77.290000000000006</v>
      </c>
      <c r="K19" s="172">
        <v>56</v>
      </c>
      <c r="L19" s="2213">
        <f t="shared" si="11"/>
        <v>96342</v>
      </c>
      <c r="M19" s="173">
        <f t="shared" si="11"/>
        <v>28.6</v>
      </c>
      <c r="O19" s="2213">
        <f t="shared" si="6"/>
        <v>99620</v>
      </c>
      <c r="P19" s="173">
        <f t="shared" si="7"/>
        <v>74.885000000000005</v>
      </c>
      <c r="S19" s="182" t="s">
        <v>240</v>
      </c>
      <c r="T19" s="183">
        <f>VLOOKUP(T15,Sterbetafel,3)</f>
        <v>16.07</v>
      </c>
      <c r="U19" s="184">
        <f>VLOOKUP(U15,Sterbetafel,10)</f>
        <v>19.12</v>
      </c>
      <c r="W19" s="2932"/>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3">
        <v>36</v>
      </c>
      <c r="CD19" s="521">
        <f t="shared" si="4"/>
        <v>258.08331101192084</v>
      </c>
      <c r="CE19" s="521">
        <f t="shared" si="4"/>
        <v>268.41753641481966</v>
      </c>
      <c r="CF19" s="521">
        <f t="shared" si="4"/>
        <v>279.16182409843736</v>
      </c>
      <c r="CG19" s="521">
        <f t="shared" si="4"/>
        <v>290.33229312815297</v>
      </c>
      <c r="CH19" s="521">
        <f t="shared" si="4"/>
        <v>301.94568983948773</v>
      </c>
      <c r="CI19" s="521">
        <f t="shared" si="4"/>
        <v>314.01941197943415</v>
      </c>
      <c r="CJ19" s="521">
        <f t="shared" si="4"/>
        <v>326.57153376532222</v>
      </c>
      <c r="CK19" s="521">
        <f t="shared" si="4"/>
        <v>339.62083189596683</v>
      </c>
      <c r="CL19" s="521">
        <f t="shared" si="4"/>
        <v>353.18681255046226</v>
      </c>
      <c r="CM19" s="521">
        <f t="shared" si="4"/>
        <v>367.28973941190975</v>
      </c>
      <c r="CN19" s="521">
        <f t="shared" si="5"/>
        <v>381.95066275416264</v>
      </c>
      <c r="CO19" s="521">
        <f t="shared" si="5"/>
        <v>397.1914496316374</v>
      </c>
      <c r="CP19" s="521">
        <f t="shared" si="5"/>
        <v>413.03481521313802</v>
      </c>
      <c r="CQ19" s="521">
        <f t="shared" si="5"/>
        <v>429.50435530275615</v>
      </c>
      <c r="CR19" s="521">
        <f t="shared" si="5"/>
        <v>446.62458009187003</v>
      </c>
      <c r="CS19" s="521">
        <f t="shared" si="5"/>
        <v>464.42094918849648</v>
      </c>
      <c r="CT19" s="521">
        <f t="shared" si="5"/>
        <v>482.91990797136367</v>
      </c>
      <c r="CU19" s="521">
        <f t="shared" si="5"/>
        <v>502.14892531836955</v>
      </c>
      <c r="CV19" s="521">
        <f t="shared" si="5"/>
        <v>522.13653276036814</v>
      </c>
      <c r="CW19" s="525">
        <f t="shared" si="5"/>
        <v>542.91236511366003</v>
      </c>
      <c r="CX19" s="537"/>
    </row>
    <row r="20" spans="1:102" ht="14.25">
      <c r="A20" s="163">
        <v>7</v>
      </c>
      <c r="B20" s="2214">
        <v>99586</v>
      </c>
      <c r="C20" s="179">
        <v>71.489999999999995</v>
      </c>
      <c r="D20" s="163">
        <v>57</v>
      </c>
      <c r="E20" s="2214">
        <f t="shared" si="10"/>
        <v>92985</v>
      </c>
      <c r="F20" s="179">
        <f t="shared" si="10"/>
        <v>23.8</v>
      </c>
      <c r="G20" s="152"/>
      <c r="H20" s="163">
        <v>7</v>
      </c>
      <c r="I20" s="2214">
        <v>99638</v>
      </c>
      <c r="J20" s="179">
        <v>76.290000000000006</v>
      </c>
      <c r="K20" s="163">
        <v>57</v>
      </c>
      <c r="L20" s="2214">
        <f t="shared" si="11"/>
        <v>96017</v>
      </c>
      <c r="M20" s="179">
        <f t="shared" si="11"/>
        <v>27.7</v>
      </c>
      <c r="O20" s="2214">
        <f t="shared" si="6"/>
        <v>99612</v>
      </c>
      <c r="P20" s="179">
        <f t="shared" si="7"/>
        <v>73.89</v>
      </c>
      <c r="S20" s="157" t="s">
        <v>241</v>
      </c>
      <c r="T20" s="2936">
        <f>IF(T19&gt;U19,U19,T19)</f>
        <v>16.07</v>
      </c>
      <c r="U20" s="2937"/>
      <c r="W20" s="2932"/>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3">
        <v>37</v>
      </c>
      <c r="CD20" s="522">
        <f t="shared" si="4"/>
        <v>256.79931443972231</v>
      </c>
      <c r="CE20" s="522">
        <f t="shared" si="4"/>
        <v>266.81663659524821</v>
      </c>
      <c r="CF20" s="522">
        <f t="shared" si="4"/>
        <v>277.2212751722318</v>
      </c>
      <c r="CG20" s="522">
        <f t="shared" si="4"/>
        <v>288.02806857951674</v>
      </c>
      <c r="CH20" s="522">
        <f t="shared" si="4"/>
        <v>299.25241807679663</v>
      </c>
      <c r="CI20" s="522">
        <f t="shared" si="4"/>
        <v>310.91030889052894</v>
      </c>
      <c r="CJ20" s="522">
        <f t="shared" si="4"/>
        <v>323.0183321120893</v>
      </c>
      <c r="CK20" s="522">
        <f t="shared" si="4"/>
        <v>335.59370740708175</v>
      </c>
      <c r="CL20" s="522">
        <f t="shared" si="4"/>
        <v>348.6543065651158</v>
      </c>
      <c r="CM20" s="522">
        <f t="shared" si="4"/>
        <v>362.21867792101557</v>
      </c>
      <c r="CN20" s="522">
        <f t="shared" si="5"/>
        <v>376.30607167897796</v>
      </c>
      <c r="CO20" s="522">
        <f t="shared" si="5"/>
        <v>390.93646617287152</v>
      </c>
      <c r="CP20" s="522">
        <f t="shared" si="5"/>
        <v>406.13059509649759</v>
      </c>
      <c r="CQ20" s="522">
        <f t="shared" si="5"/>
        <v>421.90997573944605</v>
      </c>
      <c r="CR20" s="522">
        <f t="shared" si="5"/>
        <v>438.2969382648381</v>
      </c>
      <c r="CS20" s="522">
        <f t="shared" si="5"/>
        <v>455.31465606715346</v>
      </c>
      <c r="CT20" s="522">
        <f t="shared" si="5"/>
        <v>472.98717724913206</v>
      </c>
      <c r="CU20" s="522">
        <f t="shared" si="5"/>
        <v>491.33945725867852</v>
      </c>
      <c r="CV20" s="522">
        <f t="shared" si="5"/>
        <v>510.39739272763279</v>
      </c>
      <c r="CW20" s="526">
        <f t="shared" si="5"/>
        <v>530.18785655630859</v>
      </c>
      <c r="CX20" s="537"/>
    </row>
    <row r="21" spans="1:102" ht="15.75" thickBot="1">
      <c r="A21" s="172">
        <v>8</v>
      </c>
      <c r="B21" s="2213">
        <v>99577</v>
      </c>
      <c r="C21" s="173">
        <v>70.489999999999995</v>
      </c>
      <c r="D21" s="172">
        <v>58</v>
      </c>
      <c r="E21" s="2213">
        <f t="shared" si="10"/>
        <v>92331</v>
      </c>
      <c r="F21" s="173">
        <f t="shared" si="10"/>
        <v>22.97</v>
      </c>
      <c r="G21" s="152"/>
      <c r="H21" s="172">
        <v>8</v>
      </c>
      <c r="I21" s="2213">
        <v>99631</v>
      </c>
      <c r="J21" s="173">
        <v>75.3</v>
      </c>
      <c r="K21" s="172">
        <v>58</v>
      </c>
      <c r="L21" s="2213">
        <f t="shared" si="11"/>
        <v>95657</v>
      </c>
      <c r="M21" s="173">
        <f t="shared" si="11"/>
        <v>26.8</v>
      </c>
      <c r="O21" s="2213">
        <f t="shared" si="6"/>
        <v>99604</v>
      </c>
      <c r="P21" s="173">
        <f t="shared" si="7"/>
        <v>72.894999999999996</v>
      </c>
      <c r="S21" s="185" t="str">
        <f>"Wahrscheinlich gemeinsame Zeit: "&amp;TEXT(T20,"#0,00")&amp;" x "&amp;TEXT(T18,"#0,00%")</f>
        <v>Wahrscheinlich gemeinsame Zeit: 16,07 x 79,32%</v>
      </c>
      <c r="T21" s="2938">
        <f>+T20*T18</f>
        <v>12.747146806617</v>
      </c>
      <c r="U21" s="2939"/>
      <c r="W21" s="2932"/>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3">
        <v>38</v>
      </c>
      <c r="CD21" s="521">
        <f t="shared" si="4"/>
        <v>255.52170591017148</v>
      </c>
      <c r="CE21" s="521">
        <f t="shared" si="4"/>
        <v>265.22528488593264</v>
      </c>
      <c r="CF21" s="521">
        <f t="shared" si="4"/>
        <v>275.29421566259373</v>
      </c>
      <c r="CG21" s="521">
        <f t="shared" si="4"/>
        <v>285.74213152729834</v>
      </c>
      <c r="CH21" s="521">
        <f t="shared" si="4"/>
        <v>296.5831695508391</v>
      </c>
      <c r="CI21" s="521">
        <f t="shared" si="4"/>
        <v>307.83198900052366</v>
      </c>
      <c r="CJ21" s="521">
        <f t="shared" si="4"/>
        <v>319.50379041749682</v>
      </c>
      <c r="CK21" s="521">
        <f t="shared" si="4"/>
        <v>331.61433538249179</v>
      </c>
      <c r="CL21" s="521">
        <f t="shared" si="4"/>
        <v>344.17996699419126</v>
      </c>
      <c r="CM21" s="521">
        <f t="shared" si="4"/>
        <v>357.21763108581411</v>
      </c>
      <c r="CN21" s="521">
        <f t="shared" si="5"/>
        <v>370.74489820588974</v>
      </c>
      <c r="CO21" s="521">
        <f t="shared" si="5"/>
        <v>384.77998639062156</v>
      </c>
      <c r="CP21" s="521">
        <f t="shared" si="5"/>
        <v>399.34178475565147</v>
      </c>
      <c r="CQ21" s="521">
        <f t="shared" si="5"/>
        <v>414.44987793658754</v>
      </c>
      <c r="CR21" s="521">
        <f t="shared" si="5"/>
        <v>430.12457140808442</v>
      </c>
      <c r="CS21" s="521">
        <f t="shared" si="5"/>
        <v>446.38691771289558</v>
      </c>
      <c r="CT21" s="521">
        <f t="shared" si="5"/>
        <v>463.25874363284231</v>
      </c>
      <c r="CU21" s="521">
        <f t="shared" si="5"/>
        <v>480.76267833530198</v>
      </c>
      <c r="CV21" s="521">
        <f t="shared" si="5"/>
        <v>498.92218252945543</v>
      </c>
      <c r="CW21" s="525">
        <f t="shared" si="5"/>
        <v>517.76157866827009</v>
      </c>
      <c r="CX21" s="537"/>
    </row>
    <row r="22" spans="1:102" ht="14.25">
      <c r="A22" s="163">
        <v>9</v>
      </c>
      <c r="B22" s="2214">
        <v>99569</v>
      </c>
      <c r="C22" s="179">
        <v>69.5</v>
      </c>
      <c r="D22" s="163">
        <v>59</v>
      </c>
      <c r="E22" s="2214">
        <f t="shared" si="10"/>
        <v>91606</v>
      </c>
      <c r="F22" s="179">
        <f t="shared" si="10"/>
        <v>22.14</v>
      </c>
      <c r="G22" s="152"/>
      <c r="H22" s="163">
        <v>9</v>
      </c>
      <c r="I22" s="2214">
        <v>99624</v>
      </c>
      <c r="J22" s="179">
        <v>74.3</v>
      </c>
      <c r="K22" s="163">
        <v>59</v>
      </c>
      <c r="L22" s="2214">
        <f t="shared" si="11"/>
        <v>95261</v>
      </c>
      <c r="M22" s="179">
        <f t="shared" si="11"/>
        <v>25.91</v>
      </c>
      <c r="O22" s="2214">
        <f t="shared" si="6"/>
        <v>99596.5</v>
      </c>
      <c r="P22" s="179">
        <f t="shared" si="7"/>
        <v>71.900000000000006</v>
      </c>
      <c r="W22" s="2932"/>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3">
        <v>39</v>
      </c>
      <c r="CD22" s="522">
        <f t="shared" si="4"/>
        <v>254.25045364196171</v>
      </c>
      <c r="CE22" s="522">
        <f t="shared" si="4"/>
        <v>263.64342433989322</v>
      </c>
      <c r="CF22" s="522">
        <f t="shared" si="4"/>
        <v>273.38055179999378</v>
      </c>
      <c r="CG22" s="522">
        <f t="shared" si="4"/>
        <v>283.47433683263728</v>
      </c>
      <c r="CH22" s="522">
        <f t="shared" si="4"/>
        <v>293.93772998101002</v>
      </c>
      <c r="CI22" s="522">
        <f t="shared" si="4"/>
        <v>304.78414752527095</v>
      </c>
      <c r="CJ22" s="522">
        <f t="shared" si="4"/>
        <v>316.02748804895839</v>
      </c>
      <c r="CK22" s="522">
        <f t="shared" si="4"/>
        <v>327.6821495874425</v>
      </c>
      <c r="CL22" s="522">
        <f t="shared" si="4"/>
        <v>339.76304737827371</v>
      </c>
      <c r="CM22" s="522">
        <f t="shared" si="4"/>
        <v>352.28563223453068</v>
      </c>
      <c r="CN22" s="522">
        <f t="shared" si="5"/>
        <v>365.26590956245298</v>
      </c>
      <c r="CO22" s="522">
        <f t="shared" si="5"/>
        <v>378.72045904588731</v>
      </c>
      <c r="CP22" s="522">
        <f t="shared" si="5"/>
        <v>392.66645502030633</v>
      </c>
      <c r="CQ22" s="522">
        <f t="shared" si="5"/>
        <v>407.12168756049846</v>
      </c>
      <c r="CR22" s="522">
        <f t="shared" si="5"/>
        <v>422.10458430626545</v>
      </c>
      <c r="CS22" s="522">
        <f t="shared" si="5"/>
        <v>437.63423305185847</v>
      </c>
      <c r="CT22" s="522">
        <f t="shared" si="5"/>
        <v>453.730405125213</v>
      </c>
      <c r="CU22" s="522">
        <f t="shared" si="5"/>
        <v>470.41357958444416</v>
      </c>
      <c r="CV22" s="522">
        <f t="shared" si="5"/>
        <v>487.70496825948715</v>
      </c>
      <c r="CW22" s="526">
        <f t="shared" si="5"/>
        <v>505.62654166823256</v>
      </c>
      <c r="CX22" s="537"/>
    </row>
    <row r="23" spans="1:102" thickBot="1">
      <c r="A23" s="172">
        <v>10</v>
      </c>
      <c r="B23" s="2213">
        <v>99561</v>
      </c>
      <c r="C23" s="173">
        <v>68.510000000000005</v>
      </c>
      <c r="D23" s="172">
        <v>60</v>
      </c>
      <c r="E23" s="2213">
        <f t="shared" si="10"/>
        <v>90805</v>
      </c>
      <c r="F23" s="173">
        <f t="shared" si="10"/>
        <v>21.34</v>
      </c>
      <c r="G23" s="152"/>
      <c r="H23" s="172">
        <v>10</v>
      </c>
      <c r="I23" s="2213">
        <v>99617</v>
      </c>
      <c r="J23" s="173">
        <v>73.31</v>
      </c>
      <c r="K23" s="172">
        <v>60</v>
      </c>
      <c r="L23" s="2213">
        <f t="shared" si="11"/>
        <v>94822</v>
      </c>
      <c r="M23" s="173">
        <f t="shared" si="11"/>
        <v>25.03</v>
      </c>
      <c r="O23" s="2213">
        <f t="shared" si="6"/>
        <v>99589</v>
      </c>
      <c r="P23" s="173">
        <f t="shared" si="7"/>
        <v>70.91</v>
      </c>
      <c r="W23" s="2932"/>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3">
        <v>40</v>
      </c>
      <c r="CD23" s="521">
        <f t="shared" ref="CD23:CM32" si="30">(((1+CD$12)^$CA$15-1)/CD$12)*$CA$18*(1+CD$12)^($CH$11-$CC23)*12</f>
        <v>252.98552601190227</v>
      </c>
      <c r="CE23" s="521">
        <f t="shared" si="30"/>
        <v>262.07099834979442</v>
      </c>
      <c r="CF23" s="521">
        <f t="shared" si="30"/>
        <v>271.4801904667267</v>
      </c>
      <c r="CG23" s="521">
        <f t="shared" si="30"/>
        <v>281.22454050856874</v>
      </c>
      <c r="CH23" s="521">
        <f t="shared" si="30"/>
        <v>291.31588699802774</v>
      </c>
      <c r="CI23" s="521">
        <f t="shared" si="30"/>
        <v>301.76648269828803</v>
      </c>
      <c r="CJ23" s="521">
        <f t="shared" si="30"/>
        <v>312.58900895050283</v>
      </c>
      <c r="CK23" s="521">
        <f t="shared" si="30"/>
        <v>323.7965905014255</v>
      </c>
      <c r="CL23" s="521">
        <f t="shared" si="30"/>
        <v>335.40281083738768</v>
      </c>
      <c r="CM23" s="521">
        <f t="shared" si="30"/>
        <v>347.42172804194342</v>
      </c>
      <c r="CN23" s="521">
        <f t="shared" ref="CN23:CW32" si="31">(((1+CN$12)^$CA$15-1)/CN$12)*$CA$18*(1+CN$12)^($CH$11-$CC23)*12</f>
        <v>359.86789119453499</v>
      </c>
      <c r="CO23" s="521">
        <f t="shared" si="31"/>
        <v>372.75635732862924</v>
      </c>
      <c r="CP23" s="521">
        <f t="shared" si="31"/>
        <v>386.10270896785289</v>
      </c>
      <c r="CQ23" s="521">
        <f t="shared" si="31"/>
        <v>399.92307225982171</v>
      </c>
      <c r="CR23" s="521">
        <f t="shared" si="31"/>
        <v>414.23413572744403</v>
      </c>
      <c r="CS23" s="521">
        <f t="shared" si="31"/>
        <v>429.05316965868468</v>
      </c>
      <c r="CT23" s="521">
        <f t="shared" si="31"/>
        <v>444.39804615593835</v>
      </c>
      <c r="CU23" s="521">
        <f t="shared" si="31"/>
        <v>460.2872598673622</v>
      </c>
      <c r="CV23" s="521">
        <f t="shared" si="31"/>
        <v>476.73994942276363</v>
      </c>
      <c r="CW23" s="525">
        <f t="shared" si="31"/>
        <v>493.77591959788333</v>
      </c>
      <c r="CX23" s="537"/>
    </row>
    <row r="24" spans="1:102" ht="14.25">
      <c r="A24" s="163">
        <v>11</v>
      </c>
      <c r="B24" s="2214">
        <v>99553</v>
      </c>
      <c r="C24" s="179">
        <v>67.510000000000005</v>
      </c>
      <c r="D24" s="163">
        <v>61</v>
      </c>
      <c r="E24" s="2214">
        <f t="shared" si="10"/>
        <v>89921</v>
      </c>
      <c r="F24" s="179">
        <f t="shared" si="10"/>
        <v>20.54</v>
      </c>
      <c r="G24" s="152"/>
      <c r="H24" s="163">
        <v>11</v>
      </c>
      <c r="I24" s="2214">
        <v>99611</v>
      </c>
      <c r="J24" s="179">
        <v>72.31</v>
      </c>
      <c r="K24" s="163">
        <v>61</v>
      </c>
      <c r="L24" s="2214">
        <f t="shared" si="11"/>
        <v>94336</v>
      </c>
      <c r="M24" s="179">
        <f t="shared" si="11"/>
        <v>24.15</v>
      </c>
      <c r="O24" s="2214">
        <f t="shared" si="6"/>
        <v>99582</v>
      </c>
      <c r="P24" s="179">
        <f t="shared" si="7"/>
        <v>69.91</v>
      </c>
      <c r="S24" s="2940" t="s">
        <v>242</v>
      </c>
      <c r="T24" s="2941"/>
      <c r="U24" s="2942"/>
      <c r="W24" s="2932"/>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3">
        <v>41</v>
      </c>
      <c r="CD24" s="522">
        <f t="shared" si="30"/>
        <v>251.72689155413161</v>
      </c>
      <c r="CE24" s="522">
        <f t="shared" si="30"/>
        <v>260.50795064591892</v>
      </c>
      <c r="CF24" s="522">
        <f t="shared" si="30"/>
        <v>269.59303919238005</v>
      </c>
      <c r="CG24" s="522">
        <f t="shared" si="30"/>
        <v>278.99259971088168</v>
      </c>
      <c r="CH24" s="522">
        <f t="shared" si="30"/>
        <v>288.71743012688574</v>
      </c>
      <c r="CI24" s="522">
        <f t="shared" si="30"/>
        <v>298.77869574087936</v>
      </c>
      <c r="CJ24" s="522">
        <f t="shared" si="30"/>
        <v>309.18794159298005</v>
      </c>
      <c r="CK24" s="522">
        <f t="shared" si="30"/>
        <v>319.95710523856269</v>
      </c>
      <c r="CL24" s="522">
        <f t="shared" si="30"/>
        <v>331.09852994806289</v>
      </c>
      <c r="CM24" s="522">
        <f t="shared" si="30"/>
        <v>342.62497834511186</v>
      </c>
      <c r="CN24" s="522">
        <f t="shared" si="31"/>
        <v>354.54964649707887</v>
      </c>
      <c r="CO24" s="522">
        <f t="shared" si="31"/>
        <v>366.88617847306034</v>
      </c>
      <c r="CP24" s="522">
        <f t="shared" si="31"/>
        <v>379.6486813843195</v>
      </c>
      <c r="CQ24" s="522">
        <f t="shared" si="31"/>
        <v>392.85174092320409</v>
      </c>
      <c r="CR24" s="522">
        <f t="shared" si="31"/>
        <v>406.51043741653007</v>
      </c>
      <c r="CS24" s="522">
        <f t="shared" si="31"/>
        <v>420.64036241047523</v>
      </c>
      <c r="CT24" s="522">
        <f t="shared" si="31"/>
        <v>435.25763580405328</v>
      </c>
      <c r="CU24" s="522">
        <f t="shared" si="31"/>
        <v>450.37892354927811</v>
      </c>
      <c r="CV24" s="522">
        <f t="shared" si="31"/>
        <v>466.02145593623038</v>
      </c>
      <c r="CW24" s="526">
        <f t="shared" si="31"/>
        <v>482.20304648230797</v>
      </c>
      <c r="CX24" s="537"/>
    </row>
    <row r="25" spans="1:102" ht="14.25">
      <c r="A25" s="172">
        <v>12</v>
      </c>
      <c r="B25" s="2213">
        <v>99545</v>
      </c>
      <c r="C25" s="173">
        <v>66.52</v>
      </c>
      <c r="D25" s="172">
        <v>62</v>
      </c>
      <c r="E25" s="2213">
        <f t="shared" si="10"/>
        <v>88949</v>
      </c>
      <c r="F25" s="173">
        <f t="shared" si="10"/>
        <v>19.760000000000002</v>
      </c>
      <c r="G25" s="152"/>
      <c r="H25" s="172">
        <v>12</v>
      </c>
      <c r="I25" s="2213">
        <v>99603</v>
      </c>
      <c r="J25" s="173">
        <v>71.319999999999993</v>
      </c>
      <c r="K25" s="172">
        <v>62</v>
      </c>
      <c r="L25" s="2213">
        <f t="shared" si="11"/>
        <v>93797</v>
      </c>
      <c r="M25" s="173">
        <f t="shared" si="11"/>
        <v>23.29</v>
      </c>
      <c r="O25" s="2213">
        <f t="shared" si="6"/>
        <v>99574</v>
      </c>
      <c r="P25" s="173">
        <f t="shared" si="7"/>
        <v>68.919999999999987</v>
      </c>
      <c r="S25" s="2943"/>
      <c r="T25" s="2944"/>
      <c r="U25" s="2945"/>
      <c r="W25" s="2932"/>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3">
        <v>42</v>
      </c>
      <c r="CD25" s="521">
        <f t="shared" si="30"/>
        <v>250.474518959335</v>
      </c>
      <c r="CE25" s="521">
        <f t="shared" si="30"/>
        <v>258.95422529415407</v>
      </c>
      <c r="CF25" s="521">
        <f t="shared" si="30"/>
        <v>267.71900614933475</v>
      </c>
      <c r="CG25" s="521">
        <f t="shared" si="30"/>
        <v>276.77837272904924</v>
      </c>
      <c r="CH25" s="521">
        <f t="shared" si="30"/>
        <v>286.14215076995623</v>
      </c>
      <c r="CI25" s="521">
        <f t="shared" si="30"/>
        <v>295.82049083255379</v>
      </c>
      <c r="CJ25" s="521">
        <f t="shared" si="30"/>
        <v>305.82387892480722</v>
      </c>
      <c r="CK25" s="521">
        <f t="shared" si="30"/>
        <v>316.16314746893545</v>
      </c>
      <c r="CL25" s="521">
        <f t="shared" si="30"/>
        <v>326.84948662197723</v>
      </c>
      <c r="CM25" s="521">
        <f t="shared" si="30"/>
        <v>337.8944559616487</v>
      </c>
      <c r="CN25" s="521">
        <f t="shared" si="31"/>
        <v>349.30999654884624</v>
      </c>
      <c r="CO25" s="521">
        <f t="shared" si="31"/>
        <v>361.10844337899636</v>
      </c>
      <c r="CP25" s="521">
        <f t="shared" si="31"/>
        <v>373.30253823433588</v>
      </c>
      <c r="CQ25" s="521">
        <f t="shared" si="31"/>
        <v>385.90544295010221</v>
      </c>
      <c r="CR25" s="521">
        <f t="shared" si="31"/>
        <v>398.9307531074877</v>
      </c>
      <c r="CS25" s="521">
        <f t="shared" si="31"/>
        <v>412.39251216713251</v>
      </c>
      <c r="CT25" s="521">
        <f t="shared" si="31"/>
        <v>426.30522605685923</v>
      </c>
      <c r="CU25" s="521">
        <f t="shared" si="31"/>
        <v>440.68387822825639</v>
      </c>
      <c r="CV25" s="521">
        <f t="shared" si="31"/>
        <v>455.5439451967062</v>
      </c>
      <c r="CW25" s="525">
        <f t="shared" si="31"/>
        <v>470.90141258037875</v>
      </c>
      <c r="CX25" s="537"/>
    </row>
    <row r="26" spans="1:102" ht="14.25">
      <c r="A26" s="163">
        <v>13</v>
      </c>
      <c r="B26" s="2214">
        <v>99536</v>
      </c>
      <c r="C26" s="179">
        <v>65.52</v>
      </c>
      <c r="D26" s="163">
        <v>63</v>
      </c>
      <c r="E26" s="2214">
        <f t="shared" si="10"/>
        <v>87883</v>
      </c>
      <c r="F26" s="179">
        <f t="shared" si="10"/>
        <v>18.989999999999998</v>
      </c>
      <c r="G26" s="152"/>
      <c r="H26" s="163">
        <v>13</v>
      </c>
      <c r="I26" s="2214">
        <v>99595</v>
      </c>
      <c r="J26" s="179">
        <v>70.319999999999993</v>
      </c>
      <c r="K26" s="163">
        <v>63</v>
      </c>
      <c r="L26" s="2214">
        <f t="shared" si="11"/>
        <v>93201</v>
      </c>
      <c r="M26" s="179">
        <f t="shared" si="11"/>
        <v>22.44</v>
      </c>
      <c r="O26" s="2214">
        <f t="shared" si="6"/>
        <v>99565.5</v>
      </c>
      <c r="P26" s="179">
        <f t="shared" si="7"/>
        <v>67.919999999999987</v>
      </c>
      <c r="S26" s="186" t="s">
        <v>243</v>
      </c>
      <c r="T26" s="2946">
        <v>70</v>
      </c>
      <c r="U26" s="2947"/>
      <c r="W26" s="2932"/>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3">
        <v>43</v>
      </c>
      <c r="CD26" s="522">
        <f t="shared" si="30"/>
        <v>249.22837707396519</v>
      </c>
      <c r="CE26" s="522">
        <f t="shared" si="30"/>
        <v>257.40976669399015</v>
      </c>
      <c r="CF26" s="522">
        <f t="shared" si="30"/>
        <v>265.8580001482967</v>
      </c>
      <c r="CG26" s="522">
        <f t="shared" si="30"/>
        <v>274.58171897723139</v>
      </c>
      <c r="CH26" s="522">
        <f t="shared" si="30"/>
        <v>283.5898421902441</v>
      </c>
      <c r="CI26" s="522">
        <f t="shared" si="30"/>
        <v>292.89157508173639</v>
      </c>
      <c r="CJ26" s="522">
        <f t="shared" si="30"/>
        <v>302.49641832325148</v>
      </c>
      <c r="CK26" s="522">
        <f t="shared" si="30"/>
        <v>312.4141773408453</v>
      </c>
      <c r="CL26" s="522">
        <f t="shared" si="30"/>
        <v>322.65497198615719</v>
      </c>
      <c r="CM26" s="522">
        <f t="shared" si="30"/>
        <v>333.22924651050164</v>
      </c>
      <c r="CN26" s="522">
        <f t="shared" si="31"/>
        <v>344.14777985108003</v>
      </c>
      <c r="CO26" s="522">
        <f t="shared" si="31"/>
        <v>355.42169623916965</v>
      </c>
      <c r="CP26" s="522">
        <f t="shared" si="31"/>
        <v>367.06247613995663</v>
      </c>
      <c r="CQ26" s="522">
        <f t="shared" si="31"/>
        <v>379.08196753448152</v>
      </c>
      <c r="CR26" s="522">
        <f t="shared" si="31"/>
        <v>391.49239755396252</v>
      </c>
      <c r="CS26" s="522">
        <f t="shared" si="31"/>
        <v>404.30638447758093</v>
      </c>
      <c r="CT26" s="522">
        <f t="shared" si="31"/>
        <v>417.53695010466146</v>
      </c>
      <c r="CU26" s="522">
        <f t="shared" si="31"/>
        <v>431.19753251297107</v>
      </c>
      <c r="CV26" s="522">
        <f t="shared" si="31"/>
        <v>445.30199921476662</v>
      </c>
      <c r="CW26" s="526">
        <f t="shared" si="31"/>
        <v>459.86466072302619</v>
      </c>
      <c r="CX26" s="537"/>
    </row>
    <row r="27" spans="1:102" ht="14.25">
      <c r="A27" s="172">
        <v>14</v>
      </c>
      <c r="B27" s="2213">
        <v>99526</v>
      </c>
      <c r="C27" s="173">
        <v>64.53</v>
      </c>
      <c r="D27" s="172">
        <v>64</v>
      </c>
      <c r="E27" s="2213">
        <f t="shared" si="10"/>
        <v>86719</v>
      </c>
      <c r="F27" s="173">
        <f t="shared" si="10"/>
        <v>18.239999999999998</v>
      </c>
      <c r="G27" s="152"/>
      <c r="H27" s="172">
        <v>14</v>
      </c>
      <c r="I27" s="2213">
        <v>99585</v>
      </c>
      <c r="J27" s="173">
        <v>69.33</v>
      </c>
      <c r="K27" s="172">
        <v>64</v>
      </c>
      <c r="L27" s="2213">
        <f t="shared" si="11"/>
        <v>92543</v>
      </c>
      <c r="M27" s="173">
        <f t="shared" si="11"/>
        <v>21.59</v>
      </c>
      <c r="O27" s="2213">
        <f t="shared" si="6"/>
        <v>99555.5</v>
      </c>
      <c r="P27" s="173">
        <f t="shared" si="7"/>
        <v>66.930000000000007</v>
      </c>
      <c r="S27" s="186" t="s">
        <v>244</v>
      </c>
      <c r="T27" s="2946" t="s">
        <v>245</v>
      </c>
      <c r="U27" s="2947"/>
      <c r="W27" s="2932"/>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3">
        <v>44</v>
      </c>
      <c r="CD27" s="521">
        <f t="shared" si="30"/>
        <v>247.98843489946785</v>
      </c>
      <c r="CE27" s="521">
        <f t="shared" si="30"/>
        <v>255.8745195765309</v>
      </c>
      <c r="CF27" s="521">
        <f t="shared" si="30"/>
        <v>264.00993063385965</v>
      </c>
      <c r="CG27" s="521">
        <f t="shared" si="30"/>
        <v>272.40249898534859</v>
      </c>
      <c r="CH27" s="521">
        <f t="shared" si="30"/>
        <v>281.06029949479091</v>
      </c>
      <c r="CI27" s="521">
        <f t="shared" si="30"/>
        <v>289.99165849676865</v>
      </c>
      <c r="CJ27" s="521">
        <f t="shared" si="30"/>
        <v>299.20516154624278</v>
      </c>
      <c r="CK27" s="521">
        <f t="shared" si="30"/>
        <v>308.70966140399742</v>
      </c>
      <c r="CL27" s="521">
        <f t="shared" si="30"/>
        <v>318.51428626471591</v>
      </c>
      <c r="CM27" s="521">
        <f t="shared" si="30"/>
        <v>328.62844823520868</v>
      </c>
      <c r="CN27" s="521">
        <f t="shared" si="31"/>
        <v>339.06185207002966</v>
      </c>
      <c r="CO27" s="521">
        <f t="shared" si="31"/>
        <v>349.82450417241103</v>
      </c>
      <c r="CP27" s="521">
        <f t="shared" si="31"/>
        <v>360.92672186819721</v>
      </c>
      <c r="CQ27" s="521">
        <f t="shared" si="31"/>
        <v>372.37914296118038</v>
      </c>
      <c r="CR27" s="521">
        <f t="shared" si="31"/>
        <v>384.19273557798084</v>
      </c>
      <c r="CS27" s="521">
        <f t="shared" si="31"/>
        <v>396.37880831135385</v>
      </c>
      <c r="CT27" s="521">
        <f t="shared" si="31"/>
        <v>408.94902067057933</v>
      </c>
      <c r="CU27" s="521">
        <f t="shared" si="31"/>
        <v>421.91539384830821</v>
      </c>
      <c r="CV27" s="521">
        <f t="shared" si="31"/>
        <v>435.29032181306616</v>
      </c>
      <c r="CW27" s="525">
        <f t="shared" si="31"/>
        <v>449.08658273733033</v>
      </c>
      <c r="CX27" s="537"/>
    </row>
    <row r="28" spans="1:102" ht="14.25">
      <c r="A28" s="163">
        <v>15</v>
      </c>
      <c r="B28" s="2214">
        <v>99513</v>
      </c>
      <c r="C28" s="179">
        <v>63.54</v>
      </c>
      <c r="D28" s="163">
        <v>65</v>
      </c>
      <c r="E28" s="2214">
        <f t="shared" si="10"/>
        <v>85455</v>
      </c>
      <c r="F28" s="179">
        <f t="shared" si="10"/>
        <v>17.5</v>
      </c>
      <c r="G28" s="152"/>
      <c r="H28" s="163">
        <v>15</v>
      </c>
      <c r="I28" s="2214">
        <v>99574</v>
      </c>
      <c r="J28" s="179">
        <v>68.34</v>
      </c>
      <c r="K28" s="163">
        <v>65</v>
      </c>
      <c r="L28" s="2214">
        <f t="shared" si="11"/>
        <v>91821</v>
      </c>
      <c r="M28" s="179">
        <f t="shared" si="11"/>
        <v>20.76</v>
      </c>
      <c r="O28" s="2214">
        <f t="shared" si="6"/>
        <v>99543.5</v>
      </c>
      <c r="P28" s="179">
        <f t="shared" si="7"/>
        <v>65.94</v>
      </c>
      <c r="S28" s="186" t="s">
        <v>246</v>
      </c>
      <c r="T28" s="2946">
        <v>30</v>
      </c>
      <c r="U28" s="2947"/>
      <c r="W28" s="2932"/>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3">
        <v>45</v>
      </c>
      <c r="CD28" s="522">
        <f t="shared" si="30"/>
        <v>246.75466159151037</v>
      </c>
      <c r="CE28" s="522">
        <f t="shared" si="30"/>
        <v>254.34842900251584</v>
      </c>
      <c r="CF28" s="522">
        <f t="shared" si="30"/>
        <v>262.17470768009906</v>
      </c>
      <c r="CG28" s="522">
        <f t="shared" si="30"/>
        <v>270.2405743902267</v>
      </c>
      <c r="CH28" s="522">
        <f t="shared" si="30"/>
        <v>278.55331961822696</v>
      </c>
      <c r="CI28" s="522">
        <f t="shared" si="30"/>
        <v>287.12045395719673</v>
      </c>
      <c r="CJ28" s="522">
        <f t="shared" si="30"/>
        <v>295.94971468471095</v>
      </c>
      <c r="CK28" s="522">
        <f t="shared" si="30"/>
        <v>305.0490725335942</v>
      </c>
      <c r="CL28" s="522">
        <f t="shared" si="30"/>
        <v>314.42673866210845</v>
      </c>
      <c r="CM28" s="522">
        <f t="shared" si="30"/>
        <v>324.09117182959437</v>
      </c>
      <c r="CN28" s="522">
        <f t="shared" si="31"/>
        <v>334.05108578328048</v>
      </c>
      <c r="CO28" s="522">
        <f t="shared" si="31"/>
        <v>344.31545686260927</v>
      </c>
      <c r="CP28" s="522">
        <f t="shared" si="31"/>
        <v>354.89353182713592</v>
      </c>
      <c r="CQ28" s="522">
        <f t="shared" si="31"/>
        <v>365.79483591471535</v>
      </c>
      <c r="CR28" s="522">
        <f t="shared" si="31"/>
        <v>377.02918113638952</v>
      </c>
      <c r="CS28" s="522">
        <f t="shared" si="31"/>
        <v>388.60667481505277</v>
      </c>
      <c r="CT28" s="522">
        <f t="shared" si="31"/>
        <v>400.53772837471047</v>
      </c>
      <c r="CU28" s="522">
        <f t="shared" si="31"/>
        <v>412.83306638777719</v>
      </c>
      <c r="CV28" s="522">
        <f t="shared" si="31"/>
        <v>425.50373588765029</v>
      </c>
      <c r="CW28" s="526">
        <f t="shared" si="31"/>
        <v>438.56111595442405</v>
      </c>
      <c r="CX28" s="537"/>
    </row>
    <row r="29" spans="1:102" ht="14.25">
      <c r="A29" s="172">
        <v>16</v>
      </c>
      <c r="B29" s="2213">
        <v>99496</v>
      </c>
      <c r="C29" s="173">
        <v>62.55</v>
      </c>
      <c r="D29" s="172">
        <v>66</v>
      </c>
      <c r="E29" s="2213">
        <f t="shared" si="10"/>
        <v>84089</v>
      </c>
      <c r="F29" s="173">
        <f t="shared" si="10"/>
        <v>16.78</v>
      </c>
      <c r="G29" s="152"/>
      <c r="H29" s="172">
        <v>16</v>
      </c>
      <c r="I29" s="2213">
        <v>99561</v>
      </c>
      <c r="J29" s="173">
        <v>67.349999999999994</v>
      </c>
      <c r="K29" s="172">
        <v>66</v>
      </c>
      <c r="L29" s="2213">
        <f t="shared" si="11"/>
        <v>91032</v>
      </c>
      <c r="M29" s="173">
        <f t="shared" si="11"/>
        <v>19.93</v>
      </c>
      <c r="O29" s="2213">
        <f t="shared" si="6"/>
        <v>99528.5</v>
      </c>
      <c r="P29" s="173">
        <f t="shared" si="7"/>
        <v>64.949999999999989</v>
      </c>
      <c r="S29" s="186" t="s">
        <v>247</v>
      </c>
      <c r="T29" s="2948">
        <v>12000</v>
      </c>
      <c r="U29" s="2949"/>
      <c r="W29" s="2932"/>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3">
        <v>46</v>
      </c>
      <c r="CD29" s="521">
        <f t="shared" si="30"/>
        <v>245.52702645921431</v>
      </c>
      <c r="CE29" s="521">
        <f t="shared" si="30"/>
        <v>252.83144036035372</v>
      </c>
      <c r="CF29" s="521">
        <f t="shared" si="30"/>
        <v>260.35224198619574</v>
      </c>
      <c r="CG29" s="521">
        <f t="shared" si="30"/>
        <v>268.09580792681226</v>
      </c>
      <c r="CH29" s="521">
        <f t="shared" si="30"/>
        <v>276.06870130646877</v>
      </c>
      <c r="CI29" s="521">
        <f t="shared" si="30"/>
        <v>284.27767718534324</v>
      </c>
      <c r="CJ29" s="521">
        <f t="shared" si="30"/>
        <v>292.72968811544115</v>
      </c>
      <c r="CK29" s="521">
        <f t="shared" si="30"/>
        <v>301.43188985533027</v>
      </c>
      <c r="CL29" s="521">
        <f t="shared" si="30"/>
        <v>310.39164724788594</v>
      </c>
      <c r="CM29" s="521">
        <f t="shared" si="30"/>
        <v>319.61654026587212</v>
      </c>
      <c r="CN29" s="521">
        <f t="shared" si="31"/>
        <v>329.11437022983307</v>
      </c>
      <c r="CO29" s="521">
        <f t="shared" si="31"/>
        <v>338.89316620335558</v>
      </c>
      <c r="CP29" s="521">
        <f t="shared" si="31"/>
        <v>348.96119157043853</v>
      </c>
      <c r="CQ29" s="521">
        <f t="shared" si="31"/>
        <v>359.32695080030982</v>
      </c>
      <c r="CR29" s="521">
        <f t="shared" si="31"/>
        <v>369.99919640470023</v>
      </c>
      <c r="CS29" s="521">
        <f t="shared" si="31"/>
        <v>380.986936093189</v>
      </c>
      <c r="CT29" s="521">
        <f t="shared" si="31"/>
        <v>392.29944013193978</v>
      </c>
      <c r="CU29" s="521">
        <f t="shared" si="31"/>
        <v>403.94624891171929</v>
      </c>
      <c r="CV29" s="521">
        <f t="shared" si="31"/>
        <v>415.93718073084091</v>
      </c>
      <c r="CW29" s="525">
        <f t="shared" si="31"/>
        <v>428.28233979924232</v>
      </c>
      <c r="CX29" s="537"/>
    </row>
    <row r="30" spans="1:102" ht="14.25">
      <c r="A30" s="163">
        <v>17</v>
      </c>
      <c r="B30" s="2214">
        <v>99474</v>
      </c>
      <c r="C30" s="179">
        <v>61.56</v>
      </c>
      <c r="D30" s="163">
        <v>67</v>
      </c>
      <c r="E30" s="2214">
        <f t="shared" si="10"/>
        <v>82623</v>
      </c>
      <c r="F30" s="179">
        <f t="shared" si="10"/>
        <v>16.07</v>
      </c>
      <c r="G30" s="152"/>
      <c r="H30" s="163">
        <v>17</v>
      </c>
      <c r="I30" s="2214">
        <v>99546</v>
      </c>
      <c r="J30" s="179">
        <v>66.36</v>
      </c>
      <c r="K30" s="163">
        <v>67</v>
      </c>
      <c r="L30" s="2214">
        <f t="shared" si="11"/>
        <v>90177</v>
      </c>
      <c r="M30" s="179">
        <f t="shared" si="11"/>
        <v>19.12</v>
      </c>
      <c r="O30" s="2214">
        <f t="shared" si="6"/>
        <v>99510</v>
      </c>
      <c r="P30" s="179">
        <f t="shared" si="7"/>
        <v>63.96</v>
      </c>
      <c r="S30" s="186" t="s">
        <v>248</v>
      </c>
      <c r="T30" s="2950">
        <v>0.04</v>
      </c>
      <c r="U30" s="2951"/>
      <c r="W30" s="2932"/>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3">
        <v>47</v>
      </c>
      <c r="CD30" s="522">
        <f t="shared" si="30"/>
        <v>244.30549896439243</v>
      </c>
      <c r="CE30" s="522">
        <f t="shared" si="30"/>
        <v>251.3234993641687</v>
      </c>
      <c r="CF30" s="522">
        <f t="shared" si="30"/>
        <v>258.5424448720911</v>
      </c>
      <c r="CG30" s="522">
        <f t="shared" si="30"/>
        <v>265.9680634194566</v>
      </c>
      <c r="CH30" s="522">
        <f t="shared" si="30"/>
        <v>273.60624510056374</v>
      </c>
      <c r="CI30" s="522">
        <f t="shared" si="30"/>
        <v>281.46304671816165</v>
      </c>
      <c r="CJ30" s="522">
        <f t="shared" si="30"/>
        <v>289.54469645444232</v>
      </c>
      <c r="CK30" s="522">
        <f t="shared" si="30"/>
        <v>297.85759867127496</v>
      </c>
      <c r="CL30" s="522">
        <f t="shared" si="30"/>
        <v>306.40833884292795</v>
      </c>
      <c r="CM30" s="522">
        <f t="shared" si="30"/>
        <v>315.20368862512044</v>
      </c>
      <c r="CN30" s="522">
        <f t="shared" si="31"/>
        <v>324.25061106387494</v>
      </c>
      <c r="CO30" s="522">
        <f t="shared" si="31"/>
        <v>333.5562659481846</v>
      </c>
      <c r="CP30" s="522">
        <f t="shared" si="31"/>
        <v>343.12801531016572</v>
      </c>
      <c r="CQ30" s="522">
        <f t="shared" si="31"/>
        <v>352.97342907692519</v>
      </c>
      <c r="CR30" s="522">
        <f t="shared" si="31"/>
        <v>363.10029087801786</v>
      </c>
      <c r="CS30" s="522">
        <f t="shared" si="31"/>
        <v>373.51660401293043</v>
      </c>
      <c r="CT30" s="522">
        <f t="shared" si="31"/>
        <v>384.23059758270301</v>
      </c>
      <c r="CU30" s="522">
        <f t="shared" si="31"/>
        <v>395.25073279033205</v>
      </c>
      <c r="CV30" s="522">
        <f t="shared" si="31"/>
        <v>406.58570941431179</v>
      </c>
      <c r="CW30" s="526">
        <f t="shared" si="31"/>
        <v>418.24447246019758</v>
      </c>
      <c r="CX30" s="537"/>
    </row>
    <row r="31" spans="1:102" ht="14.25">
      <c r="A31" s="172">
        <v>18</v>
      </c>
      <c r="B31" s="2213">
        <v>99446</v>
      </c>
      <c r="C31" s="173">
        <v>60.58</v>
      </c>
      <c r="D31" s="172">
        <v>68</v>
      </c>
      <c r="E31" s="2213">
        <f t="shared" si="10"/>
        <v>81054</v>
      </c>
      <c r="F31" s="173">
        <f t="shared" si="10"/>
        <v>15.37</v>
      </c>
      <c r="G31" s="152"/>
      <c r="H31" s="172">
        <v>18</v>
      </c>
      <c r="I31" s="2213">
        <v>99529</v>
      </c>
      <c r="J31" s="173">
        <v>65.37</v>
      </c>
      <c r="K31" s="172">
        <v>68</v>
      </c>
      <c r="L31" s="2213">
        <f t="shared" si="11"/>
        <v>89253</v>
      </c>
      <c r="M31" s="173">
        <f t="shared" si="11"/>
        <v>18.309999999999999</v>
      </c>
      <c r="O31" s="2213">
        <f t="shared" si="6"/>
        <v>99487.5</v>
      </c>
      <c r="P31" s="173">
        <f t="shared" si="7"/>
        <v>62.975000000000001</v>
      </c>
      <c r="S31" s="186" t="s">
        <v>249</v>
      </c>
      <c r="T31" s="2952">
        <f>+T29*T28</f>
        <v>360000</v>
      </c>
      <c r="U31" s="2953"/>
      <c r="W31" s="2932"/>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3">
        <v>48</v>
      </c>
      <c r="CD31" s="521">
        <f t="shared" si="30"/>
        <v>243.0900487207885</v>
      </c>
      <c r="CE31" s="521">
        <f t="shared" si="30"/>
        <v>249.82455205185755</v>
      </c>
      <c r="CF31" s="521">
        <f t="shared" si="30"/>
        <v>256.74522827417189</v>
      </c>
      <c r="CG31" s="521">
        <f t="shared" si="30"/>
        <v>263.85720577327038</v>
      </c>
      <c r="CH31" s="521">
        <f t="shared" si="30"/>
        <v>271.1657533206776</v>
      </c>
      <c r="CI31" s="521">
        <f t="shared" si="30"/>
        <v>278.67628387936793</v>
      </c>
      <c r="CJ31" s="521">
        <f t="shared" si="30"/>
        <v>286.39435851082328</v>
      </c>
      <c r="CK31" s="521">
        <f t="shared" si="30"/>
        <v>294.32569038663536</v>
      </c>
      <c r="CL31" s="521">
        <f t="shared" si="30"/>
        <v>302.47614890713521</v>
      </c>
      <c r="CM31" s="521">
        <f t="shared" si="30"/>
        <v>310.85176393009903</v>
      </c>
      <c r="CN31" s="521">
        <f t="shared" si="31"/>
        <v>319.45873011219214</v>
      </c>
      <c r="CO31" s="521">
        <f t="shared" si="31"/>
        <v>328.30341136632342</v>
      </c>
      <c r="CP31" s="521">
        <f t="shared" si="31"/>
        <v>337.39234543772443</v>
      </c>
      <c r="CQ31" s="521">
        <f t="shared" si="31"/>
        <v>346.73224860208757</v>
      </c>
      <c r="CR31" s="521">
        <f t="shared" si="31"/>
        <v>356.33002048873198</v>
      </c>
      <c r="CS31" s="521">
        <f t="shared" si="31"/>
        <v>366.19274903228472</v>
      </c>
      <c r="CT31" s="521">
        <f t="shared" si="31"/>
        <v>376.32771555602653</v>
      </c>
      <c r="CU31" s="521">
        <f t="shared" si="31"/>
        <v>386.74239999054015</v>
      </c>
      <c r="CV31" s="521">
        <f t="shared" si="31"/>
        <v>397.44448623099879</v>
      </c>
      <c r="CW31" s="525">
        <f t="shared" si="31"/>
        <v>408.44186763691175</v>
      </c>
      <c r="CX31" s="537"/>
    </row>
    <row r="32" spans="1:102" ht="14.25">
      <c r="A32" s="163">
        <v>19</v>
      </c>
      <c r="B32" s="2214">
        <v>99410</v>
      </c>
      <c r="C32" s="179">
        <v>59.6</v>
      </c>
      <c r="D32" s="163">
        <v>69</v>
      </c>
      <c r="E32" s="2214">
        <f t="shared" si="10"/>
        <v>79384</v>
      </c>
      <c r="F32" s="179">
        <f t="shared" si="10"/>
        <v>14.68</v>
      </c>
      <c r="G32" s="152"/>
      <c r="H32" s="163">
        <v>19</v>
      </c>
      <c r="I32" s="2214">
        <v>99509</v>
      </c>
      <c r="J32" s="179">
        <v>64.38</v>
      </c>
      <c r="K32" s="163">
        <v>69</v>
      </c>
      <c r="L32" s="2214">
        <f t="shared" si="11"/>
        <v>88257</v>
      </c>
      <c r="M32" s="179">
        <f t="shared" si="11"/>
        <v>17.510000000000002</v>
      </c>
      <c r="O32" s="2214">
        <f t="shared" si="6"/>
        <v>99459.5</v>
      </c>
      <c r="P32" s="179">
        <f t="shared" si="7"/>
        <v>61.989999999999995</v>
      </c>
      <c r="S32" s="186" t="s">
        <v>250</v>
      </c>
      <c r="T32" s="2952">
        <f>-PV(St_Zins,T28,St_Forderung,,1)</f>
        <v>215804.57559229282</v>
      </c>
      <c r="U32" s="2953"/>
      <c r="W32" s="2932"/>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3">
        <v>49</v>
      </c>
      <c r="CD32" s="522">
        <f t="shared" si="30"/>
        <v>241.88064549332194</v>
      </c>
      <c r="CE32" s="522">
        <f t="shared" si="30"/>
        <v>248.33454478315861</v>
      </c>
      <c r="CF32" s="522">
        <f t="shared" si="30"/>
        <v>254.96050474098504</v>
      </c>
      <c r="CG32" s="522">
        <f t="shared" si="30"/>
        <v>261.76310096554602</v>
      </c>
      <c r="CH32" s="522">
        <f t="shared" si="30"/>
        <v>268.74703005022559</v>
      </c>
      <c r="CI32" s="522">
        <f t="shared" si="30"/>
        <v>275.91711275184952</v>
      </c>
      <c r="CJ32" s="522">
        <f t="shared" si="30"/>
        <v>283.27829724117043</v>
      </c>
      <c r="CK32" s="522">
        <f t="shared" si="30"/>
        <v>290.83566243738665</v>
      </c>
      <c r="CL32" s="522">
        <f t="shared" si="30"/>
        <v>298.59442142856386</v>
      </c>
      <c r="CM32" s="522">
        <f t="shared" si="30"/>
        <v>306.55992498037381</v>
      </c>
      <c r="CN32" s="522">
        <f t="shared" si="31"/>
        <v>314.73766513516472</v>
      </c>
      <c r="CO32" s="522">
        <f t="shared" si="31"/>
        <v>323.13327890386165</v>
      </c>
      <c r="CP32" s="522">
        <f t="shared" si="31"/>
        <v>331.75255205282645</v>
      </c>
      <c r="CQ32" s="522">
        <f t="shared" si="31"/>
        <v>340.60142298829817</v>
      </c>
      <c r="CR32" s="522">
        <f t="shared" si="31"/>
        <v>349.68598674065947</v>
      </c>
      <c r="CS32" s="522">
        <f t="shared" si="31"/>
        <v>359.01249905125951</v>
      </c>
      <c r="CT32" s="522">
        <f t="shared" si="31"/>
        <v>368.58738056417883</v>
      </c>
      <c r="CU32" s="522">
        <f t="shared" si="31"/>
        <v>378.41722112577315</v>
      </c>
      <c r="CV32" s="522">
        <f t="shared" si="31"/>
        <v>388.50878419452488</v>
      </c>
      <c r="CW32" s="526">
        <f t="shared" si="31"/>
        <v>398.86901136417151</v>
      </c>
      <c r="CX32" s="537"/>
    </row>
    <row r="33" spans="1:102" ht="14.25">
      <c r="A33" s="172">
        <v>20</v>
      </c>
      <c r="B33" s="2213">
        <v>99368</v>
      </c>
      <c r="C33" s="173">
        <v>58.63</v>
      </c>
      <c r="D33" s="172">
        <v>70</v>
      </c>
      <c r="E33" s="2213">
        <f t="shared" si="10"/>
        <v>77611</v>
      </c>
      <c r="F33" s="173">
        <f t="shared" si="10"/>
        <v>14.01</v>
      </c>
      <c r="G33" s="152"/>
      <c r="H33" s="172">
        <v>20</v>
      </c>
      <c r="I33" s="2213">
        <v>99489</v>
      </c>
      <c r="J33" s="173">
        <v>63.4</v>
      </c>
      <c r="K33" s="172">
        <v>70</v>
      </c>
      <c r="L33" s="2213">
        <f t="shared" si="11"/>
        <v>87183</v>
      </c>
      <c r="M33" s="173">
        <f t="shared" si="11"/>
        <v>16.72</v>
      </c>
      <c r="O33" s="2213">
        <f t="shared" si="6"/>
        <v>99428.5</v>
      </c>
      <c r="P33" s="173">
        <f t="shared" si="7"/>
        <v>61.015000000000001</v>
      </c>
      <c r="S33" s="2958" t="s">
        <v>251</v>
      </c>
      <c r="T33" s="2954">
        <f>+BY25</f>
        <v>119127.74559733819</v>
      </c>
      <c r="U33" s="2955"/>
      <c r="W33" s="2932"/>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3">
        <v>50</v>
      </c>
      <c r="CD33" s="521">
        <f t="shared" ref="CD33:CM42" si="56">(((1+CD$12)^$CA$15-1)/CD$12)*$CA$18*(1+CD$12)^($CH$11-$CC33)*12</f>
        <v>240.6772591973353</v>
      </c>
      <c r="CE33" s="521">
        <f t="shared" si="56"/>
        <v>246.85342423773218</v>
      </c>
      <c r="CF33" s="521">
        <f t="shared" si="56"/>
        <v>253.18818742898225</v>
      </c>
      <c r="CG33" s="521">
        <f t="shared" si="56"/>
        <v>259.685616037248</v>
      </c>
      <c r="CH33" s="521">
        <f t="shared" si="56"/>
        <v>266.34988112014435</v>
      </c>
      <c r="CI33" s="521">
        <f t="shared" si="56"/>
        <v>273.18526015034604</v>
      </c>
      <c r="CJ33" s="521">
        <f t="shared" si="56"/>
        <v>280.19613970442185</v>
      </c>
      <c r="CK33" s="521">
        <f t="shared" si="56"/>
        <v>287.38701821876163</v>
      </c>
      <c r="CL33" s="521">
        <f t="shared" si="56"/>
        <v>294.76250881398209</v>
      </c>
      <c r="CM33" s="521">
        <f t="shared" si="56"/>
        <v>302.32734218971768</v>
      </c>
      <c r="CN33" s="521">
        <f t="shared" ref="CN33:CW42" si="57">(((1+CN$12)^$CA$15-1)/CN$12)*$CA$18*(1+CN$12)^($CH$11-$CC33)*12</f>
        <v>310.08636959129535</v>
      </c>
      <c r="CO33" s="521">
        <f t="shared" si="57"/>
        <v>318.04456585025753</v>
      </c>
      <c r="CP33" s="521">
        <f t="shared" si="57"/>
        <v>326.20703250032102</v>
      </c>
      <c r="CQ33" s="521">
        <f t="shared" si="57"/>
        <v>334.57900097082342</v>
      </c>
      <c r="CR33" s="521">
        <f t="shared" si="57"/>
        <v>343.16583585933216</v>
      </c>
      <c r="CS33" s="521">
        <f t="shared" si="57"/>
        <v>351.97303828554863</v>
      </c>
      <c r="CT33" s="521">
        <f t="shared" si="57"/>
        <v>361.00624932828492</v>
      </c>
      <c r="CU33" s="521">
        <f t="shared" si="57"/>
        <v>370.27125354772323</v>
      </c>
      <c r="CV33" s="521">
        <f t="shared" si="57"/>
        <v>379.77398259484346</v>
      </c>
      <c r="CW33" s="525">
        <f t="shared" si="57"/>
        <v>389.52051891032386</v>
      </c>
      <c r="CX33" s="537"/>
    </row>
    <row r="34" spans="1:102" ht="14.25">
      <c r="A34" s="163">
        <v>21</v>
      </c>
      <c r="B34" s="2214">
        <v>99322</v>
      </c>
      <c r="C34" s="179">
        <v>57.65</v>
      </c>
      <c r="D34" s="163">
        <v>71</v>
      </c>
      <c r="E34" s="2214">
        <f t="shared" si="10"/>
        <v>75733</v>
      </c>
      <c r="F34" s="179">
        <f t="shared" si="10"/>
        <v>13.34</v>
      </c>
      <c r="G34" s="152"/>
      <c r="H34" s="163">
        <v>21</v>
      </c>
      <c r="I34" s="2214">
        <v>99468</v>
      </c>
      <c r="J34" s="179">
        <v>62.41</v>
      </c>
      <c r="K34" s="163">
        <v>71</v>
      </c>
      <c r="L34" s="2214">
        <f t="shared" si="11"/>
        <v>86024</v>
      </c>
      <c r="M34" s="179">
        <f t="shared" si="11"/>
        <v>15.94</v>
      </c>
      <c r="O34" s="2214">
        <f t="shared" si="6"/>
        <v>99395</v>
      </c>
      <c r="P34" s="179">
        <f t="shared" si="7"/>
        <v>60.03</v>
      </c>
      <c r="S34" s="2959"/>
      <c r="T34" s="2956"/>
      <c r="U34" s="2957"/>
      <c r="W34" s="2932"/>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3">
        <v>51</v>
      </c>
      <c r="CD34" s="522">
        <f t="shared" si="56"/>
        <v>239.4798598978461</v>
      </c>
      <c r="CE34" s="522">
        <f t="shared" si="56"/>
        <v>245.3811374132527</v>
      </c>
      <c r="CF34" s="522">
        <f t="shared" si="56"/>
        <v>251.42819009829421</v>
      </c>
      <c r="CG34" s="522">
        <f t="shared" si="56"/>
        <v>257.62461908457146</v>
      </c>
      <c r="CH34" s="522">
        <f t="shared" si="56"/>
        <v>263.97411409330465</v>
      </c>
      <c r="CI34" s="522">
        <f t="shared" si="56"/>
        <v>270.48045559440197</v>
      </c>
      <c r="CJ34" s="522">
        <f t="shared" si="56"/>
        <v>277.1475170172323</v>
      </c>
      <c r="CK34" s="522">
        <f t="shared" si="56"/>
        <v>283.97926701458653</v>
      </c>
      <c r="CL34" s="522">
        <f t="shared" si="56"/>
        <v>290.97977178083124</v>
      </c>
      <c r="CM34" s="522">
        <f t="shared" si="56"/>
        <v>298.15319742575707</v>
      </c>
      <c r="CN34" s="522">
        <f t="shared" si="57"/>
        <v>305.5038124052171</v>
      </c>
      <c r="CO34" s="522">
        <f t="shared" si="57"/>
        <v>313.03599001009599</v>
      </c>
      <c r="CP34" s="522">
        <f t="shared" si="57"/>
        <v>320.75421091476994</v>
      </c>
      <c r="CQ34" s="522">
        <f t="shared" si="57"/>
        <v>328.66306578666342</v>
      </c>
      <c r="CR34" s="522">
        <f t="shared" si="57"/>
        <v>336.7672579581278</v>
      </c>
      <c r="CS34" s="522">
        <f t="shared" si="57"/>
        <v>345.07160616230254</v>
      </c>
      <c r="CT34" s="522">
        <f t="shared" si="57"/>
        <v>353.58104733426535</v>
      </c>
      <c r="CU34" s="522">
        <f t="shared" si="57"/>
        <v>362.30063947918126</v>
      </c>
      <c r="CV34" s="522">
        <f t="shared" si="57"/>
        <v>371.23556460884015</v>
      </c>
      <c r="CW34" s="526">
        <f t="shared" si="57"/>
        <v>380.39113174836308</v>
      </c>
      <c r="CX34" s="537"/>
    </row>
    <row r="35" spans="1:102" ht="14.25">
      <c r="A35" s="172">
        <v>22</v>
      </c>
      <c r="B35" s="2213">
        <v>99275</v>
      </c>
      <c r="C35" s="173">
        <v>56.68</v>
      </c>
      <c r="D35" s="172">
        <v>72</v>
      </c>
      <c r="E35" s="2213">
        <f t="shared" si="10"/>
        <v>73745</v>
      </c>
      <c r="F35" s="173">
        <f t="shared" si="10"/>
        <v>12.69</v>
      </c>
      <c r="G35" s="152"/>
      <c r="H35" s="172">
        <v>22</v>
      </c>
      <c r="I35" s="2213">
        <v>99449</v>
      </c>
      <c r="J35" s="173">
        <v>61.42</v>
      </c>
      <c r="K35" s="172">
        <v>72</v>
      </c>
      <c r="L35" s="2213">
        <f t="shared" si="11"/>
        <v>84768</v>
      </c>
      <c r="M35" s="173">
        <f t="shared" si="11"/>
        <v>15.17</v>
      </c>
      <c r="O35" s="2213">
        <f t="shared" si="6"/>
        <v>99362</v>
      </c>
      <c r="P35" s="173">
        <f t="shared" si="7"/>
        <v>59.05</v>
      </c>
      <c r="W35" s="2932"/>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3">
        <v>52</v>
      </c>
      <c r="CD35" s="521">
        <f t="shared" si="56"/>
        <v>238.28841780880214</v>
      </c>
      <c r="CE35" s="521">
        <f t="shared" si="56"/>
        <v>243.9176316235116</v>
      </c>
      <c r="CF35" s="521">
        <f t="shared" si="56"/>
        <v>249.68042710853445</v>
      </c>
      <c r="CG35" s="521">
        <f t="shared" si="56"/>
        <v>255.57997925056688</v>
      </c>
      <c r="CH35" s="521">
        <f t="shared" si="56"/>
        <v>261.619538249063</v>
      </c>
      <c r="CI35" s="521">
        <f t="shared" si="56"/>
        <v>267.80243128158605</v>
      </c>
      <c r="CJ35" s="521">
        <f t="shared" si="56"/>
        <v>274.13206430982422</v>
      </c>
      <c r="CK35" s="521">
        <f t="shared" si="56"/>
        <v>280.61192392745704</v>
      </c>
      <c r="CL35" s="521">
        <f t="shared" si="56"/>
        <v>287.24557925057383</v>
      </c>
      <c r="CM35" s="521">
        <f t="shared" si="56"/>
        <v>294.03668385183141</v>
      </c>
      <c r="CN35" s="521">
        <f t="shared" si="57"/>
        <v>300.98897773913018</v>
      </c>
      <c r="CO35" s="521">
        <f t="shared" si="57"/>
        <v>308.10628938001577</v>
      </c>
      <c r="CP35" s="521">
        <f t="shared" si="57"/>
        <v>315.39253777263519</v>
      </c>
      <c r="CQ35" s="521">
        <f t="shared" si="57"/>
        <v>322.85173456450241</v>
      </c>
      <c r="CR35" s="521">
        <f t="shared" si="57"/>
        <v>330.48798621994877</v>
      </c>
      <c r="CS35" s="521">
        <f t="shared" si="57"/>
        <v>338.30549623755144</v>
      </c>
      <c r="CT35" s="521">
        <f t="shared" si="57"/>
        <v>346.30856741847731</v>
      </c>
      <c r="CU35" s="521">
        <f t="shared" si="57"/>
        <v>354.50160418706577</v>
      </c>
      <c r="CV35" s="521">
        <f t="shared" si="57"/>
        <v>362.88911496465317</v>
      </c>
      <c r="CW35" s="525">
        <f t="shared" si="57"/>
        <v>371.47571459801088</v>
      </c>
      <c r="CX35" s="537"/>
    </row>
    <row r="36" spans="1:102" ht="14.25">
      <c r="A36" s="163">
        <v>23</v>
      </c>
      <c r="B36" s="2214">
        <v>99228</v>
      </c>
      <c r="C36" s="179">
        <v>55.71</v>
      </c>
      <c r="D36" s="163">
        <v>73</v>
      </c>
      <c r="E36" s="2214">
        <f t="shared" si="10"/>
        <v>71645</v>
      </c>
      <c r="F36" s="179">
        <f t="shared" si="10"/>
        <v>12.05</v>
      </c>
      <c r="G36" s="152"/>
      <c r="H36" s="163">
        <v>23</v>
      </c>
      <c r="I36" s="2214">
        <v>99430</v>
      </c>
      <c r="J36" s="179">
        <v>60.43</v>
      </c>
      <c r="K36" s="163">
        <v>73</v>
      </c>
      <c r="L36" s="2214">
        <f t="shared" si="11"/>
        <v>83403</v>
      </c>
      <c r="M36" s="179">
        <f t="shared" si="11"/>
        <v>14.41</v>
      </c>
      <c r="O36" s="2214">
        <f t="shared" si="6"/>
        <v>99329</v>
      </c>
      <c r="P36" s="179">
        <f t="shared" si="7"/>
        <v>58.07</v>
      </c>
      <c r="W36" s="2932"/>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3">
        <v>53</v>
      </c>
      <c r="CD36" s="522">
        <f t="shared" si="56"/>
        <v>237.1029032923405</v>
      </c>
      <c r="CE36" s="522">
        <f t="shared" si="56"/>
        <v>242.46285449653246</v>
      </c>
      <c r="CF36" s="522">
        <f t="shared" si="56"/>
        <v>247.94481341463211</v>
      </c>
      <c r="CG36" s="522">
        <f t="shared" si="56"/>
        <v>253.55156671683221</v>
      </c>
      <c r="CH36" s="522">
        <f t="shared" si="56"/>
        <v>259.28596456795157</v>
      </c>
      <c r="CI36" s="522">
        <f t="shared" si="56"/>
        <v>265.15092206097637</v>
      </c>
      <c r="CJ36" s="522">
        <f t="shared" si="56"/>
        <v>271.14942068231875</v>
      </c>
      <c r="CK36" s="522">
        <f t="shared" si="56"/>
        <v>277.28450980974009</v>
      </c>
      <c r="CL36" s="522">
        <f t="shared" si="56"/>
        <v>283.55930824340953</v>
      </c>
      <c r="CM36" s="522">
        <f t="shared" si="56"/>
        <v>289.97700577103683</v>
      </c>
      <c r="CN36" s="522">
        <f t="shared" si="57"/>
        <v>296.54086476761597</v>
      </c>
      <c r="CO36" s="522">
        <f t="shared" si="57"/>
        <v>303.25422183072413</v>
      </c>
      <c r="CP36" s="522">
        <f t="shared" si="57"/>
        <v>310.12048945195204</v>
      </c>
      <c r="CQ36" s="522">
        <f t="shared" si="57"/>
        <v>317.14315772544438</v>
      </c>
      <c r="CR36" s="522">
        <f t="shared" si="57"/>
        <v>324.32579609415978</v>
      </c>
      <c r="CS36" s="522">
        <f t="shared" si="57"/>
        <v>331.67205513485447</v>
      </c>
      <c r="CT36" s="522">
        <f t="shared" si="57"/>
        <v>339.18566838244607</v>
      </c>
      <c r="CU36" s="522">
        <f t="shared" si="57"/>
        <v>346.87045419478056</v>
      </c>
      <c r="CV36" s="522">
        <f t="shared" si="57"/>
        <v>354.7303176585076</v>
      </c>
      <c r="CW36" s="526">
        <f t="shared" si="57"/>
        <v>362.76925253712</v>
      </c>
      <c r="CX36" s="537"/>
    </row>
    <row r="37" spans="1:102" ht="14.25">
      <c r="A37" s="172">
        <v>24</v>
      </c>
      <c r="B37" s="2213">
        <v>99181</v>
      </c>
      <c r="C37" s="173">
        <v>54.73</v>
      </c>
      <c r="D37" s="172">
        <v>74</v>
      </c>
      <c r="E37" s="2213">
        <f t="shared" si="10"/>
        <v>69429</v>
      </c>
      <c r="F37" s="173">
        <f t="shared" si="10"/>
        <v>11.41</v>
      </c>
      <c r="G37" s="152"/>
      <c r="H37" s="172">
        <v>24</v>
      </c>
      <c r="I37" s="2213">
        <v>99411</v>
      </c>
      <c r="J37" s="173">
        <v>59.44</v>
      </c>
      <c r="K37" s="172">
        <v>74</v>
      </c>
      <c r="L37" s="2213">
        <f t="shared" si="11"/>
        <v>81916</v>
      </c>
      <c r="M37" s="173">
        <f t="shared" si="11"/>
        <v>13.66</v>
      </c>
      <c r="O37" s="2213">
        <f t="shared" si="6"/>
        <v>99296</v>
      </c>
      <c r="P37" s="173">
        <f t="shared" si="7"/>
        <v>57.084999999999994</v>
      </c>
      <c r="T37">
        <v>40</v>
      </c>
      <c r="U37">
        <v>38</v>
      </c>
      <c r="W37" s="2932"/>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3">
        <v>54</v>
      </c>
      <c r="CD37" s="521">
        <f t="shared" si="56"/>
        <v>235.92328685805023</v>
      </c>
      <c r="CE37" s="521">
        <f t="shared" si="56"/>
        <v>241.01675397269625</v>
      </c>
      <c r="CF37" s="521">
        <f t="shared" si="56"/>
        <v>246.22126456269331</v>
      </c>
      <c r="CG37" s="521">
        <f t="shared" si="56"/>
        <v>251.53925269527002</v>
      </c>
      <c r="CH37" s="521">
        <f t="shared" si="56"/>
        <v>256.97320571650306</v>
      </c>
      <c r="CI37" s="521">
        <f t="shared" si="56"/>
        <v>262.52566540690725</v>
      </c>
      <c r="CJ37" s="521">
        <f t="shared" si="56"/>
        <v>268.19922916154184</v>
      </c>
      <c r="CK37" s="521">
        <f t="shared" si="56"/>
        <v>273.9965511953954</v>
      </c>
      <c r="CL37" s="521">
        <f t="shared" si="56"/>
        <v>279.92034377434305</v>
      </c>
      <c r="CM37" s="521">
        <f t="shared" si="56"/>
        <v>285.97337847242295</v>
      </c>
      <c r="CN37" s="521">
        <f t="shared" si="57"/>
        <v>292.15848745577938</v>
      </c>
      <c r="CO37" s="521">
        <f t="shared" si="57"/>
        <v>298.47856479401992</v>
      </c>
      <c r="CP37" s="521">
        <f t="shared" si="57"/>
        <v>304.93656779936293</v>
      </c>
      <c r="CQ37" s="521">
        <f t="shared" si="57"/>
        <v>311.53551839434613</v>
      </c>
      <c r="CR37" s="521">
        <f t="shared" si="57"/>
        <v>318.27850450849826</v>
      </c>
      <c r="CS37" s="521">
        <f t="shared" si="57"/>
        <v>325.16868150475926</v>
      </c>
      <c r="CT37" s="521">
        <f t="shared" si="57"/>
        <v>332.20927363608814</v>
      </c>
      <c r="CU37" s="521">
        <f t="shared" si="57"/>
        <v>339.40357553305341</v>
      </c>
      <c r="CV37" s="521">
        <f t="shared" si="57"/>
        <v>346.75495372288134</v>
      </c>
      <c r="CW37" s="525">
        <f t="shared" si="57"/>
        <v>354.26684818078127</v>
      </c>
      <c r="CX37" s="537"/>
    </row>
    <row r="38" spans="1:102" ht="14.25">
      <c r="A38" s="163">
        <v>25</v>
      </c>
      <c r="B38" s="2214">
        <v>99136</v>
      </c>
      <c r="C38" s="179">
        <v>53.76</v>
      </c>
      <c r="D38" s="163">
        <v>75</v>
      </c>
      <c r="E38" s="2214">
        <f t="shared" si="10"/>
        <v>67092</v>
      </c>
      <c r="F38" s="179">
        <f t="shared" si="10"/>
        <v>10.79</v>
      </c>
      <c r="G38" s="152"/>
      <c r="H38" s="163">
        <v>25</v>
      </c>
      <c r="I38" s="2214">
        <v>99393</v>
      </c>
      <c r="J38" s="179">
        <v>58.45</v>
      </c>
      <c r="K38" s="163">
        <v>75</v>
      </c>
      <c r="L38" s="2214">
        <f t="shared" si="11"/>
        <v>80296</v>
      </c>
      <c r="M38" s="179">
        <f t="shared" si="11"/>
        <v>12.93</v>
      </c>
      <c r="O38" s="2214">
        <f t="shared" si="6"/>
        <v>99264.5</v>
      </c>
      <c r="P38" s="179">
        <f t="shared" si="7"/>
        <v>56.105000000000004</v>
      </c>
      <c r="S38" t="s">
        <v>228</v>
      </c>
      <c r="T38">
        <f>VLOOKUP(T37,Sterbetafel,3)</f>
        <v>39.24</v>
      </c>
      <c r="U38">
        <f>VLOOKUP(U37,Sterbetafel,10)</f>
        <v>45.67</v>
      </c>
      <c r="W38" s="2932"/>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3">
        <v>55</v>
      </c>
      <c r="CD38" s="522">
        <f t="shared" si="56"/>
        <v>234.7495391622391</v>
      </c>
      <c r="CE38" s="522">
        <f t="shared" si="56"/>
        <v>239.579278302879</v>
      </c>
      <c r="CF38" s="522">
        <f t="shared" si="56"/>
        <v>244.50969668589204</v>
      </c>
      <c r="CG38" s="522">
        <f t="shared" si="56"/>
        <v>249.54290941991076</v>
      </c>
      <c r="CH38" s="522">
        <f t="shared" si="56"/>
        <v>254.68107603221318</v>
      </c>
      <c r="CI38" s="522">
        <f t="shared" si="56"/>
        <v>259.92640139297748</v>
      </c>
      <c r="CJ38" s="522">
        <f t="shared" si="56"/>
        <v>265.28113665830057</v>
      </c>
      <c r="CK38" s="522">
        <f t="shared" si="56"/>
        <v>270.74758023260415</v>
      </c>
      <c r="CL38" s="522">
        <f t="shared" si="56"/>
        <v>276.32807875058552</v>
      </c>
      <c r="CM38" s="522">
        <f t="shared" si="56"/>
        <v>282.02502807931256</v>
      </c>
      <c r="CN38" s="522">
        <f t="shared" si="57"/>
        <v>287.84087434066936</v>
      </c>
      <c r="CO38" s="522">
        <f t="shared" si="57"/>
        <v>293.77811495474396</v>
      </c>
      <c r="CP38" s="522">
        <f t="shared" si="57"/>
        <v>299.83929970438834</v>
      </c>
      <c r="CQ38" s="522">
        <f t="shared" si="57"/>
        <v>306.02703182155801</v>
      </c>
      <c r="CR38" s="522">
        <f t="shared" si="57"/>
        <v>312.34396909568034</v>
      </c>
      <c r="CS38" s="522">
        <f t="shared" si="57"/>
        <v>318.79282500466593</v>
      </c>
      <c r="CT38" s="522">
        <f t="shared" si="57"/>
        <v>325.37636986884252</v>
      </c>
      <c r="CU38" s="522">
        <f t="shared" si="57"/>
        <v>332.09743202842799</v>
      </c>
      <c r="CV38" s="522">
        <f t="shared" si="57"/>
        <v>338.95889904484983</v>
      </c>
      <c r="CW38" s="526">
        <f t="shared" si="57"/>
        <v>345.96371892654417</v>
      </c>
      <c r="CX38" s="537"/>
    </row>
    <row r="39" spans="1:102" ht="14.25">
      <c r="A39" s="172">
        <v>26</v>
      </c>
      <c r="B39" s="2213">
        <v>99091</v>
      </c>
      <c r="C39" s="173">
        <v>52.78</v>
      </c>
      <c r="D39" s="172">
        <v>76</v>
      </c>
      <c r="E39" s="2213">
        <f t="shared" si="10"/>
        <v>64632</v>
      </c>
      <c r="F39" s="173">
        <f t="shared" si="10"/>
        <v>10.19</v>
      </c>
      <c r="G39" s="152"/>
      <c r="H39" s="172">
        <v>26</v>
      </c>
      <c r="I39" s="2213">
        <v>99375</v>
      </c>
      <c r="J39" s="173">
        <v>57.46</v>
      </c>
      <c r="K39" s="172">
        <v>76</v>
      </c>
      <c r="L39" s="2213">
        <f t="shared" si="11"/>
        <v>78532</v>
      </c>
      <c r="M39" s="173">
        <f t="shared" si="11"/>
        <v>12.21</v>
      </c>
      <c r="O39" s="2213">
        <f t="shared" si="6"/>
        <v>99233</v>
      </c>
      <c r="P39" s="173">
        <f t="shared" si="7"/>
        <v>55.120000000000005</v>
      </c>
      <c r="T39">
        <f>+T38+T37</f>
        <v>79.240000000000009</v>
      </c>
      <c r="U39">
        <f>+U38+U37</f>
        <v>83.67</v>
      </c>
      <c r="W39" s="2932"/>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3">
        <v>56</v>
      </c>
      <c r="CD39" s="521">
        <f t="shared" si="56"/>
        <v>233.58163100720313</v>
      </c>
      <c r="CE39" s="521">
        <f t="shared" si="56"/>
        <v>238.15037604659938</v>
      </c>
      <c r="CF39" s="521">
        <f t="shared" si="56"/>
        <v>242.81002650038934</v>
      </c>
      <c r="CG39" s="521">
        <f t="shared" si="56"/>
        <v>247.56241013880037</v>
      </c>
      <c r="CH39" s="521">
        <f t="shared" si="56"/>
        <v>252.40939150863539</v>
      </c>
      <c r="CI39" s="521">
        <f t="shared" si="56"/>
        <v>257.35287266631428</v>
      </c>
      <c r="CJ39" s="521">
        <f t="shared" si="56"/>
        <v>262.39479392512419</v>
      </c>
      <c r="CK39" s="521">
        <f t="shared" si="56"/>
        <v>267.53713461719781</v>
      </c>
      <c r="CL39" s="521">
        <f t="shared" si="56"/>
        <v>272.78191387027192</v>
      </c>
      <c r="CM39" s="521">
        <f t="shared" si="56"/>
        <v>278.1311913997165</v>
      </c>
      <c r="CN39" s="521">
        <f t="shared" si="57"/>
        <v>283.58706831593042</v>
      </c>
      <c r="CO39" s="521">
        <f t="shared" si="57"/>
        <v>289.15168794758262</v>
      </c>
      <c r="CP39" s="521">
        <f t="shared" si="57"/>
        <v>294.82723668081451</v>
      </c>
      <c r="CQ39" s="521">
        <f t="shared" si="57"/>
        <v>300.61594481489004</v>
      </c>
      <c r="CR39" s="521">
        <f t="shared" si="57"/>
        <v>306.52008743442627</v>
      </c>
      <c r="CS39" s="521">
        <f t="shared" si="57"/>
        <v>312.54198529869205</v>
      </c>
      <c r="CT39" s="521">
        <f t="shared" si="57"/>
        <v>318.68400574813188</v>
      </c>
      <c r="CU39" s="521">
        <f t="shared" si="57"/>
        <v>324.94856362859889</v>
      </c>
      <c r="CV39" s="521">
        <f t="shared" si="57"/>
        <v>331.33812223347979</v>
      </c>
      <c r="CW39" s="525">
        <f t="shared" si="57"/>
        <v>337.85519426420331</v>
      </c>
      <c r="CX39" s="537"/>
    </row>
    <row r="40" spans="1:102" ht="14.25">
      <c r="A40" s="163">
        <v>27</v>
      </c>
      <c r="B40" s="2214">
        <v>99046</v>
      </c>
      <c r="C40" s="179">
        <v>51.81</v>
      </c>
      <c r="D40" s="163">
        <v>77</v>
      </c>
      <c r="E40" s="2214">
        <f t="shared" si="10"/>
        <v>62047</v>
      </c>
      <c r="F40" s="179">
        <f t="shared" si="10"/>
        <v>9.59</v>
      </c>
      <c r="G40" s="152"/>
      <c r="H40" s="163">
        <v>27</v>
      </c>
      <c r="I40" s="2214">
        <v>99356</v>
      </c>
      <c r="J40" s="179">
        <v>56.48</v>
      </c>
      <c r="K40" s="163">
        <v>77</v>
      </c>
      <c r="L40" s="2214">
        <f t="shared" si="11"/>
        <v>76614</v>
      </c>
      <c r="M40" s="179">
        <f t="shared" si="11"/>
        <v>11.5</v>
      </c>
      <c r="O40" s="2214">
        <f t="shared" si="6"/>
        <v>99201</v>
      </c>
      <c r="P40" s="179">
        <f t="shared" si="7"/>
        <v>54.144999999999996</v>
      </c>
      <c r="U40">
        <f>VLOOKUP(U37,Sterbetafel,9)</f>
        <v>98971</v>
      </c>
      <c r="W40" s="2932"/>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3">
        <v>57</v>
      </c>
      <c r="CD40" s="522">
        <f t="shared" si="56"/>
        <v>232.41953334050066</v>
      </c>
      <c r="CE40" s="522">
        <f t="shared" si="56"/>
        <v>236.72999607017832</v>
      </c>
      <c r="CF40" s="522">
        <f t="shared" si="56"/>
        <v>241.12217130128045</v>
      </c>
      <c r="CG40" s="522">
        <f t="shared" si="56"/>
        <v>245.59762910595271</v>
      </c>
      <c r="CH40" s="522">
        <f t="shared" si="56"/>
        <v>250.15796978060996</v>
      </c>
      <c r="CI40" s="522">
        <f t="shared" si="56"/>
        <v>254.80482442209345</v>
      </c>
      <c r="CJ40" s="522">
        <f t="shared" si="56"/>
        <v>259.53985551446505</v>
      </c>
      <c r="CK40" s="522">
        <f t="shared" si="56"/>
        <v>264.36475752687528</v>
      </c>
      <c r="CL40" s="522">
        <f t="shared" si="56"/>
        <v>269.28125752247973</v>
      </c>
      <c r="CM40" s="522">
        <f t="shared" si="56"/>
        <v>274.29111577881304</v>
      </c>
      <c r="CN40" s="522">
        <f t="shared" si="57"/>
        <v>279.39612641963595</v>
      </c>
      <c r="CO40" s="522">
        <f t="shared" si="57"/>
        <v>284.59811805864433</v>
      </c>
      <c r="CP40" s="522">
        <f t="shared" si="57"/>
        <v>289.89895445507824</v>
      </c>
      <c r="CQ40" s="522">
        <f t="shared" si="57"/>
        <v>295.30053518162089</v>
      </c>
      <c r="CR40" s="522">
        <f t="shared" si="57"/>
        <v>300.80479630463816</v>
      </c>
      <c r="CS40" s="522">
        <f t="shared" si="57"/>
        <v>306.41371107714912</v>
      </c>
      <c r="CT40" s="522">
        <f t="shared" si="57"/>
        <v>312.12929064459536</v>
      </c>
      <c r="CU40" s="522">
        <f t="shared" si="57"/>
        <v>317.95358476379533</v>
      </c>
      <c r="CV40" s="522">
        <f t="shared" si="57"/>
        <v>323.88868253517091</v>
      </c>
      <c r="CW40" s="526">
        <f t="shared" si="57"/>
        <v>329.93671314863604</v>
      </c>
      <c r="CX40" s="537"/>
    </row>
    <row r="41" spans="1:102">
      <c r="A41" s="172">
        <v>28</v>
      </c>
      <c r="B41" s="2213">
        <v>98999</v>
      </c>
      <c r="C41" s="173">
        <v>50.83</v>
      </c>
      <c r="D41" s="172">
        <v>78</v>
      </c>
      <c r="E41" s="2213">
        <f t="shared" si="10"/>
        <v>59333</v>
      </c>
      <c r="F41" s="173">
        <f t="shared" si="10"/>
        <v>9.01</v>
      </c>
      <c r="G41" s="152"/>
      <c r="H41" s="172">
        <v>28</v>
      </c>
      <c r="I41" s="2213">
        <v>99336</v>
      </c>
      <c r="J41" s="173">
        <v>55.49</v>
      </c>
      <c r="K41" s="172">
        <v>78</v>
      </c>
      <c r="L41" s="2213">
        <f t="shared" si="11"/>
        <v>74537</v>
      </c>
      <c r="M41" s="173">
        <f t="shared" si="11"/>
        <v>10.8</v>
      </c>
      <c r="O41" s="2213">
        <f t="shared" si="6"/>
        <v>99167.5</v>
      </c>
      <c r="P41" s="173">
        <f t="shared" si="7"/>
        <v>53.16</v>
      </c>
      <c r="U41">
        <f>VLOOKUP(T37+T38,Sterbetafel,9)</f>
        <v>72292</v>
      </c>
      <c r="W41" s="2932"/>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727" t="s">
        <v>252</v>
      </c>
      <c r="BM41" s="2727"/>
      <c r="BN41" s="2727"/>
      <c r="BO41" s="2727"/>
      <c r="BP41" s="2727" t="s">
        <v>253</v>
      </c>
      <c r="BQ41" s="2727"/>
      <c r="BR41" s="2727"/>
      <c r="BS41" s="2727"/>
      <c r="BV41">
        <f t="shared" si="43"/>
        <v>85</v>
      </c>
      <c r="BW41">
        <f t="shared" si="38"/>
        <v>54194</v>
      </c>
      <c r="BX41" s="151">
        <f t="shared" si="44"/>
        <v>0.62161201151600654</v>
      </c>
      <c r="BY41" s="149">
        <f t="shared" si="45"/>
        <v>2574.6603933734009</v>
      </c>
      <c r="CC41" s="523">
        <v>58</v>
      </c>
      <c r="CD41" s="521">
        <f t="shared" si="56"/>
        <v>231.26321725422957</v>
      </c>
      <c r="CE41" s="521">
        <f t="shared" si="56"/>
        <v>235.31808754490891</v>
      </c>
      <c r="CF41" s="521">
        <f t="shared" si="56"/>
        <v>239.44604895857049</v>
      </c>
      <c r="CG41" s="521">
        <f t="shared" si="56"/>
        <v>243.6484415733658</v>
      </c>
      <c r="CH41" s="521">
        <f t="shared" si="56"/>
        <v>247.92663010962335</v>
      </c>
      <c r="CI41" s="521">
        <f t="shared" si="56"/>
        <v>252.28200437831035</v>
      </c>
      <c r="CJ41" s="521">
        <f t="shared" si="56"/>
        <v>256.71597973735425</v>
      </c>
      <c r="CK41" s="521">
        <f t="shared" si="56"/>
        <v>261.22999755620083</v>
      </c>
      <c r="CL41" s="521">
        <f t="shared" si="56"/>
        <v>265.82552568852884</v>
      </c>
      <c r="CM41" s="521">
        <f t="shared" si="56"/>
        <v>270.50405895346455</v>
      </c>
      <c r="CN41" s="521">
        <f t="shared" si="57"/>
        <v>275.26711962525712</v>
      </c>
      <c r="CO41" s="521">
        <f t="shared" si="57"/>
        <v>280.11625793173653</v>
      </c>
      <c r="CP41" s="521">
        <f t="shared" si="57"/>
        <v>285.05305256153224</v>
      </c>
      <c r="CQ41" s="521">
        <f t="shared" si="57"/>
        <v>290.07911118037413</v>
      </c>
      <c r="CR41" s="521">
        <f t="shared" si="57"/>
        <v>295.19607095646535</v>
      </c>
      <c r="CS41" s="521">
        <f t="shared" si="57"/>
        <v>300.40559909524421</v>
      </c>
      <c r="CT41" s="521">
        <f t="shared" si="57"/>
        <v>305.709393383541</v>
      </c>
      <c r="CU41" s="521">
        <f t="shared" si="57"/>
        <v>311.10918274343965</v>
      </c>
      <c r="CV41" s="521">
        <f t="shared" si="57"/>
        <v>316.60672779586605</v>
      </c>
      <c r="CW41" s="525">
        <f t="shared" si="57"/>
        <v>322.20382143421483</v>
      </c>
      <c r="CX41" s="537"/>
    </row>
    <row r="42" spans="1:102" ht="14.25">
      <c r="A42" s="163">
        <v>29</v>
      </c>
      <c r="B42" s="2214">
        <v>98951</v>
      </c>
      <c r="C42" s="179">
        <v>49.85</v>
      </c>
      <c r="D42" s="163">
        <v>79</v>
      </c>
      <c r="E42" s="2214">
        <f t="shared" si="10"/>
        <v>56488</v>
      </c>
      <c r="F42" s="179">
        <f t="shared" si="10"/>
        <v>8.43</v>
      </c>
      <c r="G42" s="152"/>
      <c r="H42" s="163">
        <v>29</v>
      </c>
      <c r="I42" s="2214">
        <v>99314</v>
      </c>
      <c r="J42" s="179">
        <v>54.5</v>
      </c>
      <c r="K42" s="163">
        <v>79</v>
      </c>
      <c r="L42" s="2214">
        <f t="shared" si="11"/>
        <v>72292</v>
      </c>
      <c r="M42" s="179">
        <f t="shared" si="11"/>
        <v>10.119999999999999</v>
      </c>
      <c r="O42" s="2214">
        <f t="shared" si="6"/>
        <v>99132.5</v>
      </c>
      <c r="P42" s="179">
        <f t="shared" si="7"/>
        <v>52.174999999999997</v>
      </c>
      <c r="T42">
        <f>+T38*U42</f>
        <v>28.66231603196896</v>
      </c>
      <c r="U42">
        <f>+U41/U40</f>
        <v>0.73043618837841384</v>
      </c>
      <c r="W42" s="2932"/>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3">
        <v>59</v>
      </c>
      <c r="CD42" s="522">
        <f t="shared" si="56"/>
        <v>230.112653984308</v>
      </c>
      <c r="CE42" s="522">
        <f t="shared" si="56"/>
        <v>233.91459994523743</v>
      </c>
      <c r="CF42" s="522">
        <f t="shared" si="56"/>
        <v>237.78157791317824</v>
      </c>
      <c r="CG42" s="522">
        <f t="shared" si="56"/>
        <v>241.71472378310096</v>
      </c>
      <c r="CH42" s="522">
        <f t="shared" si="56"/>
        <v>245.7151933692997</v>
      </c>
      <c r="CI42" s="522">
        <f t="shared" si="56"/>
        <v>249.7841627508023</v>
      </c>
      <c r="CJ42" s="522">
        <f t="shared" si="56"/>
        <v>253.92282862250664</v>
      </c>
      <c r="CK42" s="522">
        <f t="shared" si="56"/>
        <v>258.13240865237242</v>
      </c>
      <c r="CL42" s="522">
        <f t="shared" si="56"/>
        <v>262.4141418445497</v>
      </c>
      <c r="CM42" s="522">
        <f t="shared" si="56"/>
        <v>266.76928890874217</v>
      </c>
      <c r="CN42" s="522">
        <f t="shared" si="57"/>
        <v>271.19913263572136</v>
      </c>
      <c r="CO42" s="522">
        <f t="shared" si="57"/>
        <v>275.70497827926823</v>
      </c>
      <c r="CP42" s="522">
        <f t="shared" si="57"/>
        <v>280.28815394447616</v>
      </c>
      <c r="CQ42" s="522">
        <f t="shared" si="57"/>
        <v>284.9500109826858</v>
      </c>
      <c r="CR42" s="522">
        <f t="shared" si="57"/>
        <v>289.69192439299837</v>
      </c>
      <c r="CS42" s="522">
        <f t="shared" si="57"/>
        <v>294.51529323063158</v>
      </c>
      <c r="CT42" s="522">
        <f t="shared" si="57"/>
        <v>299.42154102207746</v>
      </c>
      <c r="CU42" s="522">
        <f t="shared" si="57"/>
        <v>304.41211618731865</v>
      </c>
      <c r="CV42" s="522">
        <f t="shared" si="57"/>
        <v>309.4884924690773</v>
      </c>
      <c r="CW42" s="526">
        <f t="shared" si="57"/>
        <v>314.65216936935047</v>
      </c>
      <c r="CX42" s="537"/>
    </row>
    <row r="43" spans="1:102" ht="14.25">
      <c r="A43" s="172">
        <v>30</v>
      </c>
      <c r="B43" s="2213">
        <v>98901</v>
      </c>
      <c r="C43" s="173">
        <v>48.88</v>
      </c>
      <c r="D43" s="172">
        <v>80</v>
      </c>
      <c r="E43" s="2213">
        <f t="shared" si="10"/>
        <v>53507</v>
      </c>
      <c r="F43" s="173">
        <f t="shared" si="10"/>
        <v>7.88</v>
      </c>
      <c r="G43" s="152"/>
      <c r="H43" s="172">
        <v>30</v>
      </c>
      <c r="I43" s="2213">
        <v>99289</v>
      </c>
      <c r="J43" s="173">
        <v>53.51</v>
      </c>
      <c r="K43" s="172">
        <v>80</v>
      </c>
      <c r="L43" s="2213">
        <f t="shared" si="11"/>
        <v>69865</v>
      </c>
      <c r="M43" s="173">
        <f t="shared" si="11"/>
        <v>9.4600000000000009</v>
      </c>
      <c r="O43" s="2213">
        <f t="shared" si="6"/>
        <v>99095</v>
      </c>
      <c r="P43" s="173">
        <f t="shared" si="7"/>
        <v>51.195</v>
      </c>
      <c r="R43" s="149">
        <f>-PMT(4%,14,120000)/12</f>
        <v>946.6897305639983</v>
      </c>
      <c r="W43" s="2932"/>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3">
        <v>60</v>
      </c>
      <c r="CD43" s="521">
        <f t="shared" ref="CD43:CM53" si="76">(((1+CD$12)^$CA$15-1)/CD$12)*$CA$18*(1+CD$12)^($CH$11-$CC43)*12</f>
        <v>228.96781490975926</v>
      </c>
      <c r="CE43" s="521">
        <f t="shared" si="76"/>
        <v>232.51948304695568</v>
      </c>
      <c r="CF43" s="521">
        <f t="shared" si="76"/>
        <v>236.12867717296746</v>
      </c>
      <c r="CG43" s="521">
        <f t="shared" si="76"/>
        <v>239.79635295942558</v>
      </c>
      <c r="CH43" s="521">
        <f t="shared" si="76"/>
        <v>243.52348203102051</v>
      </c>
      <c r="CI43" s="521">
        <f t="shared" si="76"/>
        <v>247.31105222851704</v>
      </c>
      <c r="CJ43" s="521">
        <f t="shared" si="76"/>
        <v>251.16006787587207</v>
      </c>
      <c r="CK43" s="521">
        <f t="shared" si="76"/>
        <v>255.07155005175139</v>
      </c>
      <c r="CL43" s="521">
        <f t="shared" si="76"/>
        <v>259.04653686530082</v>
      </c>
      <c r="CM43" s="521">
        <f t="shared" si="76"/>
        <v>263.08608373643204</v>
      </c>
      <c r="CN43" s="521">
        <f t="shared" ref="CN43:CW53" si="77">(((1+CN$12)^$CA$15-1)/CN$12)*$CA$18*(1+CN$12)^($CH$11-$CC43)*12</f>
        <v>267.19126368051366</v>
      </c>
      <c r="CO43" s="521">
        <f t="shared" si="77"/>
        <v>271.36316759770494</v>
      </c>
      <c r="CP43" s="521">
        <f t="shared" si="77"/>
        <v>275.60290456683981</v>
      </c>
      <c r="CQ43" s="521">
        <f t="shared" si="77"/>
        <v>279.91160214409217</v>
      </c>
      <c r="CR43" s="521">
        <f t="shared" si="77"/>
        <v>284.29040666633796</v>
      </c>
      <c r="CS43" s="521">
        <f t="shared" si="77"/>
        <v>288.74048355944268</v>
      </c>
      <c r="CT43" s="521">
        <f t="shared" si="77"/>
        <v>293.26301765139812</v>
      </c>
      <c r="CU43" s="521">
        <f t="shared" si="77"/>
        <v>297.859213490527</v>
      </c>
      <c r="CV43" s="521">
        <f t="shared" si="77"/>
        <v>302.53029566869725</v>
      </c>
      <c r="CW43" s="525">
        <f t="shared" si="77"/>
        <v>307.27750914975638</v>
      </c>
      <c r="CX43" s="537"/>
    </row>
    <row r="44" spans="1:102" ht="14.25">
      <c r="A44" s="163">
        <v>31</v>
      </c>
      <c r="B44" s="2214">
        <v>98847</v>
      </c>
      <c r="C44" s="179">
        <v>47.91</v>
      </c>
      <c r="D44" s="163">
        <v>81</v>
      </c>
      <c r="E44" s="2214">
        <f t="shared" si="10"/>
        <v>50386</v>
      </c>
      <c r="F44" s="179">
        <f t="shared" si="10"/>
        <v>7.33</v>
      </c>
      <c r="G44" s="152"/>
      <c r="H44" s="163">
        <v>31</v>
      </c>
      <c r="I44" s="2214">
        <v>99262</v>
      </c>
      <c r="J44" s="179">
        <v>52.53</v>
      </c>
      <c r="K44" s="163">
        <v>81</v>
      </c>
      <c r="L44" s="2214">
        <f t="shared" si="11"/>
        <v>67239</v>
      </c>
      <c r="M44" s="179">
        <f t="shared" si="11"/>
        <v>8.81</v>
      </c>
      <c r="O44" s="2214">
        <f t="shared" si="6"/>
        <v>99054.5</v>
      </c>
      <c r="P44" s="179">
        <f t="shared" si="7"/>
        <v>50.22</v>
      </c>
      <c r="W44" s="2932"/>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3">
        <v>61</v>
      </c>
      <c r="CD44" s="522">
        <f t="shared" si="76"/>
        <v>227.82867155199929</v>
      </c>
      <c r="CE44" s="522">
        <f t="shared" si="76"/>
        <v>231.13268692540328</v>
      </c>
      <c r="CF44" s="522">
        <f t="shared" si="76"/>
        <v>234.48726630880589</v>
      </c>
      <c r="CG44" s="522">
        <f t="shared" si="76"/>
        <v>237.89320730101736</v>
      </c>
      <c r="CH44" s="522">
        <f t="shared" si="76"/>
        <v>241.35132014967351</v>
      </c>
      <c r="CI44" s="522">
        <f t="shared" si="76"/>
        <v>244.86242794902688</v>
      </c>
      <c r="CJ44" s="522">
        <f t="shared" si="76"/>
        <v>248.42736684062521</v>
      </c>
      <c r="CK44" s="522">
        <f t="shared" si="76"/>
        <v>252.04698621714562</v>
      </c>
      <c r="CL44" s="522">
        <f t="shared" si="76"/>
        <v>255.72214892922096</v>
      </c>
      <c r="CM44" s="522">
        <f t="shared" si="76"/>
        <v>259.45373149549511</v>
      </c>
      <c r="CN44" s="522">
        <f t="shared" si="77"/>
        <v>263.24262431577705</v>
      </c>
      <c r="CO44" s="522">
        <f t="shared" si="77"/>
        <v>267.08973188750485</v>
      </c>
      <c r="CP44" s="522">
        <f t="shared" si="77"/>
        <v>270.99597302540792</v>
      </c>
      <c r="CQ44" s="522">
        <f t="shared" si="77"/>
        <v>274.96228108456984</v>
      </c>
      <c r="CR44" s="522">
        <f t="shared" si="77"/>
        <v>278.98960418678905</v>
      </c>
      <c r="CS44" s="522">
        <f t="shared" si="77"/>
        <v>283.07890545043409</v>
      </c>
      <c r="CT44" s="522">
        <f t="shared" si="77"/>
        <v>287.23116322370049</v>
      </c>
      <c r="CU44" s="522">
        <f t="shared" si="77"/>
        <v>291.44737132145497</v>
      </c>
      <c r="CV44" s="522">
        <f t="shared" si="77"/>
        <v>295.72853926558878</v>
      </c>
      <c r="CW44" s="526">
        <f t="shared" si="77"/>
        <v>300.07569252905887</v>
      </c>
      <c r="CX44" s="537"/>
    </row>
    <row r="45" spans="1:102" ht="14.25">
      <c r="A45" s="172">
        <v>32</v>
      </c>
      <c r="B45" s="2213">
        <v>98790</v>
      </c>
      <c r="C45" s="173">
        <v>46.93</v>
      </c>
      <c r="D45" s="172">
        <v>82</v>
      </c>
      <c r="E45" s="2213">
        <f t="shared" si="10"/>
        <v>47119</v>
      </c>
      <c r="F45" s="173">
        <f t="shared" si="10"/>
        <v>6.81</v>
      </c>
      <c r="G45" s="152"/>
      <c r="H45" s="172">
        <v>32</v>
      </c>
      <c r="I45" s="2213">
        <v>99232</v>
      </c>
      <c r="J45" s="173">
        <v>51.54</v>
      </c>
      <c r="K45" s="172">
        <v>82</v>
      </c>
      <c r="L45" s="2213">
        <f t="shared" si="11"/>
        <v>64390</v>
      </c>
      <c r="M45" s="173">
        <f t="shared" si="11"/>
        <v>8.18</v>
      </c>
      <c r="O45" s="2213">
        <f t="shared" si="6"/>
        <v>99011</v>
      </c>
      <c r="P45" s="173">
        <f t="shared" si="7"/>
        <v>49.234999999999999</v>
      </c>
      <c r="W45" s="2932"/>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3">
        <v>62</v>
      </c>
      <c r="CD45" s="521">
        <f t="shared" si="76"/>
        <v>226.69519557412866</v>
      </c>
      <c r="CE45" s="521">
        <f t="shared" si="76"/>
        <v>229.7541619536812</v>
      </c>
      <c r="CF45" s="521">
        <f t="shared" si="76"/>
        <v>232.85726545065137</v>
      </c>
      <c r="CG45" s="521">
        <f t="shared" si="76"/>
        <v>236.0051659732315</v>
      </c>
      <c r="CH45" s="521">
        <f t="shared" si="76"/>
        <v>239.19853334952776</v>
      </c>
      <c r="CI45" s="521">
        <f t="shared" si="76"/>
        <v>242.43804747428396</v>
      </c>
      <c r="CJ45" s="521">
        <f t="shared" si="76"/>
        <v>245.72439845759169</v>
      </c>
      <c r="CK45" s="521">
        <f t="shared" si="76"/>
        <v>249.0582867758356</v>
      </c>
      <c r="CL45" s="521">
        <f t="shared" si="76"/>
        <v>252.44042342469982</v>
      </c>
      <c r="CM45" s="521">
        <f t="shared" si="76"/>
        <v>255.87153007445278</v>
      </c>
      <c r="CN45" s="521">
        <f t="shared" si="77"/>
        <v>259.3523392273666</v>
      </c>
      <c r="CO45" s="521">
        <f t="shared" si="77"/>
        <v>262.88359437746539</v>
      </c>
      <c r="CP45" s="521">
        <f t="shared" si="77"/>
        <v>266.46605017247589</v>
      </c>
      <c r="CQ45" s="521">
        <f t="shared" si="77"/>
        <v>270.10047257816296</v>
      </c>
      <c r="CR45" s="521">
        <f t="shared" si="77"/>
        <v>273.78763904493519</v>
      </c>
      <c r="CS45" s="521">
        <f t="shared" si="77"/>
        <v>277.52833867689617</v>
      </c>
      <c r="CT45" s="521">
        <f t="shared" si="77"/>
        <v>281.32337240323261</v>
      </c>
      <c r="CU45" s="521">
        <f t="shared" si="77"/>
        <v>285.17355315210864</v>
      </c>
      <c r="CV45" s="521">
        <f t="shared" si="77"/>
        <v>289.07970602696855</v>
      </c>
      <c r="CW45" s="525">
        <f t="shared" si="77"/>
        <v>293.04266848540908</v>
      </c>
      <c r="CX45" s="537"/>
    </row>
    <row r="46" spans="1:102" ht="14.25">
      <c r="A46" s="163">
        <v>33</v>
      </c>
      <c r="B46" s="2214">
        <v>98727</v>
      </c>
      <c r="C46" s="179">
        <v>45.96</v>
      </c>
      <c r="D46" s="163">
        <v>83</v>
      </c>
      <c r="E46" s="2214">
        <f t="shared" si="10"/>
        <v>43701</v>
      </c>
      <c r="F46" s="179">
        <f t="shared" si="10"/>
        <v>6.3</v>
      </c>
      <c r="G46" s="152"/>
      <c r="H46" s="163">
        <v>33</v>
      </c>
      <c r="I46" s="2214">
        <v>99198</v>
      </c>
      <c r="J46" s="179">
        <v>50.56</v>
      </c>
      <c r="K46" s="163">
        <v>83</v>
      </c>
      <c r="L46" s="2214">
        <f t="shared" si="11"/>
        <v>61287</v>
      </c>
      <c r="M46" s="179">
        <f t="shared" si="11"/>
        <v>7.57</v>
      </c>
      <c r="O46" s="2214">
        <f t="shared" si="6"/>
        <v>98962.5</v>
      </c>
      <c r="P46" s="179">
        <f t="shared" si="7"/>
        <v>48.260000000000005</v>
      </c>
      <c r="W46" s="2932"/>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3">
        <v>63</v>
      </c>
      <c r="CD46" s="522">
        <f t="shared" si="76"/>
        <v>225.56735878022755</v>
      </c>
      <c r="CE46" s="522">
        <f t="shared" si="76"/>
        <v>228.38385880087597</v>
      </c>
      <c r="CF46" s="522">
        <f t="shared" si="76"/>
        <v>231.23859528366569</v>
      </c>
      <c r="CG46" s="522">
        <f t="shared" si="76"/>
        <v>234.1321091004281</v>
      </c>
      <c r="CH46" s="522">
        <f t="shared" si="76"/>
        <v>237.06494881023565</v>
      </c>
      <c r="CI46" s="522">
        <f t="shared" si="76"/>
        <v>240.03767076661779</v>
      </c>
      <c r="CJ46" s="522">
        <f t="shared" si="76"/>
        <v>243.05083922610459</v>
      </c>
      <c r="CK46" s="522">
        <f t="shared" si="76"/>
        <v>246.1050264583356</v>
      </c>
      <c r="CL46" s="522">
        <f t="shared" si="76"/>
        <v>249.20081285755171</v>
      </c>
      <c r="CM46" s="522">
        <f t="shared" si="76"/>
        <v>252.33878705567332</v>
      </c>
      <c r="CN46" s="522">
        <f t="shared" si="77"/>
        <v>255.5195460368144</v>
      </c>
      <c r="CO46" s="522">
        <f t="shared" si="77"/>
        <v>258.74369525341081</v>
      </c>
      <c r="CP46" s="522">
        <f t="shared" si="77"/>
        <v>262.0118487438308</v>
      </c>
      <c r="CQ46" s="522">
        <f t="shared" si="77"/>
        <v>265.32462925163355</v>
      </c>
      <c r="CR46" s="522">
        <f t="shared" si="77"/>
        <v>268.68266834635449</v>
      </c>
      <c r="CS46" s="522">
        <f t="shared" si="77"/>
        <v>272.08660654597657</v>
      </c>
      <c r="CT46" s="522">
        <f t="shared" si="77"/>
        <v>275.53709344097223</v>
      </c>
      <c r="CU46" s="522">
        <f t="shared" si="77"/>
        <v>279.03478782006715</v>
      </c>
      <c r="CV46" s="522">
        <f t="shared" si="77"/>
        <v>282.58035779762326</v>
      </c>
      <c r="CW46" s="526">
        <f t="shared" si="77"/>
        <v>286.17448094278234</v>
      </c>
      <c r="CX46" s="537"/>
    </row>
    <row r="47" spans="1:102" thickBot="1">
      <c r="A47" s="172">
        <v>34</v>
      </c>
      <c r="B47" s="2213">
        <v>98658</v>
      </c>
      <c r="C47" s="173">
        <v>44.99</v>
      </c>
      <c r="D47" s="172">
        <v>84</v>
      </c>
      <c r="E47" s="2213">
        <f t="shared" si="10"/>
        <v>40132</v>
      </c>
      <c r="F47" s="173">
        <f t="shared" si="10"/>
        <v>5.82</v>
      </c>
      <c r="G47" s="152"/>
      <c r="H47" s="172">
        <v>34</v>
      </c>
      <c r="I47" s="2213">
        <v>99161</v>
      </c>
      <c r="J47" s="173">
        <v>49.58</v>
      </c>
      <c r="K47" s="172">
        <v>84</v>
      </c>
      <c r="L47" s="2213">
        <f t="shared" si="11"/>
        <v>57897</v>
      </c>
      <c r="M47" s="173">
        <f t="shared" si="11"/>
        <v>6.98</v>
      </c>
      <c r="O47" s="2213">
        <f t="shared" si="6"/>
        <v>98909.5</v>
      </c>
      <c r="P47" s="173">
        <f t="shared" si="7"/>
        <v>47.284999999999997</v>
      </c>
      <c r="W47" s="2933"/>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3">
        <v>64</v>
      </c>
      <c r="CD47" s="521">
        <f t="shared" si="76"/>
        <v>224.44513311465437</v>
      </c>
      <c r="CE47" s="521">
        <f t="shared" si="76"/>
        <v>227.02172843029416</v>
      </c>
      <c r="CF47" s="521">
        <f t="shared" si="76"/>
        <v>229.63117704435524</v>
      </c>
      <c r="CG47" s="521">
        <f t="shared" si="76"/>
        <v>232.27391775836122</v>
      </c>
      <c r="CH47" s="521">
        <f t="shared" si="76"/>
        <v>234.95039525295903</v>
      </c>
      <c r="CI47" s="521">
        <f t="shared" si="76"/>
        <v>237.66106016496812</v>
      </c>
      <c r="CJ47" s="521">
        <f t="shared" si="76"/>
        <v>240.40636916528643</v>
      </c>
      <c r="CK47" s="521">
        <f t="shared" si="76"/>
        <v>243.18678503788101</v>
      </c>
      <c r="CL47" s="521">
        <f t="shared" si="76"/>
        <v>246.0027767596759</v>
      </c>
      <c r="CM47" s="521">
        <f t="shared" si="76"/>
        <v>248.85481958153187</v>
      </c>
      <c r="CN47" s="521">
        <f t="shared" si="77"/>
        <v>251.743395110162</v>
      </c>
      <c r="CO47" s="521">
        <f t="shared" si="77"/>
        <v>254.66899139115236</v>
      </c>
      <c r="CP47" s="521">
        <f t="shared" si="77"/>
        <v>257.63210299295065</v>
      </c>
      <c r="CQ47" s="521">
        <f t="shared" si="77"/>
        <v>260.6332310919779</v>
      </c>
      <c r="CR47" s="521">
        <f t="shared" si="77"/>
        <v>263.67288355873848</v>
      </c>
      <c r="CS47" s="521">
        <f t="shared" si="77"/>
        <v>266.75157504507507</v>
      </c>
      <c r="CT47" s="521">
        <f t="shared" si="77"/>
        <v>269.86982707245079</v>
      </c>
      <c r="CU47" s="521">
        <f t="shared" si="77"/>
        <v>273.02816812139645</v>
      </c>
      <c r="CV47" s="521">
        <f t="shared" si="77"/>
        <v>276.2271337220169</v>
      </c>
      <c r="CW47" s="525">
        <f t="shared" si="77"/>
        <v>279.4672665456859</v>
      </c>
      <c r="CX47" s="537"/>
    </row>
    <row r="48" spans="1:102" ht="14.25">
      <c r="A48" s="163">
        <v>35</v>
      </c>
      <c r="B48" s="2214">
        <v>98583</v>
      </c>
      <c r="C48" s="179">
        <v>44.03</v>
      </c>
      <c r="D48" s="163">
        <v>85</v>
      </c>
      <c r="E48" s="2214">
        <f t="shared" si="10"/>
        <v>36423</v>
      </c>
      <c r="F48" s="179">
        <f t="shared" si="10"/>
        <v>5.36</v>
      </c>
      <c r="G48" s="152"/>
      <c r="H48" s="163">
        <v>35</v>
      </c>
      <c r="I48" s="2214">
        <v>99120</v>
      </c>
      <c r="J48" s="179">
        <v>48.6</v>
      </c>
      <c r="K48" s="163">
        <v>85</v>
      </c>
      <c r="L48" s="2214">
        <f t="shared" si="11"/>
        <v>54194</v>
      </c>
      <c r="M48" s="179">
        <f t="shared" si="11"/>
        <v>6.42</v>
      </c>
      <c r="O48" s="2214">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3">
        <v>65</v>
      </c>
      <c r="CD48" s="522">
        <f t="shared" si="76"/>
        <v>223.32849066134767</v>
      </c>
      <c r="CE48" s="522">
        <f t="shared" si="76"/>
        <v>225.66772209770795</v>
      </c>
      <c r="CF48" s="522">
        <f t="shared" si="76"/>
        <v>228.03493251673811</v>
      </c>
      <c r="CG48" s="522">
        <f t="shared" si="76"/>
        <v>230.43047396662817</v>
      </c>
      <c r="CH48" s="522">
        <f t="shared" si="76"/>
        <v>232.8547029266195</v>
      </c>
      <c r="CI48" s="522">
        <f t="shared" si="76"/>
        <v>235.30798036135457</v>
      </c>
      <c r="CJ48" s="522">
        <f t="shared" si="76"/>
        <v>237.79067177575314</v>
      </c>
      <c r="CK48" s="522">
        <f t="shared" si="76"/>
        <v>240.30314727063342</v>
      </c>
      <c r="CL48" s="522">
        <f t="shared" si="76"/>
        <v>242.84578159889037</v>
      </c>
      <c r="CM48" s="522">
        <f t="shared" si="76"/>
        <v>245.41895422241799</v>
      </c>
      <c r="CN48" s="522">
        <f t="shared" si="77"/>
        <v>248.02304936961778</v>
      </c>
      <c r="CO48" s="522">
        <f t="shared" si="77"/>
        <v>250.65845609365394</v>
      </c>
      <c r="CP48" s="522">
        <f t="shared" si="77"/>
        <v>253.32556833131827</v>
      </c>
      <c r="CQ48" s="522">
        <f t="shared" si="77"/>
        <v>256.02478496265019</v>
      </c>
      <c r="CR48" s="522">
        <f t="shared" si="77"/>
        <v>258.75650987118593</v>
      </c>
      <c r="CS48" s="522">
        <f t="shared" si="77"/>
        <v>261.52115200497559</v>
      </c>
      <c r="CT48" s="522">
        <f t="shared" si="77"/>
        <v>264.31912543824762</v>
      </c>
      <c r="CU48" s="522">
        <f t="shared" si="77"/>
        <v>267.1508494338517</v>
      </c>
      <c r="CV48" s="522">
        <f t="shared" si="77"/>
        <v>270.01674850637039</v>
      </c>
      <c r="CW48" s="526">
        <f t="shared" si="77"/>
        <v>272.91725248602137</v>
      </c>
      <c r="CX48" s="537"/>
    </row>
    <row r="49" spans="1:102" ht="14.25">
      <c r="A49" s="172">
        <v>36</v>
      </c>
      <c r="B49" s="2213">
        <v>98500</v>
      </c>
      <c r="C49" s="173">
        <v>43.06</v>
      </c>
      <c r="D49" s="172">
        <v>86</v>
      </c>
      <c r="E49" s="2213">
        <f t="shared" si="10"/>
        <v>32604</v>
      </c>
      <c r="F49" s="173">
        <f t="shared" si="10"/>
        <v>4.93</v>
      </c>
      <c r="G49" s="152"/>
      <c r="H49" s="172">
        <v>36</v>
      </c>
      <c r="I49" s="2213">
        <v>99075</v>
      </c>
      <c r="J49" s="173">
        <v>47.62</v>
      </c>
      <c r="K49" s="172">
        <v>86</v>
      </c>
      <c r="L49" s="2213">
        <f t="shared" si="11"/>
        <v>50170</v>
      </c>
      <c r="M49" s="173">
        <f t="shared" si="11"/>
        <v>5.9</v>
      </c>
      <c r="O49" s="2213">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3">
        <v>66</v>
      </c>
      <c r="CD49" s="521">
        <f t="shared" si="76"/>
        <v>222.217403643132</v>
      </c>
      <c r="CE49" s="521">
        <f t="shared" si="76"/>
        <v>224.32179134961029</v>
      </c>
      <c r="CF49" s="521">
        <f t="shared" si="76"/>
        <v>226.44978402853837</v>
      </c>
      <c r="CG49" s="521">
        <f t="shared" si="76"/>
        <v>228.60166068117871</v>
      </c>
      <c r="CH49" s="521">
        <f t="shared" si="76"/>
        <v>230.77770359427109</v>
      </c>
      <c r="CI49" s="521">
        <f t="shared" si="76"/>
        <v>232.97819837757879</v>
      </c>
      <c r="CJ49" s="521">
        <f t="shared" si="76"/>
        <v>235.20343400173414</v>
      </c>
      <c r="CK49" s="521">
        <f t="shared" si="76"/>
        <v>237.45370283659429</v>
      </c>
      <c r="CL49" s="521">
        <f t="shared" si="76"/>
        <v>239.72930068992139</v>
      </c>
      <c r="CM49" s="521">
        <f t="shared" si="76"/>
        <v>242.03052684656603</v>
      </c>
      <c r="CN49" s="521">
        <f t="shared" si="77"/>
        <v>244.35768410799784</v>
      </c>
      <c r="CO49" s="521">
        <f t="shared" si="77"/>
        <v>246.71107883233651</v>
      </c>
      <c r="CP49" s="521">
        <f t="shared" si="77"/>
        <v>249.09102097474761</v>
      </c>
      <c r="CQ49" s="521">
        <f t="shared" si="77"/>
        <v>251.49782412834008</v>
      </c>
      <c r="CR49" s="521">
        <f t="shared" si="77"/>
        <v>253.93180556544257</v>
      </c>
      <c r="CS49" s="521">
        <f t="shared" si="77"/>
        <v>256.39328627938784</v>
      </c>
      <c r="CT49" s="521">
        <f t="shared" si="77"/>
        <v>258.88259102668724</v>
      </c>
      <c r="CU49" s="521">
        <f t="shared" si="77"/>
        <v>261.40004836971787</v>
      </c>
      <c r="CV49" s="521">
        <f t="shared" si="77"/>
        <v>263.94599071981469</v>
      </c>
      <c r="CW49" s="525">
        <f t="shared" si="77"/>
        <v>266.52075438088025</v>
      </c>
      <c r="CX49" s="537"/>
    </row>
    <row r="50" spans="1:102" ht="14.25">
      <c r="A50" s="163">
        <v>37</v>
      </c>
      <c r="B50" s="2214">
        <v>98409</v>
      </c>
      <c r="C50" s="179">
        <v>42.1</v>
      </c>
      <c r="D50" s="163">
        <v>87</v>
      </c>
      <c r="E50" s="2214">
        <f t="shared" si="10"/>
        <v>28721</v>
      </c>
      <c r="F50" s="179">
        <f t="shared" si="10"/>
        <v>4.5199999999999996</v>
      </c>
      <c r="G50" s="152"/>
      <c r="H50" s="163">
        <v>37</v>
      </c>
      <c r="I50" s="2214">
        <v>99026</v>
      </c>
      <c r="J50" s="179">
        <v>46.64</v>
      </c>
      <c r="K50" s="163">
        <v>87</v>
      </c>
      <c r="L50" s="2214">
        <f t="shared" si="11"/>
        <v>45840</v>
      </c>
      <c r="M50" s="179">
        <f t="shared" si="11"/>
        <v>5.41</v>
      </c>
      <c r="O50" s="2214">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3">
        <v>67</v>
      </c>
      <c r="CD50" s="522">
        <f t="shared" si="76"/>
        <v>221.11184442102692</v>
      </c>
      <c r="CE50" s="522">
        <f t="shared" si="76"/>
        <v>222.98388802148139</v>
      </c>
      <c r="CF50" s="522">
        <f t="shared" si="76"/>
        <v>224.87565444740653</v>
      </c>
      <c r="CG50" s="522">
        <f t="shared" si="76"/>
        <v>226.78736178688365</v>
      </c>
      <c r="CH50" s="522">
        <f t="shared" si="76"/>
        <v>228.71923051959476</v>
      </c>
      <c r="CI50" s="522">
        <f t="shared" si="76"/>
        <v>230.6714835421572</v>
      </c>
      <c r="CJ50" s="522">
        <f t="shared" si="76"/>
        <v>232.64434619360446</v>
      </c>
      <c r="CK50" s="522">
        <f t="shared" si="76"/>
        <v>234.63804628121966</v>
      </c>
      <c r="CL50" s="522">
        <f t="shared" si="76"/>
        <v>236.65281410653643</v>
      </c>
      <c r="CM50" s="522">
        <f t="shared" si="76"/>
        <v>238.68888249168248</v>
      </c>
      <c r="CN50" s="522">
        <f t="shared" si="77"/>
        <v>240.74648680590923</v>
      </c>
      <c r="CO50" s="522">
        <f t="shared" si="77"/>
        <v>242.82586499245721</v>
      </c>
      <c r="CP50" s="522">
        <f t="shared" si="77"/>
        <v>244.92725759562205</v>
      </c>
      <c r="CQ50" s="522">
        <f t="shared" si="77"/>
        <v>247.05090778815332</v>
      </c>
      <c r="CR50" s="522">
        <f t="shared" si="77"/>
        <v>249.19706139886415</v>
      </c>
      <c r="CS50" s="522">
        <f t="shared" si="77"/>
        <v>251.3659669405763</v>
      </c>
      <c r="CT50" s="522">
        <f t="shared" si="77"/>
        <v>253.55787563828329</v>
      </c>
      <c r="CU50" s="522">
        <f t="shared" si="77"/>
        <v>255.77304145764958</v>
      </c>
      <c r="CV50" s="522">
        <f t="shared" si="77"/>
        <v>258.01172113373866</v>
      </c>
      <c r="CW50" s="526">
        <f t="shared" si="77"/>
        <v>260.27417420007833</v>
      </c>
      <c r="CX50" s="537"/>
    </row>
    <row r="51" spans="1:102" ht="14.25">
      <c r="A51" s="172">
        <v>38</v>
      </c>
      <c r="B51" s="2213">
        <v>98310</v>
      </c>
      <c r="C51" s="173">
        <v>41.15</v>
      </c>
      <c r="D51" s="172">
        <v>88</v>
      </c>
      <c r="E51" s="2213">
        <f t="shared" si="10"/>
        <v>24840</v>
      </c>
      <c r="F51" s="173">
        <f t="shared" si="10"/>
        <v>4.1500000000000004</v>
      </c>
      <c r="G51" s="152"/>
      <c r="H51" s="172">
        <v>38</v>
      </c>
      <c r="I51" s="2213">
        <v>98971</v>
      </c>
      <c r="J51" s="173">
        <v>45.67</v>
      </c>
      <c r="K51" s="172">
        <v>88</v>
      </c>
      <c r="L51" s="2213">
        <f t="shared" si="11"/>
        <v>41247</v>
      </c>
      <c r="M51" s="173">
        <f t="shared" si="11"/>
        <v>4.95</v>
      </c>
      <c r="O51" s="2213">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3">
        <v>68</v>
      </c>
      <c r="CD51" s="521">
        <f t="shared" si="76"/>
        <v>220.01178549355916</v>
      </c>
      <c r="CE51" s="521">
        <f t="shared" si="76"/>
        <v>221.65396423606501</v>
      </c>
      <c r="CF51" s="521">
        <f t="shared" si="76"/>
        <v>223.31246717716641</v>
      </c>
      <c r="CG51" s="521">
        <f t="shared" si="76"/>
        <v>224.98746209016235</v>
      </c>
      <c r="CH51" s="521">
        <f t="shared" si="76"/>
        <v>226.67911845351318</v>
      </c>
      <c r="CI51" s="521">
        <f t="shared" si="76"/>
        <v>228.38760746748241</v>
      </c>
      <c r="CJ51" s="521">
        <f t="shared" si="76"/>
        <v>230.11310207082545</v>
      </c>
      <c r="CK51" s="521">
        <f t="shared" si="76"/>
        <v>231.85577695772696</v>
      </c>
      <c r="CL51" s="521">
        <f t="shared" si="76"/>
        <v>233.61580859480401</v>
      </c>
      <c r="CM51" s="521">
        <f t="shared" si="76"/>
        <v>235.39337523834564</v>
      </c>
      <c r="CN51" s="521">
        <f t="shared" si="77"/>
        <v>237.18865695163475</v>
      </c>
      <c r="CO51" s="521">
        <f t="shared" si="77"/>
        <v>239.00183562249728</v>
      </c>
      <c r="CP51" s="521">
        <f t="shared" si="77"/>
        <v>240.83309498094599</v>
      </c>
      <c r="CQ51" s="521">
        <f t="shared" si="77"/>
        <v>242.6826206170465</v>
      </c>
      <c r="CR51" s="521">
        <f t="shared" si="77"/>
        <v>244.55059999888539</v>
      </c>
      <c r="CS51" s="521">
        <f t="shared" si="77"/>
        <v>246.43722249076109</v>
      </c>
      <c r="CT51" s="521">
        <f t="shared" si="77"/>
        <v>248.34267937148218</v>
      </c>
      <c r="CU51" s="521">
        <f t="shared" si="77"/>
        <v>250.26716385288609</v>
      </c>
      <c r="CV51" s="521">
        <f t="shared" si="77"/>
        <v>252.21087109847383</v>
      </c>
      <c r="CW51" s="525">
        <f t="shared" si="77"/>
        <v>254.17399824226402</v>
      </c>
      <c r="CX51" s="537"/>
    </row>
    <row r="52" spans="1:102" ht="14.25">
      <c r="A52" s="163">
        <v>39</v>
      </c>
      <c r="B52" s="2214">
        <v>98202</v>
      </c>
      <c r="C52" s="179">
        <v>40.19</v>
      </c>
      <c r="D52" s="163">
        <v>89</v>
      </c>
      <c r="E52" s="2214">
        <f t="shared" si="10"/>
        <v>21043</v>
      </c>
      <c r="F52" s="179">
        <f t="shared" si="10"/>
        <v>3.81</v>
      </c>
      <c r="G52" s="152"/>
      <c r="H52" s="163">
        <v>39</v>
      </c>
      <c r="I52" s="2214">
        <v>98912</v>
      </c>
      <c r="J52" s="179">
        <v>44.7</v>
      </c>
      <c r="K52" s="163">
        <v>89</v>
      </c>
      <c r="L52" s="2214">
        <f t="shared" si="11"/>
        <v>36472</v>
      </c>
      <c r="M52" s="179">
        <f t="shared" si="11"/>
        <v>4.54</v>
      </c>
      <c r="O52" s="2214">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3">
        <v>69</v>
      </c>
      <c r="CD52" s="522">
        <f t="shared" si="76"/>
        <v>218.91719949607881</v>
      </c>
      <c r="CE52" s="522">
        <f t="shared" si="76"/>
        <v>220.33197240165509</v>
      </c>
      <c r="CF52" s="522">
        <f t="shared" si="76"/>
        <v>221.76014615408783</v>
      </c>
      <c r="CG52" s="522">
        <f t="shared" si="76"/>
        <v>223.20184731166898</v>
      </c>
      <c r="CH52" s="522">
        <f t="shared" si="76"/>
        <v>224.65720362092483</v>
      </c>
      <c r="CI52" s="522">
        <f t="shared" si="76"/>
        <v>226.12634402721028</v>
      </c>
      <c r="CJ52" s="522">
        <f t="shared" si="76"/>
        <v>227.60939868528732</v>
      </c>
      <c r="CK52" s="522">
        <f t="shared" si="76"/>
        <v>229.10649897008591</v>
      </c>
      <c r="CL52" s="522">
        <f t="shared" si="76"/>
        <v>230.61777748746692</v>
      </c>
      <c r="CM52" s="522">
        <f t="shared" si="76"/>
        <v>232.14336808515344</v>
      </c>
      <c r="CN52" s="522">
        <f t="shared" si="77"/>
        <v>233.68340586367961</v>
      </c>
      <c r="CO52" s="522">
        <f t="shared" si="77"/>
        <v>235.23802718749727</v>
      </c>
      <c r="CP52" s="522">
        <f t="shared" si="77"/>
        <v>236.80736969611209</v>
      </c>
      <c r="CQ52" s="522">
        <f t="shared" si="77"/>
        <v>238.39157231536984</v>
      </c>
      <c r="CR52" s="522">
        <f t="shared" si="77"/>
        <v>239.99077526877858</v>
      </c>
      <c r="CS52" s="522">
        <f t="shared" si="77"/>
        <v>241.60512008898149</v>
      </c>
      <c r="CT52" s="522">
        <f t="shared" si="77"/>
        <v>243.23474962926764</v>
      </c>
      <c r="CU52" s="522">
        <f t="shared" si="77"/>
        <v>244.87980807523101</v>
      </c>
      <c r="CV52" s="522">
        <f t="shared" si="77"/>
        <v>246.54044095647492</v>
      </c>
      <c r="CW52" s="526">
        <f t="shared" si="77"/>
        <v>248.21679515846097</v>
      </c>
      <c r="CX52" s="537"/>
    </row>
    <row r="53" spans="1:102" thickBot="1">
      <c r="A53" s="172">
        <v>40</v>
      </c>
      <c r="B53" s="2213">
        <v>98084</v>
      </c>
      <c r="C53" s="173">
        <v>39.24</v>
      </c>
      <c r="D53" s="172">
        <v>90</v>
      </c>
      <c r="E53" s="2213">
        <f t="shared" si="10"/>
        <v>17418</v>
      </c>
      <c r="F53" s="173">
        <f t="shared" si="10"/>
        <v>3.5</v>
      </c>
      <c r="G53" s="152"/>
      <c r="H53" s="172">
        <v>40</v>
      </c>
      <c r="I53" s="2213">
        <v>98848</v>
      </c>
      <c r="J53" s="173">
        <v>43.73</v>
      </c>
      <c r="K53" s="172">
        <v>90</v>
      </c>
      <c r="L53" s="2213">
        <f t="shared" si="11"/>
        <v>31623</v>
      </c>
      <c r="M53" s="173">
        <f t="shared" si="11"/>
        <v>4.1500000000000004</v>
      </c>
      <c r="O53" s="2213">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27">
        <v>70</v>
      </c>
      <c r="CD53" s="528">
        <f t="shared" si="76"/>
        <v>217.82805920007843</v>
      </c>
      <c r="CE53" s="528">
        <f t="shared" si="76"/>
        <v>219.01786521039273</v>
      </c>
      <c r="CF53" s="528">
        <f t="shared" si="76"/>
        <v>220.21861584318557</v>
      </c>
      <c r="CG53" s="528">
        <f t="shared" si="76"/>
        <v>221.43040407903663</v>
      </c>
      <c r="CH53" s="528">
        <f t="shared" si="76"/>
        <v>222.65332370755692</v>
      </c>
      <c r="CI53" s="528">
        <f t="shared" si="76"/>
        <v>223.88746933387159</v>
      </c>
      <c r="CJ53" s="528">
        <f t="shared" si="76"/>
        <v>225.13293638505172</v>
      </c>
      <c r="CK53" s="528">
        <f t="shared" si="76"/>
        <v>226.38982111668565</v>
      </c>
      <c r="CL53" s="528">
        <f t="shared" si="76"/>
        <v>227.65822061941458</v>
      </c>
      <c r="CM53" s="528">
        <f t="shared" si="76"/>
        <v>228.93823282559509</v>
      </c>
      <c r="CN53" s="528">
        <f t="shared" si="77"/>
        <v>230.22995651594053</v>
      </c>
      <c r="CO53" s="528">
        <f t="shared" si="77"/>
        <v>231.53349132627687</v>
      </c>
      <c r="CP53" s="528">
        <f t="shared" si="77"/>
        <v>232.84893775428924</v>
      </c>
      <c r="CQ53" s="528">
        <f t="shared" si="77"/>
        <v>234.17639716637507</v>
      </c>
      <c r="CR53" s="528">
        <f t="shared" si="77"/>
        <v>235.5159718044932</v>
      </c>
      <c r="CS53" s="528">
        <f t="shared" si="77"/>
        <v>236.86776479311908</v>
      </c>
      <c r="CT53" s="528">
        <f t="shared" si="77"/>
        <v>238.23188014619748</v>
      </c>
      <c r="CU53" s="528">
        <f t="shared" si="77"/>
        <v>239.60842277419863</v>
      </c>
      <c r="CV53" s="528">
        <f t="shared" si="77"/>
        <v>240.99749849117785</v>
      </c>
      <c r="CW53" s="529">
        <f t="shared" si="77"/>
        <v>242.39921402193451</v>
      </c>
      <c r="CX53" s="537"/>
    </row>
    <row r="54" spans="1:102" ht="14.25" customHeight="1">
      <c r="A54" s="163">
        <v>41</v>
      </c>
      <c r="B54" s="2214">
        <v>97955</v>
      </c>
      <c r="C54" s="179">
        <v>38.29</v>
      </c>
      <c r="D54" s="163">
        <v>91</v>
      </c>
      <c r="E54" s="2214">
        <f t="shared" si="10"/>
        <v>14055</v>
      </c>
      <c r="F54" s="179">
        <f t="shared" si="10"/>
        <v>3.22</v>
      </c>
      <c r="G54" s="152"/>
      <c r="H54" s="163">
        <v>41</v>
      </c>
      <c r="I54" s="2214">
        <v>98777</v>
      </c>
      <c r="J54" s="179">
        <v>42.76</v>
      </c>
      <c r="K54" s="163">
        <v>91</v>
      </c>
      <c r="L54" s="2214">
        <f t="shared" si="11"/>
        <v>26825</v>
      </c>
      <c r="M54" s="179">
        <f t="shared" si="11"/>
        <v>3.81</v>
      </c>
      <c r="O54" s="2214">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901" t="s">
        <v>599</v>
      </c>
      <c r="CD54" s="2902"/>
      <c r="CE54" s="2902"/>
      <c r="CF54" s="2902"/>
      <c r="CG54" s="2902"/>
      <c r="CH54" s="2902"/>
      <c r="CI54" s="2902"/>
      <c r="CJ54" s="2902"/>
      <c r="CK54" s="2902"/>
      <c r="CL54" s="2902"/>
      <c r="CM54" s="2902"/>
      <c r="CN54" s="2902"/>
      <c r="CO54" s="2902"/>
      <c r="CP54" s="2902"/>
      <c r="CQ54" s="2902"/>
      <c r="CR54" s="2902"/>
      <c r="CS54" s="2902"/>
      <c r="CT54" s="2902"/>
      <c r="CU54" s="2902"/>
      <c r="CV54" s="2902"/>
      <c r="CW54" s="2903"/>
      <c r="CX54" s="536"/>
    </row>
    <row r="55" spans="1:102" ht="15" customHeight="1" thickBot="1">
      <c r="A55" s="172">
        <v>42</v>
      </c>
      <c r="B55" s="2213">
        <v>97815</v>
      </c>
      <c r="C55" s="173">
        <v>37.340000000000003</v>
      </c>
      <c r="D55" s="172">
        <v>92</v>
      </c>
      <c r="E55" s="2213">
        <f t="shared" si="10"/>
        <v>11029</v>
      </c>
      <c r="F55" s="173">
        <f t="shared" si="10"/>
        <v>2.97</v>
      </c>
      <c r="G55" s="152"/>
      <c r="H55" s="172">
        <v>42</v>
      </c>
      <c r="I55" s="2213">
        <v>98700</v>
      </c>
      <c r="J55" s="173">
        <v>41.79</v>
      </c>
      <c r="K55" s="172">
        <v>92</v>
      </c>
      <c r="L55" s="2213">
        <f t="shared" si="11"/>
        <v>22215</v>
      </c>
      <c r="M55" s="173">
        <f t="shared" si="11"/>
        <v>3.49</v>
      </c>
      <c r="O55" s="2213">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904"/>
      <c r="CD55" s="2905"/>
      <c r="CE55" s="2905"/>
      <c r="CF55" s="2905"/>
      <c r="CG55" s="2905"/>
      <c r="CH55" s="2905"/>
      <c r="CI55" s="2905"/>
      <c r="CJ55" s="2905"/>
      <c r="CK55" s="2905"/>
      <c r="CL55" s="2905"/>
      <c r="CM55" s="2905"/>
      <c r="CN55" s="2905"/>
      <c r="CO55" s="2905"/>
      <c r="CP55" s="2905"/>
      <c r="CQ55" s="2905"/>
      <c r="CR55" s="2905"/>
      <c r="CS55" s="2905"/>
      <c r="CT55" s="2905"/>
      <c r="CU55" s="2905"/>
      <c r="CV55" s="2905"/>
      <c r="CW55" s="2906"/>
      <c r="CX55" s="536"/>
    </row>
    <row r="56" spans="1:102">
      <c r="A56" s="163">
        <v>43</v>
      </c>
      <c r="B56" s="2214">
        <v>97663</v>
      </c>
      <c r="C56" s="179">
        <v>36.4</v>
      </c>
      <c r="D56" s="163">
        <v>93</v>
      </c>
      <c r="E56" s="2214">
        <f t="shared" si="10"/>
        <v>8399</v>
      </c>
      <c r="F56" s="179">
        <f t="shared" si="10"/>
        <v>2.74</v>
      </c>
      <c r="G56" s="152"/>
      <c r="H56" s="163">
        <v>43</v>
      </c>
      <c r="I56" s="2214">
        <v>98616</v>
      </c>
      <c r="J56" s="179">
        <v>40.82</v>
      </c>
      <c r="K56" s="163">
        <v>93</v>
      </c>
      <c r="L56" s="2214">
        <f t="shared" si="11"/>
        <v>17921</v>
      </c>
      <c r="M56" s="179">
        <f t="shared" si="11"/>
        <v>3.21</v>
      </c>
      <c r="O56" s="2214">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13">
        <v>97496</v>
      </c>
      <c r="C57" s="173">
        <v>35.46</v>
      </c>
      <c r="D57" s="172">
        <v>94</v>
      </c>
      <c r="E57" s="2213">
        <f t="shared" si="10"/>
        <v>6194</v>
      </c>
      <c r="F57" s="173">
        <f t="shared" si="10"/>
        <v>2.54</v>
      </c>
      <c r="G57" s="152"/>
      <c r="H57" s="172">
        <v>44</v>
      </c>
      <c r="I57" s="2213">
        <v>98525</v>
      </c>
      <c r="J57" s="173">
        <v>39.86</v>
      </c>
      <c r="K57" s="172">
        <v>94</v>
      </c>
      <c r="L57" s="2213">
        <f t="shared" si="11"/>
        <v>14054</v>
      </c>
      <c r="M57" s="173">
        <f t="shared" si="11"/>
        <v>2.96</v>
      </c>
      <c r="O57" s="2213">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14">
        <v>97313</v>
      </c>
      <c r="C58" s="179">
        <v>34.53</v>
      </c>
      <c r="D58" s="163">
        <v>95</v>
      </c>
      <c r="E58" s="2214">
        <f t="shared" si="10"/>
        <v>4418</v>
      </c>
      <c r="F58" s="179">
        <f t="shared" si="10"/>
        <v>2.35</v>
      </c>
      <c r="G58" s="152"/>
      <c r="H58" s="163">
        <v>45</v>
      </c>
      <c r="I58" s="2214">
        <v>98424</v>
      </c>
      <c r="J58" s="179">
        <v>38.9</v>
      </c>
      <c r="K58" s="163">
        <v>95</v>
      </c>
      <c r="L58" s="2214">
        <f t="shared" si="11"/>
        <v>10696</v>
      </c>
      <c r="M58" s="179">
        <f t="shared" si="11"/>
        <v>2.73</v>
      </c>
      <c r="O58" s="2214">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13">
        <v>97113</v>
      </c>
      <c r="C59" s="173">
        <v>33.6</v>
      </c>
      <c r="D59" s="172">
        <v>96</v>
      </c>
      <c r="E59" s="2213">
        <f t="shared" si="10"/>
        <v>3042</v>
      </c>
      <c r="F59" s="173">
        <f t="shared" si="10"/>
        <v>2.19</v>
      </c>
      <c r="G59" s="152"/>
      <c r="H59" s="172">
        <v>46</v>
      </c>
      <c r="I59" s="2213">
        <v>98313</v>
      </c>
      <c r="J59" s="173">
        <v>37.950000000000003</v>
      </c>
      <c r="K59" s="172">
        <v>96</v>
      </c>
      <c r="L59" s="2213">
        <f t="shared" si="11"/>
        <v>7886</v>
      </c>
      <c r="M59" s="173">
        <f t="shared" si="11"/>
        <v>2.5299999999999998</v>
      </c>
      <c r="O59" s="2213">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14">
        <v>96893</v>
      </c>
      <c r="C60" s="179">
        <v>32.67</v>
      </c>
      <c r="D60" s="163">
        <v>97</v>
      </c>
      <c r="E60" s="2214">
        <f t="shared" si="10"/>
        <v>2021</v>
      </c>
      <c r="F60" s="179">
        <f t="shared" si="10"/>
        <v>2.0499999999999998</v>
      </c>
      <c r="G60" s="152"/>
      <c r="H60" s="163">
        <v>47</v>
      </c>
      <c r="I60" s="2214">
        <v>98192</v>
      </c>
      <c r="J60" s="179">
        <v>36.99</v>
      </c>
      <c r="K60" s="163">
        <v>97</v>
      </c>
      <c r="L60" s="2214">
        <f t="shared" si="11"/>
        <v>5622</v>
      </c>
      <c r="M60" s="179">
        <f t="shared" si="11"/>
        <v>2.34</v>
      </c>
      <c r="O60" s="2214">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13">
        <v>96652</v>
      </c>
      <c r="C61" s="173">
        <v>31.75</v>
      </c>
      <c r="D61" s="172">
        <v>98</v>
      </c>
      <c r="E61" s="2213">
        <f t="shared" si="10"/>
        <v>1293</v>
      </c>
      <c r="F61" s="173">
        <f t="shared" si="10"/>
        <v>1.92</v>
      </c>
      <c r="G61" s="152"/>
      <c r="H61" s="172">
        <v>48</v>
      </c>
      <c r="I61" s="2213">
        <v>98058</v>
      </c>
      <c r="J61" s="173">
        <v>36.04</v>
      </c>
      <c r="K61" s="172">
        <v>98</v>
      </c>
      <c r="L61" s="2213">
        <f t="shared" si="11"/>
        <v>3867</v>
      </c>
      <c r="M61" s="173">
        <f t="shared" si="11"/>
        <v>2.1800000000000002</v>
      </c>
      <c r="O61" s="2213">
        <f t="shared" si="6"/>
        <v>97355</v>
      </c>
      <c r="P61" s="173">
        <f t="shared" si="7"/>
        <v>33.894999999999996</v>
      </c>
      <c r="T61" s="411">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14">
        <v>96386</v>
      </c>
      <c r="C62" s="179">
        <v>30.84</v>
      </c>
      <c r="D62" s="163">
        <v>99</v>
      </c>
      <c r="E62" s="2214">
        <f t="shared" si="10"/>
        <v>795</v>
      </c>
      <c r="F62" s="179">
        <f t="shared" si="10"/>
        <v>1.81</v>
      </c>
      <c r="G62" s="152"/>
      <c r="H62" s="163">
        <v>49</v>
      </c>
      <c r="I62" s="2214">
        <v>97911</v>
      </c>
      <c r="J62" s="179">
        <v>35.1</v>
      </c>
      <c r="K62" s="163">
        <v>99</v>
      </c>
      <c r="L62" s="2214">
        <f t="shared" si="11"/>
        <v>2560</v>
      </c>
      <c r="M62" s="179">
        <f t="shared" si="11"/>
        <v>2.0299999999999998</v>
      </c>
      <c r="O62" s="2214">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215">
        <v>96093</v>
      </c>
      <c r="C63" s="193">
        <v>29.93</v>
      </c>
      <c r="D63" s="192">
        <v>100</v>
      </c>
      <c r="E63" s="2215">
        <f t="shared" si="10"/>
        <v>470</v>
      </c>
      <c r="F63" s="193">
        <f t="shared" si="10"/>
        <v>1.71</v>
      </c>
      <c r="G63" s="858"/>
      <c r="H63" s="192">
        <v>50</v>
      </c>
      <c r="I63" s="2215">
        <v>97748</v>
      </c>
      <c r="J63" s="193">
        <v>34.15</v>
      </c>
      <c r="K63" s="192">
        <v>100</v>
      </c>
      <c r="L63" s="2215">
        <f t="shared" si="11"/>
        <v>1627</v>
      </c>
      <c r="M63" s="193">
        <f t="shared" si="11"/>
        <v>1.91</v>
      </c>
      <c r="N63" s="313"/>
      <c r="O63" s="2215">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3">
        <v>51</v>
      </c>
      <c r="B64" s="2216">
        <v>95771</v>
      </c>
      <c r="C64" s="854">
        <v>29.03</v>
      </c>
      <c r="D64" s="194"/>
      <c r="E64" s="2216"/>
      <c r="F64" s="152"/>
      <c r="G64" s="152"/>
      <c r="H64" s="853">
        <f>+H63+1</f>
        <v>51</v>
      </c>
      <c r="I64" s="2216">
        <v>97568</v>
      </c>
      <c r="J64" s="854">
        <v>33.22</v>
      </c>
      <c r="K64" s="152"/>
      <c r="L64" s="2216"/>
      <c r="M64" s="152"/>
      <c r="O64" s="2216">
        <f t="shared" si="6"/>
        <v>96669.5</v>
      </c>
      <c r="P64" s="854">
        <f t="shared" si="7"/>
        <v>31.125</v>
      </c>
      <c r="T64" s="149">
        <f>-PV(T61,T63,,T62)</f>
        <v>41297.326188834282</v>
      </c>
      <c r="U64" t="s">
        <v>1241</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13">
        <v>95416</v>
      </c>
      <c r="C65" s="173">
        <v>28.14</v>
      </c>
      <c r="D65" s="194"/>
      <c r="E65" s="2213"/>
      <c r="F65" s="152"/>
      <c r="G65" s="152"/>
      <c r="H65" s="172">
        <f t="shared" ref="H65:H113" si="85">+H64+1</f>
        <v>52</v>
      </c>
      <c r="I65" s="2213">
        <v>97369</v>
      </c>
      <c r="J65" s="173">
        <v>32.28</v>
      </c>
      <c r="K65" s="152"/>
      <c r="L65" s="2213"/>
      <c r="M65" s="152"/>
      <c r="O65" s="2213">
        <f t="shared" si="6"/>
        <v>96392.5</v>
      </c>
      <c r="P65" s="173">
        <f t="shared" si="7"/>
        <v>30.21</v>
      </c>
      <c r="T65">
        <f>T62*(1+T61)^-T63</f>
        <v>41297.326188834282</v>
      </c>
      <c r="U65" t="s">
        <v>1242</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14">
        <v>95023</v>
      </c>
      <c r="C66" s="179">
        <v>27.25</v>
      </c>
      <c r="D66" s="194"/>
      <c r="E66" s="2214"/>
      <c r="F66" s="152"/>
      <c r="G66" s="152"/>
      <c r="H66" s="163">
        <f t="shared" si="85"/>
        <v>53</v>
      </c>
      <c r="I66" s="2214">
        <v>97149</v>
      </c>
      <c r="J66" s="179">
        <v>31.35</v>
      </c>
      <c r="K66" s="152"/>
      <c r="L66" s="2214"/>
      <c r="M66" s="152"/>
      <c r="O66" s="2214">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13">
        <v>94589</v>
      </c>
      <c r="C67" s="173">
        <v>26.37</v>
      </c>
      <c r="D67" s="194"/>
      <c r="E67" s="2213"/>
      <c r="F67" s="152"/>
      <c r="G67" s="152"/>
      <c r="H67" s="172">
        <f t="shared" si="85"/>
        <v>54</v>
      </c>
      <c r="I67" s="2213">
        <v>96906</v>
      </c>
      <c r="J67" s="173">
        <v>30.43</v>
      </c>
      <c r="K67" s="152"/>
      <c r="L67" s="2213"/>
      <c r="M67" s="152"/>
      <c r="O67" s="2213">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14">
        <v>94108</v>
      </c>
      <c r="C68" s="179">
        <v>25.51</v>
      </c>
      <c r="D68" s="194"/>
      <c r="E68" s="2214"/>
      <c r="F68" s="152"/>
      <c r="G68" s="152"/>
      <c r="H68" s="163">
        <f t="shared" si="85"/>
        <v>55</v>
      </c>
      <c r="I68" s="2214">
        <v>96638</v>
      </c>
      <c r="J68" s="179">
        <v>29.51</v>
      </c>
      <c r="K68" s="152"/>
      <c r="L68" s="2214"/>
      <c r="M68" s="152"/>
      <c r="O68" s="2214">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13">
        <v>93576</v>
      </c>
      <c r="C69" s="173">
        <v>24.65</v>
      </c>
      <c r="D69" s="194"/>
      <c r="E69" s="2213"/>
      <c r="F69" s="152"/>
      <c r="G69" s="152"/>
      <c r="H69" s="172">
        <f t="shared" si="85"/>
        <v>56</v>
      </c>
      <c r="I69" s="2213">
        <v>96342</v>
      </c>
      <c r="J69" s="173">
        <v>28.6</v>
      </c>
      <c r="K69" s="152"/>
      <c r="L69" s="2213"/>
      <c r="M69" s="152"/>
      <c r="O69" s="2213">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14">
        <v>92985</v>
      </c>
      <c r="C70" s="179">
        <v>23.8</v>
      </c>
      <c r="D70" s="194"/>
      <c r="E70" s="2214"/>
      <c r="F70" s="152"/>
      <c r="G70" s="152"/>
      <c r="H70" s="163">
        <f t="shared" si="85"/>
        <v>57</v>
      </c>
      <c r="I70" s="2214">
        <v>96017</v>
      </c>
      <c r="J70" s="179">
        <v>27.7</v>
      </c>
      <c r="K70" s="152"/>
      <c r="L70" s="2214"/>
      <c r="M70" s="152"/>
      <c r="O70" s="2214">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13">
        <v>92331</v>
      </c>
      <c r="C71" s="173">
        <v>22.97</v>
      </c>
      <c r="D71" s="194"/>
      <c r="E71" s="2213"/>
      <c r="F71" s="152"/>
      <c r="G71" s="152"/>
      <c r="H71" s="172">
        <f t="shared" si="85"/>
        <v>58</v>
      </c>
      <c r="I71" s="2213">
        <v>95657</v>
      </c>
      <c r="J71" s="173">
        <v>26.8</v>
      </c>
      <c r="K71" s="152"/>
      <c r="L71" s="2213"/>
      <c r="M71" s="152"/>
      <c r="O71" s="2213">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14">
        <v>91606</v>
      </c>
      <c r="C72" s="179">
        <v>22.14</v>
      </c>
      <c r="D72" s="194"/>
      <c r="E72" s="2214"/>
      <c r="F72" s="152"/>
      <c r="G72" s="152"/>
      <c r="H72" s="163">
        <f t="shared" si="85"/>
        <v>59</v>
      </c>
      <c r="I72" s="2214">
        <v>95261</v>
      </c>
      <c r="J72" s="179">
        <v>25.91</v>
      </c>
      <c r="K72" s="152"/>
      <c r="L72" s="2214"/>
      <c r="M72" s="152"/>
      <c r="O72" s="2214">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13">
        <v>90805</v>
      </c>
      <c r="C73" s="173">
        <v>21.34</v>
      </c>
      <c r="D73" s="194"/>
      <c r="E73" s="2213"/>
      <c r="F73" s="152"/>
      <c r="G73" s="152"/>
      <c r="H73" s="172">
        <f t="shared" si="85"/>
        <v>60</v>
      </c>
      <c r="I73" s="2213">
        <v>94822</v>
      </c>
      <c r="J73" s="173">
        <v>25.03</v>
      </c>
      <c r="K73" s="152"/>
      <c r="L73" s="2213"/>
      <c r="M73" s="152"/>
      <c r="O73" s="2213">
        <f t="shared" si="6"/>
        <v>92813.5</v>
      </c>
      <c r="P73" s="173">
        <f t="shared" si="7"/>
        <v>23.185000000000002</v>
      </c>
      <c r="Q73" s="394"/>
      <c r="R73" s="394"/>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14">
        <v>89921</v>
      </c>
      <c r="C74" s="179">
        <v>20.54</v>
      </c>
      <c r="D74" s="194"/>
      <c r="E74" s="2214"/>
      <c r="F74" s="152"/>
      <c r="G74" s="152"/>
      <c r="H74" s="163">
        <f t="shared" si="85"/>
        <v>61</v>
      </c>
      <c r="I74" s="2214">
        <v>94336</v>
      </c>
      <c r="J74" s="179">
        <v>24.15</v>
      </c>
      <c r="K74" s="152"/>
      <c r="L74" s="2214"/>
      <c r="M74" s="152"/>
      <c r="O74" s="2214">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13">
        <v>88949</v>
      </c>
      <c r="C75" s="173">
        <v>19.760000000000002</v>
      </c>
      <c r="D75" s="194"/>
      <c r="E75" s="2213"/>
      <c r="F75" s="152"/>
      <c r="G75" s="152"/>
      <c r="H75" s="172">
        <f t="shared" si="85"/>
        <v>62</v>
      </c>
      <c r="I75" s="2213">
        <v>93797</v>
      </c>
      <c r="J75" s="173">
        <v>23.29</v>
      </c>
      <c r="K75" s="152"/>
      <c r="L75" s="2213"/>
      <c r="M75" s="152"/>
      <c r="O75" s="2213">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14">
        <v>87883</v>
      </c>
      <c r="C76" s="179">
        <v>18.989999999999998</v>
      </c>
      <c r="D76" s="194"/>
      <c r="E76" s="2214"/>
      <c r="F76" s="152"/>
      <c r="G76" s="152"/>
      <c r="H76" s="163">
        <f t="shared" si="85"/>
        <v>63</v>
      </c>
      <c r="I76" s="2214">
        <v>93201</v>
      </c>
      <c r="J76" s="179">
        <v>22.44</v>
      </c>
      <c r="K76" s="152"/>
      <c r="L76" s="2214"/>
      <c r="M76" s="152"/>
      <c r="O76" s="2214">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13">
        <v>86719</v>
      </c>
      <c r="C77" s="173">
        <v>18.239999999999998</v>
      </c>
      <c r="D77" s="194"/>
      <c r="E77" s="2213"/>
      <c r="F77" s="195"/>
      <c r="G77" s="152"/>
      <c r="H77" s="172">
        <f t="shared" si="85"/>
        <v>64</v>
      </c>
      <c r="I77" s="2213">
        <v>92543</v>
      </c>
      <c r="J77" s="173">
        <v>21.59</v>
      </c>
      <c r="K77" s="152"/>
      <c r="L77" s="2213"/>
      <c r="M77" s="152"/>
      <c r="O77" s="2213">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14">
        <v>85455</v>
      </c>
      <c r="C78" s="179">
        <v>17.5</v>
      </c>
      <c r="D78" s="194"/>
      <c r="E78" s="2214"/>
      <c r="F78" s="152"/>
      <c r="G78" s="152"/>
      <c r="H78" s="163">
        <f t="shared" si="85"/>
        <v>65</v>
      </c>
      <c r="I78" s="2214">
        <v>91821</v>
      </c>
      <c r="J78" s="179">
        <v>20.76</v>
      </c>
      <c r="K78" s="152"/>
      <c r="L78" s="2214"/>
      <c r="M78" s="152"/>
      <c r="O78" s="2214">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13">
        <v>84089</v>
      </c>
      <c r="C79" s="173">
        <v>16.78</v>
      </c>
      <c r="D79" s="194"/>
      <c r="E79" s="2213"/>
      <c r="F79" s="195"/>
      <c r="G79" s="152"/>
      <c r="H79" s="172">
        <f t="shared" si="85"/>
        <v>66</v>
      </c>
      <c r="I79" s="2213">
        <v>91032</v>
      </c>
      <c r="J79" s="173">
        <v>19.93</v>
      </c>
      <c r="K79" s="152"/>
      <c r="L79" s="2213"/>
      <c r="M79" s="152"/>
      <c r="O79" s="2213">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14">
        <v>82623</v>
      </c>
      <c r="C80" s="179">
        <v>16.07</v>
      </c>
      <c r="D80" s="194"/>
      <c r="E80" s="2214"/>
      <c r="F80" s="195"/>
      <c r="G80" s="152"/>
      <c r="H80" s="163">
        <f t="shared" si="85"/>
        <v>67</v>
      </c>
      <c r="I80" s="2214">
        <v>90177</v>
      </c>
      <c r="J80" s="179">
        <v>19.12</v>
      </c>
      <c r="K80" s="152"/>
      <c r="L80" s="2214"/>
      <c r="M80" s="152"/>
      <c r="O80" s="2214">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13">
        <v>81054</v>
      </c>
      <c r="C81" s="173">
        <v>15.37</v>
      </c>
      <c r="D81" s="194"/>
      <c r="E81" s="2213"/>
      <c r="F81" s="152"/>
      <c r="G81" s="152"/>
      <c r="H81" s="172">
        <f t="shared" si="85"/>
        <v>68</v>
      </c>
      <c r="I81" s="2213">
        <v>89253</v>
      </c>
      <c r="J81" s="173">
        <v>18.309999999999999</v>
      </c>
      <c r="K81" s="152"/>
      <c r="L81" s="2213"/>
      <c r="M81" s="152"/>
      <c r="O81" s="2213">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14">
        <v>79384</v>
      </c>
      <c r="C82" s="179">
        <v>14.68</v>
      </c>
      <c r="D82" s="194"/>
      <c r="E82" s="2214"/>
      <c r="F82" s="152"/>
      <c r="G82" s="152"/>
      <c r="H82" s="163">
        <f t="shared" si="85"/>
        <v>69</v>
      </c>
      <c r="I82" s="2214">
        <v>88257</v>
      </c>
      <c r="J82" s="179">
        <v>17.510000000000002</v>
      </c>
      <c r="K82" s="152"/>
      <c r="L82" s="2214"/>
      <c r="M82" s="152"/>
      <c r="O82" s="2214">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13">
        <v>77611</v>
      </c>
      <c r="C83" s="173">
        <v>14.01</v>
      </c>
      <c r="D83" s="194"/>
      <c r="E83" s="2213"/>
      <c r="F83" s="152"/>
      <c r="G83" s="152"/>
      <c r="H83" s="172">
        <f t="shared" si="85"/>
        <v>70</v>
      </c>
      <c r="I83" s="2213">
        <v>87183</v>
      </c>
      <c r="J83" s="173">
        <v>16.72</v>
      </c>
      <c r="K83" s="152"/>
      <c r="L83" s="2213"/>
      <c r="M83" s="152"/>
      <c r="O83" s="2213">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14">
        <v>75733</v>
      </c>
      <c r="C84" s="179">
        <v>13.34</v>
      </c>
      <c r="D84" s="194"/>
      <c r="E84" s="2214"/>
      <c r="F84" s="152"/>
      <c r="G84" s="152"/>
      <c r="H84" s="163">
        <f t="shared" si="85"/>
        <v>71</v>
      </c>
      <c r="I84" s="2214">
        <v>86024</v>
      </c>
      <c r="J84" s="179">
        <v>15.94</v>
      </c>
      <c r="K84" s="152"/>
      <c r="L84" s="2214"/>
      <c r="M84" s="152"/>
      <c r="O84" s="2214">
        <f t="shared" si="86"/>
        <v>80878.5</v>
      </c>
      <c r="P84" s="179">
        <f t="shared" si="87"/>
        <v>14.64</v>
      </c>
      <c r="Q84" s="152"/>
      <c r="R84" s="152"/>
    </row>
    <row r="85" spans="1:71">
      <c r="A85" s="172">
        <v>72</v>
      </c>
      <c r="B85" s="2213">
        <v>73745</v>
      </c>
      <c r="C85" s="173">
        <v>12.69</v>
      </c>
      <c r="D85" s="194"/>
      <c r="E85" s="2213"/>
      <c r="F85" s="152"/>
      <c r="G85" s="152"/>
      <c r="H85" s="172">
        <f t="shared" si="85"/>
        <v>72</v>
      </c>
      <c r="I85" s="2213">
        <v>84768</v>
      </c>
      <c r="J85" s="173">
        <v>15.17</v>
      </c>
      <c r="K85" s="152"/>
      <c r="L85" s="2213"/>
      <c r="M85" s="152"/>
      <c r="O85" s="2213">
        <f t="shared" si="86"/>
        <v>79256.5</v>
      </c>
      <c r="P85" s="173">
        <f t="shared" si="87"/>
        <v>13.93</v>
      </c>
      <c r="Q85" s="152"/>
      <c r="R85" s="152"/>
    </row>
    <row r="86" spans="1:71">
      <c r="A86" s="163">
        <v>73</v>
      </c>
      <c r="B86" s="2214">
        <v>71645</v>
      </c>
      <c r="C86" s="179">
        <v>12.05</v>
      </c>
      <c r="D86" s="194"/>
      <c r="E86" s="2214"/>
      <c r="F86" s="152"/>
      <c r="G86" s="152"/>
      <c r="H86" s="163">
        <f t="shared" si="85"/>
        <v>73</v>
      </c>
      <c r="I86" s="2214">
        <v>83403</v>
      </c>
      <c r="J86" s="179">
        <v>14.41</v>
      </c>
      <c r="K86" s="152"/>
      <c r="L86" s="2214"/>
      <c r="M86" s="152"/>
      <c r="O86" s="2214">
        <f t="shared" si="86"/>
        <v>77524</v>
      </c>
      <c r="P86" s="179">
        <f t="shared" si="87"/>
        <v>13.23</v>
      </c>
      <c r="Q86" s="152"/>
      <c r="R86" s="152"/>
    </row>
    <row r="87" spans="1:71">
      <c r="A87" s="172">
        <v>74</v>
      </c>
      <c r="B87" s="2213">
        <v>69429</v>
      </c>
      <c r="C87" s="173">
        <v>11.41</v>
      </c>
      <c r="D87" s="194"/>
      <c r="E87" s="2213"/>
      <c r="F87" s="152"/>
      <c r="G87" s="152"/>
      <c r="H87" s="172">
        <f t="shared" si="85"/>
        <v>74</v>
      </c>
      <c r="I87" s="2213">
        <v>81916</v>
      </c>
      <c r="J87" s="173">
        <v>13.66</v>
      </c>
      <c r="K87" s="152"/>
      <c r="L87" s="2213"/>
      <c r="M87" s="152"/>
      <c r="O87" s="2213">
        <f t="shared" si="86"/>
        <v>75672.5</v>
      </c>
      <c r="P87" s="173">
        <f t="shared" si="87"/>
        <v>12.535</v>
      </c>
      <c r="Q87" s="152"/>
      <c r="R87" s="152"/>
    </row>
    <row r="88" spans="1:71">
      <c r="A88" s="163">
        <v>75</v>
      </c>
      <c r="B88" s="2214">
        <v>67092</v>
      </c>
      <c r="C88" s="179">
        <v>10.79</v>
      </c>
      <c r="D88" s="194"/>
      <c r="E88" s="2214"/>
      <c r="F88" s="152"/>
      <c r="G88" s="152"/>
      <c r="H88" s="163">
        <f t="shared" si="85"/>
        <v>75</v>
      </c>
      <c r="I88" s="2214">
        <v>80296</v>
      </c>
      <c r="J88" s="179">
        <v>12.93</v>
      </c>
      <c r="K88" s="152"/>
      <c r="L88" s="2214"/>
      <c r="M88" s="152"/>
      <c r="O88" s="2214">
        <f t="shared" si="86"/>
        <v>73694</v>
      </c>
      <c r="P88" s="179">
        <f t="shared" si="87"/>
        <v>11.86</v>
      </c>
      <c r="Q88" s="152"/>
      <c r="R88" s="152"/>
    </row>
    <row r="89" spans="1:71">
      <c r="A89" s="172">
        <v>76</v>
      </c>
      <c r="B89" s="2213">
        <v>64632</v>
      </c>
      <c r="C89" s="173">
        <v>10.19</v>
      </c>
      <c r="D89" s="194"/>
      <c r="E89" s="2213"/>
      <c r="F89" s="152"/>
      <c r="G89" s="152"/>
      <c r="H89" s="172">
        <f t="shared" si="85"/>
        <v>76</v>
      </c>
      <c r="I89" s="2213">
        <v>78532</v>
      </c>
      <c r="J89" s="173">
        <v>12.21</v>
      </c>
      <c r="K89" s="152"/>
      <c r="L89" s="2213"/>
      <c r="M89" s="152"/>
      <c r="O89" s="2213">
        <f t="shared" si="86"/>
        <v>71582</v>
      </c>
      <c r="P89" s="173">
        <f t="shared" si="87"/>
        <v>11.2</v>
      </c>
      <c r="Q89" s="152"/>
      <c r="R89" s="152"/>
    </row>
    <row r="90" spans="1:71">
      <c r="A90" s="163">
        <v>77</v>
      </c>
      <c r="B90" s="2214">
        <v>62047</v>
      </c>
      <c r="C90" s="179">
        <v>9.59</v>
      </c>
      <c r="D90" s="194"/>
      <c r="E90" s="2214"/>
      <c r="F90" s="152"/>
      <c r="G90" s="152"/>
      <c r="H90" s="163">
        <f t="shared" si="85"/>
        <v>77</v>
      </c>
      <c r="I90" s="2214">
        <v>76614</v>
      </c>
      <c r="J90" s="179">
        <v>11.5</v>
      </c>
      <c r="K90" s="152"/>
      <c r="L90" s="2214"/>
      <c r="M90" s="152"/>
      <c r="O90" s="2214">
        <f t="shared" si="86"/>
        <v>69330.5</v>
      </c>
      <c r="P90" s="179">
        <f t="shared" si="87"/>
        <v>10.545</v>
      </c>
      <c r="Q90" s="2067"/>
      <c r="R90" s="2068"/>
    </row>
    <row r="91" spans="1:71">
      <c r="A91" s="172">
        <v>78</v>
      </c>
      <c r="B91" s="2213">
        <v>59333</v>
      </c>
      <c r="C91" s="173">
        <v>9.01</v>
      </c>
      <c r="D91" s="194"/>
      <c r="E91" s="2213"/>
      <c r="F91" s="152"/>
      <c r="G91" s="152"/>
      <c r="H91" s="172">
        <f t="shared" si="85"/>
        <v>78</v>
      </c>
      <c r="I91" s="2213">
        <v>74537</v>
      </c>
      <c r="J91" s="173">
        <v>10.8</v>
      </c>
      <c r="K91" s="152"/>
      <c r="L91" s="2213"/>
      <c r="M91" s="152"/>
      <c r="O91" s="2213">
        <f t="shared" si="86"/>
        <v>66935</v>
      </c>
      <c r="P91" s="173">
        <f t="shared" si="87"/>
        <v>9.9050000000000011</v>
      </c>
      <c r="Q91" s="2067"/>
      <c r="R91" s="152"/>
    </row>
    <row r="92" spans="1:71">
      <c r="A92" s="163">
        <v>79</v>
      </c>
      <c r="B92" s="2214">
        <v>56488</v>
      </c>
      <c r="C92" s="179">
        <v>8.43</v>
      </c>
      <c r="D92" s="194"/>
      <c r="E92" s="2214"/>
      <c r="F92" s="152"/>
      <c r="G92" s="152"/>
      <c r="H92" s="163">
        <f t="shared" si="85"/>
        <v>79</v>
      </c>
      <c r="I92" s="2214">
        <v>72292</v>
      </c>
      <c r="J92" s="179">
        <v>10.119999999999999</v>
      </c>
      <c r="K92" s="152"/>
      <c r="L92" s="2214"/>
      <c r="M92" s="152"/>
      <c r="O92" s="2214">
        <f t="shared" si="86"/>
        <v>64390</v>
      </c>
      <c r="P92" s="179">
        <f t="shared" si="87"/>
        <v>9.2749999999999986</v>
      </c>
      <c r="Q92" s="2067"/>
      <c r="R92" s="152"/>
    </row>
    <row r="93" spans="1:71">
      <c r="A93" s="172">
        <v>80</v>
      </c>
      <c r="B93" s="2213">
        <v>53507</v>
      </c>
      <c r="C93" s="173">
        <v>7.88</v>
      </c>
      <c r="D93" s="196"/>
      <c r="E93" s="2213"/>
      <c r="F93" s="152"/>
      <c r="G93" s="152"/>
      <c r="H93" s="172">
        <f t="shared" si="85"/>
        <v>80</v>
      </c>
      <c r="I93" s="2213">
        <v>69865</v>
      </c>
      <c r="J93" s="173">
        <v>9.4600000000000009</v>
      </c>
      <c r="K93" s="152"/>
      <c r="L93" s="2213"/>
      <c r="M93" s="152"/>
      <c r="O93" s="2213">
        <f t="shared" si="86"/>
        <v>61686</v>
      </c>
      <c r="P93" s="173">
        <f t="shared" si="87"/>
        <v>8.67</v>
      </c>
      <c r="Q93" s="2067"/>
      <c r="R93" s="152"/>
    </row>
    <row r="94" spans="1:71">
      <c r="A94" s="163">
        <v>81</v>
      </c>
      <c r="B94" s="2214">
        <v>50386</v>
      </c>
      <c r="C94" s="179">
        <v>7.33</v>
      </c>
      <c r="D94" s="196"/>
      <c r="E94" s="2214"/>
      <c r="F94" s="152"/>
      <c r="G94" s="152"/>
      <c r="H94" s="163">
        <f t="shared" si="85"/>
        <v>81</v>
      </c>
      <c r="I94" s="2214">
        <v>67239</v>
      </c>
      <c r="J94" s="179">
        <v>8.81</v>
      </c>
      <c r="K94" s="152"/>
      <c r="L94" s="2214"/>
      <c r="M94" s="152"/>
      <c r="O94" s="2214">
        <f t="shared" si="86"/>
        <v>58812.5</v>
      </c>
      <c r="P94" s="179">
        <f t="shared" si="87"/>
        <v>8.07</v>
      </c>
      <c r="Q94" s="152"/>
      <c r="R94" s="146"/>
    </row>
    <row r="95" spans="1:71">
      <c r="A95" s="172">
        <v>82</v>
      </c>
      <c r="B95" s="2213">
        <v>47119</v>
      </c>
      <c r="C95" s="173">
        <v>6.81</v>
      </c>
      <c r="D95" s="196"/>
      <c r="E95" s="2213"/>
      <c r="F95" s="152"/>
      <c r="G95" s="152"/>
      <c r="H95" s="172">
        <f t="shared" si="85"/>
        <v>82</v>
      </c>
      <c r="I95" s="2213">
        <v>64390</v>
      </c>
      <c r="J95" s="173">
        <v>8.18</v>
      </c>
      <c r="K95" s="152"/>
      <c r="L95" s="2213"/>
      <c r="M95" s="152"/>
      <c r="O95" s="2213">
        <f t="shared" si="86"/>
        <v>55754.5</v>
      </c>
      <c r="P95" s="173">
        <f t="shared" si="87"/>
        <v>7.4949999999999992</v>
      </c>
      <c r="Q95" s="152"/>
      <c r="R95" s="152"/>
    </row>
    <row r="96" spans="1:71">
      <c r="A96" s="163">
        <v>83</v>
      </c>
      <c r="B96" s="2214">
        <v>43701</v>
      </c>
      <c r="C96" s="179">
        <v>6.3</v>
      </c>
      <c r="D96" s="196"/>
      <c r="E96" s="2214"/>
      <c r="F96" s="152"/>
      <c r="G96" s="152"/>
      <c r="H96" s="163">
        <f t="shared" si="85"/>
        <v>83</v>
      </c>
      <c r="I96" s="2214">
        <v>61287</v>
      </c>
      <c r="J96" s="179">
        <v>7.57</v>
      </c>
      <c r="K96" s="152"/>
      <c r="L96" s="2214"/>
      <c r="M96" s="152"/>
      <c r="O96" s="2214">
        <f t="shared" si="86"/>
        <v>52494</v>
      </c>
      <c r="P96" s="179">
        <f t="shared" si="87"/>
        <v>6.9350000000000005</v>
      </c>
      <c r="Q96" s="152"/>
      <c r="R96" s="152"/>
    </row>
    <row r="97" spans="1:18">
      <c r="A97" s="172">
        <v>84</v>
      </c>
      <c r="B97" s="2213">
        <v>40132</v>
      </c>
      <c r="C97" s="173">
        <v>5.82</v>
      </c>
      <c r="D97" s="196"/>
      <c r="E97" s="2213"/>
      <c r="F97" s="152"/>
      <c r="G97" s="152"/>
      <c r="H97" s="172">
        <f t="shared" si="85"/>
        <v>84</v>
      </c>
      <c r="I97" s="2213">
        <v>57897</v>
      </c>
      <c r="J97" s="173">
        <v>6.98</v>
      </c>
      <c r="K97" s="152"/>
      <c r="L97" s="2213"/>
      <c r="M97" s="152"/>
      <c r="O97" s="2213">
        <f t="shared" si="86"/>
        <v>49014.5</v>
      </c>
      <c r="P97" s="173">
        <f t="shared" si="87"/>
        <v>6.4</v>
      </c>
      <c r="Q97" s="152"/>
      <c r="R97" s="152"/>
    </row>
    <row r="98" spans="1:18">
      <c r="A98" s="163">
        <v>85</v>
      </c>
      <c r="B98" s="2214">
        <v>36423</v>
      </c>
      <c r="C98" s="179">
        <v>5.36</v>
      </c>
      <c r="D98" s="196"/>
      <c r="E98" s="2214"/>
      <c r="F98" s="152"/>
      <c r="G98" s="152"/>
      <c r="H98" s="163">
        <f t="shared" si="85"/>
        <v>85</v>
      </c>
      <c r="I98" s="2214">
        <v>54194</v>
      </c>
      <c r="J98" s="179">
        <v>6.42</v>
      </c>
      <c r="K98" s="152"/>
      <c r="L98" s="2214"/>
      <c r="M98" s="152"/>
      <c r="O98" s="2214">
        <f t="shared" si="86"/>
        <v>45308.5</v>
      </c>
      <c r="P98" s="179">
        <f t="shared" si="87"/>
        <v>5.8900000000000006</v>
      </c>
      <c r="Q98" s="152"/>
      <c r="R98" s="152"/>
    </row>
    <row r="99" spans="1:18">
      <c r="A99" s="172">
        <v>86</v>
      </c>
      <c r="B99" s="2213">
        <v>32604</v>
      </c>
      <c r="C99" s="173">
        <v>4.93</v>
      </c>
      <c r="D99" s="196"/>
      <c r="E99" s="2213"/>
      <c r="F99" s="152"/>
      <c r="G99" s="152"/>
      <c r="H99" s="172">
        <f t="shared" si="85"/>
        <v>86</v>
      </c>
      <c r="I99" s="2213">
        <v>50170</v>
      </c>
      <c r="J99" s="173">
        <v>5.9</v>
      </c>
      <c r="K99" s="152"/>
      <c r="L99" s="2213"/>
      <c r="M99" s="152"/>
      <c r="O99" s="2213">
        <f t="shared" si="86"/>
        <v>41387</v>
      </c>
      <c r="P99" s="173">
        <f t="shared" si="87"/>
        <v>5.415</v>
      </c>
      <c r="Q99" s="152"/>
      <c r="R99" s="152"/>
    </row>
    <row r="100" spans="1:18">
      <c r="A100" s="163">
        <v>87</v>
      </c>
      <c r="B100" s="2214">
        <v>28721</v>
      </c>
      <c r="C100" s="179">
        <v>4.5199999999999996</v>
      </c>
      <c r="D100" s="196"/>
      <c r="E100" s="2214"/>
      <c r="F100" s="152"/>
      <c r="G100" s="152"/>
      <c r="H100" s="163">
        <f t="shared" si="85"/>
        <v>87</v>
      </c>
      <c r="I100" s="2214">
        <v>45840</v>
      </c>
      <c r="J100" s="179">
        <v>5.41</v>
      </c>
      <c r="K100" s="152"/>
      <c r="L100" s="2214"/>
      <c r="M100" s="152"/>
      <c r="O100" s="2214">
        <f t="shared" si="86"/>
        <v>37280.5</v>
      </c>
      <c r="P100" s="179">
        <f t="shared" si="87"/>
        <v>4.9649999999999999</v>
      </c>
      <c r="Q100" s="152"/>
      <c r="R100" s="152"/>
    </row>
    <row r="101" spans="1:18">
      <c r="A101" s="172">
        <v>88</v>
      </c>
      <c r="B101" s="2213">
        <v>24840</v>
      </c>
      <c r="C101" s="173">
        <v>4.1500000000000004</v>
      </c>
      <c r="D101" s="196"/>
      <c r="E101" s="2213"/>
      <c r="F101" s="152"/>
      <c r="G101" s="152"/>
      <c r="H101" s="172">
        <f t="shared" si="85"/>
        <v>88</v>
      </c>
      <c r="I101" s="2213">
        <v>41247</v>
      </c>
      <c r="J101" s="173">
        <v>4.95</v>
      </c>
      <c r="K101" s="152"/>
      <c r="L101" s="2213"/>
      <c r="M101" s="152"/>
      <c r="O101" s="2213">
        <f t="shared" si="86"/>
        <v>33043.5</v>
      </c>
      <c r="P101" s="173">
        <f t="shared" si="87"/>
        <v>4.5500000000000007</v>
      </c>
      <c r="Q101" s="152"/>
      <c r="R101" s="152"/>
    </row>
    <row r="102" spans="1:18">
      <c r="A102" s="163">
        <v>89</v>
      </c>
      <c r="B102" s="2214">
        <v>21043</v>
      </c>
      <c r="C102" s="179">
        <v>3.81</v>
      </c>
      <c r="D102" s="196"/>
      <c r="E102" s="2214"/>
      <c r="F102" s="152"/>
      <c r="G102" s="152"/>
      <c r="H102" s="163">
        <f t="shared" si="85"/>
        <v>89</v>
      </c>
      <c r="I102" s="2214">
        <v>36472</v>
      </c>
      <c r="J102" s="179">
        <v>4.54</v>
      </c>
      <c r="K102" s="152"/>
      <c r="L102" s="2214"/>
      <c r="M102" s="152"/>
      <c r="O102" s="2214">
        <f t="shared" si="86"/>
        <v>28757.5</v>
      </c>
      <c r="P102" s="179">
        <f t="shared" si="87"/>
        <v>4.1749999999999998</v>
      </c>
      <c r="Q102" s="395"/>
      <c r="R102" s="395"/>
    </row>
    <row r="103" spans="1:18">
      <c r="A103" s="172">
        <v>90</v>
      </c>
      <c r="B103" s="2213">
        <v>17418</v>
      </c>
      <c r="C103" s="173">
        <v>3.5</v>
      </c>
      <c r="D103" s="196"/>
      <c r="E103" s="2213"/>
      <c r="F103" s="152"/>
      <c r="G103" s="152"/>
      <c r="H103" s="172">
        <f t="shared" si="85"/>
        <v>90</v>
      </c>
      <c r="I103" s="2213">
        <v>31623</v>
      </c>
      <c r="J103" s="173">
        <v>4.1500000000000004</v>
      </c>
      <c r="K103" s="152"/>
      <c r="L103" s="2213"/>
      <c r="M103" s="152"/>
      <c r="O103" s="2213">
        <f t="shared" si="86"/>
        <v>24520.5</v>
      </c>
      <c r="P103" s="173">
        <f t="shared" si="87"/>
        <v>3.8250000000000002</v>
      </c>
    </row>
    <row r="104" spans="1:18">
      <c r="A104" s="163">
        <v>91</v>
      </c>
      <c r="B104" s="2214">
        <v>14055</v>
      </c>
      <c r="C104" s="179">
        <v>3.22</v>
      </c>
      <c r="D104" s="194"/>
      <c r="E104" s="2214"/>
      <c r="F104" s="152"/>
      <c r="G104" s="152"/>
      <c r="H104" s="163">
        <f t="shared" si="85"/>
        <v>91</v>
      </c>
      <c r="I104" s="2214">
        <v>26825</v>
      </c>
      <c r="J104" s="179">
        <v>3.81</v>
      </c>
      <c r="K104" s="152"/>
      <c r="L104" s="2214"/>
      <c r="M104" s="152"/>
      <c r="O104" s="2214">
        <f t="shared" si="86"/>
        <v>20440</v>
      </c>
      <c r="P104" s="179">
        <f t="shared" si="87"/>
        <v>3.5150000000000001</v>
      </c>
    </row>
    <row r="105" spans="1:18">
      <c r="A105" s="172">
        <v>92</v>
      </c>
      <c r="B105" s="2213">
        <v>11029</v>
      </c>
      <c r="C105" s="173">
        <v>2.97</v>
      </c>
      <c r="D105" s="194"/>
      <c r="E105" s="2213"/>
      <c r="F105" s="152"/>
      <c r="G105" s="152"/>
      <c r="H105" s="172">
        <f t="shared" si="85"/>
        <v>92</v>
      </c>
      <c r="I105" s="2213">
        <v>22215</v>
      </c>
      <c r="J105" s="173">
        <v>3.49</v>
      </c>
      <c r="K105" s="152"/>
      <c r="L105" s="2213"/>
      <c r="M105" s="152"/>
      <c r="O105" s="2213">
        <f t="shared" si="86"/>
        <v>16622</v>
      </c>
      <c r="P105" s="173">
        <f t="shared" si="87"/>
        <v>3.2300000000000004</v>
      </c>
    </row>
    <row r="106" spans="1:18">
      <c r="A106" s="163">
        <v>93</v>
      </c>
      <c r="B106" s="2214">
        <v>8399</v>
      </c>
      <c r="C106" s="179">
        <v>2.74</v>
      </c>
      <c r="D106" s="194"/>
      <c r="E106" s="2214"/>
      <c r="F106" s="152"/>
      <c r="G106" s="152"/>
      <c r="H106" s="163">
        <f t="shared" si="85"/>
        <v>93</v>
      </c>
      <c r="I106" s="2214">
        <v>17921</v>
      </c>
      <c r="J106" s="179">
        <v>3.21</v>
      </c>
      <c r="K106" s="152"/>
      <c r="L106" s="2214"/>
      <c r="M106" s="152"/>
      <c r="O106" s="2214">
        <f t="shared" si="86"/>
        <v>13160</v>
      </c>
      <c r="P106" s="179">
        <f t="shared" si="87"/>
        <v>2.9750000000000001</v>
      </c>
    </row>
    <row r="107" spans="1:18">
      <c r="A107" s="172">
        <v>94</v>
      </c>
      <c r="B107" s="2213">
        <v>6194</v>
      </c>
      <c r="C107" s="173">
        <v>2.54</v>
      </c>
      <c r="D107" s="194"/>
      <c r="E107" s="2213"/>
      <c r="F107" s="152"/>
      <c r="G107" s="152"/>
      <c r="H107" s="172">
        <f t="shared" si="85"/>
        <v>94</v>
      </c>
      <c r="I107" s="2213">
        <v>14054</v>
      </c>
      <c r="J107" s="173">
        <v>2.96</v>
      </c>
      <c r="K107" s="152"/>
      <c r="L107" s="2213"/>
      <c r="M107" s="152"/>
      <c r="O107" s="2213">
        <f t="shared" si="86"/>
        <v>10124</v>
      </c>
      <c r="P107" s="173">
        <f t="shared" si="87"/>
        <v>2.75</v>
      </c>
    </row>
    <row r="108" spans="1:18">
      <c r="A108" s="163">
        <v>95</v>
      </c>
      <c r="B108" s="2214">
        <v>4418</v>
      </c>
      <c r="C108" s="179">
        <v>2.35</v>
      </c>
      <c r="D108" s="194"/>
      <c r="E108" s="2214"/>
      <c r="F108" s="152"/>
      <c r="G108" s="152"/>
      <c r="H108" s="163">
        <f t="shared" si="85"/>
        <v>95</v>
      </c>
      <c r="I108" s="2214">
        <v>10696</v>
      </c>
      <c r="J108" s="179">
        <v>2.73</v>
      </c>
      <c r="K108" s="152"/>
      <c r="L108" s="2214"/>
      <c r="M108" s="152"/>
      <c r="O108" s="2214">
        <f t="shared" si="86"/>
        <v>7557</v>
      </c>
      <c r="P108" s="179">
        <f t="shared" si="87"/>
        <v>2.54</v>
      </c>
    </row>
    <row r="109" spans="1:18">
      <c r="A109" s="172">
        <v>96</v>
      </c>
      <c r="B109" s="2213">
        <v>3042</v>
      </c>
      <c r="C109" s="173">
        <v>2.19</v>
      </c>
      <c r="D109" s="194"/>
      <c r="E109" s="2213"/>
      <c r="F109" s="152"/>
      <c r="G109" s="152"/>
      <c r="H109" s="172">
        <f t="shared" si="85"/>
        <v>96</v>
      </c>
      <c r="I109" s="2213">
        <v>7886</v>
      </c>
      <c r="J109" s="173">
        <v>2.5299999999999998</v>
      </c>
      <c r="K109" s="152"/>
      <c r="L109" s="2213"/>
      <c r="M109" s="152"/>
      <c r="O109" s="2213">
        <f t="shared" si="86"/>
        <v>5464</v>
      </c>
      <c r="P109" s="173">
        <f t="shared" si="87"/>
        <v>2.36</v>
      </c>
    </row>
    <row r="110" spans="1:18">
      <c r="A110" s="163">
        <v>97</v>
      </c>
      <c r="B110" s="2214">
        <v>2021</v>
      </c>
      <c r="C110" s="179">
        <v>2.0499999999999998</v>
      </c>
      <c r="D110" s="194"/>
      <c r="E110" s="2214"/>
      <c r="F110" s="152"/>
      <c r="G110" s="152"/>
      <c r="H110" s="163">
        <f t="shared" si="85"/>
        <v>97</v>
      </c>
      <c r="I110" s="2214">
        <v>5622</v>
      </c>
      <c r="J110" s="179">
        <v>2.34</v>
      </c>
      <c r="K110" s="152"/>
      <c r="L110" s="2214"/>
      <c r="M110" s="152"/>
      <c r="O110" s="2214">
        <f t="shared" si="86"/>
        <v>3821.5</v>
      </c>
      <c r="P110" s="179">
        <f t="shared" si="87"/>
        <v>2.1949999999999998</v>
      </c>
    </row>
    <row r="111" spans="1:18">
      <c r="A111" s="172">
        <v>98</v>
      </c>
      <c r="B111" s="2213">
        <v>1293</v>
      </c>
      <c r="C111" s="173">
        <v>1.92</v>
      </c>
      <c r="D111" s="194"/>
      <c r="E111" s="2213"/>
      <c r="F111" s="152"/>
      <c r="G111" s="152"/>
      <c r="H111" s="172">
        <f t="shared" si="85"/>
        <v>98</v>
      </c>
      <c r="I111" s="2213">
        <v>3867</v>
      </c>
      <c r="J111" s="173">
        <v>2.1800000000000002</v>
      </c>
      <c r="K111" s="152"/>
      <c r="L111" s="2213"/>
      <c r="M111" s="152"/>
      <c r="O111" s="2213">
        <f t="shared" si="86"/>
        <v>2580</v>
      </c>
      <c r="P111" s="173">
        <f t="shared" si="87"/>
        <v>2.0499999999999998</v>
      </c>
    </row>
    <row r="112" spans="1:18">
      <c r="A112" s="163">
        <v>99</v>
      </c>
      <c r="B112" s="2214">
        <v>795</v>
      </c>
      <c r="C112" s="179">
        <v>1.81</v>
      </c>
      <c r="D112" s="194"/>
      <c r="E112" s="2214"/>
      <c r="F112" s="152"/>
      <c r="G112" s="152"/>
      <c r="H112" s="163">
        <f t="shared" si="85"/>
        <v>99</v>
      </c>
      <c r="I112" s="2214">
        <v>2560</v>
      </c>
      <c r="J112" s="179">
        <v>2.0299999999999998</v>
      </c>
      <c r="K112" s="152"/>
      <c r="L112" s="2214"/>
      <c r="M112" s="152"/>
      <c r="O112" s="2214">
        <f t="shared" si="86"/>
        <v>1677.5</v>
      </c>
      <c r="P112" s="179">
        <f t="shared" si="87"/>
        <v>1.92</v>
      </c>
    </row>
    <row r="113" spans="1:16">
      <c r="A113" s="172">
        <v>100</v>
      </c>
      <c r="B113" s="2213">
        <v>470</v>
      </c>
      <c r="C113" s="173">
        <v>1.71</v>
      </c>
      <c r="D113" s="194"/>
      <c r="E113" s="2213"/>
      <c r="F113" s="152"/>
      <c r="G113" s="152"/>
      <c r="H113" s="172">
        <f t="shared" si="85"/>
        <v>100</v>
      </c>
      <c r="I113" s="2213">
        <v>1627</v>
      </c>
      <c r="J113" s="173">
        <v>1.91</v>
      </c>
      <c r="K113" s="152"/>
      <c r="L113" s="2213"/>
      <c r="M113" s="152"/>
      <c r="O113" s="2213">
        <f t="shared" si="86"/>
        <v>1048.5</v>
      </c>
      <c r="P113" s="173">
        <f t="shared" si="87"/>
        <v>1.81</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1">
        <v>2</v>
      </c>
      <c r="B3" s="342" t="s">
        <v>408</v>
      </c>
      <c r="C3" s="342" t="s">
        <v>409</v>
      </c>
      <c r="D3" s="348">
        <v>1</v>
      </c>
      <c r="E3" s="1476" t="s">
        <v>464</v>
      </c>
      <c r="F3" s="1476" t="s">
        <v>465</v>
      </c>
      <c r="G3" s="1477" t="s">
        <v>466</v>
      </c>
      <c r="H3" s="1477" t="s">
        <v>467</v>
      </c>
    </row>
    <row r="4" spans="1:8">
      <c r="A4" s="341">
        <v>3</v>
      </c>
      <c r="B4" s="342" t="s">
        <v>410</v>
      </c>
      <c r="C4" s="342" t="s">
        <v>411</v>
      </c>
      <c r="D4" s="348">
        <v>2</v>
      </c>
      <c r="E4" s="1476" t="s">
        <v>468</v>
      </c>
      <c r="F4" s="1476" t="s">
        <v>469</v>
      </c>
      <c r="G4" s="1477"/>
      <c r="H4" s="1477" t="s">
        <v>467</v>
      </c>
    </row>
    <row r="5" spans="1:8" ht="22.5">
      <c r="A5" s="341">
        <v>4</v>
      </c>
      <c r="B5" s="342" t="s">
        <v>412</v>
      </c>
      <c r="C5" s="342" t="s">
        <v>413</v>
      </c>
      <c r="D5" s="348">
        <v>3</v>
      </c>
      <c r="E5" s="1476" t="s">
        <v>470</v>
      </c>
      <c r="F5" s="1476" t="s">
        <v>471</v>
      </c>
      <c r="G5" s="1477" t="s">
        <v>472</v>
      </c>
      <c r="H5" s="1477" t="s">
        <v>498</v>
      </c>
    </row>
    <row r="6" spans="1:8" ht="28.5">
      <c r="A6" s="341">
        <v>8</v>
      </c>
      <c r="B6" s="343" t="s">
        <v>414</v>
      </c>
      <c r="C6" s="342" t="s">
        <v>415</v>
      </c>
      <c r="D6" s="348">
        <v>4</v>
      </c>
      <c r="E6" s="1476" t="s">
        <v>474</v>
      </c>
      <c r="F6" s="1476" t="s">
        <v>471</v>
      </c>
      <c r="G6" s="1477" t="s">
        <v>472</v>
      </c>
      <c r="H6" s="1477" t="s">
        <v>498</v>
      </c>
    </row>
    <row r="7" spans="1:8" ht="28.5">
      <c r="A7" s="341">
        <v>9</v>
      </c>
      <c r="B7" s="343" t="s">
        <v>416</v>
      </c>
      <c r="C7" s="342" t="s">
        <v>417</v>
      </c>
      <c r="D7" s="348">
        <v>5</v>
      </c>
      <c r="E7" s="1476" t="s">
        <v>475</v>
      </c>
      <c r="F7" s="1476" t="s">
        <v>476</v>
      </c>
      <c r="G7" s="1477" t="s">
        <v>477</v>
      </c>
      <c r="H7" s="1477" t="s">
        <v>478</v>
      </c>
    </row>
    <row r="8" spans="1:8" ht="22.5">
      <c r="A8" s="341">
        <v>10</v>
      </c>
      <c r="B8" s="342" t="s">
        <v>418</v>
      </c>
      <c r="C8" s="342" t="s">
        <v>419</v>
      </c>
      <c r="D8" s="348">
        <v>6</v>
      </c>
      <c r="E8" s="1476" t="s">
        <v>479</v>
      </c>
      <c r="F8" s="1476" t="s">
        <v>480</v>
      </c>
      <c r="G8" s="1477" t="s">
        <v>481</v>
      </c>
      <c r="H8" s="1477" t="s">
        <v>467</v>
      </c>
    </row>
    <row r="9" spans="1:8" ht="22.5">
      <c r="A9" s="341">
        <v>11</v>
      </c>
      <c r="B9" s="342" t="s">
        <v>420</v>
      </c>
      <c r="C9" s="342" t="s">
        <v>421</v>
      </c>
      <c r="D9" s="348">
        <v>7</v>
      </c>
      <c r="E9" s="1476" t="s">
        <v>482</v>
      </c>
      <c r="F9" s="1476" t="s">
        <v>483</v>
      </c>
      <c r="G9" s="1477" t="s">
        <v>484</v>
      </c>
      <c r="H9" s="1477" t="s">
        <v>498</v>
      </c>
    </row>
    <row r="10" spans="1:8" ht="22.5">
      <c r="A10" s="341">
        <v>12</v>
      </c>
      <c r="B10" s="342" t="s">
        <v>422</v>
      </c>
      <c r="C10" s="342" t="s">
        <v>423</v>
      </c>
      <c r="D10" s="348">
        <v>8</v>
      </c>
      <c r="E10" s="1476" t="s">
        <v>485</v>
      </c>
      <c r="F10" s="1476" t="s">
        <v>471</v>
      </c>
      <c r="G10" s="1477" t="s">
        <v>484</v>
      </c>
      <c r="H10" s="1477" t="s">
        <v>498</v>
      </c>
    </row>
    <row r="11" spans="1:8" ht="22.5">
      <c r="A11" s="341">
        <v>13</v>
      </c>
      <c r="B11" s="342" t="s">
        <v>424</v>
      </c>
      <c r="C11" s="342" t="s">
        <v>425</v>
      </c>
      <c r="D11" s="348">
        <v>9</v>
      </c>
      <c r="E11" s="1476" t="s">
        <v>486</v>
      </c>
      <c r="F11" s="1476" t="s">
        <v>471</v>
      </c>
      <c r="G11" s="1477" t="s">
        <v>484</v>
      </c>
      <c r="H11" s="1477" t="s">
        <v>498</v>
      </c>
    </row>
    <row r="12" spans="1:8" ht="22.5">
      <c r="A12" s="341">
        <v>14</v>
      </c>
      <c r="B12" s="342" t="s">
        <v>426</v>
      </c>
      <c r="C12" s="342" t="s">
        <v>427</v>
      </c>
      <c r="D12" s="348">
        <v>10</v>
      </c>
      <c r="E12" s="1476" t="s">
        <v>487</v>
      </c>
      <c r="F12" s="1476" t="s">
        <v>471</v>
      </c>
      <c r="G12" s="1477"/>
      <c r="H12" s="1477" t="s">
        <v>488</v>
      </c>
    </row>
    <row r="13" spans="1:8" ht="28.5">
      <c r="A13" s="341">
        <v>15</v>
      </c>
      <c r="B13" s="343" t="s">
        <v>428</v>
      </c>
      <c r="C13" s="342" t="s">
        <v>429</v>
      </c>
      <c r="D13" s="348">
        <v>11</v>
      </c>
      <c r="E13" s="1476" t="s">
        <v>489</v>
      </c>
      <c r="F13" s="1476" t="s">
        <v>471</v>
      </c>
      <c r="G13" s="1477" t="s">
        <v>484</v>
      </c>
      <c r="H13" s="1477" t="s">
        <v>498</v>
      </c>
    </row>
    <row r="14" spans="1:8" ht="22.5">
      <c r="A14" s="341">
        <v>16</v>
      </c>
      <c r="B14" s="342" t="s">
        <v>430</v>
      </c>
      <c r="C14" s="342" t="s">
        <v>431</v>
      </c>
      <c r="D14" s="348">
        <v>12</v>
      </c>
      <c r="E14" s="1476" t="s">
        <v>490</v>
      </c>
      <c r="F14" s="1476" t="s">
        <v>491</v>
      </c>
      <c r="G14" s="1477" t="s">
        <v>484</v>
      </c>
      <c r="H14" s="1477" t="s">
        <v>498</v>
      </c>
    </row>
    <row r="15" spans="1:8" ht="22.5">
      <c r="A15" s="341">
        <v>17</v>
      </c>
      <c r="B15" s="342" t="s">
        <v>432</v>
      </c>
      <c r="C15" s="342" t="s">
        <v>433</v>
      </c>
      <c r="D15" s="348">
        <v>13</v>
      </c>
      <c r="E15" s="1476" t="s">
        <v>492</v>
      </c>
      <c r="F15" s="1476" t="s">
        <v>471</v>
      </c>
      <c r="G15" s="1477" t="s">
        <v>484</v>
      </c>
      <c r="H15" s="1477" t="s">
        <v>498</v>
      </c>
    </row>
    <row r="16" spans="1:8" ht="22.5">
      <c r="A16" s="341">
        <v>18</v>
      </c>
      <c r="B16" s="342" t="s">
        <v>434</v>
      </c>
      <c r="C16" s="342" t="s">
        <v>435</v>
      </c>
      <c r="D16" s="348">
        <v>14</v>
      </c>
      <c r="E16" s="1476" t="s">
        <v>493</v>
      </c>
      <c r="F16" s="1476" t="s">
        <v>471</v>
      </c>
      <c r="G16" s="1477" t="s">
        <v>484</v>
      </c>
      <c r="H16" s="1477" t="s">
        <v>498</v>
      </c>
    </row>
    <row r="17" spans="1:8">
      <c r="A17" s="341">
        <v>19</v>
      </c>
      <c r="B17" s="343" t="s">
        <v>436</v>
      </c>
      <c r="C17" s="342" t="s">
        <v>437</v>
      </c>
      <c r="D17" s="348">
        <v>15</v>
      </c>
      <c r="E17" s="1476" t="s">
        <v>494</v>
      </c>
      <c r="F17" s="1476" t="s">
        <v>495</v>
      </c>
      <c r="G17" s="1477" t="s">
        <v>481</v>
      </c>
      <c r="H17" s="1477" t="s">
        <v>496</v>
      </c>
    </row>
    <row r="18" spans="1:8" ht="28.5">
      <c r="A18" s="341">
        <v>20</v>
      </c>
      <c r="B18" s="343" t="s">
        <v>438</v>
      </c>
      <c r="C18" s="342" t="s">
        <v>439</v>
      </c>
      <c r="D18" s="348">
        <v>16</v>
      </c>
      <c r="E18" s="1476" t="s">
        <v>497</v>
      </c>
      <c r="F18" s="1476" t="s">
        <v>471</v>
      </c>
      <c r="G18" s="1477" t="s">
        <v>484</v>
      </c>
      <c r="H18" s="1477" t="s">
        <v>498</v>
      </c>
    </row>
    <row r="19" spans="1:8">
      <c r="A19" s="341">
        <v>21</v>
      </c>
      <c r="B19" s="342" t="s">
        <v>440</v>
      </c>
      <c r="C19" s="342" t="s">
        <v>441</v>
      </c>
      <c r="D19" s="348">
        <v>17</v>
      </c>
      <c r="E19" s="1476" t="s">
        <v>503</v>
      </c>
      <c r="F19" s="1476" t="s">
        <v>504</v>
      </c>
      <c r="G19" s="1477"/>
      <c r="H19" s="1477" t="s">
        <v>467</v>
      </c>
    </row>
    <row r="20" spans="1:8">
      <c r="A20" s="341">
        <v>23</v>
      </c>
      <c r="B20" s="342" t="s">
        <v>442</v>
      </c>
      <c r="C20" s="342" t="s">
        <v>443</v>
      </c>
    </row>
    <row r="21" spans="1:8" ht="28.5">
      <c r="A21" s="341">
        <v>24</v>
      </c>
      <c r="B21" s="343" t="s">
        <v>444</v>
      </c>
      <c r="C21" s="342" t="s">
        <v>443</v>
      </c>
    </row>
    <row r="22" spans="1:8" ht="28.5">
      <c r="A22" s="341">
        <v>25</v>
      </c>
      <c r="B22" s="343" t="s">
        <v>445</v>
      </c>
      <c r="C22" s="342" t="s">
        <v>446</v>
      </c>
    </row>
    <row r="23" spans="1:8" ht="28.5">
      <c r="A23" s="341">
        <v>26</v>
      </c>
      <c r="B23" s="343" t="s">
        <v>447</v>
      </c>
      <c r="C23" s="342" t="s">
        <v>448</v>
      </c>
    </row>
    <row r="24" spans="1:8">
      <c r="A24" s="341">
        <v>28</v>
      </c>
      <c r="B24" s="342" t="s">
        <v>449</v>
      </c>
      <c r="C24" s="342" t="s">
        <v>450</v>
      </c>
    </row>
    <row r="25" spans="1:8" ht="28.5">
      <c r="A25" s="341">
        <v>29</v>
      </c>
      <c r="B25" s="343" t="s">
        <v>451</v>
      </c>
      <c r="C25" s="342" t="s">
        <v>452</v>
      </c>
    </row>
    <row r="26" spans="1:8">
      <c r="A26" s="341">
        <v>38</v>
      </c>
      <c r="B26" s="342" t="s">
        <v>453</v>
      </c>
      <c r="C26" s="342" t="s">
        <v>454</v>
      </c>
    </row>
    <row r="27" spans="1:8" ht="28.5">
      <c r="A27" s="341">
        <v>39</v>
      </c>
      <c r="B27" s="343" t="s">
        <v>455</v>
      </c>
      <c r="C27" s="342"/>
    </row>
    <row r="28" spans="1:8" ht="42.75">
      <c r="A28" s="341">
        <v>40</v>
      </c>
      <c r="B28" s="343" t="s">
        <v>456</v>
      </c>
      <c r="C28" s="342"/>
    </row>
    <row r="29" spans="1:8">
      <c r="A29" s="341">
        <v>42</v>
      </c>
      <c r="B29" s="342" t="s">
        <v>457</v>
      </c>
      <c r="C29" s="342" t="s">
        <v>458</v>
      </c>
    </row>
    <row r="30" spans="1:8" ht="57">
      <c r="A30" s="341">
        <v>80</v>
      </c>
      <c r="B30" s="343" t="s">
        <v>459</v>
      </c>
      <c r="C30" s="342"/>
    </row>
    <row r="31" spans="1:8" ht="28.5">
      <c r="A31" s="341">
        <v>81</v>
      </c>
      <c r="B31" s="343" t="s">
        <v>460</v>
      </c>
      <c r="C31" s="342"/>
    </row>
    <row r="32" spans="1:8" ht="42.75">
      <c r="A32" s="341">
        <v>82</v>
      </c>
      <c r="B32" s="343" t="s">
        <v>461</v>
      </c>
      <c r="C32" s="342"/>
    </row>
    <row r="33" spans="1:3" ht="57">
      <c r="A33" s="341">
        <v>89</v>
      </c>
      <c r="B33" s="343" t="s">
        <v>462</v>
      </c>
      <c r="C33" s="342"/>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407</v>
      </c>
      <c r="C2" s="340" t="b">
        <v>1</v>
      </c>
    </row>
    <row r="3" spans="2:3">
      <c r="B3" s="25" t="s">
        <v>405</v>
      </c>
      <c r="C3" s="25"/>
    </row>
    <row r="4" spans="2:3">
      <c r="B4" s="25" t="s">
        <v>286</v>
      </c>
      <c r="C4" s="261">
        <f>IF(GrafikSchalter,Adaequanz_errechneterKapWert,Adaequanz_Ausgleichswert1)</f>
        <v>0</v>
      </c>
    </row>
    <row r="5" spans="2:3">
      <c r="B5" s="25" t="s">
        <v>126</v>
      </c>
      <c r="C5" s="261" t="str">
        <f>IF(GrafikSchalter,'BVerfG 1 BvL 5-18'!E61,'BVerfG 1 BvL 5-18'!E22)</f>
        <v/>
      </c>
    </row>
    <row r="6" spans="2:3">
      <c r="B6" s="25" t="s">
        <v>287</v>
      </c>
      <c r="C6" s="261" t="str">
        <f>IF(GrafikSchalter,'BVerfG 1 BvL 5-18'!F61,'BVerfG 1 BvL 5-18'!F22)</f>
        <v/>
      </c>
    </row>
    <row r="7" spans="2:3">
      <c r="B7" s="25" t="s">
        <v>288</v>
      </c>
      <c r="C7" s="261" t="str">
        <f>IF(GrafikSchalter,'BVerfG 1 BvL 5-18'!G61,Adaequanz_RVolumenBer)</f>
        <v/>
      </c>
    </row>
    <row r="8" spans="2:3">
      <c r="B8" s="25" t="s">
        <v>406</v>
      </c>
      <c r="C8" s="261">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zoomScale="130" zoomScaleNormal="130" workbookViewId="0">
      <pane ySplit="1" topLeftCell="A803" activePane="bottomLeft" state="frozen"/>
      <selection pane="bottomLeft" activeCell="D814" sqref="D814"/>
    </sheetView>
  </sheetViews>
  <sheetFormatPr baseColWidth="10" defaultRowHeight="14.25"/>
  <cols>
    <col min="1" max="1" width="4.125" customWidth="1"/>
    <col min="2" max="2" width="10.625" customWidth="1"/>
    <col min="3" max="3" width="10.625" style="646" customWidth="1"/>
    <col min="4" max="4" width="11" style="1438"/>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4" customWidth="1"/>
    <col min="18" max="18" width="11.625" customWidth="1"/>
    <col min="19" max="19" width="10.125" customWidth="1"/>
    <col min="20" max="20" width="6.625" style="65" hidden="1" customWidth="1"/>
    <col min="21" max="21" width="6.625" style="65" customWidth="1"/>
    <col min="22" max="32" width="6.625" style="260" customWidth="1"/>
    <col min="33" max="37" width="6.625" customWidth="1"/>
    <col min="38" max="57" width="5.625" customWidth="1"/>
  </cols>
  <sheetData>
    <row r="1" spans="1:39" ht="30" customHeight="1">
      <c r="A1" t="s">
        <v>190</v>
      </c>
      <c r="B1" s="621" t="s">
        <v>204</v>
      </c>
      <c r="L1"/>
      <c r="O1" s="2330" t="s">
        <v>870</v>
      </c>
      <c r="P1" s="2330"/>
      <c r="Q1" s="2330"/>
      <c r="R1" s="2330"/>
    </row>
    <row r="2" spans="1:39">
      <c r="B2" s="2328" t="s">
        <v>190</v>
      </c>
      <c r="C2" s="2328"/>
      <c r="E2" s="2334" t="s">
        <v>206</v>
      </c>
      <c r="F2" s="2334"/>
      <c r="G2" s="2334"/>
      <c r="L2"/>
      <c r="O2" s="316" t="s">
        <v>869</v>
      </c>
      <c r="P2" s="773">
        <v>29586</v>
      </c>
      <c r="Q2" s="773">
        <v>44926</v>
      </c>
      <c r="R2" s="161" t="s">
        <v>868</v>
      </c>
    </row>
    <row r="3" spans="1:39" ht="26.25">
      <c r="B3" s="622">
        <v>21367</v>
      </c>
      <c r="C3" s="1229">
        <v>22.396000000000001</v>
      </c>
      <c r="D3" s="1438">
        <f t="shared" ref="D3:D66" si="0">ROUND(+D4*C3/C4,19)</f>
        <v>21.175189097956402</v>
      </c>
      <c r="E3" s="1207" t="s">
        <v>199</v>
      </c>
      <c r="F3" s="1208" t="s">
        <v>205</v>
      </c>
      <c r="G3" s="1151" t="s">
        <v>192</v>
      </c>
      <c r="H3" s="2331" t="s">
        <v>200</v>
      </c>
      <c r="I3" s="2332"/>
      <c r="K3" s="2333" t="s">
        <v>202</v>
      </c>
      <c r="L3" s="2333"/>
      <c r="M3" s="2333"/>
      <c r="O3" s="161" t="s">
        <v>867</v>
      </c>
      <c r="P3" s="161">
        <f>VLOOKUP(P2,VPI,2)</f>
        <v>49.674999999999997</v>
      </c>
      <c r="Q3" s="161">
        <f>VLOOKUP(Q2,VPI,2)</f>
        <v>120.6</v>
      </c>
      <c r="R3" s="772">
        <f>_xlfn.RRI(YEARFRAC(P2,Q2,3),P3,Q3)</f>
        <v>2.1329024989711121E-2</v>
      </c>
    </row>
    <row r="4" spans="1:39" ht="15.75">
      <c r="B4" s="622">
        <v>21398</v>
      </c>
      <c r="C4" s="1229">
        <v>22.227</v>
      </c>
      <c r="D4" s="1438">
        <f t="shared" si="0"/>
        <v>21.015401325249002</v>
      </c>
      <c r="E4" s="347">
        <v>8402</v>
      </c>
      <c r="F4" s="1209">
        <v>0.04</v>
      </c>
      <c r="G4" s="1210" t="e">
        <f t="shared" ref="G4:G10" si="1">VLOOKUP(E4,BilmoGZins,16)</f>
        <v>#N/A</v>
      </c>
      <c r="H4" s="1211" t="s">
        <v>60</v>
      </c>
      <c r="I4" s="1202" t="s">
        <v>201</v>
      </c>
      <c r="K4" s="50" t="s">
        <v>199</v>
      </c>
      <c r="L4" s="50" t="s">
        <v>202</v>
      </c>
      <c r="M4" s="50" t="s">
        <v>203</v>
      </c>
      <c r="O4" s="145">
        <v>21367</v>
      </c>
      <c r="P4" s="845">
        <f t="shared" ref="P4:P35" si="2">VLOOKUP(O4,VPI,2)</f>
        <v>22.396000000000001</v>
      </c>
      <c r="Q4"/>
      <c r="T4" s="884"/>
      <c r="U4" s="884"/>
      <c r="V4" s="884"/>
      <c r="W4" s="884"/>
      <c r="X4" s="884"/>
      <c r="Y4" s="884"/>
      <c r="Z4" s="884"/>
      <c r="AA4" s="884"/>
      <c r="AB4" s="884"/>
      <c r="AC4" s="884"/>
      <c r="AD4" s="884"/>
      <c r="AE4" s="884"/>
      <c r="AF4" s="884"/>
      <c r="AG4" s="884"/>
      <c r="AH4" s="884"/>
      <c r="AI4" s="884"/>
      <c r="AJ4" s="884"/>
      <c r="AK4" s="884"/>
    </row>
    <row r="5" spans="1:39" ht="16.5" thickBot="1">
      <c r="B5" s="622">
        <v>21429</v>
      </c>
      <c r="C5" s="1229">
        <v>22.227</v>
      </c>
      <c r="D5" s="1438">
        <f t="shared" si="0"/>
        <v>21.015401325249002</v>
      </c>
      <c r="E5" s="1212">
        <v>15342</v>
      </c>
      <c r="F5" s="1213">
        <v>0.03</v>
      </c>
      <c r="G5" s="1210" t="e">
        <f t="shared" si="1"/>
        <v>#N/A</v>
      </c>
      <c r="H5" s="1214">
        <v>37622</v>
      </c>
      <c r="I5" s="1203">
        <f>2.2%+15.5%</f>
        <v>0.17699999999999999</v>
      </c>
      <c r="K5" s="76">
        <v>40544</v>
      </c>
      <c r="L5" s="77">
        <v>1.1999999999999999E-3</v>
      </c>
      <c r="M5" s="77">
        <v>5.1200000000000002E-2</v>
      </c>
      <c r="O5" s="145">
        <v>21732</v>
      </c>
      <c r="P5" s="845">
        <f t="shared" si="2"/>
        <v>22.564</v>
      </c>
      <c r="Q5"/>
    </row>
    <row r="6" spans="1:39" ht="15.75" customHeight="1">
      <c r="B6" s="622">
        <v>21459</v>
      </c>
      <c r="C6" s="1229">
        <v>22.227</v>
      </c>
      <c r="D6" s="1438">
        <f t="shared" si="0"/>
        <v>21.015401325249002</v>
      </c>
      <c r="E6" s="1212">
        <v>31594</v>
      </c>
      <c r="F6" s="1215">
        <v>3.5000000000000003E-2</v>
      </c>
      <c r="G6" s="1210" t="e">
        <f t="shared" si="1"/>
        <v>#N/A</v>
      </c>
      <c r="H6" s="1214">
        <v>41456</v>
      </c>
      <c r="I6" s="1203">
        <f>0.155+0.0205+0.0025</f>
        <v>0.17799999999999999</v>
      </c>
      <c r="K6" s="76">
        <v>40725</v>
      </c>
      <c r="L6" s="77">
        <v>3.7000000000000002E-3</v>
      </c>
      <c r="M6" s="77">
        <v>5.3699999999999998E-2</v>
      </c>
      <c r="O6" s="145">
        <v>22098</v>
      </c>
      <c r="P6" s="845">
        <f t="shared" si="2"/>
        <v>22.901</v>
      </c>
      <c r="Q6"/>
      <c r="R6" s="65"/>
      <c r="S6" s="2335" t="s">
        <v>1308</v>
      </c>
      <c r="T6" s="2336"/>
      <c r="U6" s="2336"/>
      <c r="V6" s="2336"/>
      <c r="W6" s="2336"/>
      <c r="X6" s="2336"/>
      <c r="Y6" s="2336"/>
      <c r="Z6" s="2336"/>
      <c r="AA6" s="2336"/>
      <c r="AB6" s="2336"/>
      <c r="AC6" s="2336"/>
      <c r="AD6" s="2336"/>
      <c r="AE6" s="2336"/>
      <c r="AF6" s="2336"/>
      <c r="AG6" s="2336"/>
      <c r="AH6" s="2336"/>
      <c r="AI6" s="2336"/>
      <c r="AJ6" s="2336"/>
      <c r="AK6" s="2337"/>
    </row>
    <row r="7" spans="1:39" ht="16.5" customHeight="1">
      <c r="B7" s="622">
        <v>21490</v>
      </c>
      <c r="C7" s="1229">
        <v>22.396000000000001</v>
      </c>
      <c r="D7" s="1438">
        <f t="shared" si="0"/>
        <v>21.175189097956402</v>
      </c>
      <c r="E7" s="1212">
        <v>34516</v>
      </c>
      <c r="F7" s="1213">
        <v>0.04</v>
      </c>
      <c r="G7" s="1210" t="e">
        <f t="shared" si="1"/>
        <v>#N/A</v>
      </c>
      <c r="H7" s="1214">
        <v>42005</v>
      </c>
      <c r="I7" s="1203">
        <f>0.146+0.0235+0.0025+0.009</f>
        <v>0.18099999999999999</v>
      </c>
      <c r="K7" s="76">
        <v>40909</v>
      </c>
      <c r="L7" s="77">
        <v>1.1999999999999999E-3</v>
      </c>
      <c r="M7" s="77">
        <v>5.1200000000000002E-2</v>
      </c>
      <c r="O7" s="145">
        <v>22463</v>
      </c>
      <c r="P7" s="845">
        <f t="shared" si="2"/>
        <v>23.49</v>
      </c>
      <c r="Q7"/>
      <c r="R7" s="65"/>
      <c r="S7" s="2338"/>
      <c r="T7" s="2339"/>
      <c r="U7" s="2339"/>
      <c r="V7" s="2339"/>
      <c r="W7" s="2339"/>
      <c r="X7" s="2339"/>
      <c r="Y7" s="2339"/>
      <c r="Z7" s="2339"/>
      <c r="AA7" s="2339"/>
      <c r="AB7" s="2339"/>
      <c r="AC7" s="2339"/>
      <c r="AD7" s="2339"/>
      <c r="AE7" s="2339"/>
      <c r="AF7" s="2339"/>
      <c r="AG7" s="2339"/>
      <c r="AH7" s="2339"/>
      <c r="AI7" s="2339"/>
      <c r="AJ7" s="2339"/>
      <c r="AK7" s="2340"/>
    </row>
    <row r="8" spans="1:39" ht="15.75">
      <c r="B8" s="622">
        <v>21520</v>
      </c>
      <c r="C8" s="1229">
        <v>22.48</v>
      </c>
      <c r="D8" s="1438">
        <f t="shared" si="0"/>
        <v>21.254610239420401</v>
      </c>
      <c r="E8" s="1212">
        <v>36708</v>
      </c>
      <c r="F8" s="1215">
        <v>3.2500000000000001E-2</v>
      </c>
      <c r="G8" s="1210" t="e">
        <f t="shared" si="1"/>
        <v>#N/A</v>
      </c>
      <c r="H8" s="1214">
        <v>42430</v>
      </c>
      <c r="I8" s="1203">
        <f>0.146+0.009+0.0235+0.0025</f>
        <v>0.18099999999999999</v>
      </c>
      <c r="K8" s="76">
        <v>41091</v>
      </c>
      <c r="L8" s="77">
        <v>1.1999999999999999E-3</v>
      </c>
      <c r="M8" s="77">
        <v>5.1200000000000002E-2</v>
      </c>
      <c r="O8" s="145">
        <v>22828</v>
      </c>
      <c r="P8" s="845">
        <f t="shared" si="2"/>
        <v>24.248000000000001</v>
      </c>
      <c r="Q8"/>
      <c r="R8" s="65"/>
      <c r="S8" s="2341" t="s">
        <v>932</v>
      </c>
      <c r="T8" s="2342"/>
      <c r="U8" s="2343"/>
      <c r="V8" s="885">
        <f>V9/U9-1</f>
        <v>3.7700282752120673E-2</v>
      </c>
      <c r="W8" s="59">
        <f>W9/V9-1</f>
        <v>7.5386012715713102E-2</v>
      </c>
      <c r="X8" s="1052">
        <f>VLOOKUP(X10,$O$4:$Q$765,3)</f>
        <v>6.2E-2</v>
      </c>
      <c r="Y8" s="1415">
        <f t="shared" ref="Y8:AK8" si="3">VLOOKUP(Y10,$O$4:$Q$765,3)</f>
        <v>0.05</v>
      </c>
      <c r="Z8" s="1415">
        <f t="shared" si="3"/>
        <v>0.04</v>
      </c>
      <c r="AA8" s="1415">
        <f t="shared" si="3"/>
        <v>0.03</v>
      </c>
      <c r="AB8" s="1415">
        <f t="shared" si="3"/>
        <v>2.5000000000000001E-2</v>
      </c>
      <c r="AC8" s="1415">
        <f t="shared" si="3"/>
        <v>2.1999999999999999E-2</v>
      </c>
      <c r="AD8" s="1415">
        <f t="shared" si="3"/>
        <v>0.02</v>
      </c>
      <c r="AE8" s="1415">
        <f t="shared" si="3"/>
        <v>0.02</v>
      </c>
      <c r="AF8" s="1415">
        <f t="shared" si="3"/>
        <v>0.02</v>
      </c>
      <c r="AG8" s="1415">
        <f t="shared" si="3"/>
        <v>0.02</v>
      </c>
      <c r="AH8" s="1415">
        <f t="shared" si="3"/>
        <v>0.02</v>
      </c>
      <c r="AI8" s="1415">
        <f t="shared" si="3"/>
        <v>0.02</v>
      </c>
      <c r="AJ8" s="1415">
        <f t="shared" si="3"/>
        <v>0.02</v>
      </c>
      <c r="AK8" s="1415">
        <f t="shared" si="3"/>
        <v>0.02</v>
      </c>
      <c r="AL8" s="59"/>
    </row>
    <row r="9" spans="1:39" ht="15.75">
      <c r="B9" s="622">
        <v>21551</v>
      </c>
      <c r="C9" s="1229">
        <v>22.564</v>
      </c>
      <c r="D9" s="1438">
        <f t="shared" si="0"/>
        <v>21.334031380884401</v>
      </c>
      <c r="E9" s="1212">
        <v>37987</v>
      </c>
      <c r="F9" s="1215">
        <v>2.75E-2</v>
      </c>
      <c r="G9" s="1210" t="e">
        <f t="shared" si="1"/>
        <v>#N/A</v>
      </c>
      <c r="H9" s="1214">
        <v>42736</v>
      </c>
      <c r="I9" s="1203">
        <f>0.146+0.009+0.0255+0.0025</f>
        <v>0.183</v>
      </c>
      <c r="K9" s="76">
        <v>41275</v>
      </c>
      <c r="L9" s="77">
        <v>-1.2999999999999999E-3</v>
      </c>
      <c r="M9" s="77">
        <v>4.87E-2</v>
      </c>
      <c r="O9" s="145">
        <v>23193</v>
      </c>
      <c r="P9" s="845">
        <f t="shared" si="2"/>
        <v>24.753</v>
      </c>
      <c r="Q9"/>
      <c r="R9" s="65"/>
      <c r="S9" s="955" t="s">
        <v>190</v>
      </c>
      <c r="T9" s="956">
        <v>102.5</v>
      </c>
      <c r="U9" s="956">
        <f>VLOOKUP(U10,$O$4:$P$765,2)</f>
        <v>106.1</v>
      </c>
      <c r="V9" s="956">
        <f t="shared" ref="V9:AK9" si="4">VLOOKUP(V10,$O$4:$P$765,2)</f>
        <v>110.1</v>
      </c>
      <c r="W9" s="956">
        <f t="shared" si="4"/>
        <v>118.4</v>
      </c>
      <c r="X9" s="956">
        <f t="shared" si="4"/>
        <v>125.74080000000001</v>
      </c>
      <c r="Y9" s="956">
        <f t="shared" si="4"/>
        <v>132.02784000000003</v>
      </c>
      <c r="Z9" s="1416">
        <f t="shared" si="4"/>
        <v>137.30895360000002</v>
      </c>
      <c r="AA9" s="1416">
        <f t="shared" si="4"/>
        <v>141.42822220800002</v>
      </c>
      <c r="AB9" s="1416">
        <f t="shared" si="4"/>
        <v>144.96392776320002</v>
      </c>
      <c r="AC9" s="1416">
        <f t="shared" si="4"/>
        <v>148.15313417399042</v>
      </c>
      <c r="AD9" s="1416">
        <f t="shared" si="4"/>
        <v>151.11619685747024</v>
      </c>
      <c r="AE9" s="1416">
        <f t="shared" si="4"/>
        <v>154.13852079461964</v>
      </c>
      <c r="AF9" s="1416">
        <f t="shared" si="4"/>
        <v>157.22129121051202</v>
      </c>
      <c r="AG9" s="1416">
        <f t="shared" si="4"/>
        <v>160.36571703472225</v>
      </c>
      <c r="AH9" s="1416">
        <f t="shared" si="4"/>
        <v>163.57303137541669</v>
      </c>
      <c r="AI9" s="1416">
        <f t="shared" si="4"/>
        <v>166.84449200292502</v>
      </c>
      <c r="AJ9" s="1416">
        <f t="shared" si="4"/>
        <v>170.18138184298351</v>
      </c>
      <c r="AK9" s="1417">
        <f t="shared" si="4"/>
        <v>173.58500947984319</v>
      </c>
    </row>
    <row r="10" spans="1:39" ht="59.25">
      <c r="B10" s="622">
        <v>21582</v>
      </c>
      <c r="C10" s="1229">
        <v>22.648</v>
      </c>
      <c r="D10" s="1438">
        <f t="shared" si="0"/>
        <v>21.4134525223484</v>
      </c>
      <c r="E10" s="1212">
        <v>39083</v>
      </c>
      <c r="F10" s="1215">
        <v>2.2499999999999999E-2</v>
      </c>
      <c r="G10" s="1210" t="e">
        <f t="shared" si="1"/>
        <v>#N/A</v>
      </c>
      <c r="H10" s="1214">
        <v>43466</v>
      </c>
      <c r="I10" s="1203">
        <f>0.146+0.009+0.0305+0.0025</f>
        <v>0.188</v>
      </c>
      <c r="K10" s="76">
        <v>41456</v>
      </c>
      <c r="L10" s="77">
        <v>-3.8E-3</v>
      </c>
      <c r="M10" s="77">
        <v>4.6199999999999998E-2</v>
      </c>
      <c r="O10" s="145">
        <v>23559</v>
      </c>
      <c r="P10" s="845">
        <f t="shared" si="2"/>
        <v>25.427</v>
      </c>
      <c r="Q10"/>
      <c r="R10" s="65"/>
      <c r="S10" s="1162" t="s">
        <v>1413</v>
      </c>
      <c r="T10" s="957">
        <v>42917</v>
      </c>
      <c r="U10" s="1413">
        <v>44013</v>
      </c>
      <c r="V10" s="1413">
        <v>44378</v>
      </c>
      <c r="W10" s="1413">
        <v>44743</v>
      </c>
      <c r="X10" s="1413">
        <v>45108</v>
      </c>
      <c r="Y10" s="1413">
        <v>45474</v>
      </c>
      <c r="Z10" s="1413">
        <v>45839</v>
      </c>
      <c r="AA10" s="1413">
        <v>46204</v>
      </c>
      <c r="AB10" s="1413">
        <v>46569</v>
      </c>
      <c r="AC10" s="1413">
        <v>46935</v>
      </c>
      <c r="AD10" s="1413">
        <v>47300</v>
      </c>
      <c r="AE10" s="1413">
        <v>47665</v>
      </c>
      <c r="AF10" s="1413">
        <v>48030</v>
      </c>
      <c r="AG10" s="1413">
        <v>48396</v>
      </c>
      <c r="AH10" s="1413">
        <v>48761</v>
      </c>
      <c r="AI10" s="1413">
        <v>49126</v>
      </c>
      <c r="AJ10" s="1413">
        <v>49491</v>
      </c>
      <c r="AK10" s="1414">
        <v>49857</v>
      </c>
      <c r="AM10" s="1163"/>
    </row>
    <row r="11" spans="1:39" ht="15.75">
      <c r="B11" s="622">
        <v>21610</v>
      </c>
      <c r="C11" s="1229">
        <v>22.564</v>
      </c>
      <c r="D11" s="1438">
        <f t="shared" si="0"/>
        <v>21.334031380884401</v>
      </c>
      <c r="E11" s="347">
        <v>40057</v>
      </c>
      <c r="F11" s="1216">
        <v>2.2499999999999999E-2</v>
      </c>
      <c r="G11" s="1217">
        <f t="shared" ref="G11:G16" si="5">VLOOKUP(E11,BilmoGZins,16)/100</f>
        <v>5.28E-2</v>
      </c>
      <c r="H11" s="1214">
        <v>37622</v>
      </c>
      <c r="I11" s="1203">
        <v>0.17699999999999999</v>
      </c>
      <c r="K11" s="76">
        <v>41640</v>
      </c>
      <c r="L11" s="77">
        <v>-6.3E-3</v>
      </c>
      <c r="M11" s="77">
        <v>4.3700000000000003E-2</v>
      </c>
      <c r="O11" s="145">
        <v>23924</v>
      </c>
      <c r="P11" s="845">
        <f t="shared" si="2"/>
        <v>26.437000000000001</v>
      </c>
      <c r="Q11"/>
      <c r="R11" s="958">
        <f t="shared" ref="R11:R27" si="6">VLOOKUP(S11,$O$4:$P$765,2)</f>
        <v>106.1</v>
      </c>
      <c r="S11" s="1160">
        <v>44013</v>
      </c>
      <c r="T11" s="959"/>
      <c r="U11" s="960"/>
      <c r="V11" s="960">
        <f t="shared" ref="V11:AK11" si="7">_xlfn.RRI(YEARFRAC($S11,V$10,3),$R11,V$9)</f>
        <v>3.7700282752120673E-2</v>
      </c>
      <c r="W11" s="960">
        <f t="shared" si="7"/>
        <v>5.637510831274839E-2</v>
      </c>
      <c r="X11" s="960">
        <f t="shared" si="7"/>
        <v>5.8246754138118195E-2</v>
      </c>
      <c r="Y11" s="960">
        <f t="shared" si="7"/>
        <v>5.6139501026753358E-2</v>
      </c>
      <c r="Z11" s="960">
        <f t="shared" si="7"/>
        <v>5.2893462872684927E-2</v>
      </c>
      <c r="AA11" s="960">
        <f t="shared" si="7"/>
        <v>4.9044605312466238E-2</v>
      </c>
      <c r="AB11" s="960">
        <f t="shared" si="7"/>
        <v>4.5576788315034866E-2</v>
      </c>
      <c r="AC11" s="960">
        <f t="shared" si="7"/>
        <v>4.2586331480383599E-2</v>
      </c>
      <c r="AD11" s="960">
        <f t="shared" si="7"/>
        <v>4.0053781077355577E-2</v>
      </c>
      <c r="AE11" s="960">
        <f t="shared" si="7"/>
        <v>3.8031894276686851E-2</v>
      </c>
      <c r="AF11" s="960">
        <f t="shared" si="7"/>
        <v>3.638036462175287E-2</v>
      </c>
      <c r="AG11" s="960">
        <f t="shared" si="7"/>
        <v>3.4997847013136907E-2</v>
      </c>
      <c r="AH11" s="960">
        <f t="shared" si="7"/>
        <v>3.3837111655732999E-2</v>
      </c>
      <c r="AI11" s="960">
        <f t="shared" si="7"/>
        <v>3.2843134631017179E-2</v>
      </c>
      <c r="AJ11" s="960">
        <f t="shared" si="7"/>
        <v>3.1982388442814091E-2</v>
      </c>
      <c r="AK11" s="961">
        <f t="shared" si="7"/>
        <v>3.1224342322476284E-2</v>
      </c>
      <c r="AM11" s="1163"/>
    </row>
    <row r="12" spans="1:39" ht="15.75">
      <c r="B12" s="622">
        <v>21641</v>
      </c>
      <c r="C12" s="1229">
        <v>22.48</v>
      </c>
      <c r="D12" s="1438">
        <f t="shared" si="0"/>
        <v>21.254610239420401</v>
      </c>
      <c r="E12" s="1212">
        <v>40909</v>
      </c>
      <c r="F12" s="1215">
        <v>1.7500000000000002E-2</v>
      </c>
      <c r="G12" s="1217">
        <f t="shared" si="5"/>
        <v>5.1399999999999994E-2</v>
      </c>
      <c r="H12" s="1214">
        <v>41456</v>
      </c>
      <c r="I12" s="1203">
        <v>0.17799999999999999</v>
      </c>
      <c r="K12" s="76">
        <v>41821</v>
      </c>
      <c r="L12" s="77">
        <v>-7.3000000000000001E-3</v>
      </c>
      <c r="M12" s="77">
        <v>4.2700000000000002E-2</v>
      </c>
      <c r="O12" s="145">
        <v>24289</v>
      </c>
      <c r="P12" s="845">
        <f t="shared" si="2"/>
        <v>27.279</v>
      </c>
      <c r="Q12"/>
      <c r="R12" s="958">
        <f t="shared" si="6"/>
        <v>110.1</v>
      </c>
      <c r="S12" s="1160">
        <v>44378</v>
      </c>
      <c r="T12" s="959"/>
      <c r="U12" s="960"/>
      <c r="V12" s="960"/>
      <c r="W12" s="960">
        <f t="shared" ref="W12:AK12" si="8">_xlfn.RRI(YEARFRAC($S12,W$10,3),$R12,W$9)</f>
        <v>7.5386012715713102E-2</v>
      </c>
      <c r="X12" s="960">
        <f t="shared" si="8"/>
        <v>6.867204768539148E-2</v>
      </c>
      <c r="Y12" s="960">
        <f t="shared" si="8"/>
        <v>6.2352742444915288E-2</v>
      </c>
      <c r="Z12" s="960">
        <f t="shared" si="8"/>
        <v>5.6723760482785712E-2</v>
      </c>
      <c r="AA12" s="960">
        <f t="shared" si="8"/>
        <v>5.1327056809049365E-2</v>
      </c>
      <c r="AB12" s="960">
        <f t="shared" si="8"/>
        <v>4.68947373176547E-2</v>
      </c>
      <c r="AC12" s="960">
        <f t="shared" si="8"/>
        <v>4.3285666364058395E-2</v>
      </c>
      <c r="AD12" s="960">
        <f t="shared" si="8"/>
        <v>4.0348141783030478E-2</v>
      </c>
      <c r="AE12" s="960">
        <f t="shared" si="8"/>
        <v>3.8068724119005637E-2</v>
      </c>
      <c r="AF12" s="960">
        <f t="shared" si="8"/>
        <v>3.6248537412373549E-2</v>
      </c>
      <c r="AG12" s="960">
        <f t="shared" si="8"/>
        <v>3.4752703445031452E-2</v>
      </c>
      <c r="AH12" s="960">
        <f t="shared" si="8"/>
        <v>3.3516050524046825E-2</v>
      </c>
      <c r="AI12" s="960">
        <f t="shared" si="8"/>
        <v>3.2470686324924225E-2</v>
      </c>
      <c r="AJ12" s="960">
        <f t="shared" si="8"/>
        <v>3.1575413969796351E-2</v>
      </c>
      <c r="AK12" s="961">
        <f t="shared" si="8"/>
        <v>3.0794366779243854E-2</v>
      </c>
    </row>
    <row r="13" spans="1:39" ht="15.75">
      <c r="B13" s="622">
        <v>21671</v>
      </c>
      <c r="C13" s="1229">
        <v>22.48</v>
      </c>
      <c r="D13" s="1438">
        <f t="shared" si="0"/>
        <v>21.254610239420401</v>
      </c>
      <c r="E13" s="1212">
        <v>42005</v>
      </c>
      <c r="F13" s="1215">
        <v>1.2500000000000001E-2</v>
      </c>
      <c r="G13" s="1217">
        <f t="shared" si="5"/>
        <v>4.53E-2</v>
      </c>
      <c r="H13" s="1214">
        <v>42005</v>
      </c>
      <c r="I13" s="1203">
        <v>0.18099999999999999</v>
      </c>
      <c r="K13" s="76">
        <v>41849</v>
      </c>
      <c r="L13" s="77">
        <v>-7.3000000000000001E-3</v>
      </c>
      <c r="M13" s="77">
        <v>4.2700000000000002E-2</v>
      </c>
      <c r="O13" s="145">
        <v>24654</v>
      </c>
      <c r="P13" s="845">
        <f t="shared" si="2"/>
        <v>27.783999999999999</v>
      </c>
      <c r="Q13"/>
      <c r="R13" s="958">
        <f t="shared" si="6"/>
        <v>118.4</v>
      </c>
      <c r="S13" s="1160">
        <v>44743</v>
      </c>
      <c r="T13" s="959"/>
      <c r="U13" s="960"/>
      <c r="V13" s="960"/>
      <c r="W13" s="960"/>
      <c r="X13" s="960">
        <f t="shared" ref="X13:AK13" si="9">_xlfn.RRI(YEARFRAC($S13,X$10,3),$R13,X$9)</f>
        <v>6.2000000000000055E-2</v>
      </c>
      <c r="Y13" s="960">
        <f t="shared" si="9"/>
        <v>5.5904268489545883E-2</v>
      </c>
      <c r="Z13" s="960">
        <f t="shared" si="9"/>
        <v>5.0580852873158832E-2</v>
      </c>
      <c r="AA13" s="960">
        <f t="shared" si="9"/>
        <v>4.5400942956739021E-2</v>
      </c>
      <c r="AB13" s="960">
        <f t="shared" si="9"/>
        <v>4.1290774112929363E-2</v>
      </c>
      <c r="AC13" s="960">
        <f t="shared" si="9"/>
        <v>3.8034333557957156E-2</v>
      </c>
      <c r="AD13" s="960">
        <f t="shared" si="9"/>
        <v>3.5440636162554995E-2</v>
      </c>
      <c r="AE13" s="960">
        <f t="shared" si="9"/>
        <v>3.3499174574067148E-2</v>
      </c>
      <c r="AF13" s="960">
        <f t="shared" si="9"/>
        <v>3.1991404085223829E-2</v>
      </c>
      <c r="AG13" s="960">
        <f t="shared" si="9"/>
        <v>3.0778050645227317E-2</v>
      </c>
      <c r="AH13" s="960">
        <f t="shared" si="9"/>
        <v>2.9794274426968803E-2</v>
      </c>
      <c r="AI13" s="960">
        <f t="shared" si="9"/>
        <v>2.897506609495637E-2</v>
      </c>
      <c r="AJ13" s="960">
        <f t="shared" si="9"/>
        <v>2.8282319296359715E-2</v>
      </c>
      <c r="AK13" s="961">
        <f t="shared" si="9"/>
        <v>2.7683360944696922E-2</v>
      </c>
    </row>
    <row r="14" spans="1:39" ht="15.75">
      <c r="B14" s="622">
        <v>21702</v>
      </c>
      <c r="C14" s="1229">
        <v>22.48</v>
      </c>
      <c r="D14" s="1438">
        <f t="shared" si="0"/>
        <v>21.254610239420401</v>
      </c>
      <c r="E14" s="1212">
        <v>42736</v>
      </c>
      <c r="F14" s="1215">
        <v>8.9999999999999993E-3</v>
      </c>
      <c r="G14" s="1217">
        <f t="shared" si="5"/>
        <v>3.2400000000000005E-2</v>
      </c>
      <c r="H14" s="1214">
        <v>42430</v>
      </c>
      <c r="I14" s="1203">
        <v>0.18099999999999999</v>
      </c>
      <c r="K14" s="76">
        <v>42005</v>
      </c>
      <c r="L14" s="77">
        <v>-8.3000000000000001E-3</v>
      </c>
      <c r="M14" s="77">
        <v>4.1700000000000001E-2</v>
      </c>
      <c r="O14" s="145">
        <v>25020</v>
      </c>
      <c r="P14" s="845">
        <f t="shared" si="2"/>
        <v>28.120999999999999</v>
      </c>
      <c r="Q14"/>
      <c r="R14" s="958">
        <f t="shared" si="6"/>
        <v>125.74080000000001</v>
      </c>
      <c r="S14" s="1160">
        <v>45108</v>
      </c>
      <c r="T14" s="959"/>
      <c r="U14" s="960"/>
      <c r="V14" s="960"/>
      <c r="W14" s="960"/>
      <c r="X14" s="960"/>
      <c r="Y14" s="960">
        <f t="shared" ref="Y14:AK14" si="10">_xlfn.RRI(YEARFRAC($S14,Y$10,3),$R14,Y$9)</f>
        <v>4.9860037546703539E-2</v>
      </c>
      <c r="Z14" s="960">
        <f t="shared" si="10"/>
        <v>4.4925132910944132E-2</v>
      </c>
      <c r="AA14" s="960">
        <f t="shared" si="10"/>
        <v>3.9930762051169078E-2</v>
      </c>
      <c r="AB14" s="960">
        <f t="shared" si="10"/>
        <v>3.6180368684857633E-2</v>
      </c>
      <c r="AC14" s="960">
        <f t="shared" si="10"/>
        <v>3.3311657224463831E-2</v>
      </c>
      <c r="AD14" s="960">
        <f t="shared" si="10"/>
        <v>3.1083077236585765E-2</v>
      </c>
      <c r="AE14" s="960">
        <f t="shared" si="10"/>
        <v>2.9493680991855786E-2</v>
      </c>
      <c r="AF14" s="960">
        <f t="shared" si="10"/>
        <v>2.8302970397954041E-2</v>
      </c>
      <c r="AG14" s="960">
        <f t="shared" si="10"/>
        <v>2.736921414194704E-2</v>
      </c>
      <c r="AH14" s="960">
        <f t="shared" si="10"/>
        <v>2.6630510163106802E-2</v>
      </c>
      <c r="AI14" s="960">
        <f t="shared" si="10"/>
        <v>2.6026410897417085E-2</v>
      </c>
      <c r="AJ14" s="960">
        <f t="shared" si="10"/>
        <v>2.5523197530985087E-2</v>
      </c>
      <c r="AK14" s="961">
        <f t="shared" si="10"/>
        <v>2.5092194931708667E-2</v>
      </c>
    </row>
    <row r="15" spans="1:39" ht="15.75">
      <c r="B15" s="622">
        <v>21732</v>
      </c>
      <c r="C15" s="1229">
        <v>22.564</v>
      </c>
      <c r="D15" s="1438">
        <f t="shared" si="0"/>
        <v>21.334031380884401</v>
      </c>
      <c r="E15" s="1212">
        <v>43466</v>
      </c>
      <c r="F15" s="1215">
        <v>8.9999999999999993E-3</v>
      </c>
      <c r="G15" s="1217">
        <f t="shared" si="5"/>
        <v>2.3199999999999998E-2</v>
      </c>
      <c r="H15" s="1214">
        <v>42736</v>
      </c>
      <c r="I15" s="1203">
        <v>0.183</v>
      </c>
      <c r="K15" s="76">
        <v>42186</v>
      </c>
      <c r="L15" s="77">
        <v>-8.3000000000000001E-3</v>
      </c>
      <c r="M15" s="77">
        <v>4.1700000000000001E-2</v>
      </c>
      <c r="O15" s="145">
        <v>25385</v>
      </c>
      <c r="P15" s="845">
        <f t="shared" si="2"/>
        <v>28.71</v>
      </c>
      <c r="Q15"/>
      <c r="R15" s="958">
        <f t="shared" si="6"/>
        <v>132.02784000000003</v>
      </c>
      <c r="S15" s="1160">
        <v>45474</v>
      </c>
      <c r="T15" s="959"/>
      <c r="U15" s="960"/>
      <c r="V15" s="960"/>
      <c r="W15" s="960"/>
      <c r="X15" s="960"/>
      <c r="Y15" s="960"/>
      <c r="Z15" s="960">
        <f t="shared" ref="Z15:AK15" si="11">_xlfn.RRI(YEARFRAC($S15,Z$10,3),$R15,Z$9)</f>
        <v>4.0000000000000036E-2</v>
      </c>
      <c r="AA15" s="960">
        <f t="shared" si="11"/>
        <v>3.4987922634848845E-2</v>
      </c>
      <c r="AB15" s="960">
        <f t="shared" si="11"/>
        <v>3.1647847718268673E-2</v>
      </c>
      <c r="AC15" s="960">
        <f t="shared" si="11"/>
        <v>2.9207086311024977E-2</v>
      </c>
      <c r="AD15" s="960">
        <f t="shared" si="11"/>
        <v>2.7360055436830288E-2</v>
      </c>
      <c r="AE15" s="960">
        <f t="shared" si="11"/>
        <v>2.6130262979300101E-2</v>
      </c>
      <c r="AF15" s="960">
        <f t="shared" si="11"/>
        <v>2.5252603922845784E-2</v>
      </c>
      <c r="AG15" s="960">
        <f t="shared" si="11"/>
        <v>2.4586257518486532E-2</v>
      </c>
      <c r="AH15" s="960">
        <f t="shared" si="11"/>
        <v>2.4075967305791313E-2</v>
      </c>
      <c r="AI15" s="960">
        <f t="shared" si="11"/>
        <v>2.366786227255524E-2</v>
      </c>
      <c r="AJ15" s="960">
        <f t="shared" si="11"/>
        <v>2.3334042200878313E-2</v>
      </c>
      <c r="AK15" s="961">
        <f t="shared" si="11"/>
        <v>2.3050596112598853E-2</v>
      </c>
    </row>
    <row r="16" spans="1:39" ht="15.75">
      <c r="B16" s="622">
        <v>21763</v>
      </c>
      <c r="C16" s="1229">
        <v>22.648</v>
      </c>
      <c r="D16" s="1438">
        <f t="shared" si="0"/>
        <v>21.4134525223484</v>
      </c>
      <c r="E16" s="1212">
        <v>44562</v>
      </c>
      <c r="F16" s="1215">
        <v>2.5000000000000001E-3</v>
      </c>
      <c r="G16" s="1217">
        <f t="shared" si="5"/>
        <v>1.3500000000000002E-2</v>
      </c>
      <c r="H16" s="1214">
        <v>43466</v>
      </c>
      <c r="I16" s="1203">
        <v>0.188</v>
      </c>
      <c r="K16" s="76">
        <v>42370</v>
      </c>
      <c r="L16" s="77">
        <v>-8.3000000000000001E-3</v>
      </c>
      <c r="M16" s="77">
        <v>4.1700000000000001E-2</v>
      </c>
      <c r="O16" s="145">
        <v>25750</v>
      </c>
      <c r="P16" s="845">
        <f t="shared" si="2"/>
        <v>29.721</v>
      </c>
      <c r="Q16"/>
      <c r="R16" s="958">
        <f t="shared" si="6"/>
        <v>137.30895360000002</v>
      </c>
      <c r="S16" s="1160">
        <v>45839</v>
      </c>
      <c r="T16" s="959"/>
      <c r="U16" s="960"/>
      <c r="V16" s="960"/>
      <c r="W16" s="960"/>
      <c r="X16" s="960"/>
      <c r="Y16" s="960"/>
      <c r="Z16" s="960"/>
      <c r="AA16" s="960">
        <f t="shared" ref="AA16:AK16" si="12">_xlfn.RRI(YEARFRAC($S16,AA$10,3),$R16,AA$9)</f>
        <v>3.0000000000000027E-2</v>
      </c>
      <c r="AB16" s="960">
        <f t="shared" si="12"/>
        <v>2.7496958632968305E-2</v>
      </c>
      <c r="AC16" s="960">
        <f t="shared" si="12"/>
        <v>2.5637650541880941E-2</v>
      </c>
      <c r="AD16" s="960">
        <f t="shared" si="12"/>
        <v>2.422628939177307E-2</v>
      </c>
      <c r="AE16" s="960">
        <f t="shared" si="12"/>
        <v>2.3380096401964812E-2</v>
      </c>
      <c r="AF16" s="960">
        <f t="shared" si="12"/>
        <v>2.2816227556263557E-2</v>
      </c>
      <c r="AG16" s="960">
        <f t="shared" si="12"/>
        <v>2.2404728280640995E-2</v>
      </c>
      <c r="AH16" s="960">
        <f t="shared" si="12"/>
        <v>2.2104033402843726E-2</v>
      </c>
      <c r="AI16" s="960">
        <f t="shared" si="12"/>
        <v>2.1870180108774839E-2</v>
      </c>
      <c r="AJ16" s="960">
        <f t="shared" si="12"/>
        <v>2.168311039138171E-2</v>
      </c>
      <c r="AK16" s="961">
        <f t="shared" si="12"/>
        <v>2.1524646230094202E-2</v>
      </c>
    </row>
    <row r="17" spans="2:37" ht="15.75">
      <c r="B17" s="622">
        <v>21794</v>
      </c>
      <c r="C17" s="1229">
        <v>22.731999999999999</v>
      </c>
      <c r="D17" s="1438">
        <f t="shared" si="0"/>
        <v>21.4928736638124</v>
      </c>
      <c r="E17" s="1218"/>
      <c r="F17" s="1218"/>
      <c r="G17" s="1210"/>
      <c r="H17" s="1214">
        <v>43831</v>
      </c>
      <c r="I17" s="1203">
        <v>0.188</v>
      </c>
      <c r="K17" s="76">
        <v>42552</v>
      </c>
      <c r="L17" s="77">
        <v>-8.8000000000000005E-3</v>
      </c>
      <c r="M17" s="77">
        <v>4.1200000000000001E-2</v>
      </c>
      <c r="O17" s="145">
        <v>26115</v>
      </c>
      <c r="P17" s="845">
        <f t="shared" si="2"/>
        <v>31.32</v>
      </c>
      <c r="Q17"/>
      <c r="R17" s="958">
        <f t="shared" si="6"/>
        <v>141.42822220800002</v>
      </c>
      <c r="S17" s="1160">
        <v>46204</v>
      </c>
      <c r="T17" s="959"/>
      <c r="U17" s="960"/>
      <c r="V17" s="960"/>
      <c r="W17" s="960"/>
      <c r="X17" s="960"/>
      <c r="Y17" s="960"/>
      <c r="Z17" s="960"/>
      <c r="AA17" s="960"/>
      <c r="AB17" s="960">
        <f t="shared" ref="AB17:AK17" si="13">_xlfn.RRI(YEARFRAC($S17,AB$10,3),$R17,AB$9)</f>
        <v>2.4999999999999911E-2</v>
      </c>
      <c r="AC17" s="960">
        <f t="shared" si="13"/>
        <v>2.3466380330984915E-2</v>
      </c>
      <c r="AD17" s="960">
        <f t="shared" si="13"/>
        <v>2.2310668132112133E-2</v>
      </c>
      <c r="AE17" s="960">
        <f t="shared" si="13"/>
        <v>2.1732906442843092E-2</v>
      </c>
      <c r="AF17" s="960">
        <f t="shared" si="13"/>
        <v>2.1386279687765519E-2</v>
      </c>
      <c r="AG17" s="960">
        <f t="shared" si="13"/>
        <v>2.1145455378004829E-2</v>
      </c>
      <c r="AH17" s="960">
        <f t="shared" si="13"/>
        <v>2.0981868215828703E-2</v>
      </c>
      <c r="AI17" s="960">
        <f t="shared" si="13"/>
        <v>2.0859167055791605E-2</v>
      </c>
      <c r="AJ17" s="960">
        <f t="shared" si="13"/>
        <v>2.0763726426964002E-2</v>
      </c>
      <c r="AK17" s="961">
        <f t="shared" si="13"/>
        <v>2.0681648616484694E-2</v>
      </c>
    </row>
    <row r="18" spans="2:37" ht="15.75">
      <c r="B18" s="622">
        <v>21824</v>
      </c>
      <c r="C18" s="1229">
        <v>22.731999999999999</v>
      </c>
      <c r="D18" s="1438">
        <f t="shared" si="0"/>
        <v>21.4928736638124</v>
      </c>
      <c r="E18" s="1218"/>
      <c r="F18" s="1218"/>
      <c r="G18" s="1210"/>
      <c r="H18" s="1214">
        <v>44197</v>
      </c>
      <c r="I18" s="1203">
        <v>0.188</v>
      </c>
      <c r="K18" s="76">
        <v>42736</v>
      </c>
      <c r="L18" s="77">
        <v>-8.8000000000000005E-3</v>
      </c>
      <c r="M18" s="77">
        <v>4.1200000000000001E-2</v>
      </c>
      <c r="O18" s="145">
        <v>26481</v>
      </c>
      <c r="P18" s="845">
        <f t="shared" si="2"/>
        <v>33.003999999999998</v>
      </c>
      <c r="Q18"/>
      <c r="R18" s="958">
        <f t="shared" si="6"/>
        <v>144.96392776320002</v>
      </c>
      <c r="S18" s="1160">
        <v>46569</v>
      </c>
      <c r="T18" s="959"/>
      <c r="U18" s="960"/>
      <c r="V18" s="960"/>
      <c r="W18" s="960"/>
      <c r="X18" s="960"/>
      <c r="Y18" s="960"/>
      <c r="Z18" s="960"/>
      <c r="AA18" s="960"/>
      <c r="AB18" s="960"/>
      <c r="AC18" s="960">
        <f t="shared" ref="AC18:AK18" si="14">_xlfn.RRI(YEARFRAC($S18,AC$10,3),$R18,AC$9)</f>
        <v>2.1939236110825933E-2</v>
      </c>
      <c r="AD18" s="960">
        <f t="shared" si="14"/>
        <v>2.0970484058202343E-2</v>
      </c>
      <c r="AE18" s="960">
        <f t="shared" si="14"/>
        <v>2.0647182024824628E-2</v>
      </c>
      <c r="AF18" s="960">
        <f t="shared" si="14"/>
        <v>2.0485458792603328E-2</v>
      </c>
      <c r="AG18" s="960">
        <f t="shared" si="14"/>
        <v>2.0377129301152541E-2</v>
      </c>
      <c r="AH18" s="960">
        <f t="shared" si="14"/>
        <v>2.0314322092256587E-2</v>
      </c>
      <c r="AI18" s="960">
        <f t="shared" si="14"/>
        <v>2.0269448132255619E-2</v>
      </c>
      <c r="AJ18" s="960">
        <f t="shared" si="14"/>
        <v>2.023578627920597E-2</v>
      </c>
      <c r="AK18" s="961">
        <f t="shared" si="14"/>
        <v>2.0203392906347206E-2</v>
      </c>
    </row>
    <row r="19" spans="2:37" ht="15.75">
      <c r="B19" s="622">
        <v>21855</v>
      </c>
      <c r="C19" s="1229">
        <v>22.984999999999999</v>
      </c>
      <c r="D19" s="1438">
        <f t="shared" si="0"/>
        <v>21.7320825779838</v>
      </c>
      <c r="E19" s="1218"/>
      <c r="F19" s="1218"/>
      <c r="G19" s="1210"/>
      <c r="H19" s="1214">
        <v>44562</v>
      </c>
      <c r="I19" s="1203">
        <v>0.188</v>
      </c>
      <c r="K19" s="76">
        <v>42917</v>
      </c>
      <c r="L19" s="77">
        <v>-8.8000000000000005E-3</v>
      </c>
      <c r="M19" s="77">
        <v>4.1200000000000001E-2</v>
      </c>
      <c r="O19" s="145">
        <v>26846</v>
      </c>
      <c r="P19" s="845">
        <f t="shared" si="2"/>
        <v>35.362000000000002</v>
      </c>
      <c r="Q19"/>
      <c r="R19" s="958">
        <f t="shared" si="6"/>
        <v>148.15313417399042</v>
      </c>
      <c r="S19" s="1160">
        <v>46935</v>
      </c>
      <c r="T19" s="959"/>
      <c r="U19" s="960"/>
      <c r="V19" s="960"/>
      <c r="W19" s="960"/>
      <c r="X19" s="960"/>
      <c r="Y19" s="960"/>
      <c r="Z19" s="960"/>
      <c r="AA19" s="960"/>
      <c r="AB19" s="960"/>
      <c r="AC19" s="960"/>
      <c r="AD19" s="960">
        <f t="shared" ref="AD19:AK19" si="15">_xlfn.RRI(YEARFRAC($S19,AD$10,3),$R19,AD$9)</f>
        <v>2.0000000000000018E-2</v>
      </c>
      <c r="AE19" s="960">
        <f t="shared" si="15"/>
        <v>2.0000000000000018E-2</v>
      </c>
      <c r="AF19" s="960">
        <f t="shared" si="15"/>
        <v>2.0000000000000018E-2</v>
      </c>
      <c r="AG19" s="960">
        <f t="shared" si="15"/>
        <v>1.9986174850818106E-2</v>
      </c>
      <c r="AH19" s="960">
        <f t="shared" si="15"/>
        <v>1.9988938351414465E-2</v>
      </c>
      <c r="AI19" s="960">
        <f t="shared" si="15"/>
        <v>1.999078110973862E-2</v>
      </c>
      <c r="AJ19" s="960">
        <f t="shared" si="15"/>
        <v>1.9992097573709788E-2</v>
      </c>
      <c r="AK19" s="961">
        <f t="shared" si="15"/>
        <v>1.9986174850818106E-2</v>
      </c>
    </row>
    <row r="20" spans="2:37" ht="15.75">
      <c r="B20" s="622">
        <v>21885</v>
      </c>
      <c r="C20" s="1229">
        <v>22.901</v>
      </c>
      <c r="D20" s="1438">
        <f t="shared" si="0"/>
        <v>21.6526614365198</v>
      </c>
      <c r="E20" s="1218"/>
      <c r="F20" s="1218"/>
      <c r="G20" s="1210"/>
      <c r="H20" s="1219"/>
      <c r="I20" s="1204"/>
      <c r="K20" s="76">
        <v>43101</v>
      </c>
      <c r="L20" s="77">
        <v>-8.8000000000000005E-3</v>
      </c>
      <c r="M20" s="77">
        <v>4.1200000000000001E-2</v>
      </c>
      <c r="O20" s="145">
        <v>27211</v>
      </c>
      <c r="P20" s="845">
        <f t="shared" si="2"/>
        <v>37.802999999999997</v>
      </c>
      <c r="Q20"/>
      <c r="R20" s="958">
        <f t="shared" si="6"/>
        <v>151.11619685747024</v>
      </c>
      <c r="S20" s="1160">
        <v>47300</v>
      </c>
      <c r="T20" s="959"/>
      <c r="U20" s="960"/>
      <c r="V20" s="960"/>
      <c r="W20" s="960"/>
      <c r="X20" s="960"/>
      <c r="Y20" s="960"/>
      <c r="Z20" s="960"/>
      <c r="AA20" s="960"/>
      <c r="AB20" s="960"/>
      <c r="AC20" s="960"/>
      <c r="AD20" s="960"/>
      <c r="AE20" s="960">
        <f t="shared" ref="AE20:AK20" si="16">_xlfn.RRI(YEARFRAC($S20,AE$10,3),$R20,AE$9)</f>
        <v>2.0000000000000018E-2</v>
      </c>
      <c r="AF20" s="960">
        <f t="shared" si="16"/>
        <v>1.9999999999999796E-2</v>
      </c>
      <c r="AG20" s="960">
        <f t="shared" si="16"/>
        <v>1.9981570714080688E-2</v>
      </c>
      <c r="AH20" s="960">
        <f t="shared" si="16"/>
        <v>1.9986174850818106E-2</v>
      </c>
      <c r="AI20" s="960">
        <f t="shared" si="16"/>
        <v>1.9988938351414465E-2</v>
      </c>
      <c r="AJ20" s="960">
        <f t="shared" si="16"/>
        <v>1.9990781109738398E-2</v>
      </c>
      <c r="AK20" s="961">
        <f t="shared" si="16"/>
        <v>1.9984201389585676E-2</v>
      </c>
    </row>
    <row r="21" spans="2:37" ht="15.75">
      <c r="B21" s="622">
        <v>21916</v>
      </c>
      <c r="C21" s="1229">
        <v>22.984999999999999</v>
      </c>
      <c r="D21" s="1438">
        <f t="shared" si="0"/>
        <v>21.7320825779838</v>
      </c>
      <c r="E21" s="1218"/>
      <c r="F21" s="1218"/>
      <c r="G21" s="1210"/>
      <c r="H21" s="1219"/>
      <c r="I21" s="1204"/>
      <c r="K21" s="76">
        <v>43282</v>
      </c>
      <c r="L21" s="77">
        <v>-8.8000000000000005E-3</v>
      </c>
      <c r="M21" s="77">
        <v>4.1200000000000001E-2</v>
      </c>
      <c r="O21" s="145">
        <v>27576</v>
      </c>
      <c r="P21" s="845">
        <f t="shared" si="2"/>
        <v>40.161000000000001</v>
      </c>
      <c r="Q21"/>
      <c r="R21" s="958">
        <f t="shared" si="6"/>
        <v>154.13852079461964</v>
      </c>
      <c r="S21" s="1160">
        <v>47665</v>
      </c>
      <c r="T21" s="959"/>
      <c r="U21" s="960"/>
      <c r="V21" s="960"/>
      <c r="W21" s="960"/>
      <c r="X21" s="960"/>
      <c r="Y21" s="960"/>
      <c r="Z21" s="960"/>
      <c r="AA21" s="960"/>
      <c r="AB21" s="960"/>
      <c r="AC21" s="960"/>
      <c r="AD21" s="960"/>
      <c r="AE21" s="960"/>
      <c r="AF21" s="960">
        <f t="shared" ref="AF21:AK21" si="17">_xlfn.RRI(YEARFRAC($S21,AF$10,3),$R21,AF$9)</f>
        <v>2.0000000000000018E-2</v>
      </c>
      <c r="AG21" s="960">
        <f t="shared" si="17"/>
        <v>1.9972368801291607E-2</v>
      </c>
      <c r="AH21" s="960">
        <f t="shared" si="17"/>
        <v>1.998157071408091E-2</v>
      </c>
      <c r="AI21" s="960">
        <f t="shared" si="17"/>
        <v>1.9986174850818106E-2</v>
      </c>
      <c r="AJ21" s="960">
        <f t="shared" si="17"/>
        <v>1.9988938351414465E-2</v>
      </c>
      <c r="AK21" s="961">
        <f t="shared" si="17"/>
        <v>1.998157071408091E-2</v>
      </c>
    </row>
    <row r="22" spans="2:37" ht="15.75">
      <c r="B22" s="622">
        <v>21947</v>
      </c>
      <c r="C22" s="1229">
        <v>23.068999999999999</v>
      </c>
      <c r="D22" s="1438">
        <f t="shared" si="0"/>
        <v>21.811503719447799</v>
      </c>
      <c r="E22" s="1218"/>
      <c r="F22" s="1218"/>
      <c r="G22" s="1210"/>
      <c r="H22" s="1219"/>
      <c r="I22" s="1204"/>
      <c r="K22" s="76">
        <v>43466</v>
      </c>
      <c r="L22" s="77">
        <v>-8.8000000000000005E-3</v>
      </c>
      <c r="M22" s="77">
        <v>4.1200000000000001E-2</v>
      </c>
      <c r="O22" s="145">
        <v>27942</v>
      </c>
      <c r="P22" s="845">
        <f t="shared" si="2"/>
        <v>41.676000000000002</v>
      </c>
      <c r="Q22"/>
      <c r="R22" s="958">
        <f t="shared" si="6"/>
        <v>157.22129121051202</v>
      </c>
      <c r="S22" s="1160">
        <v>48030</v>
      </c>
      <c r="T22" s="959"/>
      <c r="U22" s="960"/>
      <c r="V22" s="960"/>
      <c r="W22" s="960"/>
      <c r="X22" s="960"/>
      <c r="Y22" s="960"/>
      <c r="Z22" s="960"/>
      <c r="AA22" s="960"/>
      <c r="AB22" s="960"/>
      <c r="AC22" s="960"/>
      <c r="AD22" s="960"/>
      <c r="AE22" s="960"/>
      <c r="AF22" s="960"/>
      <c r="AG22" s="960">
        <f>_xlfn.RRI(YEARFRAC($S22,AG$10,3),$R22,AG$9)</f>
        <v>1.9944813843109976E-2</v>
      </c>
      <c r="AH22" s="960">
        <f>_xlfn.RRI(YEARFRAC($S22,AH$10,3),$R22,AH$9)</f>
        <v>1.9972368801291829E-2</v>
      </c>
      <c r="AI22" s="960">
        <f>_xlfn.RRI(YEARFRAC($S22,AI$10,3),$R22,AI$9)</f>
        <v>1.998157071408091E-2</v>
      </c>
      <c r="AJ22" s="960">
        <f>_xlfn.RRI(YEARFRAC($S22,AJ$10,3),$R22,AJ$9)</f>
        <v>1.9986174850818106E-2</v>
      </c>
      <c r="AK22" s="961">
        <f>_xlfn.RRI(YEARFRAC($S22,AK$10,3),$R22,AK$9)</f>
        <v>1.997788893167729E-2</v>
      </c>
    </row>
    <row r="23" spans="2:37" ht="15.75">
      <c r="B23" s="622">
        <v>21976</v>
      </c>
      <c r="C23" s="1229">
        <v>22.984999999999999</v>
      </c>
      <c r="D23" s="1438">
        <f t="shared" si="0"/>
        <v>21.7320825779838</v>
      </c>
      <c r="E23" s="1218"/>
      <c r="F23" s="1218"/>
      <c r="G23" s="1210"/>
      <c r="H23" s="1219"/>
      <c r="I23" s="1204"/>
      <c r="K23" s="148">
        <v>44927</v>
      </c>
      <c r="L23" s="77">
        <v>1.6199999999999999E-2</v>
      </c>
      <c r="M23" s="77">
        <f>5%+L23</f>
        <v>6.6200000000000009E-2</v>
      </c>
      <c r="O23" s="145">
        <v>28307</v>
      </c>
      <c r="P23" s="845">
        <f t="shared" si="2"/>
        <v>43.276000000000003</v>
      </c>
      <c r="Q23"/>
      <c r="R23" s="958">
        <f t="shared" si="6"/>
        <v>160.36571703472225</v>
      </c>
      <c r="S23" s="1160">
        <v>48396</v>
      </c>
      <c r="T23" s="959"/>
      <c r="U23" s="960"/>
      <c r="V23" s="960"/>
      <c r="W23" s="960"/>
      <c r="X23" s="960"/>
      <c r="Y23" s="960"/>
      <c r="Z23" s="960"/>
      <c r="AA23" s="960"/>
      <c r="AB23" s="960"/>
      <c r="AC23" s="960"/>
      <c r="AD23" s="960"/>
      <c r="AE23" s="960"/>
      <c r="AF23" s="960"/>
      <c r="AG23" s="960"/>
      <c r="AH23" s="960">
        <f>_xlfn.RRI(YEARFRAC($S23,AH$10,3),$R23,AH$9)</f>
        <v>2.0000000000000018E-2</v>
      </c>
      <c r="AI23" s="960">
        <f>_xlfn.RRI(YEARFRAC($S23,AI$10,3),$R23,AI$9)</f>
        <v>2.0000000000000018E-2</v>
      </c>
      <c r="AJ23" s="960">
        <f>_xlfn.RRI(YEARFRAC($S23,AJ$10,3),$R23,AJ$9)</f>
        <v>2.0000000000000018E-2</v>
      </c>
      <c r="AK23" s="961">
        <f>_xlfn.RRI(YEARFRAC($S23,AK$10,3),$R23,AK$9)</f>
        <v>1.9986174850818106E-2</v>
      </c>
    </row>
    <row r="24" spans="2:37" ht="15.75">
      <c r="B24" s="622">
        <v>22007</v>
      </c>
      <c r="C24" s="1229">
        <v>22.984999999999999</v>
      </c>
      <c r="D24" s="1438">
        <f t="shared" si="0"/>
        <v>21.7320825779838</v>
      </c>
      <c r="E24" s="1218"/>
      <c r="F24" s="1218"/>
      <c r="G24" s="1210"/>
      <c r="H24" s="1219"/>
      <c r="I24" s="1204"/>
      <c r="K24" s="148">
        <v>45108</v>
      </c>
      <c r="L24" s="77">
        <v>3.1199999999999999E-2</v>
      </c>
      <c r="M24" s="77">
        <f t="shared" ref="M24:M30" si="18">5%+L24</f>
        <v>8.1199999999999994E-2</v>
      </c>
      <c r="O24" s="145">
        <v>28672</v>
      </c>
      <c r="P24" s="845">
        <f t="shared" si="2"/>
        <v>44.454999999999998</v>
      </c>
      <c r="Q24"/>
      <c r="R24" s="958">
        <f t="shared" si="6"/>
        <v>163.57303137541669</v>
      </c>
      <c r="S24" s="1160">
        <v>48761</v>
      </c>
      <c r="T24" s="959"/>
      <c r="U24" s="960"/>
      <c r="V24" s="960"/>
      <c r="W24" s="960"/>
      <c r="X24" s="960"/>
      <c r="Y24" s="960"/>
      <c r="Z24" s="960"/>
      <c r="AA24" s="960"/>
      <c r="AB24" s="960"/>
      <c r="AC24" s="960"/>
      <c r="AD24" s="960"/>
      <c r="AE24" s="960"/>
      <c r="AF24" s="960"/>
      <c r="AG24" s="960"/>
      <c r="AH24" s="960"/>
      <c r="AI24" s="960">
        <f>_xlfn.RRI(YEARFRAC($S24,AI$10,3),$R24,AI$9)</f>
        <v>2.0000000000000018E-2</v>
      </c>
      <c r="AJ24" s="960">
        <f>_xlfn.RRI(YEARFRAC($S24,AJ$10,3),$R24,AJ$9)</f>
        <v>2.0000000000000018E-2</v>
      </c>
      <c r="AK24" s="961">
        <f>_xlfn.RRI(YEARFRAC($S24,AK$10,3),$R24,AK$9)</f>
        <v>1.998157071408091E-2</v>
      </c>
    </row>
    <row r="25" spans="2:37" ht="15.75">
      <c r="B25" s="622">
        <v>22037</v>
      </c>
      <c r="C25" s="1229">
        <v>22.984999999999999</v>
      </c>
      <c r="D25" s="1438">
        <f t="shared" si="0"/>
        <v>21.7320825779838</v>
      </c>
      <c r="E25" s="1218"/>
      <c r="F25" s="1218"/>
      <c r="G25" s="1210"/>
      <c r="H25" s="1219"/>
      <c r="I25" s="1204"/>
      <c r="K25" s="148">
        <v>45292</v>
      </c>
      <c r="L25" s="77">
        <v>3.6200000000000003E-2</v>
      </c>
      <c r="M25" s="77">
        <f t="shared" si="18"/>
        <v>8.6199999999999999E-2</v>
      </c>
      <c r="O25" s="145">
        <v>29037</v>
      </c>
      <c r="P25" s="845">
        <f t="shared" si="2"/>
        <v>46.475000000000001</v>
      </c>
      <c r="Q25"/>
      <c r="R25" s="958">
        <f t="shared" si="6"/>
        <v>166.84449200292502</v>
      </c>
      <c r="S25" s="1160">
        <v>49126</v>
      </c>
      <c r="T25" s="959"/>
      <c r="U25" s="960"/>
      <c r="V25" s="960"/>
      <c r="W25" s="960"/>
      <c r="X25" s="960"/>
      <c r="Y25" s="960"/>
      <c r="Z25" s="960"/>
      <c r="AA25" s="960"/>
      <c r="AB25" s="960"/>
      <c r="AC25" s="960"/>
      <c r="AD25" s="960"/>
      <c r="AE25" s="960"/>
      <c r="AF25" s="960"/>
      <c r="AG25" s="960"/>
      <c r="AH25" s="960"/>
      <c r="AI25" s="960"/>
      <c r="AJ25" s="960">
        <f>_xlfn.RRI(YEARFRAC($S25,AJ$10,3),$R25,AJ$9)</f>
        <v>2.0000000000000018E-2</v>
      </c>
      <c r="AK25" s="961">
        <f>_xlfn.RRI(YEARFRAC($S25,AK$10,3),$R25,AK$9)</f>
        <v>1.9972368801291829E-2</v>
      </c>
    </row>
    <row r="26" spans="2:37" ht="15.75">
      <c r="B26" s="622">
        <v>22068</v>
      </c>
      <c r="C26" s="1229">
        <v>22.817</v>
      </c>
      <c r="D26" s="1438">
        <f t="shared" si="0"/>
        <v>21.573240295055701</v>
      </c>
      <c r="K26" s="148">
        <v>45474</v>
      </c>
      <c r="L26" s="77">
        <v>3.3700000000000001E-2</v>
      </c>
      <c r="M26" s="77">
        <f t="shared" si="18"/>
        <v>8.3699999999999997E-2</v>
      </c>
      <c r="O26" s="145">
        <v>29403</v>
      </c>
      <c r="P26" s="845">
        <f t="shared" si="2"/>
        <v>48.832999999999998</v>
      </c>
      <c r="Q26"/>
      <c r="R26" s="958">
        <f t="shared" si="6"/>
        <v>170.18138184298351</v>
      </c>
      <c r="S26" s="1160">
        <v>49491</v>
      </c>
      <c r="T26" s="959"/>
      <c r="U26" s="960"/>
      <c r="V26" s="960"/>
      <c r="W26" s="960"/>
      <c r="X26" s="960"/>
      <c r="Y26" s="960"/>
      <c r="Z26" s="960"/>
      <c r="AA26" s="960"/>
      <c r="AB26" s="960"/>
      <c r="AC26" s="960"/>
      <c r="AD26" s="960"/>
      <c r="AE26" s="960"/>
      <c r="AF26" s="960"/>
      <c r="AG26" s="960"/>
      <c r="AH26" s="960"/>
      <c r="AI26" s="960"/>
      <c r="AJ26" s="960"/>
      <c r="AK26" s="961">
        <f>_xlfn.RRI(YEARFRAC($S26,AK$10,3),$R26,AK$9)</f>
        <v>1.9944813843109976E-2</v>
      </c>
    </row>
    <row r="27" spans="2:37" ht="16.5" thickBot="1">
      <c r="B27" s="622">
        <v>22098</v>
      </c>
      <c r="C27" s="1229">
        <v>22.901</v>
      </c>
      <c r="D27" s="1438">
        <f t="shared" si="0"/>
        <v>21.652661436519701</v>
      </c>
      <c r="K27" s="148">
        <v>45658</v>
      </c>
      <c r="L27" s="77">
        <v>2.2700000000000001E-2</v>
      </c>
      <c r="M27" s="77">
        <f t="shared" si="18"/>
        <v>7.2700000000000001E-2</v>
      </c>
      <c r="O27" s="145">
        <v>29768</v>
      </c>
      <c r="P27" s="845">
        <f t="shared" si="2"/>
        <v>52.031999999999996</v>
      </c>
      <c r="Q27"/>
      <c r="R27" s="958">
        <f t="shared" si="6"/>
        <v>173.58500947984319</v>
      </c>
      <c r="S27" s="1161">
        <v>49857</v>
      </c>
      <c r="T27" s="962"/>
      <c r="U27" s="963"/>
      <c r="V27" s="963"/>
      <c r="W27" s="963"/>
      <c r="X27" s="963"/>
      <c r="Y27" s="963"/>
      <c r="Z27" s="963"/>
      <c r="AA27" s="963"/>
      <c r="AB27" s="963"/>
      <c r="AC27" s="963"/>
      <c r="AD27" s="963"/>
      <c r="AE27" s="963"/>
      <c r="AF27" s="963"/>
      <c r="AG27" s="963"/>
      <c r="AH27" s="963"/>
      <c r="AI27" s="963"/>
      <c r="AJ27" s="963"/>
      <c r="AK27" s="964"/>
    </row>
    <row r="28" spans="2:37" ht="16.5" thickBot="1">
      <c r="B28" s="622">
        <v>22129</v>
      </c>
      <c r="C28" s="1229">
        <v>22.817</v>
      </c>
      <c r="D28" s="1438">
        <f t="shared" si="0"/>
        <v>21.573240295055701</v>
      </c>
      <c r="K28" s="148">
        <v>45839</v>
      </c>
      <c r="L28" s="77">
        <v>1.2699999999999999E-2</v>
      </c>
      <c r="M28" s="77">
        <f t="shared" si="18"/>
        <v>6.2700000000000006E-2</v>
      </c>
      <c r="O28" s="145">
        <v>30133</v>
      </c>
      <c r="P28" s="845">
        <f t="shared" si="2"/>
        <v>54.811</v>
      </c>
      <c r="Q28"/>
      <c r="R28" s="958">
        <f>AK9</f>
        <v>173.58500947984319</v>
      </c>
      <c r="T28" s="1157"/>
      <c r="U28" s="1158"/>
      <c r="V28" s="1158"/>
      <c r="W28" s="1158"/>
      <c r="X28" s="1158"/>
      <c r="Y28" s="1158"/>
      <c r="Z28" s="1158"/>
      <c r="AA28" s="1158"/>
      <c r="AB28" s="1158"/>
      <c r="AC28" s="1158"/>
      <c r="AD28" s="1158"/>
      <c r="AE28" s="1158"/>
      <c r="AF28" s="1158"/>
      <c r="AG28" s="1158"/>
      <c r="AH28" s="1158"/>
      <c r="AI28" s="1158"/>
      <c r="AJ28" s="1158"/>
      <c r="AK28" s="1159"/>
    </row>
    <row r="29" spans="2:37" ht="15.75">
      <c r="B29" s="622">
        <v>22160</v>
      </c>
      <c r="C29" s="1229">
        <v>22.901</v>
      </c>
      <c r="D29" s="1438">
        <f t="shared" si="0"/>
        <v>21.652661436519701</v>
      </c>
      <c r="E29" s="2329"/>
      <c r="F29" s="2329"/>
      <c r="G29" s="2329"/>
      <c r="K29" s="3"/>
      <c r="L29" s="77"/>
      <c r="M29" s="77">
        <f t="shared" si="18"/>
        <v>0.05</v>
      </c>
      <c r="O29" s="145">
        <v>30498</v>
      </c>
      <c r="P29" s="845">
        <f t="shared" si="2"/>
        <v>56.326000000000001</v>
      </c>
      <c r="Q29"/>
      <c r="S29" s="58"/>
    </row>
    <row r="30" spans="2:37" ht="15.75">
      <c r="B30" s="622">
        <v>22190</v>
      </c>
      <c r="C30" s="1229">
        <v>22.984999999999999</v>
      </c>
      <c r="D30" s="1438">
        <f t="shared" si="0"/>
        <v>21.7320825779837</v>
      </c>
      <c r="K30" s="3"/>
      <c r="L30" s="77"/>
      <c r="M30" s="77">
        <f t="shared" si="18"/>
        <v>0.05</v>
      </c>
      <c r="O30" s="145">
        <v>30864</v>
      </c>
      <c r="P30" s="845">
        <f t="shared" si="2"/>
        <v>57.588999999999999</v>
      </c>
      <c r="Q30"/>
      <c r="S30" s="58"/>
    </row>
    <row r="31" spans="2:37" ht="15.75">
      <c r="B31" s="622">
        <v>22221</v>
      </c>
      <c r="C31" s="1229">
        <v>23.152999999999999</v>
      </c>
      <c r="D31" s="1438">
        <f t="shared" si="0"/>
        <v>21.890924860911699</v>
      </c>
      <c r="E31" s="144" t="s">
        <v>22</v>
      </c>
      <c r="F31" s="2275">
        <v>44927</v>
      </c>
      <c r="K31" s="3"/>
      <c r="L31" s="3"/>
      <c r="M31" s="3"/>
      <c r="O31" s="145">
        <v>31229</v>
      </c>
      <c r="P31" s="845">
        <f t="shared" si="2"/>
        <v>58.768000000000001</v>
      </c>
      <c r="Q31"/>
      <c r="S31" s="58"/>
    </row>
    <row r="32" spans="2:37" ht="15.75">
      <c r="B32" s="622">
        <v>22251</v>
      </c>
      <c r="C32" s="1229">
        <v>23.152999999999999</v>
      </c>
      <c r="D32" s="1438">
        <f t="shared" si="0"/>
        <v>21.890924860911699</v>
      </c>
      <c r="E32" s="144" t="s">
        <v>23</v>
      </c>
      <c r="F32" s="2275">
        <v>45869</v>
      </c>
      <c r="K32" s="3"/>
      <c r="L32" s="3"/>
      <c r="M32" s="3"/>
      <c r="O32" s="145">
        <v>31594</v>
      </c>
      <c r="P32" s="845">
        <f t="shared" si="2"/>
        <v>58.598999999999997</v>
      </c>
      <c r="Q32" s="149">
        <f>PV(5.5%,2,,200000)</f>
        <v>-179690.48314278657</v>
      </c>
      <c r="S32" s="58"/>
    </row>
    <row r="33" spans="2:57" ht="15.75">
      <c r="B33" s="622">
        <v>22282</v>
      </c>
      <c r="C33" s="1229">
        <v>23.321999999999999</v>
      </c>
      <c r="D33" s="1438">
        <f t="shared" si="0"/>
        <v>22.050712633619099</v>
      </c>
      <c r="E33" s="144" t="s">
        <v>191</v>
      </c>
      <c r="F33" s="469">
        <v>1000</v>
      </c>
      <c r="H33" s="127">
        <f>1000*0.0662*1/12</f>
        <v>5.5166666666666657</v>
      </c>
      <c r="K33" s="3"/>
      <c r="L33" s="3"/>
      <c r="M33" s="3"/>
      <c r="O33" s="145">
        <v>31959</v>
      </c>
      <c r="P33" s="845">
        <f t="shared" si="2"/>
        <v>58.936</v>
      </c>
      <c r="Q33"/>
    </row>
    <row r="34" spans="2:57" ht="15.75">
      <c r="B34" s="622">
        <v>22313</v>
      </c>
      <c r="C34" s="1229">
        <v>23.49</v>
      </c>
      <c r="D34" s="1438">
        <f t="shared" si="0"/>
        <v>22.209554916547201</v>
      </c>
      <c r="K34" s="3"/>
      <c r="L34" s="3"/>
      <c r="M34" s="3"/>
      <c r="O34" s="145">
        <v>32325</v>
      </c>
      <c r="P34" s="845">
        <f t="shared" si="2"/>
        <v>59.61</v>
      </c>
      <c r="Q34"/>
    </row>
    <row r="35" spans="2:57" ht="15.75">
      <c r="B35" s="622">
        <v>22341</v>
      </c>
      <c r="C35" s="1229">
        <v>23.405999999999999</v>
      </c>
      <c r="D35" s="1438">
        <f t="shared" si="0"/>
        <v>22.130133775083198</v>
      </c>
      <c r="F35" s="127" t="s">
        <v>60</v>
      </c>
      <c r="G35" s="127" t="s">
        <v>2027</v>
      </c>
      <c r="H35" s="127" t="s">
        <v>2028</v>
      </c>
      <c r="I35" s="127" t="s">
        <v>143</v>
      </c>
      <c r="K35" s="3"/>
      <c r="L35" s="3"/>
      <c r="M35" s="3"/>
      <c r="O35" s="145">
        <v>32690</v>
      </c>
      <c r="P35" s="845">
        <f t="shared" si="2"/>
        <v>61.292999999999999</v>
      </c>
      <c r="Q35"/>
    </row>
    <row r="36" spans="2:57" ht="15.75">
      <c r="B36" s="622">
        <v>22372</v>
      </c>
      <c r="C36" s="1229">
        <v>23.405999999999999</v>
      </c>
      <c r="D36" s="1438">
        <f t="shared" si="0"/>
        <v>22.130133775083198</v>
      </c>
      <c r="F36" s="2279">
        <f>DATE(YEAR(F31),MONTH(F31)+1,1)</f>
        <v>44958</v>
      </c>
      <c r="G36" s="2280">
        <f t="shared" ref="G36:G71" si="19">VLOOKUP(F36,Basiszins,3)</f>
        <v>6.6200000000000009E-2</v>
      </c>
      <c r="H36" s="2281">
        <f>+G36*F$33*YEARFRAC(F31,F36,4)</f>
        <v>5.5166666666666666</v>
      </c>
      <c r="I36" s="2281">
        <f>+SUM(H36:H$36)</f>
        <v>5.5166666666666666</v>
      </c>
      <c r="K36" s="3"/>
      <c r="L36" s="3"/>
      <c r="M36" s="3"/>
      <c r="O36" s="145">
        <v>33055</v>
      </c>
      <c r="P36" s="845">
        <f t="shared" ref="P36:P67" si="20">VLOOKUP(O36,VPI,2)</f>
        <v>62.725000000000001</v>
      </c>
      <c r="Q36"/>
    </row>
    <row r="37" spans="2:57" ht="15.75">
      <c r="B37" s="622">
        <v>22402</v>
      </c>
      <c r="C37" s="1229">
        <v>23.405999999999999</v>
      </c>
      <c r="D37" s="1438">
        <f t="shared" si="0"/>
        <v>22.130133775083198</v>
      </c>
      <c r="F37" s="2279">
        <f>DATE(YEAR(F36),MONTH(F36)+1,1)</f>
        <v>44986</v>
      </c>
      <c r="G37" s="2280">
        <f t="shared" si="19"/>
        <v>6.6200000000000009E-2</v>
      </c>
      <c r="H37" s="2281">
        <f>+G37*F$33*YEARFRAC(F36,F37,4)</f>
        <v>5.5166666666666666</v>
      </c>
      <c r="I37" s="2281">
        <f>+SUM(H$36:H37)</f>
        <v>11.033333333333333</v>
      </c>
      <c r="K37" s="3"/>
      <c r="L37" s="3"/>
      <c r="M37" s="3"/>
      <c r="O37" s="145">
        <v>33420</v>
      </c>
      <c r="P37" s="845">
        <f t="shared" si="20"/>
        <v>65.852999999999994</v>
      </c>
      <c r="Q37"/>
    </row>
    <row r="38" spans="2:57" ht="15.75">
      <c r="B38" s="622">
        <v>22433</v>
      </c>
      <c r="C38" s="1229">
        <v>23.405999999999999</v>
      </c>
      <c r="D38" s="1438">
        <f t="shared" si="0"/>
        <v>22.130133775083198</v>
      </c>
      <c r="F38" s="2279">
        <f t="shared" ref="F38:F99" si="21">DATE(YEAR(F37),MONTH(F37)+1,1)</f>
        <v>45017</v>
      </c>
      <c r="G38" s="2280">
        <f t="shared" si="19"/>
        <v>6.6200000000000009E-2</v>
      </c>
      <c r="H38" s="2281">
        <f t="shared" ref="H38:H99" si="22">+G38*F$33*YEARFRAC(F37,F38,4)</f>
        <v>5.5166666666666666</v>
      </c>
      <c r="I38" s="2281">
        <f>+SUM(H$36:H38)</f>
        <v>16.55</v>
      </c>
      <c r="K38" s="3"/>
      <c r="L38" s="3"/>
      <c r="M38" s="3"/>
      <c r="O38" s="145">
        <v>33786</v>
      </c>
      <c r="P38" s="845">
        <f t="shared" si="20"/>
        <v>69.117999999999995</v>
      </c>
      <c r="Q38"/>
    </row>
    <row r="39" spans="2:57" ht="15.75">
      <c r="B39" s="622">
        <v>22463</v>
      </c>
      <c r="C39" s="1229">
        <v>23.49</v>
      </c>
      <c r="D39" s="1438">
        <f t="shared" si="0"/>
        <v>22.209554916547201</v>
      </c>
      <c r="F39" s="2279">
        <f t="shared" si="21"/>
        <v>45047</v>
      </c>
      <c r="G39" s="2280">
        <f t="shared" si="19"/>
        <v>6.6200000000000009E-2</v>
      </c>
      <c r="H39" s="2281">
        <f t="shared" si="22"/>
        <v>5.5166666666666666</v>
      </c>
      <c r="I39" s="2281">
        <f>+SUM(H$36:H39)</f>
        <v>22.066666666666666</v>
      </c>
      <c r="K39" s="3"/>
      <c r="L39" s="3"/>
      <c r="M39" s="3"/>
      <c r="O39" s="145">
        <v>34151</v>
      </c>
      <c r="P39" s="845">
        <f t="shared" si="20"/>
        <v>72.289000000000001</v>
      </c>
      <c r="Q39"/>
    </row>
    <row r="40" spans="2:57" ht="15.75">
      <c r="B40" s="622">
        <v>22494</v>
      </c>
      <c r="C40" s="1229">
        <v>23.49</v>
      </c>
      <c r="D40" s="1438">
        <f t="shared" si="0"/>
        <v>22.209554916547201</v>
      </c>
      <c r="F40" s="2279">
        <f t="shared" si="21"/>
        <v>45078</v>
      </c>
      <c r="G40" s="2280">
        <f t="shared" si="19"/>
        <v>6.6200000000000009E-2</v>
      </c>
      <c r="H40" s="2281">
        <f t="shared" si="22"/>
        <v>5.5166666666666666</v>
      </c>
      <c r="I40" s="2281">
        <f>+SUM(H$36:H40)</f>
        <v>27.583333333333332</v>
      </c>
      <c r="K40" s="3"/>
      <c r="L40" s="3"/>
      <c r="M40" s="3"/>
      <c r="O40" s="145">
        <v>34516</v>
      </c>
      <c r="P40" s="845">
        <f t="shared" si="20"/>
        <v>74.061999999999998</v>
      </c>
      <c r="Q40"/>
    </row>
    <row r="41" spans="2:57" ht="15.75">
      <c r="B41" s="622">
        <v>22525</v>
      </c>
      <c r="C41" s="1229">
        <v>23.574000000000002</v>
      </c>
      <c r="D41" s="1438">
        <f t="shared" si="0"/>
        <v>22.288976058011201</v>
      </c>
      <c r="F41" s="2279">
        <f t="shared" si="21"/>
        <v>45108</v>
      </c>
      <c r="G41" s="2280">
        <f t="shared" si="19"/>
        <v>8.1199999999999994E-2</v>
      </c>
      <c r="H41" s="2281">
        <f t="shared" si="22"/>
        <v>6.7666666666666657</v>
      </c>
      <c r="I41" s="2281">
        <f>+SUM(H$36:H41)</f>
        <v>34.349999999999994</v>
      </c>
      <c r="K41" s="3"/>
      <c r="L41" s="3"/>
      <c r="M41" s="3"/>
      <c r="O41" s="145">
        <v>34881</v>
      </c>
      <c r="P41" s="845">
        <f t="shared" si="20"/>
        <v>75.274000000000001</v>
      </c>
      <c r="Q41"/>
    </row>
    <row r="42" spans="2:57" ht="15.75">
      <c r="B42" s="622">
        <v>22555</v>
      </c>
      <c r="C42" s="1229">
        <v>23.574000000000002</v>
      </c>
      <c r="D42" s="1438">
        <f t="shared" si="0"/>
        <v>22.288976058011201</v>
      </c>
      <c r="F42" s="2279">
        <f t="shared" si="21"/>
        <v>45139</v>
      </c>
      <c r="G42" s="2280">
        <f t="shared" si="19"/>
        <v>8.1199999999999994E-2</v>
      </c>
      <c r="H42" s="2281">
        <f t="shared" si="22"/>
        <v>6.7666666666666657</v>
      </c>
      <c r="I42" s="2281">
        <f>+SUM(H$36:H42)</f>
        <v>41.11666666666666</v>
      </c>
      <c r="K42" s="3"/>
      <c r="L42" s="3"/>
      <c r="M42" s="3"/>
      <c r="O42" s="145">
        <v>35247</v>
      </c>
      <c r="P42" s="845">
        <f t="shared" si="20"/>
        <v>76.3</v>
      </c>
      <c r="Q42"/>
    </row>
    <row r="43" spans="2:57" ht="15.75">
      <c r="B43" s="622">
        <v>22586</v>
      </c>
      <c r="C43" s="1229">
        <v>23.742999999999999</v>
      </c>
      <c r="D43" s="1438">
        <f t="shared" si="0"/>
        <v>22.448763830718601</v>
      </c>
      <c r="F43" s="2279">
        <f t="shared" si="21"/>
        <v>45170</v>
      </c>
      <c r="G43" s="2280">
        <f t="shared" si="19"/>
        <v>8.1199999999999994E-2</v>
      </c>
      <c r="H43" s="2281">
        <f t="shared" si="22"/>
        <v>6.7666666666666657</v>
      </c>
      <c r="I43" s="2281">
        <f>+SUM(H$36:H43)</f>
        <v>47.883333333333326</v>
      </c>
      <c r="K43" s="3"/>
      <c r="L43" s="3"/>
      <c r="M43" s="3"/>
      <c r="O43" s="145">
        <v>35612</v>
      </c>
      <c r="P43" s="845">
        <f t="shared" si="20"/>
        <v>78.072000000000003</v>
      </c>
      <c r="Q43"/>
      <c r="S43" s="58"/>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899"/>
      <c r="AY43" s="899"/>
      <c r="AZ43" s="899"/>
      <c r="BA43" s="899"/>
      <c r="BB43" s="899"/>
      <c r="BC43" s="899"/>
      <c r="BD43" s="899"/>
      <c r="BE43" s="899"/>
    </row>
    <row r="44" spans="2:57" ht="15.75">
      <c r="B44" s="622">
        <v>22616</v>
      </c>
      <c r="C44" s="1229">
        <v>23.827000000000002</v>
      </c>
      <c r="D44" s="1438">
        <f t="shared" si="0"/>
        <v>22.528184972182601</v>
      </c>
      <c r="F44" s="2279">
        <f t="shared" si="21"/>
        <v>45200</v>
      </c>
      <c r="G44" s="2280">
        <f t="shared" si="19"/>
        <v>8.1199999999999994E-2</v>
      </c>
      <c r="H44" s="2281">
        <f t="shared" si="22"/>
        <v>6.7666666666666657</v>
      </c>
      <c r="I44" s="2281">
        <f>+SUM(H$36:H44)</f>
        <v>54.649999999999991</v>
      </c>
      <c r="K44" s="3"/>
      <c r="L44" s="3"/>
      <c r="M44" s="3"/>
      <c r="O44" s="145">
        <v>35977</v>
      </c>
      <c r="P44" s="845">
        <f t="shared" si="20"/>
        <v>78.724999999999994</v>
      </c>
      <c r="Q44"/>
      <c r="S44" s="900"/>
      <c r="T44" s="900"/>
      <c r="U44" s="900"/>
      <c r="V44" s="900"/>
      <c r="W44" s="900"/>
      <c r="X44" s="900"/>
      <c r="Y44" s="900"/>
      <c r="Z44" s="900"/>
      <c r="AA44" s="900"/>
      <c r="AB44" s="900"/>
      <c r="AC44" s="900"/>
      <c r="AD44" s="900"/>
      <c r="AE44" s="900"/>
      <c r="AF44" s="900"/>
      <c r="AG44" s="900"/>
      <c r="AH44" s="900"/>
      <c r="AI44" s="900"/>
      <c r="AJ44" s="900"/>
      <c r="AK44" s="900"/>
      <c r="AL44" s="900"/>
      <c r="AM44" s="900"/>
      <c r="AN44" s="900"/>
      <c r="AO44" s="900"/>
      <c r="AP44" s="900"/>
      <c r="AQ44" s="900"/>
      <c r="AR44" s="900"/>
      <c r="AS44" s="900"/>
      <c r="AT44" s="900"/>
      <c r="AU44" s="900"/>
      <c r="AV44" s="900"/>
      <c r="AW44" s="900"/>
      <c r="AX44" s="900"/>
      <c r="AY44" s="900"/>
      <c r="AZ44" s="900"/>
      <c r="BA44" s="900"/>
      <c r="BB44" s="900"/>
      <c r="BC44" s="900"/>
      <c r="BD44" s="900"/>
      <c r="BE44" s="900"/>
    </row>
    <row r="45" spans="2:57" ht="15.75">
      <c r="B45" s="622">
        <v>22647</v>
      </c>
      <c r="C45" s="1229">
        <v>23.995000000000001</v>
      </c>
      <c r="D45" s="1438">
        <f t="shared" si="0"/>
        <v>22.687027255110699</v>
      </c>
      <c r="F45" s="2279">
        <f t="shared" si="21"/>
        <v>45231</v>
      </c>
      <c r="G45" s="2280">
        <f t="shared" si="19"/>
        <v>8.1199999999999994E-2</v>
      </c>
      <c r="H45" s="2281">
        <f t="shared" si="22"/>
        <v>6.7666666666666657</v>
      </c>
      <c r="I45" s="2281">
        <f>+SUM(H$36:H45)</f>
        <v>61.416666666666657</v>
      </c>
      <c r="K45" s="3"/>
      <c r="L45" s="3"/>
      <c r="M45" s="3"/>
      <c r="O45" s="145">
        <v>36342</v>
      </c>
      <c r="P45" s="845">
        <f t="shared" si="20"/>
        <v>79.191999999999993</v>
      </c>
      <c r="Q45"/>
      <c r="S45" s="901"/>
      <c r="T45" s="901"/>
      <c r="U45" s="900"/>
      <c r="V45" s="900"/>
      <c r="W45" s="900"/>
      <c r="X45" s="900"/>
      <c r="Y45" s="900"/>
      <c r="Z45" s="900"/>
      <c r="AA45" s="900"/>
      <c r="AB45" s="900"/>
      <c r="AC45" s="900"/>
      <c r="AD45" s="900"/>
      <c r="AE45" s="900"/>
      <c r="AF45" s="900"/>
      <c r="AG45" s="900"/>
      <c r="AH45" s="900"/>
      <c r="AI45" s="900"/>
      <c r="AJ45" s="900"/>
      <c r="AK45" s="900"/>
      <c r="AL45" s="900"/>
      <c r="AM45" s="900"/>
      <c r="AN45" s="900"/>
      <c r="AO45" s="900"/>
      <c r="AP45" s="900"/>
      <c r="AQ45" s="900"/>
      <c r="AR45" s="900"/>
      <c r="AS45" s="900"/>
      <c r="AT45" s="900"/>
      <c r="AU45" s="900"/>
      <c r="AV45" s="900"/>
      <c r="AW45" s="900"/>
      <c r="AX45" s="900"/>
      <c r="AY45" s="900"/>
      <c r="AZ45" s="900"/>
      <c r="BA45" s="900"/>
      <c r="BB45" s="900"/>
      <c r="BC45" s="900"/>
      <c r="BD45" s="900"/>
      <c r="BE45" s="900"/>
    </row>
    <row r="46" spans="2:57" ht="15.75">
      <c r="B46" s="622">
        <v>22678</v>
      </c>
      <c r="C46" s="1229">
        <v>24.164000000000001</v>
      </c>
      <c r="D46" s="1438">
        <f t="shared" si="0"/>
        <v>22.846815027818099</v>
      </c>
      <c r="F46" s="2279">
        <f t="shared" si="21"/>
        <v>45261</v>
      </c>
      <c r="G46" s="2280">
        <f t="shared" si="19"/>
        <v>8.1199999999999994E-2</v>
      </c>
      <c r="H46" s="2281">
        <f t="shared" si="22"/>
        <v>6.7666666666666657</v>
      </c>
      <c r="I46" s="2281">
        <f>+SUM(H$36:H46)</f>
        <v>68.183333333333323</v>
      </c>
      <c r="K46" s="3"/>
      <c r="L46" s="3"/>
      <c r="M46" s="3"/>
      <c r="O46" s="145">
        <v>36708</v>
      </c>
      <c r="P46" s="845">
        <f t="shared" si="20"/>
        <v>80.218000000000004</v>
      </c>
      <c r="Q46" s="146"/>
      <c r="U46" s="900"/>
      <c r="V46" s="900"/>
      <c r="W46" s="900"/>
      <c r="X46" s="900"/>
      <c r="Y46" s="900"/>
      <c r="Z46" s="900"/>
      <c r="AA46" s="900"/>
      <c r="AB46" s="900"/>
      <c r="AC46" s="900"/>
      <c r="AD46" s="900"/>
      <c r="AE46" s="900"/>
      <c r="AF46" s="900"/>
      <c r="AG46" s="900"/>
      <c r="AH46" s="900"/>
      <c r="AI46" s="900"/>
      <c r="AJ46" s="900"/>
      <c r="AK46" s="900"/>
      <c r="AL46" s="900"/>
      <c r="AM46" s="900"/>
      <c r="AN46" s="900"/>
      <c r="AO46" s="900"/>
      <c r="AP46" s="900"/>
      <c r="AQ46" s="900"/>
      <c r="AR46" s="900"/>
      <c r="AS46" s="900"/>
      <c r="AT46" s="900"/>
      <c r="AU46" s="900"/>
      <c r="AV46" s="900"/>
      <c r="AW46" s="900"/>
      <c r="AX46" s="900"/>
      <c r="AY46" s="900"/>
      <c r="AZ46" s="900"/>
      <c r="BA46" s="900"/>
      <c r="BB46" s="900"/>
      <c r="BC46" s="900"/>
      <c r="BD46" s="900"/>
      <c r="BE46" s="900"/>
    </row>
    <row r="47" spans="2:57" ht="15.75">
      <c r="B47" s="622">
        <v>22706</v>
      </c>
      <c r="C47" s="1229">
        <v>24.164000000000001</v>
      </c>
      <c r="D47" s="1438">
        <f t="shared" si="0"/>
        <v>22.846815027818099</v>
      </c>
      <c r="F47" s="2279">
        <f>DATE(YEAR(F46),MONTH(F46)+1,1)</f>
        <v>45292</v>
      </c>
      <c r="G47" s="2280">
        <f t="shared" si="19"/>
        <v>8.6199999999999999E-2</v>
      </c>
      <c r="H47" s="2281">
        <f t="shared" si="22"/>
        <v>7.1833333333333336</v>
      </c>
      <c r="I47" s="2281">
        <f>+SUM(H$36:H47)</f>
        <v>75.36666666666666</v>
      </c>
      <c r="K47" s="3"/>
      <c r="L47" s="3"/>
      <c r="M47" s="3"/>
      <c r="O47" s="145">
        <v>37073</v>
      </c>
      <c r="P47" s="845">
        <f t="shared" si="20"/>
        <v>81.897000000000006</v>
      </c>
      <c r="Q47" s="146"/>
    </row>
    <row r="48" spans="2:57" ht="15.75">
      <c r="B48" s="622">
        <v>22737</v>
      </c>
      <c r="C48" s="1229">
        <v>24.248000000000001</v>
      </c>
      <c r="D48" s="1438">
        <f t="shared" si="0"/>
        <v>22.926236169282099</v>
      </c>
      <c r="F48" s="2279">
        <f t="shared" si="21"/>
        <v>45323</v>
      </c>
      <c r="G48" s="2280">
        <f t="shared" si="19"/>
        <v>8.6199999999999999E-2</v>
      </c>
      <c r="H48" s="2281">
        <f t="shared" si="22"/>
        <v>7.1833333333333336</v>
      </c>
      <c r="I48" s="2281">
        <f>+SUM(H$36:H48)</f>
        <v>82.55</v>
      </c>
      <c r="K48" s="3"/>
      <c r="L48" s="3"/>
      <c r="M48" s="3"/>
      <c r="O48" s="145">
        <v>37438</v>
      </c>
      <c r="P48" s="845">
        <f t="shared" si="20"/>
        <v>82.83</v>
      </c>
      <c r="Q48" s="146"/>
    </row>
    <row r="49" spans="2:17" ht="15.75">
      <c r="B49" s="622">
        <v>22767</v>
      </c>
      <c r="C49" s="1229">
        <v>24.164000000000001</v>
      </c>
      <c r="D49" s="1438">
        <f t="shared" si="0"/>
        <v>22.846815027818099</v>
      </c>
      <c r="F49" s="2279">
        <f t="shared" si="21"/>
        <v>45352</v>
      </c>
      <c r="G49" s="2280">
        <f t="shared" si="19"/>
        <v>8.6199999999999999E-2</v>
      </c>
      <c r="H49" s="2281">
        <f t="shared" si="22"/>
        <v>7.1833333333333336</v>
      </c>
      <c r="I49" s="2281">
        <f>+SUM(H$36:H49)</f>
        <v>89.733333333333334</v>
      </c>
      <c r="K49" s="3"/>
      <c r="L49" s="3"/>
      <c r="M49" s="3"/>
      <c r="O49" s="145">
        <v>37803</v>
      </c>
      <c r="P49" s="845">
        <f t="shared" si="20"/>
        <v>83.668999999999997</v>
      </c>
      <c r="Q49" s="146"/>
    </row>
    <row r="50" spans="2:17" ht="15.75">
      <c r="B50" s="622">
        <v>22798</v>
      </c>
      <c r="C50" s="1229">
        <v>24.164000000000001</v>
      </c>
      <c r="D50" s="1438">
        <f t="shared" si="0"/>
        <v>22.846815027818099</v>
      </c>
      <c r="F50" s="2279">
        <f t="shared" si="21"/>
        <v>45383</v>
      </c>
      <c r="G50" s="2280">
        <f t="shared" si="19"/>
        <v>8.6199999999999999E-2</v>
      </c>
      <c r="H50" s="2281">
        <f t="shared" si="22"/>
        <v>7.1833333333333336</v>
      </c>
      <c r="I50" s="2281">
        <f>+SUM(H$36:H50)</f>
        <v>96.916666666666671</v>
      </c>
      <c r="K50" s="3"/>
      <c r="L50" s="3"/>
      <c r="M50" s="3"/>
      <c r="O50" s="145">
        <v>38169</v>
      </c>
      <c r="P50" s="845">
        <f t="shared" si="20"/>
        <v>85.161000000000001</v>
      </c>
      <c r="Q50" s="146"/>
    </row>
    <row r="51" spans="2:17" ht="15.75">
      <c r="B51" s="622">
        <v>22828</v>
      </c>
      <c r="C51" s="1229">
        <v>24.248000000000001</v>
      </c>
      <c r="D51" s="1438">
        <f t="shared" si="0"/>
        <v>22.926236169282099</v>
      </c>
      <c r="F51" s="2279">
        <f t="shared" si="21"/>
        <v>45413</v>
      </c>
      <c r="G51" s="2280">
        <f t="shared" si="19"/>
        <v>8.6199999999999999E-2</v>
      </c>
      <c r="H51" s="2281">
        <f t="shared" si="22"/>
        <v>7.1833333333333336</v>
      </c>
      <c r="I51" s="2281">
        <f>+SUM(H$36:H51)</f>
        <v>104.10000000000001</v>
      </c>
      <c r="L51"/>
      <c r="O51" s="145">
        <v>38534</v>
      </c>
      <c r="P51" s="845">
        <f t="shared" si="20"/>
        <v>86.466999999999999</v>
      </c>
      <c r="Q51" s="146"/>
    </row>
    <row r="52" spans="2:17" ht="15.75">
      <c r="B52" s="622">
        <v>22859</v>
      </c>
      <c r="C52" s="1229">
        <v>24.08</v>
      </c>
      <c r="D52" s="1438">
        <f t="shared" si="0"/>
        <v>22.767393886354</v>
      </c>
      <c r="F52" s="2279">
        <f t="shared" si="21"/>
        <v>45444</v>
      </c>
      <c r="G52" s="2280">
        <f t="shared" si="19"/>
        <v>8.6199999999999999E-2</v>
      </c>
      <c r="H52" s="2281">
        <f t="shared" si="22"/>
        <v>7.1833333333333336</v>
      </c>
      <c r="I52" s="2281">
        <f>+SUM(H$36:H52)</f>
        <v>111.28333333333335</v>
      </c>
      <c r="L52"/>
      <c r="O52" s="145">
        <v>38899</v>
      </c>
      <c r="P52" s="845">
        <f t="shared" si="20"/>
        <v>88.052999999999997</v>
      </c>
      <c r="Q52" s="146"/>
    </row>
    <row r="53" spans="2:17" ht="15.75">
      <c r="B53" s="622">
        <v>22890</v>
      </c>
      <c r="C53" s="1229">
        <v>24.164000000000001</v>
      </c>
      <c r="D53" s="1438">
        <f t="shared" si="0"/>
        <v>22.846815027818</v>
      </c>
      <c r="F53" s="2279">
        <f t="shared" si="21"/>
        <v>45474</v>
      </c>
      <c r="G53" s="2280">
        <f t="shared" si="19"/>
        <v>8.3699999999999997E-2</v>
      </c>
      <c r="H53" s="2281">
        <f t="shared" si="22"/>
        <v>6.9749999999999996</v>
      </c>
      <c r="I53" s="2281">
        <f>+SUM(H$36:H53)</f>
        <v>118.25833333333334</v>
      </c>
      <c r="L53"/>
      <c r="O53" s="145">
        <v>39264</v>
      </c>
      <c r="P53" s="845">
        <f t="shared" si="20"/>
        <v>89.825000000000003</v>
      </c>
      <c r="Q53" s="146"/>
    </row>
    <row r="54" spans="2:17" ht="15.75">
      <c r="B54" s="622">
        <v>22920</v>
      </c>
      <c r="C54" s="1229">
        <v>24.164000000000001</v>
      </c>
      <c r="D54" s="1438">
        <f t="shared" si="0"/>
        <v>22.846815027818</v>
      </c>
      <c r="F54" s="2279">
        <f>DATE(YEAR(F53),MONTH(F53)+1,1)</f>
        <v>45505</v>
      </c>
      <c r="G54" s="2280">
        <f t="shared" si="19"/>
        <v>8.3699999999999997E-2</v>
      </c>
      <c r="H54" s="2281">
        <f t="shared" si="22"/>
        <v>6.9749999999999996</v>
      </c>
      <c r="I54" s="2281">
        <f>+SUM(H$36:H54)</f>
        <v>125.23333333333333</v>
      </c>
      <c r="L54"/>
      <c r="O54" s="145">
        <v>39630</v>
      </c>
      <c r="P54" s="845">
        <f t="shared" si="20"/>
        <v>92.81</v>
      </c>
      <c r="Q54" s="146"/>
    </row>
    <row r="55" spans="2:17" ht="15.75">
      <c r="B55" s="622">
        <v>22951</v>
      </c>
      <c r="C55" s="1229">
        <v>24.332000000000001</v>
      </c>
      <c r="D55" s="1438">
        <f t="shared" si="0"/>
        <v>23.005657310746098</v>
      </c>
      <c r="F55" s="2279">
        <f t="shared" si="21"/>
        <v>45536</v>
      </c>
      <c r="G55" s="2280">
        <f t="shared" si="19"/>
        <v>8.3699999999999997E-2</v>
      </c>
      <c r="H55" s="2281">
        <f t="shared" si="22"/>
        <v>6.9749999999999996</v>
      </c>
      <c r="I55" s="2281">
        <f>+SUM(H$36:H55)</f>
        <v>132.20833333333334</v>
      </c>
      <c r="L55"/>
      <c r="O55" s="145">
        <v>39995</v>
      </c>
      <c r="P55" s="845">
        <f t="shared" si="20"/>
        <v>92.343999999999994</v>
      </c>
      <c r="Q55" s="146"/>
    </row>
    <row r="56" spans="2:17" ht="15.75">
      <c r="B56" s="622">
        <v>22981</v>
      </c>
      <c r="C56" s="1229">
        <v>24.416</v>
      </c>
      <c r="D56" s="1438">
        <f t="shared" si="0"/>
        <v>23.085078452210102</v>
      </c>
      <c r="F56" s="2279">
        <f t="shared" si="21"/>
        <v>45566</v>
      </c>
      <c r="G56" s="2280">
        <f t="shared" si="19"/>
        <v>8.3699999999999997E-2</v>
      </c>
      <c r="H56" s="2281">
        <f t="shared" si="22"/>
        <v>6.9749999999999996</v>
      </c>
      <c r="I56" s="2281">
        <f>+SUM(H$36:H56)</f>
        <v>139.18333333333334</v>
      </c>
      <c r="L56"/>
      <c r="O56" s="145">
        <v>40360</v>
      </c>
      <c r="P56" s="845">
        <f t="shared" si="20"/>
        <v>93.37</v>
      </c>
      <c r="Q56" s="146"/>
    </row>
    <row r="57" spans="2:17" ht="15.75">
      <c r="B57" s="622">
        <v>23012</v>
      </c>
      <c r="C57" s="1229">
        <v>24.669</v>
      </c>
      <c r="D57" s="1438">
        <f t="shared" si="0"/>
        <v>23.324287366381501</v>
      </c>
      <c r="F57" s="2279">
        <f t="shared" si="21"/>
        <v>45597</v>
      </c>
      <c r="G57" s="2280">
        <f t="shared" si="19"/>
        <v>8.3699999999999997E-2</v>
      </c>
      <c r="H57" s="2281">
        <f t="shared" si="22"/>
        <v>6.9749999999999996</v>
      </c>
      <c r="I57" s="2281">
        <f>+SUM(H$36:H57)</f>
        <v>146.15833333333333</v>
      </c>
      <c r="L57"/>
      <c r="O57" s="145">
        <v>40725</v>
      </c>
      <c r="P57" s="845">
        <f t="shared" si="20"/>
        <v>95.328999999999994</v>
      </c>
      <c r="Q57" s="146"/>
    </row>
    <row r="58" spans="2:17" ht="15.75">
      <c r="B58" s="622">
        <v>23043</v>
      </c>
      <c r="C58" s="1229">
        <v>25.006</v>
      </c>
      <c r="D58" s="1438">
        <f t="shared" si="0"/>
        <v>23.6429174220169</v>
      </c>
      <c r="F58" s="2279">
        <f t="shared" si="21"/>
        <v>45627</v>
      </c>
      <c r="G58" s="2280">
        <f t="shared" si="19"/>
        <v>8.3699999999999997E-2</v>
      </c>
      <c r="H58" s="2281">
        <f t="shared" si="22"/>
        <v>6.9749999999999996</v>
      </c>
      <c r="I58" s="2281">
        <f>+SUM(H$36:H58)</f>
        <v>153.13333333333333</v>
      </c>
      <c r="L58"/>
      <c r="O58" s="145">
        <v>41091</v>
      </c>
      <c r="P58" s="845">
        <f t="shared" si="20"/>
        <v>97.100999999999999</v>
      </c>
      <c r="Q58" s="146"/>
    </row>
    <row r="59" spans="2:17" ht="15.75">
      <c r="B59" s="622">
        <v>23071</v>
      </c>
      <c r="C59" s="1229">
        <v>24.922000000000001</v>
      </c>
      <c r="D59" s="1438">
        <f t="shared" si="0"/>
        <v>23.563496280552901</v>
      </c>
      <c r="F59" s="2279">
        <f t="shared" si="21"/>
        <v>45658</v>
      </c>
      <c r="G59" s="2280">
        <f t="shared" si="19"/>
        <v>7.2700000000000001E-2</v>
      </c>
      <c r="H59" s="2281">
        <f t="shared" si="22"/>
        <v>6.0583333333333336</v>
      </c>
      <c r="I59" s="2281">
        <f>+SUM(H$36:H59)</f>
        <v>159.19166666666666</v>
      </c>
      <c r="L59"/>
      <c r="O59" s="145">
        <v>41456</v>
      </c>
      <c r="P59" s="845">
        <f t="shared" si="20"/>
        <v>98.965999999999994</v>
      </c>
      <c r="Q59" s="146"/>
    </row>
    <row r="60" spans="2:17" ht="15.75">
      <c r="B60" s="622">
        <v>23102</v>
      </c>
      <c r="C60" s="1229">
        <v>25.006</v>
      </c>
      <c r="D60" s="1438">
        <f t="shared" si="0"/>
        <v>23.6429174220169</v>
      </c>
      <c r="F60" s="2279">
        <f t="shared" si="21"/>
        <v>45689</v>
      </c>
      <c r="G60" s="2280">
        <f t="shared" si="19"/>
        <v>7.2700000000000001E-2</v>
      </c>
      <c r="H60" s="2281">
        <f t="shared" si="22"/>
        <v>6.0583333333333336</v>
      </c>
      <c r="I60" s="2281">
        <f>+SUM(H$36:H60)</f>
        <v>165.25</v>
      </c>
      <c r="L60"/>
      <c r="O60" s="145">
        <v>41821</v>
      </c>
      <c r="P60" s="845">
        <f t="shared" si="20"/>
        <v>99.805999999999997</v>
      </c>
      <c r="Q60" s="146"/>
    </row>
    <row r="61" spans="2:17" ht="15.75">
      <c r="B61" s="622">
        <v>23132</v>
      </c>
      <c r="C61" s="1229">
        <v>24.922000000000001</v>
      </c>
      <c r="D61" s="1438">
        <f t="shared" si="0"/>
        <v>23.563496280552901</v>
      </c>
      <c r="F61" s="2279">
        <f t="shared" si="21"/>
        <v>45717</v>
      </c>
      <c r="G61" s="2280">
        <f t="shared" si="19"/>
        <v>7.2700000000000001E-2</v>
      </c>
      <c r="H61" s="2281">
        <f t="shared" si="22"/>
        <v>6.0583333333333336</v>
      </c>
      <c r="I61" s="2281">
        <f>+SUM(H$36:H61)</f>
        <v>171.30833333333334</v>
      </c>
      <c r="L61"/>
      <c r="O61" s="145">
        <v>42186</v>
      </c>
      <c r="P61" s="845">
        <f t="shared" si="20"/>
        <v>100.6</v>
      </c>
      <c r="Q61" s="146"/>
    </row>
    <row r="62" spans="2:17" ht="15.75">
      <c r="B62" s="622">
        <v>23163</v>
      </c>
      <c r="C62" s="1229">
        <v>24.753</v>
      </c>
      <c r="D62" s="1438">
        <f t="shared" si="0"/>
        <v>23.403708507845501</v>
      </c>
      <c r="F62" s="2279">
        <f t="shared" si="21"/>
        <v>45748</v>
      </c>
      <c r="G62" s="2280">
        <f t="shared" si="19"/>
        <v>7.2700000000000001E-2</v>
      </c>
      <c r="H62" s="2281">
        <f t="shared" si="22"/>
        <v>6.0583333333333336</v>
      </c>
      <c r="I62" s="2281">
        <f>+SUM(H$36:H62)</f>
        <v>177.36666666666667</v>
      </c>
      <c r="L62"/>
      <c r="O62" s="145">
        <v>42552</v>
      </c>
      <c r="P62" s="845">
        <f t="shared" si="20"/>
        <v>101.1</v>
      </c>
      <c r="Q62" s="146"/>
    </row>
    <row r="63" spans="2:17" ht="15.75">
      <c r="B63" s="622">
        <v>23193</v>
      </c>
      <c r="C63" s="1229">
        <v>24.753</v>
      </c>
      <c r="D63" s="1438">
        <f t="shared" si="0"/>
        <v>23.403708507845501</v>
      </c>
      <c r="F63" s="2279">
        <f t="shared" si="21"/>
        <v>45778</v>
      </c>
      <c r="G63" s="2280">
        <f t="shared" si="19"/>
        <v>7.2700000000000001E-2</v>
      </c>
      <c r="H63" s="2281">
        <f t="shared" si="22"/>
        <v>6.0583333333333336</v>
      </c>
      <c r="I63" s="2281">
        <f>+SUM(H$36:H63)</f>
        <v>183.42500000000001</v>
      </c>
      <c r="L63"/>
      <c r="O63" s="145">
        <v>42917</v>
      </c>
      <c r="P63" s="845">
        <f t="shared" si="20"/>
        <v>102.5</v>
      </c>
      <c r="Q63" s="146"/>
    </row>
    <row r="64" spans="2:17" ht="15.75">
      <c r="B64" s="622">
        <v>23224</v>
      </c>
      <c r="C64" s="1229">
        <v>24.753</v>
      </c>
      <c r="D64" s="1438">
        <f t="shared" si="0"/>
        <v>23.403708507845501</v>
      </c>
      <c r="F64" s="2279">
        <f>DATE(YEAR(F63),MONTH(F63)+1,1)</f>
        <v>45809</v>
      </c>
      <c r="G64" s="2280">
        <f t="shared" si="19"/>
        <v>7.2700000000000001E-2</v>
      </c>
      <c r="H64" s="2281">
        <f t="shared" si="22"/>
        <v>6.0583333333333336</v>
      </c>
      <c r="I64" s="2281">
        <f>+SUM(H$36:H64)</f>
        <v>189.48333333333335</v>
      </c>
      <c r="L64"/>
      <c r="O64" s="145">
        <v>43282</v>
      </c>
      <c r="P64" s="845">
        <f t="shared" si="20"/>
        <v>104.4</v>
      </c>
      <c r="Q64" s="146"/>
    </row>
    <row r="65" spans="2:18" ht="15.75">
      <c r="B65" s="622">
        <v>23255</v>
      </c>
      <c r="C65" s="1229">
        <v>24.922000000000001</v>
      </c>
      <c r="D65" s="1438">
        <f t="shared" si="0"/>
        <v>23.563496280552901</v>
      </c>
      <c r="F65" s="2279">
        <f t="shared" si="21"/>
        <v>45839</v>
      </c>
      <c r="G65" s="2280">
        <f t="shared" si="19"/>
        <v>6.2700000000000006E-2</v>
      </c>
      <c r="H65" s="2281">
        <f t="shared" si="22"/>
        <v>5.2249999999999996</v>
      </c>
      <c r="I65" s="2281">
        <f>+SUM(H$36:H65)</f>
        <v>194.70833333333334</v>
      </c>
      <c r="L65"/>
      <c r="O65" s="145">
        <v>43647</v>
      </c>
      <c r="P65" s="845">
        <f t="shared" si="20"/>
        <v>106.2</v>
      </c>
      <c r="Q65" s="146"/>
    </row>
    <row r="66" spans="2:18" ht="15.75">
      <c r="B66" s="622">
        <v>23285</v>
      </c>
      <c r="C66" s="1229">
        <v>24.922000000000001</v>
      </c>
      <c r="D66" s="1438">
        <f t="shared" si="0"/>
        <v>23.563496280552901</v>
      </c>
      <c r="F66" s="2279">
        <f t="shared" si="21"/>
        <v>45870</v>
      </c>
      <c r="G66" s="2280">
        <f t="shared" si="19"/>
        <v>6.2700000000000006E-2</v>
      </c>
      <c r="H66" s="2281">
        <f t="shared" si="22"/>
        <v>5.2249999999999996</v>
      </c>
      <c r="I66" s="2281">
        <f>+SUM(H$36:H66)</f>
        <v>199.93333333333334</v>
      </c>
      <c r="L66"/>
      <c r="O66" s="145">
        <v>44013</v>
      </c>
      <c r="P66" s="845">
        <f t="shared" si="20"/>
        <v>106.1</v>
      </c>
      <c r="Q66" s="146"/>
    </row>
    <row r="67" spans="2:18" ht="15.75">
      <c r="B67" s="622">
        <v>23316</v>
      </c>
      <c r="C67" s="1229">
        <v>25.09</v>
      </c>
      <c r="D67" s="1438">
        <f t="shared" ref="D67:D130" si="23">ROUND(+D68*C67/C68,19)</f>
        <v>23.7223385634809</v>
      </c>
      <c r="F67" s="2279">
        <f t="shared" si="21"/>
        <v>45901</v>
      </c>
      <c r="G67" s="2280">
        <f t="shared" si="19"/>
        <v>6.2700000000000006E-2</v>
      </c>
      <c r="H67" s="2281">
        <f t="shared" si="22"/>
        <v>5.2249999999999996</v>
      </c>
      <c r="I67" s="2281">
        <f>+SUM(H$36:H67)</f>
        <v>205.15833333333333</v>
      </c>
      <c r="L67"/>
      <c r="O67" s="145">
        <v>44378</v>
      </c>
      <c r="P67" s="845">
        <f t="shared" si="20"/>
        <v>110.1</v>
      </c>
      <c r="Q67" s="146"/>
    </row>
    <row r="68" spans="2:18" ht="15.75">
      <c r="B68" s="622">
        <v>23346</v>
      </c>
      <c r="C68" s="1229">
        <v>25.257999999999999</v>
      </c>
      <c r="D68" s="1438">
        <f t="shared" si="23"/>
        <v>23.881180846408999</v>
      </c>
      <c r="F68" s="2279">
        <f t="shared" si="21"/>
        <v>45931</v>
      </c>
      <c r="G68" s="2280">
        <f t="shared" si="19"/>
        <v>6.2700000000000006E-2</v>
      </c>
      <c r="H68" s="2281">
        <f t="shared" si="22"/>
        <v>5.2249999999999996</v>
      </c>
      <c r="I68" s="2281">
        <f>+SUM(H$36:H68)</f>
        <v>210.38333333333333</v>
      </c>
      <c r="L68"/>
      <c r="O68" s="145">
        <v>44743</v>
      </c>
      <c r="P68" s="845">
        <f>VLOOKUP(O68,VPI,2)</f>
        <v>118.4</v>
      </c>
      <c r="Q68" s="146"/>
    </row>
    <row r="69" spans="2:18" ht="15.75">
      <c r="B69" s="622">
        <v>23377</v>
      </c>
      <c r="C69" s="1229">
        <v>25.427</v>
      </c>
      <c r="D69" s="1438">
        <f t="shared" si="23"/>
        <v>24.040968619116398</v>
      </c>
      <c r="F69" s="2279">
        <f>DATE(YEAR(F68),MONTH(F68)+1,1)</f>
        <v>45962</v>
      </c>
      <c r="G69" s="2280">
        <f t="shared" si="19"/>
        <v>6.2700000000000006E-2</v>
      </c>
      <c r="H69" s="2281">
        <f t="shared" si="22"/>
        <v>5.2249999999999996</v>
      </c>
      <c r="I69" s="2281">
        <f>+SUM(H$36:H69)</f>
        <v>215.60833333333332</v>
      </c>
      <c r="L69"/>
      <c r="O69" s="145">
        <v>45108</v>
      </c>
      <c r="P69" s="845">
        <f>P68*(1+Q69)</f>
        <v>125.74080000000001</v>
      </c>
      <c r="Q69" s="59">
        <v>6.2E-2</v>
      </c>
    </row>
    <row r="70" spans="2:18" ht="15.75">
      <c r="B70" s="622">
        <v>23408</v>
      </c>
      <c r="C70" s="1229">
        <v>25.510999999999999</v>
      </c>
      <c r="D70" s="1438">
        <f t="shared" si="23"/>
        <v>24.120389760580402</v>
      </c>
      <c r="F70" s="2279">
        <f t="shared" si="21"/>
        <v>45992</v>
      </c>
      <c r="G70" s="2280">
        <f t="shared" si="19"/>
        <v>6.2700000000000006E-2</v>
      </c>
      <c r="H70" s="2281">
        <f t="shared" si="22"/>
        <v>5.2249999999999996</v>
      </c>
      <c r="I70" s="2281">
        <f>+SUM(H$36:H70)</f>
        <v>220.83333333333331</v>
      </c>
      <c r="L70"/>
      <c r="O70" s="145">
        <v>45474</v>
      </c>
      <c r="P70" s="845">
        <f t="shared" ref="P70:P86" si="24">P69*(1+Q70)</f>
        <v>132.02784000000003</v>
      </c>
      <c r="Q70" s="59">
        <v>0.05</v>
      </c>
    </row>
    <row r="71" spans="2:18" ht="15.75">
      <c r="B71" s="622">
        <v>23437</v>
      </c>
      <c r="C71" s="1229">
        <v>25.427</v>
      </c>
      <c r="D71" s="1438">
        <f t="shared" si="23"/>
        <v>24.040968619116398</v>
      </c>
      <c r="F71" s="2279">
        <f t="shared" si="21"/>
        <v>46023</v>
      </c>
      <c r="G71" s="2280">
        <f t="shared" si="19"/>
        <v>6.2700000000000006E-2</v>
      </c>
      <c r="H71" s="2281">
        <f t="shared" si="22"/>
        <v>5.2249999999999996</v>
      </c>
      <c r="I71" s="2281">
        <f>+SUM(H$36:H71)</f>
        <v>226.05833333333331</v>
      </c>
      <c r="L71"/>
      <c r="O71" s="145">
        <v>45839</v>
      </c>
      <c r="P71" s="845">
        <f t="shared" si="24"/>
        <v>137.30895360000002</v>
      </c>
      <c r="Q71" s="59">
        <v>0.04</v>
      </c>
    </row>
    <row r="72" spans="2:18" ht="15.75">
      <c r="B72" s="622">
        <v>23468</v>
      </c>
      <c r="C72" s="1229">
        <v>25.427</v>
      </c>
      <c r="D72" s="1438">
        <f t="shared" si="23"/>
        <v>24.040968619116398</v>
      </c>
      <c r="F72" s="2279">
        <f t="shared" si="21"/>
        <v>46054</v>
      </c>
      <c r="G72" s="2282"/>
      <c r="H72" s="2281">
        <f t="shared" si="22"/>
        <v>0</v>
      </c>
      <c r="I72" s="2281">
        <f>+SUM(H$36:H72)</f>
        <v>226.05833333333331</v>
      </c>
      <c r="L72"/>
      <c r="O72" s="145">
        <v>46204</v>
      </c>
      <c r="P72" s="845">
        <f t="shared" si="24"/>
        <v>141.42822220800002</v>
      </c>
      <c r="Q72" s="59">
        <v>0.03</v>
      </c>
    </row>
    <row r="73" spans="2:18" ht="15.75">
      <c r="B73" s="622">
        <v>23498</v>
      </c>
      <c r="C73" s="1229">
        <v>25.427</v>
      </c>
      <c r="D73" s="1438">
        <f t="shared" si="23"/>
        <v>24.040968619116398</v>
      </c>
      <c r="F73" s="2279">
        <f>DATE(YEAR(F72),MONTH(F72)+1,1)</f>
        <v>46082</v>
      </c>
      <c r="G73" s="2282"/>
      <c r="H73" s="2281">
        <f t="shared" si="22"/>
        <v>0</v>
      </c>
      <c r="I73" s="2281">
        <f>+SUM(H$36:H73)</f>
        <v>226.05833333333331</v>
      </c>
      <c r="L73"/>
      <c r="O73" s="145">
        <v>46569</v>
      </c>
      <c r="P73" s="845">
        <f t="shared" si="24"/>
        <v>144.96392776320002</v>
      </c>
      <c r="Q73" s="59">
        <v>2.5000000000000001E-2</v>
      </c>
    </row>
    <row r="74" spans="2:18" ht="15.75">
      <c r="B74" s="622">
        <v>23529</v>
      </c>
      <c r="C74" s="1229">
        <v>25.341999999999999</v>
      </c>
      <c r="D74" s="1438">
        <f t="shared" si="23"/>
        <v>23.960601987873002</v>
      </c>
      <c r="F74" s="2279">
        <f t="shared" si="21"/>
        <v>46113</v>
      </c>
      <c r="G74" s="2282"/>
      <c r="H74" s="2281">
        <f t="shared" si="22"/>
        <v>0</v>
      </c>
      <c r="I74" s="2281">
        <f>+SUM(H$36:H74)</f>
        <v>226.05833333333331</v>
      </c>
      <c r="L74"/>
      <c r="O74" s="145">
        <v>46935</v>
      </c>
      <c r="P74" s="845">
        <f t="shared" si="24"/>
        <v>148.15313417399042</v>
      </c>
      <c r="Q74" s="59">
        <v>2.1999999999999999E-2</v>
      </c>
    </row>
    <row r="75" spans="2:18" ht="15.75">
      <c r="B75" s="622">
        <v>23559</v>
      </c>
      <c r="C75" s="1229">
        <v>25.427</v>
      </c>
      <c r="D75" s="1438">
        <f t="shared" si="23"/>
        <v>24.040968619116398</v>
      </c>
      <c r="F75" s="2279">
        <f t="shared" si="21"/>
        <v>46143</v>
      </c>
      <c r="G75" s="2282"/>
      <c r="H75" s="2281">
        <f t="shared" si="22"/>
        <v>0</v>
      </c>
      <c r="I75" s="2281">
        <f>+SUM(H$36:H75)</f>
        <v>226.05833333333331</v>
      </c>
      <c r="L75"/>
      <c r="O75" s="145">
        <v>47300</v>
      </c>
      <c r="P75" s="845">
        <f t="shared" si="24"/>
        <v>151.11619685747024</v>
      </c>
      <c r="Q75" s="59">
        <v>0.02</v>
      </c>
    </row>
    <row r="76" spans="2:18" ht="15.75">
      <c r="B76" s="622">
        <v>23590</v>
      </c>
      <c r="C76" s="1229">
        <v>25.427</v>
      </c>
      <c r="D76" s="1438">
        <f t="shared" si="23"/>
        <v>24.040968619116398</v>
      </c>
      <c r="F76" s="2279">
        <f t="shared" si="21"/>
        <v>46174</v>
      </c>
      <c r="G76" s="2282"/>
      <c r="H76" s="2281">
        <f t="shared" si="22"/>
        <v>0</v>
      </c>
      <c r="I76" s="2281">
        <f>+SUM(H$36:H76)</f>
        <v>226.05833333333331</v>
      </c>
      <c r="L76"/>
      <c r="O76" s="145">
        <v>47665</v>
      </c>
      <c r="P76" s="845">
        <f t="shared" si="24"/>
        <v>154.13852079461964</v>
      </c>
      <c r="Q76" s="59">
        <v>0.02</v>
      </c>
    </row>
    <row r="77" spans="2:18" ht="15.75">
      <c r="B77" s="622">
        <v>23621</v>
      </c>
      <c r="C77" s="1229">
        <v>25.510999999999999</v>
      </c>
      <c r="D77" s="1438">
        <f t="shared" si="23"/>
        <v>24.120389760580402</v>
      </c>
      <c r="F77" s="2279">
        <f t="shared" si="21"/>
        <v>46204</v>
      </c>
      <c r="G77" s="2282"/>
      <c r="H77" s="2281">
        <f t="shared" si="22"/>
        <v>0</v>
      </c>
      <c r="I77" s="2281">
        <f>+SUM(H$36:H77)</f>
        <v>226.05833333333331</v>
      </c>
      <c r="L77"/>
      <c r="O77" s="145">
        <v>48030</v>
      </c>
      <c r="P77" s="845">
        <f t="shared" si="24"/>
        <v>157.22129121051202</v>
      </c>
      <c r="Q77" s="59">
        <v>0.02</v>
      </c>
    </row>
    <row r="78" spans="2:18" ht="15.75">
      <c r="B78" s="622">
        <v>23651</v>
      </c>
      <c r="C78" s="1229">
        <v>25.510999999999999</v>
      </c>
      <c r="D78" s="1438">
        <f t="shared" si="23"/>
        <v>24.120389760580402</v>
      </c>
      <c r="F78" s="2279">
        <f t="shared" si="21"/>
        <v>46235</v>
      </c>
      <c r="G78" s="2282"/>
      <c r="H78" s="2281">
        <f t="shared" si="22"/>
        <v>0</v>
      </c>
      <c r="I78" s="2281">
        <f>+SUM(H$36:H78)</f>
        <v>226.05833333333331</v>
      </c>
      <c r="L78"/>
      <c r="O78" s="145">
        <v>48396</v>
      </c>
      <c r="P78" s="845">
        <f t="shared" si="24"/>
        <v>160.36571703472225</v>
      </c>
      <c r="Q78" s="59">
        <v>0.02</v>
      </c>
    </row>
    <row r="79" spans="2:18" ht="15.75">
      <c r="B79" s="622">
        <v>23682</v>
      </c>
      <c r="C79" s="1229">
        <v>25.678999999999998</v>
      </c>
      <c r="D79" s="1438">
        <f t="shared" si="23"/>
        <v>24.279232043508401</v>
      </c>
      <c r="F79" s="2279">
        <f t="shared" si="21"/>
        <v>46266</v>
      </c>
      <c r="G79" s="2282"/>
      <c r="H79" s="2281">
        <f t="shared" si="22"/>
        <v>0</v>
      </c>
      <c r="I79" s="2281">
        <f>+SUM(H$36:H79)</f>
        <v>226.05833333333331</v>
      </c>
      <c r="L79"/>
      <c r="O79" s="145">
        <v>48761</v>
      </c>
      <c r="P79" s="845">
        <f t="shared" si="24"/>
        <v>163.57303137541669</v>
      </c>
      <c r="Q79" s="59">
        <v>0.02</v>
      </c>
    </row>
    <row r="80" spans="2:18" ht="15.75">
      <c r="B80" s="622">
        <v>23712</v>
      </c>
      <c r="C80" s="1229">
        <v>25.763000000000002</v>
      </c>
      <c r="D80" s="1438">
        <f t="shared" si="23"/>
        <v>24.3586531849724</v>
      </c>
      <c r="F80" s="2279">
        <f t="shared" si="21"/>
        <v>46296</v>
      </c>
      <c r="G80" s="2282"/>
      <c r="H80" s="2281">
        <f t="shared" si="22"/>
        <v>0</v>
      </c>
      <c r="I80" s="2281">
        <f>+SUM(H$36:H80)</f>
        <v>226.05833333333331</v>
      </c>
      <c r="L80"/>
      <c r="O80" s="145">
        <v>49126</v>
      </c>
      <c r="P80" s="845">
        <f t="shared" si="24"/>
        <v>166.84449200292502</v>
      </c>
      <c r="Q80" s="59">
        <v>0.02</v>
      </c>
      <c r="R80">
        <f>_xlfn.RRI(14,P67,P80)</f>
        <v>3.0136110093019308E-2</v>
      </c>
    </row>
    <row r="81" spans="2:21" ht="15.75">
      <c r="B81" s="622">
        <v>23743</v>
      </c>
      <c r="C81" s="1229">
        <v>25.931999999999999</v>
      </c>
      <c r="D81" s="1438">
        <f t="shared" si="23"/>
        <v>24.5184409576798</v>
      </c>
      <c r="F81" s="2279">
        <f t="shared" si="21"/>
        <v>46327</v>
      </c>
      <c r="G81" s="2282"/>
      <c r="H81" s="2281">
        <f t="shared" si="22"/>
        <v>0</v>
      </c>
      <c r="I81" s="2281">
        <f>+SUM(H$36:H81)</f>
        <v>226.05833333333331</v>
      </c>
      <c r="L81"/>
      <c r="O81" s="145">
        <v>49491</v>
      </c>
      <c r="P81" s="845">
        <f t="shared" si="24"/>
        <v>170.18138184298351</v>
      </c>
      <c r="Q81" s="59">
        <v>0.02</v>
      </c>
    </row>
    <row r="82" spans="2:21" ht="15.75">
      <c r="B82" s="622">
        <v>23774</v>
      </c>
      <c r="C82" s="1229">
        <v>26.015999999999998</v>
      </c>
      <c r="D82" s="1438">
        <f t="shared" si="23"/>
        <v>24.5978620991438</v>
      </c>
      <c r="F82" s="2279">
        <f t="shared" si="21"/>
        <v>46357</v>
      </c>
      <c r="G82" s="2282"/>
      <c r="H82" s="2281">
        <f t="shared" si="22"/>
        <v>0</v>
      </c>
      <c r="I82" s="2281">
        <f>+SUM(H$36:H82)</f>
        <v>226.05833333333331</v>
      </c>
      <c r="L82"/>
      <c r="O82" s="145">
        <v>49857</v>
      </c>
      <c r="P82" s="845">
        <f t="shared" si="24"/>
        <v>173.58500947984319</v>
      </c>
      <c r="Q82" s="59">
        <v>0.02</v>
      </c>
    </row>
    <row r="83" spans="2:21" ht="15.75">
      <c r="B83" s="622">
        <v>23802</v>
      </c>
      <c r="C83" s="1229">
        <v>25.931999999999999</v>
      </c>
      <c r="D83" s="1438">
        <f t="shared" si="23"/>
        <v>24.5184409576798</v>
      </c>
      <c r="F83" s="2279">
        <f>DATE(YEAR(F82),MONTH(F82)+1,1)</f>
        <v>46388</v>
      </c>
      <c r="G83" s="2282"/>
      <c r="H83" s="2281">
        <f t="shared" si="22"/>
        <v>0</v>
      </c>
      <c r="I83" s="2281">
        <f>+SUM(H$36:H83)</f>
        <v>226.05833333333331</v>
      </c>
      <c r="L83"/>
      <c r="O83" s="145">
        <v>50222</v>
      </c>
      <c r="P83" s="845">
        <f t="shared" si="24"/>
        <v>177.05670966944007</v>
      </c>
      <c r="Q83" s="59">
        <v>0.02</v>
      </c>
    </row>
    <row r="84" spans="2:21" ht="15.75">
      <c r="B84" s="622">
        <v>23833</v>
      </c>
      <c r="C84" s="1229">
        <v>26.1</v>
      </c>
      <c r="D84" s="1438">
        <f t="shared" si="23"/>
        <v>24.677283240607899</v>
      </c>
      <c r="F84" s="2279">
        <f t="shared" si="21"/>
        <v>46419</v>
      </c>
      <c r="G84" s="2282"/>
      <c r="H84" s="2281">
        <f t="shared" si="22"/>
        <v>0</v>
      </c>
      <c r="I84" s="2281">
        <f>+SUM(H$36:H84)</f>
        <v>226.05833333333331</v>
      </c>
      <c r="L84"/>
      <c r="O84" s="145">
        <v>50587</v>
      </c>
      <c r="P84" s="845">
        <f t="shared" si="24"/>
        <v>177.05670966944007</v>
      </c>
      <c r="Q84"/>
    </row>
    <row r="85" spans="2:21" ht="15.75">
      <c r="B85" s="622">
        <v>23863</v>
      </c>
      <c r="C85" s="1229">
        <v>26.184000000000001</v>
      </c>
      <c r="D85" s="1438">
        <f t="shared" si="23"/>
        <v>24.756704382071899</v>
      </c>
      <c r="F85" s="2279">
        <f t="shared" si="21"/>
        <v>46447</v>
      </c>
      <c r="G85" s="2282"/>
      <c r="H85" s="2281">
        <f t="shared" si="22"/>
        <v>0</v>
      </c>
      <c r="I85" s="2281">
        <f>+SUM(H$36:H85)</f>
        <v>226.05833333333331</v>
      </c>
      <c r="L85"/>
      <c r="O85" s="145">
        <v>50952</v>
      </c>
      <c r="P85" s="845">
        <f t="shared" si="24"/>
        <v>177.05670966944007</v>
      </c>
      <c r="Q85"/>
    </row>
    <row r="86" spans="2:21" ht="15.75">
      <c r="B86" s="622">
        <v>23894</v>
      </c>
      <c r="C86" s="1229">
        <v>26.268999999999998</v>
      </c>
      <c r="D86" s="1438">
        <f t="shared" si="23"/>
        <v>24.837071013315299</v>
      </c>
      <c r="F86" s="2279">
        <f t="shared" si="21"/>
        <v>46478</v>
      </c>
      <c r="G86" s="2282"/>
      <c r="H86" s="2281">
        <f t="shared" si="22"/>
        <v>0</v>
      </c>
      <c r="I86" s="2281">
        <f>+SUM(H$36:H86)</f>
        <v>226.05833333333331</v>
      </c>
      <c r="L86"/>
      <c r="O86" s="145">
        <v>51318</v>
      </c>
      <c r="P86" s="845">
        <f t="shared" si="24"/>
        <v>177.05670966944007</v>
      </c>
      <c r="Q86"/>
    </row>
    <row r="87" spans="2:21" ht="15.75">
      <c r="B87" s="622">
        <v>23924</v>
      </c>
      <c r="C87" s="1229">
        <v>26.437000000000001</v>
      </c>
      <c r="D87" s="1438">
        <f t="shared" si="23"/>
        <v>24.995913296243401</v>
      </c>
      <c r="F87" s="2279">
        <f t="shared" si="21"/>
        <v>46508</v>
      </c>
      <c r="G87" s="2282"/>
      <c r="H87" s="2281">
        <f t="shared" si="22"/>
        <v>0</v>
      </c>
      <c r="I87" s="2281">
        <f>+SUM(H$36:H87)</f>
        <v>226.05833333333331</v>
      </c>
      <c r="L87"/>
      <c r="S87" s="58">
        <v>44952</v>
      </c>
    </row>
    <row r="88" spans="2:21" ht="15.75">
      <c r="B88" s="622">
        <v>23955</v>
      </c>
      <c r="C88" s="1229">
        <v>26.353000000000002</v>
      </c>
      <c r="D88" s="1438">
        <f t="shared" si="23"/>
        <v>24.916492154779402</v>
      </c>
      <c r="F88" s="2279">
        <f t="shared" si="21"/>
        <v>46539</v>
      </c>
      <c r="G88" s="2282"/>
      <c r="H88" s="2281">
        <f t="shared" si="22"/>
        <v>0</v>
      </c>
      <c r="I88" s="2281">
        <f>+SUM(H$36:H88)</f>
        <v>226.05833333333331</v>
      </c>
      <c r="L88"/>
      <c r="S88" s="58">
        <v>45283</v>
      </c>
      <c r="T88" s="859">
        <f>+S88-S87</f>
        <v>331</v>
      </c>
      <c r="U88" s="58">
        <f>+DATE(YEAR(S88),1,DAY(S87)+T88/2)</f>
        <v>45117</v>
      </c>
    </row>
    <row r="89" spans="2:21" ht="15.75">
      <c r="B89" s="622">
        <v>23986</v>
      </c>
      <c r="C89" s="1229">
        <v>26.437000000000001</v>
      </c>
      <c r="D89" s="1438">
        <f t="shared" si="23"/>
        <v>24.995913296243401</v>
      </c>
      <c r="F89" s="2279">
        <f t="shared" si="21"/>
        <v>46569</v>
      </c>
      <c r="G89" s="2282"/>
      <c r="H89" s="2281">
        <f t="shared" si="22"/>
        <v>0</v>
      </c>
      <c r="I89" s="2281">
        <f>+SUM(H$36:H89)</f>
        <v>226.05833333333331</v>
      </c>
      <c r="L89"/>
    </row>
    <row r="90" spans="2:21" ht="15.75">
      <c r="B90" s="622">
        <v>24016</v>
      </c>
      <c r="C90" s="1229">
        <v>26.521000000000001</v>
      </c>
      <c r="D90" s="1438">
        <f t="shared" si="23"/>
        <v>25.075334437707401</v>
      </c>
      <c r="F90" s="2279">
        <f>DATE(YEAR(F89),MONTH(F89)+1,1)</f>
        <v>46600</v>
      </c>
      <c r="G90" s="2282"/>
      <c r="H90" s="2281">
        <f t="shared" si="22"/>
        <v>0</v>
      </c>
      <c r="I90" s="2281">
        <f>+SUM(H$36:H90)</f>
        <v>226.05833333333331</v>
      </c>
      <c r="L90"/>
    </row>
    <row r="91" spans="2:21" ht="15.75">
      <c r="B91" s="622">
        <v>24047</v>
      </c>
      <c r="C91" s="1229">
        <v>26.69</v>
      </c>
      <c r="D91" s="1438">
        <f t="shared" si="23"/>
        <v>25.235122210414801</v>
      </c>
      <c r="F91" s="2279">
        <f t="shared" si="21"/>
        <v>46631</v>
      </c>
      <c r="G91" s="2282"/>
      <c r="H91" s="2281">
        <f t="shared" si="22"/>
        <v>0</v>
      </c>
      <c r="I91" s="2281">
        <f>+SUM(H$36:H91)</f>
        <v>226.05833333333331</v>
      </c>
      <c r="L91"/>
    </row>
    <row r="92" spans="2:21" ht="15.75">
      <c r="B92" s="622">
        <v>24077</v>
      </c>
      <c r="C92" s="1229">
        <v>26.774000000000001</v>
      </c>
      <c r="D92" s="1438">
        <f t="shared" si="23"/>
        <v>25.3145433518788</v>
      </c>
      <c r="F92" s="2279">
        <f t="shared" si="21"/>
        <v>46661</v>
      </c>
      <c r="G92" s="2282"/>
      <c r="H92" s="2281">
        <f t="shared" si="22"/>
        <v>0</v>
      </c>
      <c r="I92" s="2281">
        <f>+SUM(H$36:H92)</f>
        <v>226.05833333333331</v>
      </c>
      <c r="L92"/>
    </row>
    <row r="93" spans="2:21" ht="15.75">
      <c r="B93" s="622">
        <v>24108</v>
      </c>
      <c r="C93" s="1229">
        <v>26.942</v>
      </c>
      <c r="D93" s="1438">
        <f t="shared" si="23"/>
        <v>25.4733856348068</v>
      </c>
      <c r="F93" s="2279">
        <f t="shared" si="21"/>
        <v>46692</v>
      </c>
      <c r="G93" s="2282"/>
      <c r="H93" s="2281">
        <f t="shared" si="22"/>
        <v>0</v>
      </c>
      <c r="I93" s="2281">
        <f>+SUM(H$36:H93)</f>
        <v>226.05833333333331</v>
      </c>
      <c r="L93"/>
    </row>
    <row r="94" spans="2:21" ht="15.75">
      <c r="B94" s="622">
        <v>24139</v>
      </c>
      <c r="C94" s="1229">
        <v>27.111000000000001</v>
      </c>
      <c r="D94" s="1438">
        <f t="shared" si="23"/>
        <v>25.633173407514199</v>
      </c>
      <c r="F94" s="2279">
        <f t="shared" si="21"/>
        <v>46722</v>
      </c>
      <c r="G94" s="2282"/>
      <c r="H94" s="2281">
        <f t="shared" si="22"/>
        <v>0</v>
      </c>
      <c r="I94" s="2281">
        <f>+SUM(H$36:H94)</f>
        <v>226.05833333333331</v>
      </c>
      <c r="L94"/>
    </row>
    <row r="95" spans="2:21" ht="15.75">
      <c r="B95" s="622">
        <v>24167</v>
      </c>
      <c r="C95" s="1229">
        <v>27.026</v>
      </c>
      <c r="D95" s="1438">
        <f t="shared" si="23"/>
        <v>25.552806776270799</v>
      </c>
      <c r="F95" s="2279">
        <f t="shared" si="21"/>
        <v>46753</v>
      </c>
      <c r="G95" s="144"/>
      <c r="H95" s="2281">
        <f t="shared" si="22"/>
        <v>0</v>
      </c>
      <c r="I95" s="2281">
        <f>+SUM(H$36:H95)</f>
        <v>226.05833333333331</v>
      </c>
      <c r="L95"/>
    </row>
    <row r="96" spans="2:21" ht="15.75">
      <c r="B96" s="622">
        <v>24198</v>
      </c>
      <c r="C96" s="1229">
        <v>27.279</v>
      </c>
      <c r="D96" s="1438">
        <f t="shared" si="23"/>
        <v>25.792015690442199</v>
      </c>
      <c r="F96" s="2279">
        <f t="shared" si="21"/>
        <v>46784</v>
      </c>
      <c r="G96" s="144"/>
      <c r="H96" s="2281">
        <f t="shared" si="22"/>
        <v>0</v>
      </c>
      <c r="I96" s="2281">
        <f>+SUM(H$36:H96)</f>
        <v>226.05833333333331</v>
      </c>
      <c r="L96"/>
    </row>
    <row r="97" spans="2:12" ht="15.75">
      <c r="B97" s="622">
        <v>24228</v>
      </c>
      <c r="C97" s="1229">
        <v>27.279</v>
      </c>
      <c r="D97" s="1438">
        <f t="shared" si="23"/>
        <v>25.792015690442199</v>
      </c>
      <c r="F97" s="2279">
        <f t="shared" si="21"/>
        <v>46813</v>
      </c>
      <c r="G97" s="144"/>
      <c r="H97" s="2281">
        <f t="shared" si="22"/>
        <v>0</v>
      </c>
      <c r="I97" s="2281">
        <f>+SUM(H$36:H97)</f>
        <v>226.05833333333331</v>
      </c>
      <c r="L97"/>
    </row>
    <row r="98" spans="2:12" ht="15.75">
      <c r="B98" s="622">
        <v>24259</v>
      </c>
      <c r="C98" s="1229">
        <v>27.195</v>
      </c>
      <c r="D98" s="1438">
        <f t="shared" si="23"/>
        <v>25.712594548978199</v>
      </c>
      <c r="F98" s="2279">
        <f t="shared" si="21"/>
        <v>46844</v>
      </c>
      <c r="G98" s="144"/>
      <c r="H98" s="2281">
        <f t="shared" si="22"/>
        <v>0</v>
      </c>
      <c r="I98" s="2281">
        <f>+SUM(H$36:H98)</f>
        <v>226.05833333333331</v>
      </c>
      <c r="L98"/>
    </row>
    <row r="99" spans="2:12" ht="15.75">
      <c r="B99" s="622">
        <v>24289</v>
      </c>
      <c r="C99" s="1229">
        <v>27.279</v>
      </c>
      <c r="D99" s="1438">
        <f t="shared" si="23"/>
        <v>25.792015690442199</v>
      </c>
      <c r="F99" s="2279">
        <f t="shared" si="21"/>
        <v>46874</v>
      </c>
      <c r="G99" s="144"/>
      <c r="H99" s="2281">
        <f t="shared" si="22"/>
        <v>0</v>
      </c>
      <c r="I99" s="2281">
        <f>+SUM(H$36:H99)</f>
        <v>226.05833333333331</v>
      </c>
      <c r="L99"/>
    </row>
    <row r="100" spans="2:12" ht="15.75">
      <c r="B100" s="622">
        <v>24320</v>
      </c>
      <c r="C100" s="1229">
        <v>27.279</v>
      </c>
      <c r="D100" s="1438">
        <f t="shared" si="23"/>
        <v>25.792015690442199</v>
      </c>
      <c r="L100"/>
    </row>
    <row r="101" spans="2:12" ht="15.75">
      <c r="B101" s="622">
        <v>24351</v>
      </c>
      <c r="C101" s="1229">
        <v>27.279</v>
      </c>
      <c r="D101" s="1438">
        <f t="shared" si="23"/>
        <v>25.792015690442199</v>
      </c>
      <c r="L101"/>
    </row>
    <row r="102" spans="2:12" ht="15.75">
      <c r="B102" s="622">
        <v>24381</v>
      </c>
      <c r="C102" s="1229">
        <v>27.363</v>
      </c>
      <c r="D102" s="1438">
        <f t="shared" si="23"/>
        <v>25.871436831906198</v>
      </c>
      <c r="L102"/>
    </row>
    <row r="103" spans="2:12" ht="15.75">
      <c r="B103" s="622">
        <v>24412</v>
      </c>
      <c r="C103" s="1229">
        <v>27.532</v>
      </c>
      <c r="D103" s="1438">
        <f t="shared" si="23"/>
        <v>26.031224604613602</v>
      </c>
      <c r="L103"/>
    </row>
    <row r="104" spans="2:12" ht="15.75">
      <c r="B104" s="622">
        <v>24442</v>
      </c>
      <c r="C104" s="1229">
        <v>27.532</v>
      </c>
      <c r="D104" s="1438">
        <f t="shared" si="23"/>
        <v>26.031224604613602</v>
      </c>
      <c r="L104"/>
    </row>
    <row r="105" spans="2:12" ht="15.75">
      <c r="B105" s="622">
        <v>24473</v>
      </c>
      <c r="C105" s="1229">
        <v>27.616</v>
      </c>
      <c r="D105" s="1438">
        <f t="shared" si="23"/>
        <v>26.110645746077601</v>
      </c>
      <c r="L105"/>
    </row>
    <row r="106" spans="2:12" ht="15.75">
      <c r="B106" s="622">
        <v>24504</v>
      </c>
      <c r="C106" s="1229">
        <v>27.7</v>
      </c>
      <c r="D106" s="1438">
        <f t="shared" si="23"/>
        <v>26.190066887541601</v>
      </c>
      <c r="L106"/>
    </row>
    <row r="107" spans="2:12" ht="15.75">
      <c r="B107" s="622">
        <v>24532</v>
      </c>
      <c r="C107" s="1229">
        <v>27.7</v>
      </c>
      <c r="D107" s="1438">
        <f t="shared" si="23"/>
        <v>26.190066887541601</v>
      </c>
      <c r="L107"/>
    </row>
    <row r="108" spans="2:12" ht="15.75">
      <c r="B108" s="622">
        <v>24563</v>
      </c>
      <c r="C108" s="1229">
        <v>27.7</v>
      </c>
      <c r="D108" s="1438">
        <f t="shared" si="23"/>
        <v>26.190066887541601</v>
      </c>
      <c r="L108"/>
    </row>
    <row r="109" spans="2:12" ht="15.75">
      <c r="B109" s="622">
        <v>24593</v>
      </c>
      <c r="C109" s="1229">
        <v>27.7</v>
      </c>
      <c r="D109" s="1438">
        <f t="shared" si="23"/>
        <v>26.190066887541601</v>
      </c>
      <c r="L109"/>
    </row>
    <row r="110" spans="2:12" ht="15.75">
      <c r="B110" s="622">
        <v>24624</v>
      </c>
      <c r="C110" s="1229">
        <v>27.7</v>
      </c>
      <c r="D110" s="1438">
        <f t="shared" si="23"/>
        <v>26.190066887541601</v>
      </c>
      <c r="L110"/>
    </row>
    <row r="111" spans="2:12" ht="15.75">
      <c r="B111" s="622">
        <v>24654</v>
      </c>
      <c r="C111" s="1229">
        <v>27.783999999999999</v>
      </c>
      <c r="D111" s="1438">
        <f t="shared" si="23"/>
        <v>26.269488029005601</v>
      </c>
      <c r="L111"/>
    </row>
    <row r="112" spans="2:12" ht="15.75">
      <c r="B112" s="622">
        <v>24685</v>
      </c>
      <c r="C112" s="1229">
        <v>27.7</v>
      </c>
      <c r="D112" s="1438">
        <f t="shared" si="23"/>
        <v>26.190066887541601</v>
      </c>
      <c r="L112"/>
    </row>
    <row r="113" spans="2:12" ht="15.75">
      <c r="B113" s="622">
        <v>24716</v>
      </c>
      <c r="C113" s="1229">
        <v>27.7</v>
      </c>
      <c r="D113" s="1438">
        <f t="shared" si="23"/>
        <v>26.190066887541601</v>
      </c>
      <c r="G113" s="1220"/>
      <c r="L113"/>
    </row>
    <row r="114" spans="2:12" ht="15.75">
      <c r="B114" s="622">
        <v>24746</v>
      </c>
      <c r="C114" s="1229">
        <v>27.7</v>
      </c>
      <c r="D114" s="1438">
        <f t="shared" si="23"/>
        <v>26.190066887541601</v>
      </c>
      <c r="L114"/>
    </row>
    <row r="115" spans="2:12" ht="15.75">
      <c r="B115" s="622">
        <v>24777</v>
      </c>
      <c r="C115" s="1229">
        <v>27.783999999999999</v>
      </c>
      <c r="D115" s="1438">
        <f t="shared" si="23"/>
        <v>26.269488029005601</v>
      </c>
      <c r="L115"/>
    </row>
    <row r="116" spans="2:12" ht="15.75">
      <c r="B116" s="622">
        <v>24807</v>
      </c>
      <c r="C116" s="1229">
        <v>27.7</v>
      </c>
      <c r="D116" s="1438">
        <f t="shared" si="23"/>
        <v>26.190066887541601</v>
      </c>
      <c r="L116"/>
    </row>
    <row r="117" spans="2:12" ht="15.75">
      <c r="B117" s="622">
        <v>24838</v>
      </c>
      <c r="C117" s="1229">
        <v>28.120999999999999</v>
      </c>
      <c r="D117" s="1438">
        <f t="shared" si="23"/>
        <v>26.588118084641099</v>
      </c>
      <c r="L117"/>
    </row>
    <row r="118" spans="2:12" ht="15.75">
      <c r="B118" s="622">
        <v>24869</v>
      </c>
      <c r="C118" s="1229">
        <v>28.204999999999998</v>
      </c>
      <c r="D118" s="1438">
        <f t="shared" si="23"/>
        <v>26.667539226105099</v>
      </c>
      <c r="L118"/>
    </row>
    <row r="119" spans="2:12" ht="15.75">
      <c r="B119" s="622">
        <v>24898</v>
      </c>
      <c r="C119" s="1229">
        <v>28.120999999999999</v>
      </c>
      <c r="D119" s="1438">
        <f t="shared" si="23"/>
        <v>26.588118084641099</v>
      </c>
      <c r="L119"/>
    </row>
    <row r="120" spans="2:12" ht="15.75">
      <c r="B120" s="622">
        <v>24929</v>
      </c>
      <c r="C120" s="1229">
        <v>28.120999999999999</v>
      </c>
      <c r="D120" s="1438">
        <f t="shared" si="23"/>
        <v>26.588118084641099</v>
      </c>
      <c r="L120"/>
    </row>
    <row r="121" spans="2:12" ht="15.75">
      <c r="B121" s="622">
        <v>24959</v>
      </c>
      <c r="C121" s="1229">
        <v>28.120999999999999</v>
      </c>
      <c r="D121" s="1438">
        <f t="shared" si="23"/>
        <v>26.588118084641099</v>
      </c>
      <c r="L121"/>
    </row>
    <row r="122" spans="2:12" ht="15.75">
      <c r="B122" s="622">
        <v>24990</v>
      </c>
      <c r="C122" s="1229">
        <v>28.120999999999999</v>
      </c>
      <c r="D122" s="1438">
        <f t="shared" si="23"/>
        <v>26.588118084641099</v>
      </c>
      <c r="L122"/>
    </row>
    <row r="123" spans="2:12" ht="15.75">
      <c r="B123" s="622">
        <v>25020</v>
      </c>
      <c r="C123" s="1229">
        <v>28.120999999999999</v>
      </c>
      <c r="D123" s="1438">
        <f t="shared" si="23"/>
        <v>26.588118084641099</v>
      </c>
      <c r="L123"/>
    </row>
    <row r="124" spans="2:12" ht="15.75">
      <c r="B124" s="622">
        <v>25051</v>
      </c>
      <c r="C124" s="1229">
        <v>28.120999999999999</v>
      </c>
      <c r="D124" s="1438">
        <f t="shared" si="23"/>
        <v>26.588118084641099</v>
      </c>
      <c r="L124"/>
    </row>
    <row r="125" spans="2:12" ht="15.75">
      <c r="B125" s="622">
        <v>25082</v>
      </c>
      <c r="C125" s="1229">
        <v>28.120999999999999</v>
      </c>
      <c r="D125" s="1438">
        <f t="shared" si="23"/>
        <v>26.588118084641099</v>
      </c>
      <c r="L125"/>
    </row>
    <row r="126" spans="2:12" ht="15.75">
      <c r="B126" s="622">
        <v>25112</v>
      </c>
      <c r="C126" s="1229">
        <v>28.120999999999999</v>
      </c>
      <c r="D126" s="1438">
        <f t="shared" si="23"/>
        <v>26.588118084641099</v>
      </c>
      <c r="L126"/>
    </row>
    <row r="127" spans="2:12" ht="15.75">
      <c r="B127" s="622">
        <v>25143</v>
      </c>
      <c r="C127" s="1229">
        <v>28.289000000000001</v>
      </c>
      <c r="D127" s="1438">
        <f t="shared" si="23"/>
        <v>26.746960367569201</v>
      </c>
      <c r="L127"/>
    </row>
    <row r="128" spans="2:12" ht="15.75">
      <c r="B128" s="622">
        <v>25173</v>
      </c>
      <c r="C128" s="1229">
        <v>28.289000000000001</v>
      </c>
      <c r="D128" s="1438">
        <f t="shared" si="23"/>
        <v>26.746960367569201</v>
      </c>
      <c r="L128"/>
    </row>
    <row r="129" spans="2:12" ht="15.75">
      <c r="B129" s="622">
        <v>25204</v>
      </c>
      <c r="C129" s="1229">
        <v>28.542000000000002</v>
      </c>
      <c r="D129" s="1438">
        <f t="shared" si="23"/>
        <v>26.986169281740601</v>
      </c>
      <c r="L129"/>
    </row>
    <row r="130" spans="2:12" ht="15.75">
      <c r="B130" s="622">
        <v>25235</v>
      </c>
      <c r="C130" s="1229">
        <v>28.71</v>
      </c>
      <c r="D130" s="1438">
        <f t="shared" si="23"/>
        <v>27.1450115646686</v>
      </c>
      <c r="L130"/>
    </row>
    <row r="131" spans="2:12" ht="15.75">
      <c r="B131" s="622">
        <v>25263</v>
      </c>
      <c r="C131" s="1229">
        <v>28.626000000000001</v>
      </c>
      <c r="D131" s="1438">
        <f t="shared" ref="D131:D194" si="25">ROUND(+D132*C131/C132,19)</f>
        <v>27.065590423204601</v>
      </c>
      <c r="L131"/>
    </row>
    <row r="132" spans="2:12" ht="15.75">
      <c r="B132" s="622">
        <v>25294</v>
      </c>
      <c r="C132" s="1229">
        <v>28.626000000000001</v>
      </c>
      <c r="D132" s="1438">
        <f t="shared" si="25"/>
        <v>27.065590423204601</v>
      </c>
      <c r="L132"/>
    </row>
    <row r="133" spans="2:12" ht="15.75">
      <c r="B133" s="622">
        <v>25324</v>
      </c>
      <c r="C133" s="1229">
        <v>28.626000000000001</v>
      </c>
      <c r="D133" s="1438">
        <f t="shared" si="25"/>
        <v>27.065590423204601</v>
      </c>
      <c r="L133"/>
    </row>
    <row r="134" spans="2:12" ht="15.75">
      <c r="B134" s="622">
        <v>25355</v>
      </c>
      <c r="C134" s="1229">
        <v>28.71</v>
      </c>
      <c r="D134" s="1438">
        <f t="shared" si="25"/>
        <v>27.1450115646686</v>
      </c>
      <c r="L134"/>
    </row>
    <row r="135" spans="2:12" ht="15.75">
      <c r="B135" s="622">
        <v>25385</v>
      </c>
      <c r="C135" s="1229">
        <v>28.71</v>
      </c>
      <c r="D135" s="1438">
        <f t="shared" si="25"/>
        <v>27.1450115646686</v>
      </c>
      <c r="L135"/>
    </row>
    <row r="136" spans="2:12" ht="15.75">
      <c r="B136" s="622">
        <v>25416</v>
      </c>
      <c r="C136" s="1229">
        <v>28.626000000000001</v>
      </c>
      <c r="D136" s="1438">
        <f t="shared" si="25"/>
        <v>27.065590423204601</v>
      </c>
      <c r="L136"/>
    </row>
    <row r="137" spans="2:12" ht="15.75">
      <c r="B137" s="622">
        <v>25447</v>
      </c>
      <c r="C137" s="1229">
        <v>28.71</v>
      </c>
      <c r="D137" s="1438">
        <f t="shared" si="25"/>
        <v>27.1450115646686</v>
      </c>
      <c r="L137"/>
    </row>
    <row r="138" spans="2:12" ht="15.75">
      <c r="B138" s="622">
        <v>25477</v>
      </c>
      <c r="C138" s="1229">
        <v>28.71</v>
      </c>
      <c r="D138" s="1438">
        <f t="shared" si="25"/>
        <v>27.1450115646686</v>
      </c>
      <c r="L138"/>
    </row>
    <row r="139" spans="2:12" ht="15.75">
      <c r="B139" s="622">
        <v>25508</v>
      </c>
      <c r="C139" s="1229">
        <v>28.879000000000001</v>
      </c>
      <c r="D139" s="1438">
        <f t="shared" si="25"/>
        <v>27.304799337376</v>
      </c>
      <c r="L139"/>
    </row>
    <row r="140" spans="2:12" ht="15.75">
      <c r="B140" s="622">
        <v>25538</v>
      </c>
      <c r="C140" s="1229">
        <v>28.879000000000001</v>
      </c>
      <c r="D140" s="1438">
        <f t="shared" si="25"/>
        <v>27.304799337376</v>
      </c>
      <c r="L140"/>
    </row>
    <row r="141" spans="2:12" ht="15.75">
      <c r="B141" s="622">
        <v>25569</v>
      </c>
      <c r="C141" s="1229">
        <v>29.3</v>
      </c>
      <c r="D141" s="1438">
        <f t="shared" si="25"/>
        <v>27.702850534475498</v>
      </c>
      <c r="L141"/>
    </row>
    <row r="142" spans="2:12" ht="15.75">
      <c r="B142" s="622">
        <v>25600</v>
      </c>
      <c r="C142" s="1229">
        <v>29.468</v>
      </c>
      <c r="D142" s="1438">
        <f t="shared" si="25"/>
        <v>27.861692817403501</v>
      </c>
      <c r="L142"/>
    </row>
    <row r="143" spans="2:12" ht="15.75">
      <c r="B143" s="622">
        <v>25628</v>
      </c>
      <c r="C143" s="1229">
        <v>29.468</v>
      </c>
      <c r="D143" s="1438">
        <f t="shared" si="25"/>
        <v>27.861692817403501</v>
      </c>
      <c r="L143"/>
    </row>
    <row r="144" spans="2:12" ht="15.75">
      <c r="B144" s="622">
        <v>25659</v>
      </c>
      <c r="C144" s="1229">
        <v>29.552</v>
      </c>
      <c r="D144" s="1438">
        <f t="shared" si="25"/>
        <v>27.941113958867501</v>
      </c>
      <c r="L144"/>
    </row>
    <row r="145" spans="2:12" ht="15.75">
      <c r="B145" s="622">
        <v>25689</v>
      </c>
      <c r="C145" s="1229">
        <v>29.552</v>
      </c>
      <c r="D145" s="1438">
        <f t="shared" si="25"/>
        <v>27.941113958867501</v>
      </c>
      <c r="L145"/>
    </row>
    <row r="146" spans="2:12" ht="15.75">
      <c r="B146" s="622">
        <v>25720</v>
      </c>
      <c r="C146" s="1229">
        <v>29.635999999999999</v>
      </c>
      <c r="D146" s="1438">
        <f t="shared" si="25"/>
        <v>28.0205351003315</v>
      </c>
      <c r="L146"/>
    </row>
    <row r="147" spans="2:12" ht="15.75">
      <c r="B147" s="622">
        <v>25750</v>
      </c>
      <c r="C147" s="1229">
        <v>29.721</v>
      </c>
      <c r="D147" s="1438">
        <f t="shared" si="25"/>
        <v>28.100901731574901</v>
      </c>
      <c r="L147"/>
    </row>
    <row r="148" spans="2:12" ht="15.75">
      <c r="B148" s="622">
        <v>25781</v>
      </c>
      <c r="C148" s="1229">
        <v>29.721</v>
      </c>
      <c r="D148" s="1438">
        <f t="shared" si="25"/>
        <v>28.100901731574901</v>
      </c>
      <c r="L148"/>
    </row>
    <row r="149" spans="2:12" ht="15.75">
      <c r="B149" s="622">
        <v>25812</v>
      </c>
      <c r="C149" s="1229">
        <v>29.721</v>
      </c>
      <c r="D149" s="1438">
        <f t="shared" si="25"/>
        <v>28.100901731574901</v>
      </c>
      <c r="L149"/>
    </row>
    <row r="150" spans="2:12" ht="15.75">
      <c r="B150" s="622">
        <v>25842</v>
      </c>
      <c r="C150" s="1229">
        <v>29.805</v>
      </c>
      <c r="D150" s="1438">
        <f t="shared" si="25"/>
        <v>28.1803228730389</v>
      </c>
      <c r="L150"/>
    </row>
    <row r="151" spans="2:12" ht="15.75">
      <c r="B151" s="622">
        <v>25873</v>
      </c>
      <c r="C151" s="1229">
        <v>29.972999999999999</v>
      </c>
      <c r="D151" s="1438">
        <f t="shared" si="25"/>
        <v>28.339165155966999</v>
      </c>
      <c r="L151"/>
    </row>
    <row r="152" spans="2:12" ht="15.75">
      <c r="B152" s="622">
        <v>25903</v>
      </c>
      <c r="C152" s="1229">
        <v>30.056999999999999</v>
      </c>
      <c r="D152" s="1438">
        <f t="shared" si="25"/>
        <v>28.418586297430998</v>
      </c>
      <c r="L152"/>
    </row>
    <row r="153" spans="2:12" ht="15.75">
      <c r="B153" s="622">
        <v>25934</v>
      </c>
      <c r="C153" s="1229">
        <v>30.478000000000002</v>
      </c>
      <c r="D153" s="1438">
        <f t="shared" si="25"/>
        <v>28.8166374945305</v>
      </c>
      <c r="L153"/>
    </row>
    <row r="154" spans="2:12" ht="15.75">
      <c r="B154" s="622">
        <v>25965</v>
      </c>
      <c r="C154" s="1229">
        <v>30.815000000000001</v>
      </c>
      <c r="D154" s="1438">
        <f t="shared" si="25"/>
        <v>29.135267550165899</v>
      </c>
      <c r="L154"/>
    </row>
    <row r="155" spans="2:12" ht="15.75">
      <c r="B155" s="622">
        <v>25993</v>
      </c>
      <c r="C155" s="1229">
        <v>30.899000000000001</v>
      </c>
      <c r="D155" s="1438">
        <f t="shared" si="25"/>
        <v>29.214688691629899</v>
      </c>
      <c r="L155"/>
    </row>
    <row r="156" spans="2:12" ht="15.75">
      <c r="B156" s="622">
        <v>26024</v>
      </c>
      <c r="C156" s="1229">
        <v>31.068000000000001</v>
      </c>
      <c r="D156" s="1438">
        <f t="shared" si="25"/>
        <v>29.374476464337299</v>
      </c>
      <c r="L156"/>
    </row>
    <row r="157" spans="2:12" ht="15.75">
      <c r="B157" s="622">
        <v>26054</v>
      </c>
      <c r="C157" s="1229">
        <v>31.068000000000001</v>
      </c>
      <c r="D157" s="1438">
        <f t="shared" si="25"/>
        <v>29.374476464337299</v>
      </c>
      <c r="L157"/>
    </row>
    <row r="158" spans="2:12" ht="15.75">
      <c r="B158" s="622">
        <v>26085</v>
      </c>
      <c r="C158" s="1229">
        <v>31.152000000000001</v>
      </c>
      <c r="D158" s="1438">
        <f t="shared" si="25"/>
        <v>29.453897605801298</v>
      </c>
      <c r="L158"/>
    </row>
    <row r="159" spans="2:12" ht="15.75">
      <c r="B159" s="622">
        <v>26115</v>
      </c>
      <c r="C159" s="1229">
        <v>31.32</v>
      </c>
      <c r="D159" s="1438">
        <f t="shared" si="25"/>
        <v>29.612739888729401</v>
      </c>
      <c r="L159"/>
    </row>
    <row r="160" spans="2:12" ht="15.75">
      <c r="B160" s="622">
        <v>26146</v>
      </c>
      <c r="C160" s="1229">
        <v>31.32</v>
      </c>
      <c r="D160" s="1438">
        <f t="shared" si="25"/>
        <v>29.612739888729401</v>
      </c>
      <c r="L160"/>
    </row>
    <row r="161" spans="2:12" ht="15.75">
      <c r="B161" s="622">
        <v>26177</v>
      </c>
      <c r="C161" s="1229">
        <v>31.489000000000001</v>
      </c>
      <c r="D161" s="1438">
        <f t="shared" si="25"/>
        <v>29.772527661436801</v>
      </c>
      <c r="L161"/>
    </row>
    <row r="162" spans="2:12" ht="15.75">
      <c r="B162" s="622">
        <v>26207</v>
      </c>
      <c r="C162" s="1229">
        <v>31.573</v>
      </c>
      <c r="D162" s="1438">
        <f t="shared" si="25"/>
        <v>29.8519488029008</v>
      </c>
      <c r="L162"/>
    </row>
    <row r="163" spans="2:12" ht="15.75">
      <c r="B163" s="622">
        <v>26238</v>
      </c>
      <c r="C163" s="1229">
        <v>31.741</v>
      </c>
      <c r="D163" s="1438">
        <f t="shared" si="25"/>
        <v>30.010791085828799</v>
      </c>
      <c r="L163"/>
    </row>
    <row r="164" spans="2:12" ht="15.75">
      <c r="B164" s="622">
        <v>26268</v>
      </c>
      <c r="C164" s="1229">
        <v>31.741</v>
      </c>
      <c r="D164" s="1438">
        <f t="shared" si="25"/>
        <v>30.010791085828799</v>
      </c>
      <c r="L164"/>
    </row>
    <row r="165" spans="2:12" ht="15.75">
      <c r="B165" s="622">
        <v>26299</v>
      </c>
      <c r="C165" s="1229">
        <v>32.161999999999999</v>
      </c>
      <c r="D165" s="1438">
        <f t="shared" si="25"/>
        <v>30.408842282928301</v>
      </c>
      <c r="L165"/>
    </row>
    <row r="166" spans="2:12" ht="15.75">
      <c r="B166" s="622">
        <v>26330</v>
      </c>
      <c r="C166" s="1229">
        <v>32.414999999999999</v>
      </c>
      <c r="D166" s="1438">
        <f t="shared" si="25"/>
        <v>30.648051197099701</v>
      </c>
      <c r="L166"/>
    </row>
    <row r="167" spans="2:12" ht="15.75">
      <c r="B167" s="622">
        <v>26359</v>
      </c>
      <c r="C167" s="1229">
        <v>32.414999999999999</v>
      </c>
      <c r="D167" s="1438">
        <f t="shared" si="25"/>
        <v>30.648051197099701</v>
      </c>
      <c r="L167"/>
    </row>
    <row r="168" spans="2:12" ht="15.75">
      <c r="B168" s="622">
        <v>26390</v>
      </c>
      <c r="C168" s="1229">
        <v>32.582999999999998</v>
      </c>
      <c r="D168" s="1438">
        <f t="shared" si="25"/>
        <v>30.806893480027799</v>
      </c>
      <c r="L168"/>
    </row>
    <row r="169" spans="2:12" ht="15.75">
      <c r="B169" s="622">
        <v>26420</v>
      </c>
      <c r="C169" s="1229">
        <v>32.582999999999998</v>
      </c>
      <c r="D169" s="1438">
        <f t="shared" si="25"/>
        <v>30.806893480027799</v>
      </c>
      <c r="L169"/>
    </row>
    <row r="170" spans="2:12" ht="15.75">
      <c r="B170" s="622">
        <v>26451</v>
      </c>
      <c r="C170" s="1229">
        <v>32.752000000000002</v>
      </c>
      <c r="D170" s="1438">
        <f t="shared" si="25"/>
        <v>30.966681252735199</v>
      </c>
      <c r="L170"/>
    </row>
    <row r="171" spans="2:12" ht="15.75">
      <c r="B171" s="622">
        <v>26481</v>
      </c>
      <c r="C171" s="1229">
        <v>33.003999999999998</v>
      </c>
      <c r="D171" s="1438">
        <f t="shared" si="25"/>
        <v>31.204944677127301</v>
      </c>
      <c r="L171"/>
    </row>
    <row r="172" spans="2:12" ht="15.75">
      <c r="B172" s="622">
        <v>26512</v>
      </c>
      <c r="C172" s="1229">
        <v>33.003999999999998</v>
      </c>
      <c r="D172" s="1438">
        <f t="shared" si="25"/>
        <v>31.204944677127301</v>
      </c>
      <c r="L172"/>
    </row>
    <row r="173" spans="2:12" ht="15.75">
      <c r="B173" s="622">
        <v>26543</v>
      </c>
      <c r="C173" s="1229">
        <v>33.424999999999997</v>
      </c>
      <c r="D173" s="1438">
        <f t="shared" si="25"/>
        <v>31.602995874226799</v>
      </c>
      <c r="L173"/>
    </row>
    <row r="174" spans="2:12" ht="15.75">
      <c r="B174" s="622">
        <v>26573</v>
      </c>
      <c r="C174" s="1229">
        <v>33.509</v>
      </c>
      <c r="D174" s="1438">
        <f t="shared" si="25"/>
        <v>31.682417015690799</v>
      </c>
      <c r="L174"/>
    </row>
    <row r="175" spans="2:12" ht="15.75">
      <c r="B175" s="622">
        <v>26604</v>
      </c>
      <c r="C175" s="1229">
        <v>33.677999999999997</v>
      </c>
      <c r="D175" s="1438">
        <f t="shared" si="25"/>
        <v>31.842204788398199</v>
      </c>
      <c r="L175"/>
    </row>
    <row r="176" spans="2:12" ht="15.75">
      <c r="B176" s="622">
        <v>26634</v>
      </c>
      <c r="C176" s="1229">
        <v>33.762</v>
      </c>
      <c r="D176" s="1438">
        <f t="shared" si="25"/>
        <v>31.921625929862198</v>
      </c>
      <c r="L176"/>
    </row>
    <row r="177" spans="2:12" ht="15.75">
      <c r="B177" s="622">
        <v>26665</v>
      </c>
      <c r="C177" s="1229">
        <v>34.183</v>
      </c>
      <c r="D177" s="1438">
        <f t="shared" si="25"/>
        <v>32.3196771269617</v>
      </c>
      <c r="L177"/>
    </row>
    <row r="178" spans="2:12" ht="15.75">
      <c r="B178" s="622">
        <v>26696</v>
      </c>
      <c r="C178" s="1229">
        <v>34.520000000000003</v>
      </c>
      <c r="D178" s="1438">
        <f t="shared" si="25"/>
        <v>32.638307182597103</v>
      </c>
      <c r="L178"/>
    </row>
    <row r="179" spans="2:12" ht="15.75">
      <c r="B179" s="622">
        <v>26724</v>
      </c>
      <c r="C179" s="1229">
        <v>34.603999999999999</v>
      </c>
      <c r="D179" s="1438">
        <f t="shared" si="25"/>
        <v>32.717728324061099</v>
      </c>
      <c r="L179"/>
    </row>
    <row r="180" spans="2:12" ht="15.75">
      <c r="B180" s="622">
        <v>26755</v>
      </c>
      <c r="C180" s="1229">
        <v>34.856000000000002</v>
      </c>
      <c r="D180" s="1438">
        <f t="shared" si="25"/>
        <v>32.955991748453201</v>
      </c>
      <c r="L180"/>
    </row>
    <row r="181" spans="2:12" ht="15.75">
      <c r="B181" s="622">
        <v>26785</v>
      </c>
      <c r="C181" s="1229">
        <v>35.024999999999999</v>
      </c>
      <c r="D181" s="1438">
        <f t="shared" si="25"/>
        <v>33.115779521160597</v>
      </c>
      <c r="L181"/>
    </row>
    <row r="182" spans="2:12" ht="15.75">
      <c r="B182" s="622">
        <v>26816</v>
      </c>
      <c r="C182" s="1229">
        <v>35.192999999999998</v>
      </c>
      <c r="D182" s="1438">
        <f t="shared" si="25"/>
        <v>33.274621804088703</v>
      </c>
      <c r="L182"/>
    </row>
    <row r="183" spans="2:12" ht="15.75">
      <c r="B183" s="622">
        <v>26846</v>
      </c>
      <c r="C183" s="1229">
        <v>35.362000000000002</v>
      </c>
      <c r="D183" s="1438">
        <f t="shared" si="25"/>
        <v>33.434409576796099</v>
      </c>
      <c r="L183"/>
    </row>
    <row r="184" spans="2:12" ht="15.75">
      <c r="B184" s="622">
        <v>26877</v>
      </c>
      <c r="C184" s="1229">
        <v>35.362000000000002</v>
      </c>
      <c r="D184" s="1438">
        <f t="shared" si="25"/>
        <v>33.434409576796099</v>
      </c>
      <c r="L184"/>
    </row>
    <row r="185" spans="2:12" ht="15.75">
      <c r="B185" s="622">
        <v>26908</v>
      </c>
      <c r="C185" s="1229">
        <v>35.445999999999998</v>
      </c>
      <c r="D185" s="1438">
        <f t="shared" si="25"/>
        <v>33.513830718260103</v>
      </c>
      <c r="L185"/>
    </row>
    <row r="186" spans="2:12" ht="15.75">
      <c r="B186" s="622">
        <v>26938</v>
      </c>
      <c r="C186" s="1229">
        <v>35.698</v>
      </c>
      <c r="D186" s="1438">
        <f t="shared" si="25"/>
        <v>33.752094142652197</v>
      </c>
      <c r="L186"/>
    </row>
    <row r="187" spans="2:12" ht="15.75">
      <c r="B187" s="622">
        <v>26969</v>
      </c>
      <c r="C187" s="1229">
        <v>36.204000000000001</v>
      </c>
      <c r="D187" s="1438">
        <f t="shared" si="25"/>
        <v>34.230511970995003</v>
      </c>
      <c r="L187"/>
    </row>
    <row r="188" spans="2:12" ht="15.75">
      <c r="B188" s="622">
        <v>26999</v>
      </c>
      <c r="C188" s="1229">
        <v>36.372</v>
      </c>
      <c r="D188" s="1438">
        <f t="shared" si="25"/>
        <v>34.389354253923003</v>
      </c>
      <c r="L188"/>
    </row>
    <row r="189" spans="2:12" ht="15.75">
      <c r="B189" s="622">
        <v>27030</v>
      </c>
      <c r="C189" s="1229">
        <v>36.709000000000003</v>
      </c>
      <c r="D189" s="1438">
        <f t="shared" si="25"/>
        <v>34.707984309558398</v>
      </c>
      <c r="L189"/>
    </row>
    <row r="190" spans="2:12" ht="15.75">
      <c r="B190" s="622">
        <v>27061</v>
      </c>
      <c r="C190" s="1229">
        <v>37.130000000000003</v>
      </c>
      <c r="D190" s="1438">
        <f t="shared" si="25"/>
        <v>35.106035506657904</v>
      </c>
      <c r="L190"/>
    </row>
    <row r="191" spans="2:12" ht="15.75">
      <c r="B191" s="622">
        <v>27089</v>
      </c>
      <c r="C191" s="1229">
        <v>37.130000000000003</v>
      </c>
      <c r="D191" s="1438">
        <f t="shared" si="25"/>
        <v>35.106035506657904</v>
      </c>
      <c r="L191"/>
    </row>
    <row r="192" spans="2:12" ht="15.75">
      <c r="B192" s="622">
        <v>27120</v>
      </c>
      <c r="C192" s="1229">
        <v>37.298000000000002</v>
      </c>
      <c r="D192" s="1438">
        <f t="shared" si="25"/>
        <v>35.264877789586002</v>
      </c>
      <c r="L192"/>
    </row>
    <row r="193" spans="2:12" ht="15.75">
      <c r="B193" s="622">
        <v>27150</v>
      </c>
      <c r="C193" s="1229">
        <v>37.551000000000002</v>
      </c>
      <c r="D193" s="1438">
        <f t="shared" si="25"/>
        <v>35.504086703757402</v>
      </c>
      <c r="L193"/>
    </row>
    <row r="194" spans="2:12" ht="15.75">
      <c r="B194" s="622">
        <v>27181</v>
      </c>
      <c r="C194" s="1229">
        <v>37.634999999999998</v>
      </c>
      <c r="D194" s="1438">
        <f t="shared" si="25"/>
        <v>35.583507845221398</v>
      </c>
      <c r="L194"/>
    </row>
    <row r="195" spans="2:12" ht="15.75">
      <c r="B195" s="622">
        <v>27211</v>
      </c>
      <c r="C195" s="1229">
        <v>37.802999999999997</v>
      </c>
      <c r="D195" s="1438">
        <f t="shared" ref="D195:D258" si="26">ROUND(+D196*C195/C196,19)</f>
        <v>35.742350128149504</v>
      </c>
      <c r="L195"/>
    </row>
    <row r="196" spans="2:12" ht="15.75">
      <c r="B196" s="622">
        <v>27242</v>
      </c>
      <c r="C196" s="1229">
        <v>37.887</v>
      </c>
      <c r="D196" s="1438">
        <f t="shared" si="26"/>
        <v>35.8217712696135</v>
      </c>
      <c r="L196"/>
    </row>
    <row r="197" spans="2:12" ht="15.75">
      <c r="B197" s="622">
        <v>27273</v>
      </c>
      <c r="C197" s="1229">
        <v>38.055999999999997</v>
      </c>
      <c r="D197" s="1438">
        <f t="shared" si="26"/>
        <v>35.981559042320903</v>
      </c>
      <c r="L197"/>
    </row>
    <row r="198" spans="2:12" ht="15.75">
      <c r="B198" s="622">
        <v>27303</v>
      </c>
      <c r="C198" s="1229">
        <v>38.223999999999997</v>
      </c>
      <c r="D198" s="1438">
        <f t="shared" si="26"/>
        <v>36.140401325248902</v>
      </c>
      <c r="L198"/>
    </row>
    <row r="199" spans="2:12" ht="15.75">
      <c r="B199" s="622">
        <v>27334</v>
      </c>
      <c r="C199" s="1229">
        <v>38.561</v>
      </c>
      <c r="D199" s="1438">
        <f t="shared" si="26"/>
        <v>36.459031380884298</v>
      </c>
      <c r="L199"/>
    </row>
    <row r="200" spans="2:12" ht="15.75">
      <c r="B200" s="622">
        <v>27364</v>
      </c>
      <c r="C200" s="1229">
        <v>38.561</v>
      </c>
      <c r="D200" s="1438">
        <f t="shared" si="26"/>
        <v>36.459031380884298</v>
      </c>
      <c r="L200"/>
    </row>
    <row r="201" spans="2:12" ht="15.75">
      <c r="B201" s="622">
        <v>27395</v>
      </c>
      <c r="C201" s="1229">
        <v>38.981999999999999</v>
      </c>
      <c r="D201" s="1438">
        <f t="shared" si="26"/>
        <v>36.857082577983803</v>
      </c>
      <c r="L201"/>
    </row>
    <row r="202" spans="2:12" ht="15.75">
      <c r="B202" s="622">
        <v>27426</v>
      </c>
      <c r="C202" s="1229">
        <v>39.234999999999999</v>
      </c>
      <c r="D202" s="1438">
        <f t="shared" si="26"/>
        <v>37.096291492155203</v>
      </c>
      <c r="L202"/>
    </row>
    <row r="203" spans="2:12" ht="15.75">
      <c r="B203" s="622">
        <v>27454</v>
      </c>
      <c r="C203" s="1229">
        <v>39.319000000000003</v>
      </c>
      <c r="D203" s="1438">
        <f t="shared" si="26"/>
        <v>37.175712633619199</v>
      </c>
      <c r="L203"/>
    </row>
    <row r="204" spans="2:12" ht="15.75">
      <c r="B204" s="622">
        <v>27485</v>
      </c>
      <c r="C204" s="1229">
        <v>39.570999999999998</v>
      </c>
      <c r="D204" s="1438">
        <f t="shared" si="26"/>
        <v>37.413976058011301</v>
      </c>
      <c r="L204"/>
    </row>
    <row r="205" spans="2:12" ht="15.75">
      <c r="B205" s="622">
        <v>27515</v>
      </c>
      <c r="C205" s="1229">
        <v>39.823999999999998</v>
      </c>
      <c r="D205" s="1438">
        <f t="shared" si="26"/>
        <v>37.6531849721827</v>
      </c>
      <c r="L205"/>
    </row>
    <row r="206" spans="2:12" ht="15.75">
      <c r="B206" s="622">
        <v>27546</v>
      </c>
      <c r="C206" s="1229">
        <v>40.076999999999998</v>
      </c>
      <c r="D206" s="1438">
        <f t="shared" si="26"/>
        <v>37.8923938863541</v>
      </c>
      <c r="L206"/>
    </row>
    <row r="207" spans="2:12" ht="15.75">
      <c r="B207" s="622">
        <v>27576</v>
      </c>
      <c r="C207" s="1229">
        <v>40.161000000000001</v>
      </c>
      <c r="D207" s="1438">
        <f t="shared" si="26"/>
        <v>37.971815027818103</v>
      </c>
      <c r="L207"/>
    </row>
    <row r="208" spans="2:12" ht="15.75">
      <c r="B208" s="622">
        <v>27607</v>
      </c>
      <c r="C208" s="1229">
        <v>40.076999999999998</v>
      </c>
      <c r="D208" s="1438">
        <f t="shared" si="26"/>
        <v>37.8923938863541</v>
      </c>
      <c r="L208"/>
    </row>
    <row r="209" spans="2:12" ht="15.75">
      <c r="B209" s="622">
        <v>27638</v>
      </c>
      <c r="C209" s="1229">
        <v>40.412999999999997</v>
      </c>
      <c r="D209" s="1438">
        <f t="shared" si="26"/>
        <v>38.210078452210197</v>
      </c>
      <c r="L209"/>
    </row>
    <row r="210" spans="2:12" ht="15.75">
      <c r="B210" s="622">
        <v>27668</v>
      </c>
      <c r="C210" s="1229">
        <v>40.412999999999997</v>
      </c>
      <c r="D210" s="1438">
        <f t="shared" si="26"/>
        <v>38.210078452210197</v>
      </c>
      <c r="L210"/>
    </row>
    <row r="211" spans="2:12" ht="15.75">
      <c r="B211" s="622">
        <v>27699</v>
      </c>
      <c r="C211" s="1229">
        <v>40.582000000000001</v>
      </c>
      <c r="D211" s="1438">
        <f t="shared" si="26"/>
        <v>38.369866224917601</v>
      </c>
      <c r="L211"/>
    </row>
    <row r="212" spans="2:12" ht="15.75">
      <c r="B212" s="622">
        <v>27729</v>
      </c>
      <c r="C212" s="1229">
        <v>40.582000000000001</v>
      </c>
      <c r="D212" s="1438">
        <f t="shared" si="26"/>
        <v>38.369866224917601</v>
      </c>
      <c r="L212"/>
    </row>
    <row r="213" spans="2:12" ht="15.75">
      <c r="B213" s="622">
        <v>27760</v>
      </c>
      <c r="C213" s="1229">
        <v>41.003</v>
      </c>
      <c r="D213" s="1438">
        <f t="shared" si="26"/>
        <v>38.767917422017099</v>
      </c>
      <c r="L213"/>
    </row>
    <row r="214" spans="2:12" ht="15.75">
      <c r="B214" s="622">
        <v>27791</v>
      </c>
      <c r="C214" s="1229">
        <v>41.338999999999999</v>
      </c>
      <c r="D214" s="1438">
        <f t="shared" si="26"/>
        <v>39.085601987873197</v>
      </c>
      <c r="L214"/>
    </row>
    <row r="215" spans="2:12" ht="15.75">
      <c r="B215" s="622">
        <v>27820</v>
      </c>
      <c r="C215" s="1229">
        <v>41.338999999999999</v>
      </c>
      <c r="D215" s="1438">
        <f t="shared" si="26"/>
        <v>39.085601987873197</v>
      </c>
      <c r="L215"/>
    </row>
    <row r="216" spans="2:12" ht="15.75">
      <c r="B216" s="622">
        <v>27851</v>
      </c>
      <c r="C216" s="1229">
        <v>41.508000000000003</v>
      </c>
      <c r="D216" s="1438">
        <f t="shared" si="26"/>
        <v>39.245389760580601</v>
      </c>
      <c r="L216"/>
    </row>
    <row r="217" spans="2:12" ht="15.75">
      <c r="B217" s="622">
        <v>27881</v>
      </c>
      <c r="C217" s="1229">
        <v>41.591999999999999</v>
      </c>
      <c r="D217" s="1438">
        <f t="shared" si="26"/>
        <v>39.324810902044597</v>
      </c>
      <c r="L217"/>
    </row>
    <row r="218" spans="2:12" ht="15.75">
      <c r="B218" s="622">
        <v>27912</v>
      </c>
      <c r="C218" s="1229">
        <v>41.676000000000002</v>
      </c>
      <c r="D218" s="1438">
        <f t="shared" si="26"/>
        <v>39.4042320435086</v>
      </c>
      <c r="L218"/>
    </row>
    <row r="219" spans="2:12" ht="15.75">
      <c r="B219" s="622">
        <v>27942</v>
      </c>
      <c r="C219" s="1229">
        <v>41.676000000000002</v>
      </c>
      <c r="D219" s="1438">
        <f t="shared" si="26"/>
        <v>39.4042320435086</v>
      </c>
      <c r="L219"/>
    </row>
    <row r="220" spans="2:12" ht="15.75">
      <c r="B220" s="622">
        <v>27973</v>
      </c>
      <c r="C220" s="1229">
        <v>41.76</v>
      </c>
      <c r="D220" s="1438">
        <f t="shared" si="26"/>
        <v>39.483653184972603</v>
      </c>
      <c r="L220"/>
    </row>
    <row r="221" spans="2:12" ht="15.75">
      <c r="B221" s="622">
        <v>28004</v>
      </c>
      <c r="C221" s="1229">
        <v>41.844999999999999</v>
      </c>
      <c r="D221" s="1438">
        <f t="shared" si="26"/>
        <v>39.564019816216003</v>
      </c>
      <c r="L221"/>
    </row>
    <row r="222" spans="2:12" ht="15.75">
      <c r="B222" s="622">
        <v>28034</v>
      </c>
      <c r="C222" s="1229">
        <v>41.929000000000002</v>
      </c>
      <c r="D222" s="1438">
        <f t="shared" si="26"/>
        <v>39.643440957679999</v>
      </c>
      <c r="L222"/>
    </row>
    <row r="223" spans="2:12" ht="15.75">
      <c r="B223" s="622">
        <v>28065</v>
      </c>
      <c r="C223" s="1229">
        <v>42.097000000000001</v>
      </c>
      <c r="D223" s="1438">
        <f t="shared" si="26"/>
        <v>39.802283240608098</v>
      </c>
      <c r="L223"/>
    </row>
    <row r="224" spans="2:12" ht="15.75">
      <c r="B224" s="622">
        <v>28095</v>
      </c>
      <c r="C224" s="1229">
        <v>42.097000000000001</v>
      </c>
      <c r="D224" s="1438">
        <f t="shared" si="26"/>
        <v>39.802283240608098</v>
      </c>
      <c r="L224"/>
    </row>
    <row r="225" spans="2:12" ht="15.75">
      <c r="B225" s="622">
        <v>28126</v>
      </c>
      <c r="C225" s="1229">
        <v>42.601999999999997</v>
      </c>
      <c r="D225" s="1438">
        <f t="shared" si="26"/>
        <v>40.279755579171599</v>
      </c>
      <c r="L225"/>
    </row>
    <row r="226" spans="2:12" ht="15.75">
      <c r="B226" s="622">
        <v>28157</v>
      </c>
      <c r="C226" s="1229">
        <v>42.854999999999997</v>
      </c>
      <c r="D226" s="1438">
        <f t="shared" si="26"/>
        <v>40.518964493342999</v>
      </c>
      <c r="L226"/>
    </row>
    <row r="227" spans="2:12" ht="15.75">
      <c r="B227" s="622">
        <v>28185</v>
      </c>
      <c r="C227" s="1229">
        <v>42.854999999999997</v>
      </c>
      <c r="D227" s="1438">
        <f t="shared" si="26"/>
        <v>40.518964493342999</v>
      </c>
      <c r="L227"/>
    </row>
    <row r="228" spans="2:12" ht="15.75">
      <c r="B228" s="622">
        <v>28216</v>
      </c>
      <c r="C228" s="1229">
        <v>43.023000000000003</v>
      </c>
      <c r="D228" s="1438">
        <f t="shared" si="26"/>
        <v>40.677806776271098</v>
      </c>
      <c r="L228"/>
    </row>
    <row r="229" spans="2:12" ht="15.75">
      <c r="B229" s="622">
        <v>28246</v>
      </c>
      <c r="C229" s="1229">
        <v>43.192</v>
      </c>
      <c r="D229" s="1438">
        <f t="shared" si="26"/>
        <v>40.837594548978501</v>
      </c>
      <c r="L229"/>
    </row>
    <row r="230" spans="2:12" ht="15.75">
      <c r="B230" s="622">
        <v>28277</v>
      </c>
      <c r="C230" s="1229">
        <v>43.276000000000003</v>
      </c>
      <c r="D230" s="1438">
        <f t="shared" si="26"/>
        <v>40.917015690442497</v>
      </c>
      <c r="L230"/>
    </row>
    <row r="231" spans="2:12" ht="15.75">
      <c r="B231" s="622">
        <v>28307</v>
      </c>
      <c r="C231" s="1229">
        <v>43.276000000000003</v>
      </c>
      <c r="D231" s="1438">
        <f t="shared" si="26"/>
        <v>40.917015690442497</v>
      </c>
      <c r="L231"/>
    </row>
    <row r="232" spans="2:12" ht="15.75">
      <c r="B232" s="622">
        <v>28338</v>
      </c>
      <c r="C232" s="1229">
        <v>43.36</v>
      </c>
      <c r="D232" s="1438">
        <f t="shared" si="26"/>
        <v>40.9964368319065</v>
      </c>
      <c r="L232"/>
    </row>
    <row r="233" spans="2:12" ht="15.75">
      <c r="B233" s="622">
        <v>28369</v>
      </c>
      <c r="C233" s="1229">
        <v>43.444000000000003</v>
      </c>
      <c r="D233" s="1438">
        <f t="shared" si="26"/>
        <v>41.075857973370503</v>
      </c>
      <c r="L233"/>
    </row>
    <row r="234" spans="2:12" ht="15.75">
      <c r="B234" s="622">
        <v>28399</v>
      </c>
      <c r="C234" s="1229">
        <v>43.444000000000003</v>
      </c>
      <c r="D234" s="1438">
        <f t="shared" si="26"/>
        <v>41.075857973370503</v>
      </c>
      <c r="L234"/>
    </row>
    <row r="235" spans="2:12" ht="15.75">
      <c r="B235" s="622">
        <v>28430</v>
      </c>
      <c r="C235" s="1229">
        <v>43.613</v>
      </c>
      <c r="D235" s="1438">
        <f t="shared" si="26"/>
        <v>41.2356457460779</v>
      </c>
      <c r="L235"/>
    </row>
    <row r="236" spans="2:12" ht="15.75">
      <c r="B236" s="622">
        <v>28460</v>
      </c>
      <c r="C236" s="1229">
        <v>43.613</v>
      </c>
      <c r="D236" s="1438">
        <f t="shared" si="26"/>
        <v>41.2356457460779</v>
      </c>
      <c r="L236"/>
    </row>
    <row r="237" spans="2:12" ht="15.75">
      <c r="B237" s="622">
        <v>28491</v>
      </c>
      <c r="C237" s="1229">
        <v>43.865000000000002</v>
      </c>
      <c r="D237" s="1438">
        <f t="shared" si="26"/>
        <v>41.473909170470002</v>
      </c>
      <c r="L237"/>
    </row>
    <row r="238" spans="2:12" ht="15.75">
      <c r="B238" s="622">
        <v>28522</v>
      </c>
      <c r="C238" s="1229">
        <v>44.118000000000002</v>
      </c>
      <c r="D238" s="1438">
        <f t="shared" si="26"/>
        <v>41.713118084641401</v>
      </c>
      <c r="L238"/>
    </row>
    <row r="239" spans="2:12" ht="15.75">
      <c r="B239" s="622">
        <v>28550</v>
      </c>
      <c r="C239" s="1229">
        <v>44.118000000000002</v>
      </c>
      <c r="D239" s="1438">
        <f t="shared" si="26"/>
        <v>41.713118084641401</v>
      </c>
      <c r="L239"/>
    </row>
    <row r="240" spans="2:12" ht="15.75">
      <c r="B240" s="622">
        <v>28581</v>
      </c>
      <c r="C240" s="1229">
        <v>44.286000000000001</v>
      </c>
      <c r="D240" s="1438">
        <f t="shared" si="26"/>
        <v>41.8719603675694</v>
      </c>
      <c r="L240"/>
    </row>
    <row r="241" spans="2:12" ht="15.75">
      <c r="B241" s="622">
        <v>28611</v>
      </c>
      <c r="C241" s="1229">
        <v>44.37</v>
      </c>
      <c r="D241" s="1438">
        <f t="shared" si="26"/>
        <v>41.951381509033403</v>
      </c>
      <c r="L241"/>
    </row>
    <row r="242" spans="2:12" ht="15.75">
      <c r="B242" s="622">
        <v>28642</v>
      </c>
      <c r="C242" s="1229">
        <v>44.454999999999998</v>
      </c>
      <c r="D242" s="1438">
        <f t="shared" si="26"/>
        <v>42.031748140276797</v>
      </c>
      <c r="L242"/>
    </row>
    <row r="243" spans="2:12" ht="15.75">
      <c r="B243" s="622">
        <v>28672</v>
      </c>
      <c r="C243" s="1229">
        <v>44.454999999999998</v>
      </c>
      <c r="D243" s="1438">
        <f t="shared" si="26"/>
        <v>42.031748140276797</v>
      </c>
      <c r="L243"/>
    </row>
    <row r="244" spans="2:12" ht="15.75">
      <c r="B244" s="622">
        <v>28703</v>
      </c>
      <c r="C244" s="1229">
        <v>44.37</v>
      </c>
      <c r="D244" s="1438">
        <f t="shared" si="26"/>
        <v>41.951381509033403</v>
      </c>
      <c r="L244"/>
    </row>
    <row r="245" spans="2:12" ht="15.75">
      <c r="B245" s="622">
        <v>28734</v>
      </c>
      <c r="C245" s="1229">
        <v>44.454999999999998</v>
      </c>
      <c r="D245" s="1438">
        <f t="shared" si="26"/>
        <v>42.031748140276797</v>
      </c>
      <c r="L245"/>
    </row>
    <row r="246" spans="2:12" ht="15.75">
      <c r="B246" s="622">
        <v>28764</v>
      </c>
      <c r="C246" s="1229">
        <v>44.454999999999998</v>
      </c>
      <c r="D246" s="1438">
        <f t="shared" si="26"/>
        <v>42.031748140276797</v>
      </c>
      <c r="L246"/>
    </row>
    <row r="247" spans="2:12" ht="15.75">
      <c r="B247" s="622">
        <v>28795</v>
      </c>
      <c r="C247" s="1229">
        <v>44.622999999999998</v>
      </c>
      <c r="D247" s="1438">
        <f t="shared" si="26"/>
        <v>42.190590423204803</v>
      </c>
      <c r="L247"/>
    </row>
    <row r="248" spans="2:12" ht="15.75">
      <c r="B248" s="622">
        <v>28825</v>
      </c>
      <c r="C248" s="1229">
        <v>44.707000000000001</v>
      </c>
      <c r="D248" s="1438">
        <f t="shared" si="26"/>
        <v>42.270011564668799</v>
      </c>
      <c r="L248"/>
    </row>
    <row r="249" spans="2:12" ht="15.75">
      <c r="B249" s="622">
        <v>28856</v>
      </c>
      <c r="C249" s="1229">
        <v>45.128</v>
      </c>
      <c r="D249" s="1438">
        <f t="shared" si="26"/>
        <v>42.668062761768297</v>
      </c>
      <c r="L249"/>
    </row>
    <row r="250" spans="2:12" ht="15.75">
      <c r="B250" s="622">
        <v>28887</v>
      </c>
      <c r="C250" s="1229">
        <v>45.381</v>
      </c>
      <c r="D250" s="1438">
        <f t="shared" si="26"/>
        <v>42.907271675939697</v>
      </c>
      <c r="L250"/>
    </row>
    <row r="251" spans="2:12" ht="15.75">
      <c r="B251" s="622">
        <v>28915</v>
      </c>
      <c r="C251" s="1229">
        <v>45.465000000000003</v>
      </c>
      <c r="D251" s="1438">
        <f t="shared" si="26"/>
        <v>42.9866928174037</v>
      </c>
      <c r="L251"/>
    </row>
    <row r="252" spans="2:12" ht="15.75">
      <c r="B252" s="622">
        <v>28946</v>
      </c>
      <c r="C252" s="1229">
        <v>45.718000000000004</v>
      </c>
      <c r="D252" s="1438">
        <f t="shared" si="26"/>
        <v>43.2259017315751</v>
      </c>
      <c r="L252"/>
    </row>
    <row r="253" spans="2:12" ht="15.75">
      <c r="B253" s="622">
        <v>28976</v>
      </c>
      <c r="C253" s="1229">
        <v>45.886000000000003</v>
      </c>
      <c r="D253" s="1438">
        <f t="shared" si="26"/>
        <v>43.384744014503198</v>
      </c>
      <c r="L253"/>
    </row>
    <row r="254" spans="2:12" ht="15.75">
      <c r="B254" s="622">
        <v>29007</v>
      </c>
      <c r="C254" s="1229">
        <v>46.054000000000002</v>
      </c>
      <c r="D254" s="1438">
        <f t="shared" si="26"/>
        <v>43.543586297431297</v>
      </c>
      <c r="L254"/>
    </row>
    <row r="255" spans="2:12" ht="15.75">
      <c r="B255" s="622">
        <v>29037</v>
      </c>
      <c r="C255" s="1229">
        <v>46.475000000000001</v>
      </c>
      <c r="D255" s="1438">
        <f t="shared" si="26"/>
        <v>43.941637494530802</v>
      </c>
      <c r="L255"/>
    </row>
    <row r="256" spans="2:12" ht="15.75">
      <c r="B256" s="622">
        <v>29068</v>
      </c>
      <c r="C256" s="1229">
        <v>46.475000000000001</v>
      </c>
      <c r="D256" s="1438">
        <f t="shared" si="26"/>
        <v>43.941637494530802</v>
      </c>
      <c r="L256"/>
    </row>
    <row r="257" spans="2:12" ht="15.75">
      <c r="B257" s="622">
        <v>29099</v>
      </c>
      <c r="C257" s="1229">
        <v>46.643999999999998</v>
      </c>
      <c r="D257" s="1438">
        <f t="shared" si="26"/>
        <v>44.101425267238199</v>
      </c>
      <c r="L257"/>
    </row>
    <row r="258" spans="2:12" ht="15.75">
      <c r="B258" s="622">
        <v>29129</v>
      </c>
      <c r="C258" s="1229">
        <v>46.811999999999998</v>
      </c>
      <c r="D258" s="1438">
        <f t="shared" si="26"/>
        <v>44.260267550166297</v>
      </c>
      <c r="L258"/>
    </row>
    <row r="259" spans="2:12" ht="15.75">
      <c r="B259" s="622">
        <v>29160</v>
      </c>
      <c r="C259" s="1229">
        <v>46.98</v>
      </c>
      <c r="D259" s="1438">
        <f t="shared" ref="D259:D322" si="27">ROUND(+D260*C259/C260,19)</f>
        <v>44.419109833094303</v>
      </c>
      <c r="L259"/>
    </row>
    <row r="260" spans="2:12" ht="15.75">
      <c r="B260" s="622">
        <v>29190</v>
      </c>
      <c r="C260" s="1229">
        <v>47.064999999999998</v>
      </c>
      <c r="D260" s="1438">
        <f t="shared" si="27"/>
        <v>44.499476464337697</v>
      </c>
      <c r="L260"/>
    </row>
    <row r="261" spans="2:12" ht="15.75">
      <c r="B261" s="622">
        <v>29221</v>
      </c>
      <c r="C261" s="1229">
        <v>47.317</v>
      </c>
      <c r="D261" s="1438">
        <f t="shared" si="27"/>
        <v>44.737739888729799</v>
      </c>
      <c r="L261"/>
    </row>
    <row r="262" spans="2:12" ht="15.75">
      <c r="B262" s="622">
        <v>29252</v>
      </c>
      <c r="C262" s="1229">
        <v>47.991</v>
      </c>
      <c r="D262" s="1438">
        <f t="shared" si="27"/>
        <v>45.375000000000703</v>
      </c>
      <c r="L262"/>
    </row>
    <row r="263" spans="2:12" ht="15.75">
      <c r="B263" s="622">
        <v>29281</v>
      </c>
      <c r="C263" s="1229">
        <v>48.158999999999999</v>
      </c>
      <c r="D263" s="1438">
        <f t="shared" si="27"/>
        <v>45.533842282928703</v>
      </c>
      <c r="L263"/>
    </row>
    <row r="264" spans="2:12" ht="15.75">
      <c r="B264" s="622">
        <v>29312</v>
      </c>
      <c r="C264" s="1229">
        <v>48.328000000000003</v>
      </c>
      <c r="D264" s="1438">
        <f t="shared" si="27"/>
        <v>45.693630055636099</v>
      </c>
      <c r="L264"/>
    </row>
    <row r="265" spans="2:12" ht="15.75">
      <c r="B265" s="622">
        <v>29342</v>
      </c>
      <c r="C265" s="1229">
        <v>48.58</v>
      </c>
      <c r="D265" s="1438">
        <f t="shared" si="27"/>
        <v>45.931893480028201</v>
      </c>
      <c r="L265"/>
    </row>
    <row r="266" spans="2:12" ht="15.75">
      <c r="B266" s="622">
        <v>29373</v>
      </c>
      <c r="C266" s="1229">
        <v>48.664000000000001</v>
      </c>
      <c r="D266" s="1438">
        <f t="shared" si="27"/>
        <v>46.011314621492197</v>
      </c>
      <c r="L266"/>
    </row>
    <row r="267" spans="2:12" ht="15.75">
      <c r="B267" s="622">
        <v>29403</v>
      </c>
      <c r="C267" s="1229">
        <v>48.832999999999998</v>
      </c>
      <c r="D267" s="1438">
        <f t="shared" si="27"/>
        <v>46.1711023941996</v>
      </c>
      <c r="L267"/>
    </row>
    <row r="268" spans="2:12" ht="15.75">
      <c r="B268" s="622">
        <v>29434</v>
      </c>
      <c r="C268" s="1229">
        <v>48.917000000000002</v>
      </c>
      <c r="D268" s="1438">
        <f t="shared" si="27"/>
        <v>46.250523535663604</v>
      </c>
      <c r="L268"/>
    </row>
    <row r="269" spans="2:12" ht="15.75">
      <c r="B269" s="622">
        <v>29465</v>
      </c>
      <c r="C269" s="1229">
        <v>49.000999999999998</v>
      </c>
      <c r="D269" s="1438">
        <f t="shared" si="27"/>
        <v>46.3299446771276</v>
      </c>
      <c r="L269"/>
    </row>
    <row r="270" spans="2:12" ht="15.75">
      <c r="B270" s="622">
        <v>29495</v>
      </c>
      <c r="C270" s="1229">
        <v>49.085000000000001</v>
      </c>
      <c r="D270" s="1438">
        <f t="shared" si="27"/>
        <v>46.409365818591603</v>
      </c>
      <c r="L270"/>
    </row>
    <row r="271" spans="2:12" ht="15.75">
      <c r="B271" s="622">
        <v>29526</v>
      </c>
      <c r="C271" s="1229">
        <v>49.421999999999997</v>
      </c>
      <c r="D271" s="1438">
        <f t="shared" si="27"/>
        <v>46.727995874226998</v>
      </c>
      <c r="L271"/>
    </row>
    <row r="272" spans="2:12" ht="15.75">
      <c r="B272" s="622">
        <v>29556</v>
      </c>
      <c r="C272" s="1229">
        <v>49.674999999999997</v>
      </c>
      <c r="D272" s="1438">
        <f t="shared" si="27"/>
        <v>46.967204788398398</v>
      </c>
      <c r="L272"/>
    </row>
    <row r="273" spans="2:12" ht="15.75">
      <c r="B273" s="622">
        <v>29587</v>
      </c>
      <c r="C273" s="1229">
        <v>50.18</v>
      </c>
      <c r="D273" s="1438">
        <f t="shared" si="27"/>
        <v>47.444677126961899</v>
      </c>
      <c r="L273"/>
    </row>
    <row r="274" spans="2:12" ht="15.75">
      <c r="B274" s="622">
        <v>29618</v>
      </c>
      <c r="C274" s="1229">
        <v>50.600999999999999</v>
      </c>
      <c r="D274" s="1438">
        <f t="shared" si="27"/>
        <v>47.842728324061397</v>
      </c>
      <c r="L274"/>
    </row>
    <row r="275" spans="2:12" ht="15.75">
      <c r="B275" s="622">
        <v>29646</v>
      </c>
      <c r="C275" s="1229">
        <v>50.938000000000002</v>
      </c>
      <c r="D275" s="1438">
        <f t="shared" si="27"/>
        <v>48.1613583796968</v>
      </c>
      <c r="L275"/>
    </row>
    <row r="276" spans="2:12" ht="15.75">
      <c r="B276" s="622">
        <v>29677</v>
      </c>
      <c r="C276" s="1229">
        <v>51.19</v>
      </c>
      <c r="D276" s="1438">
        <f t="shared" si="27"/>
        <v>48.399621804088902</v>
      </c>
      <c r="L276"/>
    </row>
    <row r="277" spans="2:12" ht="15.75">
      <c r="B277" s="622">
        <v>29707</v>
      </c>
      <c r="C277" s="1229">
        <v>51.442999999999998</v>
      </c>
      <c r="D277" s="1438">
        <f t="shared" si="27"/>
        <v>48.638830718260301</v>
      </c>
      <c r="L277"/>
    </row>
    <row r="278" spans="2:12" ht="15.75">
      <c r="B278" s="622">
        <v>29738</v>
      </c>
      <c r="C278" s="1229">
        <v>51.527000000000001</v>
      </c>
      <c r="D278" s="1438">
        <f t="shared" si="27"/>
        <v>48.718251859724298</v>
      </c>
      <c r="L278"/>
    </row>
    <row r="279" spans="2:12" ht="15.75">
      <c r="B279" s="622">
        <v>29768</v>
      </c>
      <c r="C279" s="1229">
        <v>52.031999999999996</v>
      </c>
      <c r="D279" s="1438">
        <f t="shared" si="27"/>
        <v>49.195724198287799</v>
      </c>
      <c r="L279"/>
    </row>
    <row r="280" spans="2:12" ht="15.75">
      <c r="B280" s="622">
        <v>29799</v>
      </c>
      <c r="C280" s="1229">
        <v>52.116</v>
      </c>
      <c r="D280" s="1438">
        <f t="shared" si="27"/>
        <v>49.275145339751802</v>
      </c>
      <c r="L280"/>
    </row>
    <row r="281" spans="2:12" ht="15.75">
      <c r="B281" s="622">
        <v>29830</v>
      </c>
      <c r="C281" s="1229">
        <v>52.453000000000003</v>
      </c>
      <c r="D281" s="1438">
        <f t="shared" si="27"/>
        <v>49.593775395387198</v>
      </c>
      <c r="L281"/>
    </row>
    <row r="282" spans="2:12" ht="15.75">
      <c r="B282" s="622">
        <v>29860</v>
      </c>
      <c r="C282" s="1229">
        <v>52.706000000000003</v>
      </c>
      <c r="D282" s="1438">
        <f t="shared" si="27"/>
        <v>49.832984309558597</v>
      </c>
      <c r="L282"/>
    </row>
    <row r="283" spans="2:12" ht="15.75">
      <c r="B283" s="622">
        <v>29891</v>
      </c>
      <c r="C283" s="1229">
        <v>52.957999999999998</v>
      </c>
      <c r="D283" s="1438">
        <f t="shared" si="27"/>
        <v>50.071247733950699</v>
      </c>
      <c r="L283"/>
    </row>
    <row r="284" spans="2:12" ht="15.75">
      <c r="B284" s="622">
        <v>29921</v>
      </c>
      <c r="C284" s="1229">
        <v>53.042000000000002</v>
      </c>
      <c r="D284" s="1438">
        <f t="shared" si="27"/>
        <v>50.150668875414702</v>
      </c>
      <c r="L284"/>
    </row>
    <row r="285" spans="2:12" ht="15.75">
      <c r="B285" s="622">
        <v>29952</v>
      </c>
      <c r="C285" s="1229">
        <v>53.463000000000001</v>
      </c>
      <c r="D285" s="1438">
        <f t="shared" si="27"/>
        <v>50.5487200725142</v>
      </c>
      <c r="L285"/>
    </row>
    <row r="286" spans="2:12" ht="15.75">
      <c r="B286" s="622">
        <v>29983</v>
      </c>
      <c r="C286" s="1229">
        <v>53.716000000000001</v>
      </c>
      <c r="D286" s="1438">
        <f t="shared" si="27"/>
        <v>50.7879289866856</v>
      </c>
      <c r="L286"/>
    </row>
    <row r="287" spans="2:12" ht="15.75">
      <c r="B287" s="622">
        <v>30011</v>
      </c>
      <c r="C287" s="1229">
        <v>53.631999999999998</v>
      </c>
      <c r="D287" s="1438">
        <f t="shared" si="27"/>
        <v>50.708507845221597</v>
      </c>
      <c r="L287"/>
    </row>
    <row r="288" spans="2:12" ht="15.75">
      <c r="B288" s="622">
        <v>30042</v>
      </c>
      <c r="C288" s="1229">
        <v>53.631999999999998</v>
      </c>
      <c r="D288" s="1438">
        <f t="shared" si="27"/>
        <v>50.708507845221597</v>
      </c>
      <c r="L288"/>
    </row>
    <row r="289" spans="2:12" ht="15.75">
      <c r="B289" s="622">
        <v>30072</v>
      </c>
      <c r="C289" s="1229">
        <v>54.052999999999997</v>
      </c>
      <c r="D289" s="1438">
        <f t="shared" si="27"/>
        <v>51.106559042321102</v>
      </c>
      <c r="L289"/>
    </row>
    <row r="290" spans="2:12" ht="15.75">
      <c r="B290" s="622">
        <v>30103</v>
      </c>
      <c r="C290" s="1229">
        <v>54.558</v>
      </c>
      <c r="D290" s="1438">
        <f t="shared" si="27"/>
        <v>51.584031380884603</v>
      </c>
      <c r="L290"/>
    </row>
    <row r="291" spans="2:12" ht="15.75">
      <c r="B291" s="622">
        <v>30133</v>
      </c>
      <c r="C291" s="1229">
        <v>54.811</v>
      </c>
      <c r="D291" s="1438">
        <f t="shared" si="27"/>
        <v>51.823240295056003</v>
      </c>
      <c r="L291"/>
    </row>
    <row r="292" spans="2:12" ht="15.75">
      <c r="B292" s="622">
        <v>30164</v>
      </c>
      <c r="C292" s="1229">
        <v>54.725999999999999</v>
      </c>
      <c r="D292" s="1438">
        <f t="shared" si="27"/>
        <v>51.742873663812603</v>
      </c>
      <c r="L292"/>
    </row>
    <row r="293" spans="2:12" ht="15.75">
      <c r="B293" s="622">
        <v>30195</v>
      </c>
      <c r="C293" s="1229">
        <v>54.978999999999999</v>
      </c>
      <c r="D293" s="1438">
        <f t="shared" si="27"/>
        <v>51.982082577984002</v>
      </c>
      <c r="L293"/>
    </row>
    <row r="294" spans="2:12" ht="15.75">
      <c r="B294" s="622">
        <v>30225</v>
      </c>
      <c r="C294" s="1229">
        <v>55.231000000000002</v>
      </c>
      <c r="D294" s="1438">
        <f t="shared" si="27"/>
        <v>52.220346002376097</v>
      </c>
      <c r="L294"/>
    </row>
    <row r="295" spans="2:12" ht="15.75">
      <c r="B295" s="622">
        <v>30256</v>
      </c>
      <c r="C295" s="1229">
        <v>55.4</v>
      </c>
      <c r="D295" s="1438">
        <f t="shared" si="27"/>
        <v>52.3801337750835</v>
      </c>
      <c r="L295"/>
    </row>
    <row r="296" spans="2:12" ht="15.75">
      <c r="B296" s="622">
        <v>30286</v>
      </c>
      <c r="C296" s="1229">
        <v>55.484000000000002</v>
      </c>
      <c r="D296" s="1438">
        <f t="shared" si="27"/>
        <v>52.459554916547503</v>
      </c>
      <c r="L296"/>
    </row>
    <row r="297" spans="2:12" ht="15.75">
      <c r="B297" s="622">
        <v>30317</v>
      </c>
      <c r="C297" s="1229">
        <v>55.737000000000002</v>
      </c>
      <c r="D297" s="1438">
        <f t="shared" si="27"/>
        <v>52.698763830718903</v>
      </c>
      <c r="L297"/>
    </row>
    <row r="298" spans="2:12" ht="15.75">
      <c r="B298" s="622">
        <v>30348</v>
      </c>
      <c r="C298" s="1229">
        <v>55.820999999999998</v>
      </c>
      <c r="D298" s="1438">
        <f t="shared" si="27"/>
        <v>52.778184972182899</v>
      </c>
      <c r="L298"/>
    </row>
    <row r="299" spans="2:12" ht="15.75">
      <c r="B299" s="622">
        <v>30376</v>
      </c>
      <c r="C299" s="1229">
        <v>55.737000000000002</v>
      </c>
      <c r="D299" s="1438">
        <f t="shared" si="27"/>
        <v>52.698763830718903</v>
      </c>
      <c r="L299"/>
    </row>
    <row r="300" spans="2:12" ht="15.75">
      <c r="B300" s="622">
        <v>30407</v>
      </c>
      <c r="C300" s="1229">
        <v>55.737000000000002</v>
      </c>
      <c r="D300" s="1438">
        <f t="shared" si="27"/>
        <v>52.698763830718903</v>
      </c>
      <c r="L300"/>
    </row>
    <row r="301" spans="2:12" ht="15.75">
      <c r="B301" s="622">
        <v>30437</v>
      </c>
      <c r="C301" s="1229">
        <v>55.905000000000001</v>
      </c>
      <c r="D301" s="1438">
        <f t="shared" si="27"/>
        <v>52.857606113646902</v>
      </c>
      <c r="L301"/>
    </row>
    <row r="302" spans="2:12" ht="15.75">
      <c r="B302" s="622">
        <v>30468</v>
      </c>
      <c r="C302" s="1229">
        <v>56.073</v>
      </c>
      <c r="D302" s="1438">
        <f t="shared" si="27"/>
        <v>53.016448396574901</v>
      </c>
      <c r="L302"/>
    </row>
    <row r="303" spans="2:12" ht="15.75">
      <c r="B303" s="622">
        <v>30498</v>
      </c>
      <c r="C303" s="1229">
        <v>56.326000000000001</v>
      </c>
      <c r="D303" s="1438">
        <f t="shared" si="27"/>
        <v>53.255657310746301</v>
      </c>
      <c r="L303"/>
    </row>
    <row r="304" spans="2:12" ht="15.75">
      <c r="B304" s="622">
        <v>30529</v>
      </c>
      <c r="C304" s="1229">
        <v>56.579000000000001</v>
      </c>
      <c r="D304" s="1438">
        <f t="shared" si="27"/>
        <v>53.4948662249177</v>
      </c>
      <c r="L304"/>
    </row>
    <row r="305" spans="2:12" ht="15.75">
      <c r="B305" s="622">
        <v>30560</v>
      </c>
      <c r="C305" s="1229">
        <v>56.747</v>
      </c>
      <c r="D305" s="1438">
        <f t="shared" si="27"/>
        <v>53.6537085078457</v>
      </c>
      <c r="L305"/>
    </row>
    <row r="306" spans="2:12" ht="15.75">
      <c r="B306" s="622">
        <v>30590</v>
      </c>
      <c r="C306" s="1229">
        <v>56.747</v>
      </c>
      <c r="D306" s="1438">
        <f t="shared" si="27"/>
        <v>53.6537085078457</v>
      </c>
      <c r="L306"/>
    </row>
    <row r="307" spans="2:12" ht="15.75">
      <c r="B307" s="622">
        <v>30621</v>
      </c>
      <c r="C307" s="1229">
        <v>56.831000000000003</v>
      </c>
      <c r="D307" s="1438">
        <f t="shared" si="27"/>
        <v>53.733129649309703</v>
      </c>
      <c r="L307"/>
    </row>
    <row r="308" spans="2:12" ht="15.75">
      <c r="B308" s="622">
        <v>30651</v>
      </c>
      <c r="C308" s="1229">
        <v>56.914999999999999</v>
      </c>
      <c r="D308" s="1438">
        <f t="shared" si="27"/>
        <v>53.812550790773699</v>
      </c>
      <c r="L308"/>
    </row>
    <row r="309" spans="2:12" ht="15.75">
      <c r="B309" s="622">
        <v>30682</v>
      </c>
      <c r="C309" s="1229">
        <v>57.167999999999999</v>
      </c>
      <c r="D309" s="1438">
        <f t="shared" si="27"/>
        <v>54.051759704945098</v>
      </c>
      <c r="L309"/>
    </row>
    <row r="310" spans="2:12" ht="15.75">
      <c r="B310" s="622">
        <v>30713</v>
      </c>
      <c r="C310" s="1229">
        <v>57.505000000000003</v>
      </c>
      <c r="D310" s="1438">
        <f t="shared" si="27"/>
        <v>54.370389760580501</v>
      </c>
      <c r="L310"/>
    </row>
    <row r="311" spans="2:12" ht="15.75">
      <c r="B311" s="622">
        <v>30742</v>
      </c>
      <c r="C311" s="1229">
        <v>57.420999999999999</v>
      </c>
      <c r="D311" s="1438">
        <f t="shared" si="27"/>
        <v>54.290968619116498</v>
      </c>
      <c r="L311"/>
    </row>
    <row r="312" spans="2:12" ht="15.75">
      <c r="B312" s="622">
        <v>30773</v>
      </c>
      <c r="C312" s="1229">
        <v>57.420999999999999</v>
      </c>
      <c r="D312" s="1438">
        <f t="shared" si="27"/>
        <v>54.290968619116498</v>
      </c>
      <c r="L312"/>
    </row>
    <row r="313" spans="2:12" ht="15.75">
      <c r="B313" s="622">
        <v>30803</v>
      </c>
      <c r="C313" s="1229">
        <v>57.505000000000003</v>
      </c>
      <c r="D313" s="1438">
        <f t="shared" si="27"/>
        <v>54.370389760580501</v>
      </c>
      <c r="L313"/>
    </row>
    <row r="314" spans="2:12" ht="15.75">
      <c r="B314" s="622">
        <v>30834</v>
      </c>
      <c r="C314" s="1229">
        <v>57.588999999999999</v>
      </c>
      <c r="D314" s="1438">
        <f t="shared" si="27"/>
        <v>54.449810902044497</v>
      </c>
      <c r="L314"/>
    </row>
    <row r="315" spans="2:12" ht="15.75">
      <c r="B315" s="622">
        <v>30864</v>
      </c>
      <c r="C315" s="1229">
        <v>57.588999999999999</v>
      </c>
      <c r="D315" s="1438">
        <f t="shared" si="27"/>
        <v>54.449810902044497</v>
      </c>
      <c r="L315"/>
    </row>
    <row r="316" spans="2:12" ht="15.75">
      <c r="B316" s="622">
        <v>30895</v>
      </c>
      <c r="C316" s="1229">
        <v>57.505000000000003</v>
      </c>
      <c r="D316" s="1438">
        <f t="shared" si="27"/>
        <v>54.370389760580501</v>
      </c>
      <c r="L316"/>
    </row>
    <row r="317" spans="2:12" ht="15.75">
      <c r="B317" s="622">
        <v>30926</v>
      </c>
      <c r="C317" s="1229">
        <v>57.588999999999999</v>
      </c>
      <c r="D317" s="1438">
        <f t="shared" si="27"/>
        <v>54.449810902044497</v>
      </c>
      <c r="L317"/>
    </row>
    <row r="318" spans="2:12" ht="15.75">
      <c r="B318" s="622">
        <v>30956</v>
      </c>
      <c r="C318" s="1229">
        <v>57.926000000000002</v>
      </c>
      <c r="D318" s="1438">
        <f t="shared" si="27"/>
        <v>54.7684409576799</v>
      </c>
      <c r="L318"/>
    </row>
    <row r="319" spans="2:12" ht="15.75">
      <c r="B319" s="622">
        <v>30987</v>
      </c>
      <c r="C319" s="1229">
        <v>58.094000000000001</v>
      </c>
      <c r="D319" s="1438">
        <f t="shared" si="27"/>
        <v>54.927283240607998</v>
      </c>
      <c r="L319"/>
    </row>
    <row r="320" spans="2:12" ht="15.75">
      <c r="B320" s="622">
        <v>31017</v>
      </c>
      <c r="C320" s="1229">
        <v>58.094000000000001</v>
      </c>
      <c r="D320" s="1438">
        <f t="shared" si="27"/>
        <v>54.927283240607998</v>
      </c>
      <c r="L320"/>
    </row>
    <row r="321" spans="2:12" ht="15.75">
      <c r="B321" s="622">
        <v>31048</v>
      </c>
      <c r="C321" s="1229">
        <v>58.430999999999997</v>
      </c>
      <c r="D321" s="1438">
        <f t="shared" si="27"/>
        <v>55.245913296243401</v>
      </c>
      <c r="L321"/>
    </row>
    <row r="322" spans="2:12" ht="15.75">
      <c r="B322" s="622">
        <v>31079</v>
      </c>
      <c r="C322" s="1229">
        <v>58.768000000000001</v>
      </c>
      <c r="D322" s="1438">
        <f t="shared" si="27"/>
        <v>55.564543351878797</v>
      </c>
      <c r="L322"/>
    </row>
    <row r="323" spans="2:12" ht="15.75">
      <c r="B323" s="622">
        <v>31107</v>
      </c>
      <c r="C323" s="1229">
        <v>58.851999999999997</v>
      </c>
      <c r="D323" s="1438">
        <f t="shared" ref="D323:D386" si="28">ROUND(+D324*C323/C324,19)</f>
        <v>55.6439644933428</v>
      </c>
      <c r="L323"/>
    </row>
    <row r="324" spans="2:12" ht="15.75">
      <c r="B324" s="622">
        <v>31138</v>
      </c>
      <c r="C324" s="1229">
        <v>58.936</v>
      </c>
      <c r="D324" s="1438">
        <f t="shared" si="28"/>
        <v>55.723385634806803</v>
      </c>
      <c r="L324"/>
    </row>
    <row r="325" spans="2:12" ht="15.75">
      <c r="B325" s="622">
        <v>31168</v>
      </c>
      <c r="C325" s="1229">
        <v>58.936</v>
      </c>
      <c r="D325" s="1438">
        <f t="shared" si="28"/>
        <v>55.723385634806803</v>
      </c>
      <c r="L325"/>
    </row>
    <row r="326" spans="2:12" ht="15.75">
      <c r="B326" s="622">
        <v>31199</v>
      </c>
      <c r="C326" s="1229">
        <v>58.851999999999997</v>
      </c>
      <c r="D326" s="1438">
        <f t="shared" si="28"/>
        <v>55.6439644933428</v>
      </c>
      <c r="L326"/>
    </row>
    <row r="327" spans="2:12" ht="15.75">
      <c r="B327" s="622">
        <v>31229</v>
      </c>
      <c r="C327" s="1229">
        <v>58.768000000000001</v>
      </c>
      <c r="D327" s="1438">
        <f t="shared" si="28"/>
        <v>55.564543351878797</v>
      </c>
      <c r="L327"/>
    </row>
    <row r="328" spans="2:12" ht="15.75">
      <c r="B328" s="622">
        <v>31260</v>
      </c>
      <c r="C328" s="1229">
        <v>58.683</v>
      </c>
      <c r="D328" s="1438">
        <f t="shared" si="28"/>
        <v>55.484176720635404</v>
      </c>
      <c r="L328"/>
    </row>
    <row r="329" spans="2:12" ht="15.75">
      <c r="B329" s="622">
        <v>31291</v>
      </c>
      <c r="C329" s="1229">
        <v>58.768000000000001</v>
      </c>
      <c r="D329" s="1438">
        <f t="shared" si="28"/>
        <v>55.564543351878797</v>
      </c>
      <c r="L329"/>
    </row>
    <row r="330" spans="2:12" ht="15.75">
      <c r="B330" s="622">
        <v>31321</v>
      </c>
      <c r="C330" s="1229">
        <v>58.851999999999997</v>
      </c>
      <c r="D330" s="1438">
        <f t="shared" si="28"/>
        <v>55.6439644933428</v>
      </c>
      <c r="L330"/>
    </row>
    <row r="331" spans="2:12" ht="15.75">
      <c r="B331" s="622">
        <v>31352</v>
      </c>
      <c r="C331" s="1229">
        <v>59.02</v>
      </c>
      <c r="D331" s="1438">
        <f t="shared" si="28"/>
        <v>55.802806776270899</v>
      </c>
      <c r="L331"/>
    </row>
    <row r="332" spans="2:12" ht="15.75">
      <c r="B332" s="622">
        <v>31382</v>
      </c>
      <c r="C332" s="1229">
        <v>59.02</v>
      </c>
      <c r="D332" s="1438">
        <f t="shared" si="28"/>
        <v>55.802806776270899</v>
      </c>
      <c r="L332"/>
    </row>
    <row r="333" spans="2:12" ht="15.75">
      <c r="B333" s="622">
        <v>31413</v>
      </c>
      <c r="C333" s="1229">
        <v>59.189</v>
      </c>
      <c r="D333" s="1438">
        <f t="shared" si="28"/>
        <v>55.962594548978302</v>
      </c>
      <c r="L333"/>
    </row>
    <row r="334" spans="2:12" ht="15.75">
      <c r="B334" s="622">
        <v>31444</v>
      </c>
      <c r="C334" s="1229">
        <v>59.273000000000003</v>
      </c>
      <c r="D334" s="1438">
        <f t="shared" si="28"/>
        <v>56.042015690442298</v>
      </c>
      <c r="L334"/>
    </row>
    <row r="335" spans="2:12" ht="15.75">
      <c r="B335" s="622">
        <v>31472</v>
      </c>
      <c r="C335" s="1229">
        <v>58.936</v>
      </c>
      <c r="D335" s="1438">
        <f t="shared" si="28"/>
        <v>55.723385634806903</v>
      </c>
      <c r="L335"/>
    </row>
    <row r="336" spans="2:12" ht="15.75">
      <c r="B336" s="622">
        <v>31503</v>
      </c>
      <c r="C336" s="1229">
        <v>58.851999999999997</v>
      </c>
      <c r="D336" s="1438">
        <f t="shared" si="28"/>
        <v>55.643964493342899</v>
      </c>
      <c r="L336"/>
    </row>
    <row r="337" spans="2:12" ht="15.75">
      <c r="B337" s="622">
        <v>31533</v>
      </c>
      <c r="C337" s="1229">
        <v>58.851999999999997</v>
      </c>
      <c r="D337" s="1438">
        <f t="shared" si="28"/>
        <v>55.643964493342899</v>
      </c>
      <c r="L337"/>
    </row>
    <row r="338" spans="2:12" ht="15.75">
      <c r="B338" s="622">
        <v>31564</v>
      </c>
      <c r="C338" s="1229">
        <v>58.851999999999997</v>
      </c>
      <c r="D338" s="1438">
        <f t="shared" si="28"/>
        <v>55.643964493342899</v>
      </c>
      <c r="L338"/>
    </row>
    <row r="339" spans="2:12" ht="15.75">
      <c r="B339" s="622">
        <v>31594</v>
      </c>
      <c r="C339" s="1229">
        <v>58.598999999999997</v>
      </c>
      <c r="D339" s="1438">
        <f t="shared" si="28"/>
        <v>55.4047555791715</v>
      </c>
      <c r="L339"/>
    </row>
    <row r="340" spans="2:12" ht="15.75">
      <c r="B340" s="622">
        <v>31625</v>
      </c>
      <c r="C340" s="1229">
        <v>58.515000000000001</v>
      </c>
      <c r="D340" s="1438">
        <f t="shared" si="28"/>
        <v>55.325334437707497</v>
      </c>
      <c r="L340"/>
    </row>
    <row r="341" spans="2:12" ht="15.75">
      <c r="B341" s="622">
        <v>31656</v>
      </c>
      <c r="C341" s="1229">
        <v>58.598999999999997</v>
      </c>
      <c r="D341" s="1438">
        <f t="shared" si="28"/>
        <v>55.4047555791715</v>
      </c>
      <c r="L341"/>
    </row>
    <row r="342" spans="2:12" ht="15.75">
      <c r="B342" s="622">
        <v>31686</v>
      </c>
      <c r="C342" s="1229">
        <v>58.430999999999997</v>
      </c>
      <c r="D342" s="1438">
        <f t="shared" si="28"/>
        <v>55.245913296243401</v>
      </c>
      <c r="L342"/>
    </row>
    <row r="343" spans="2:12" ht="15.75">
      <c r="B343" s="622">
        <v>31717</v>
      </c>
      <c r="C343" s="1229">
        <v>58.430999999999997</v>
      </c>
      <c r="D343" s="1438">
        <f t="shared" si="28"/>
        <v>55.245913296243401</v>
      </c>
      <c r="L343"/>
    </row>
    <row r="344" spans="2:12" ht="15.75">
      <c r="B344" s="622">
        <v>31747</v>
      </c>
      <c r="C344" s="1229">
        <v>58.430999999999997</v>
      </c>
      <c r="D344" s="1438">
        <f t="shared" si="28"/>
        <v>55.245913296243401</v>
      </c>
      <c r="L344"/>
    </row>
    <row r="345" spans="2:12" ht="15.75">
      <c r="B345" s="622">
        <v>31778</v>
      </c>
      <c r="C345" s="1229">
        <v>58.768000000000001</v>
      </c>
      <c r="D345" s="1438">
        <f t="shared" si="28"/>
        <v>55.564543351878797</v>
      </c>
      <c r="L345"/>
    </row>
    <row r="346" spans="2:12" ht="15.75">
      <c r="B346" s="622">
        <v>31809</v>
      </c>
      <c r="C346" s="1229">
        <v>58.936</v>
      </c>
      <c r="D346" s="1438">
        <f t="shared" si="28"/>
        <v>55.723385634806803</v>
      </c>
      <c r="L346"/>
    </row>
    <row r="347" spans="2:12" ht="15.75">
      <c r="B347" s="622">
        <v>31837</v>
      </c>
      <c r="C347" s="1229">
        <v>58.768000000000001</v>
      </c>
      <c r="D347" s="1438">
        <f t="shared" si="28"/>
        <v>55.564543351878797</v>
      </c>
      <c r="L347"/>
    </row>
    <row r="348" spans="2:12" ht="15.75">
      <c r="B348" s="622">
        <v>31868</v>
      </c>
      <c r="C348" s="1229">
        <v>58.851999999999997</v>
      </c>
      <c r="D348" s="1438">
        <f t="shared" si="28"/>
        <v>55.6439644933428</v>
      </c>
      <c r="L348"/>
    </row>
    <row r="349" spans="2:12" ht="15.75">
      <c r="B349" s="622">
        <v>31898</v>
      </c>
      <c r="C349" s="1229">
        <v>58.936</v>
      </c>
      <c r="D349" s="1438">
        <f t="shared" si="28"/>
        <v>55.723385634806803</v>
      </c>
      <c r="L349"/>
    </row>
    <row r="350" spans="2:12" ht="15.75">
      <c r="B350" s="622">
        <v>31929</v>
      </c>
      <c r="C350" s="1229">
        <v>58.851999999999997</v>
      </c>
      <c r="D350" s="1438">
        <f t="shared" si="28"/>
        <v>55.6439644933428</v>
      </c>
      <c r="L350"/>
    </row>
    <row r="351" spans="2:12" ht="15.75">
      <c r="B351" s="622">
        <v>31959</v>
      </c>
      <c r="C351" s="1229">
        <v>58.936</v>
      </c>
      <c r="D351" s="1438">
        <f t="shared" si="28"/>
        <v>55.723385634806803</v>
      </c>
      <c r="L351"/>
    </row>
    <row r="352" spans="2:12" ht="15.75">
      <c r="B352" s="622">
        <v>31990</v>
      </c>
      <c r="C352" s="1229">
        <v>58.936</v>
      </c>
      <c r="D352" s="1438">
        <f t="shared" si="28"/>
        <v>55.723385634806803</v>
      </c>
      <c r="L352"/>
    </row>
    <row r="353" spans="2:12" ht="15.75">
      <c r="B353" s="622">
        <v>32021</v>
      </c>
      <c r="C353" s="1229">
        <v>58.851999999999997</v>
      </c>
      <c r="D353" s="1438">
        <f t="shared" si="28"/>
        <v>55.6439644933428</v>
      </c>
      <c r="L353"/>
    </row>
    <row r="354" spans="2:12" ht="15.75">
      <c r="B354" s="622">
        <v>32051</v>
      </c>
      <c r="C354" s="1229">
        <v>58.851999999999997</v>
      </c>
      <c r="D354" s="1438">
        <f t="shared" si="28"/>
        <v>55.6439644933428</v>
      </c>
      <c r="L354"/>
    </row>
    <row r="355" spans="2:12" ht="15.75">
      <c r="B355" s="622">
        <v>32082</v>
      </c>
      <c r="C355" s="1229">
        <v>59.02</v>
      </c>
      <c r="D355" s="1438">
        <f t="shared" si="28"/>
        <v>55.802806776270799</v>
      </c>
      <c r="L355"/>
    </row>
    <row r="356" spans="2:12" ht="15.75">
      <c r="B356" s="622">
        <v>32112</v>
      </c>
      <c r="C356" s="1229">
        <v>59.02</v>
      </c>
      <c r="D356" s="1438">
        <f t="shared" si="28"/>
        <v>55.802806776270799</v>
      </c>
      <c r="L356"/>
    </row>
    <row r="357" spans="2:12" ht="15.75">
      <c r="B357" s="622">
        <v>32143</v>
      </c>
      <c r="C357" s="1229">
        <v>59.273000000000003</v>
      </c>
      <c r="D357" s="1438">
        <f t="shared" si="28"/>
        <v>56.042015690442199</v>
      </c>
      <c r="L357"/>
    </row>
    <row r="358" spans="2:12" ht="15.75">
      <c r="B358" s="622">
        <v>32174</v>
      </c>
      <c r="C358" s="1229">
        <v>59.524999999999999</v>
      </c>
      <c r="D358" s="1438">
        <f t="shared" si="28"/>
        <v>56.2802791148343</v>
      </c>
      <c r="L358"/>
    </row>
    <row r="359" spans="2:12" ht="15.75">
      <c r="B359" s="622">
        <v>32203</v>
      </c>
      <c r="C359" s="1229">
        <v>59.356999999999999</v>
      </c>
      <c r="D359" s="1438">
        <f t="shared" si="28"/>
        <v>56.121436831906202</v>
      </c>
      <c r="L359"/>
    </row>
    <row r="360" spans="2:12" ht="15.75">
      <c r="B360" s="622">
        <v>32234</v>
      </c>
      <c r="C360" s="1229">
        <v>59.524999999999999</v>
      </c>
      <c r="D360" s="1438">
        <f t="shared" si="28"/>
        <v>56.280279114834201</v>
      </c>
      <c r="L360"/>
    </row>
    <row r="361" spans="2:12" ht="15.75">
      <c r="B361" s="622">
        <v>32264</v>
      </c>
      <c r="C361" s="1229">
        <v>59.61</v>
      </c>
      <c r="D361" s="1438">
        <f t="shared" si="28"/>
        <v>56.360645746077601</v>
      </c>
      <c r="L361"/>
    </row>
    <row r="362" spans="2:12" ht="15.75">
      <c r="B362" s="622">
        <v>32295</v>
      </c>
      <c r="C362" s="1229">
        <v>59.61</v>
      </c>
      <c r="D362" s="1438">
        <f t="shared" si="28"/>
        <v>56.360645746077601</v>
      </c>
      <c r="L362"/>
    </row>
    <row r="363" spans="2:12" ht="15.75">
      <c r="B363" s="622">
        <v>32325</v>
      </c>
      <c r="C363" s="1229">
        <v>59.61</v>
      </c>
      <c r="D363" s="1438">
        <f t="shared" si="28"/>
        <v>56.360645746077601</v>
      </c>
      <c r="L363"/>
    </row>
    <row r="364" spans="2:12" ht="15.75">
      <c r="B364" s="622">
        <v>32356</v>
      </c>
      <c r="C364" s="1229">
        <v>59.61</v>
      </c>
      <c r="D364" s="1438">
        <f t="shared" si="28"/>
        <v>56.360645746077601</v>
      </c>
      <c r="L364"/>
    </row>
    <row r="365" spans="2:12" ht="15.75">
      <c r="B365" s="622">
        <v>32387</v>
      </c>
      <c r="C365" s="1229">
        <v>59.694000000000003</v>
      </c>
      <c r="D365" s="1438">
        <f t="shared" si="28"/>
        <v>56.440066887541597</v>
      </c>
      <c r="L365"/>
    </row>
    <row r="366" spans="2:12" ht="15.75">
      <c r="B366" s="622">
        <v>32417</v>
      </c>
      <c r="C366" s="1229">
        <v>59.777999999999999</v>
      </c>
      <c r="D366" s="1438">
        <f t="shared" si="28"/>
        <v>56.519488029005601</v>
      </c>
      <c r="L366"/>
    </row>
    <row r="367" spans="2:12" ht="15.75">
      <c r="B367" s="622">
        <v>32448</v>
      </c>
      <c r="C367" s="1229">
        <v>60.030999999999999</v>
      </c>
      <c r="D367" s="1438">
        <f t="shared" si="28"/>
        <v>56.758696943177</v>
      </c>
      <c r="L367"/>
    </row>
    <row r="368" spans="2:12" ht="15.75">
      <c r="B368" s="622">
        <v>32478</v>
      </c>
      <c r="C368" s="1229">
        <v>60.115000000000002</v>
      </c>
      <c r="D368" s="1438">
        <f t="shared" si="28"/>
        <v>56.838118084641003</v>
      </c>
      <c r="L368"/>
    </row>
    <row r="369" spans="2:12" ht="15.75">
      <c r="B369" s="622">
        <v>32509</v>
      </c>
      <c r="C369" s="1229">
        <v>60.62</v>
      </c>
      <c r="D369" s="1438">
        <f t="shared" si="28"/>
        <v>57.315590423204497</v>
      </c>
      <c r="L369"/>
    </row>
    <row r="370" spans="2:12" ht="15.75">
      <c r="B370" s="622">
        <v>32540</v>
      </c>
      <c r="C370" s="1229">
        <v>60.957000000000001</v>
      </c>
      <c r="D370" s="1438">
        <f t="shared" si="28"/>
        <v>57.6342204788399</v>
      </c>
      <c r="L370"/>
    </row>
    <row r="371" spans="2:12" ht="15.75">
      <c r="B371" s="622">
        <v>32568</v>
      </c>
      <c r="C371" s="1229">
        <v>60.957000000000001</v>
      </c>
      <c r="D371" s="1438">
        <f t="shared" si="28"/>
        <v>57.6342204788399</v>
      </c>
      <c r="L371"/>
    </row>
    <row r="372" spans="2:12" ht="15.75">
      <c r="B372" s="622">
        <v>32599</v>
      </c>
      <c r="C372" s="1229">
        <v>61.209000000000003</v>
      </c>
      <c r="D372" s="1438">
        <f t="shared" si="28"/>
        <v>57.872483903232002</v>
      </c>
      <c r="L372"/>
    </row>
    <row r="373" spans="2:12" ht="15.75">
      <c r="B373" s="622">
        <v>32629</v>
      </c>
      <c r="C373" s="1229">
        <v>61.378</v>
      </c>
      <c r="D373" s="1438">
        <f t="shared" si="28"/>
        <v>58.032271675939398</v>
      </c>
      <c r="L373"/>
    </row>
    <row r="374" spans="2:12" ht="15.75">
      <c r="B374" s="622">
        <v>32660</v>
      </c>
      <c r="C374" s="1229">
        <v>61.292999999999999</v>
      </c>
      <c r="D374" s="1438">
        <f t="shared" si="28"/>
        <v>57.951905044695998</v>
      </c>
      <c r="L374"/>
    </row>
    <row r="375" spans="2:12" ht="15.75">
      <c r="B375" s="622">
        <v>32690</v>
      </c>
      <c r="C375" s="1229">
        <v>61.292999999999999</v>
      </c>
      <c r="D375" s="1438">
        <f t="shared" si="28"/>
        <v>57.951905044695998</v>
      </c>
      <c r="L375"/>
    </row>
    <row r="376" spans="2:12" ht="15.75">
      <c r="B376" s="622">
        <v>32721</v>
      </c>
      <c r="C376" s="1229">
        <v>61.292999999999999</v>
      </c>
      <c r="D376" s="1438">
        <f t="shared" si="28"/>
        <v>57.951905044695998</v>
      </c>
      <c r="L376"/>
    </row>
    <row r="377" spans="2:12" ht="15.75">
      <c r="B377" s="622">
        <v>32752</v>
      </c>
      <c r="C377" s="1229">
        <v>61.462000000000003</v>
      </c>
      <c r="D377" s="1438">
        <f t="shared" si="28"/>
        <v>58.111692817403402</v>
      </c>
      <c r="L377"/>
    </row>
    <row r="378" spans="2:12" ht="15.75">
      <c r="B378" s="622">
        <v>32782</v>
      </c>
      <c r="C378" s="1229">
        <v>61.63</v>
      </c>
      <c r="D378" s="1438">
        <f t="shared" si="28"/>
        <v>58.270535100331401</v>
      </c>
      <c r="L378"/>
    </row>
    <row r="379" spans="2:12" ht="15.75">
      <c r="B379" s="622">
        <v>32813</v>
      </c>
      <c r="C379" s="1229">
        <v>61.713999999999999</v>
      </c>
      <c r="D379" s="1438">
        <f t="shared" si="28"/>
        <v>58.349956241795397</v>
      </c>
      <c r="L379"/>
    </row>
    <row r="380" spans="2:12" ht="15.75">
      <c r="B380" s="622">
        <v>32843</v>
      </c>
      <c r="C380" s="1229">
        <v>61.883000000000003</v>
      </c>
      <c r="D380" s="1438">
        <f t="shared" si="28"/>
        <v>58.5097440145028</v>
      </c>
      <c r="L380"/>
    </row>
    <row r="381" spans="2:12" ht="15.75">
      <c r="B381" s="622">
        <v>32874</v>
      </c>
      <c r="C381" s="1229">
        <v>62.304000000000002</v>
      </c>
      <c r="D381" s="1438">
        <f t="shared" si="28"/>
        <v>58.907795211602298</v>
      </c>
      <c r="L381"/>
    </row>
    <row r="382" spans="2:12" ht="15.75">
      <c r="B382" s="622">
        <v>32905</v>
      </c>
      <c r="C382" s="1229">
        <v>62.640999999999998</v>
      </c>
      <c r="D382" s="1438">
        <f t="shared" si="28"/>
        <v>59.226425267237701</v>
      </c>
      <c r="L382"/>
    </row>
    <row r="383" spans="2:12" ht="15.75">
      <c r="B383" s="622">
        <v>32933</v>
      </c>
      <c r="C383" s="1229">
        <v>62.555999999999997</v>
      </c>
      <c r="D383" s="1438">
        <f t="shared" si="28"/>
        <v>59.146058635994301</v>
      </c>
      <c r="L383"/>
    </row>
    <row r="384" spans="2:12" ht="15.75">
      <c r="B384" s="622">
        <v>32964</v>
      </c>
      <c r="C384" s="1229">
        <v>62.640999999999998</v>
      </c>
      <c r="D384" s="1438">
        <f t="shared" si="28"/>
        <v>59.226425267237701</v>
      </c>
      <c r="L384"/>
    </row>
    <row r="385" spans="2:12" ht="15.75">
      <c r="B385" s="622">
        <v>32994</v>
      </c>
      <c r="C385" s="1229">
        <v>62.808999999999997</v>
      </c>
      <c r="D385" s="1438">
        <f t="shared" si="28"/>
        <v>59.3852675501657</v>
      </c>
      <c r="L385"/>
    </row>
    <row r="386" spans="2:12" ht="15.75">
      <c r="B386" s="622">
        <v>33025</v>
      </c>
      <c r="C386" s="1229">
        <v>62.725000000000001</v>
      </c>
      <c r="D386" s="1438">
        <f t="shared" si="28"/>
        <v>59.305846408701697</v>
      </c>
      <c r="L386"/>
    </row>
    <row r="387" spans="2:12" ht="15.75">
      <c r="B387" s="622">
        <v>33055</v>
      </c>
      <c r="C387" s="1229">
        <v>62.725000000000001</v>
      </c>
      <c r="D387" s="1438">
        <f t="shared" ref="D387:D391" si="29">ROUND(+D388*C387/C388,19)</f>
        <v>59.305846408701697</v>
      </c>
      <c r="L387"/>
    </row>
    <row r="388" spans="2:12" ht="15.75">
      <c r="B388" s="622">
        <v>33086</v>
      </c>
      <c r="C388" s="1229">
        <v>62.976999999999997</v>
      </c>
      <c r="D388" s="1438">
        <f t="shared" si="29"/>
        <v>59.544109833093799</v>
      </c>
      <c r="L388"/>
    </row>
    <row r="389" spans="2:12" ht="15.75">
      <c r="B389" s="622">
        <v>33117</v>
      </c>
      <c r="C389" s="1229">
        <v>63.314</v>
      </c>
      <c r="D389" s="1438">
        <f t="shared" si="29"/>
        <v>59.862739888729202</v>
      </c>
      <c r="L389"/>
    </row>
    <row r="390" spans="2:12" ht="15.75">
      <c r="B390" s="622">
        <v>33147</v>
      </c>
      <c r="C390" s="1229">
        <v>63.651000000000003</v>
      </c>
      <c r="D390" s="1438">
        <f t="shared" si="29"/>
        <v>60.181369944364597</v>
      </c>
      <c r="L390"/>
    </row>
    <row r="391" spans="2:12" ht="15.75">
      <c r="B391" s="622">
        <v>33178</v>
      </c>
      <c r="C391" s="1229">
        <v>63.567</v>
      </c>
      <c r="D391" s="1438">
        <f t="shared" si="29"/>
        <v>60.101948802900601</v>
      </c>
      <c r="L391"/>
    </row>
    <row r="392" spans="2:12" ht="15.75">
      <c r="B392" s="622">
        <v>33208</v>
      </c>
      <c r="C392" s="1229">
        <v>63.651000000000003</v>
      </c>
      <c r="D392" s="1438">
        <f>ROUND(+D393*C392/C393,19)</f>
        <v>60.181369944364597</v>
      </c>
      <c r="L392"/>
    </row>
    <row r="393" spans="2:12" ht="15.75">
      <c r="B393" s="622">
        <v>33239</v>
      </c>
      <c r="C393" s="1229">
        <v>63.988</v>
      </c>
      <c r="D393" s="1439">
        <v>60.5</v>
      </c>
      <c r="L393"/>
    </row>
    <row r="394" spans="2:12" ht="15.75">
      <c r="B394" s="622">
        <v>33270</v>
      </c>
      <c r="C394" s="1229">
        <v>64.268000000000001</v>
      </c>
      <c r="D394" s="1439">
        <v>60.8</v>
      </c>
      <c r="L394"/>
    </row>
    <row r="395" spans="2:12" ht="15.75">
      <c r="B395" s="622">
        <v>33298</v>
      </c>
      <c r="C395" s="1229">
        <v>64.268000000000001</v>
      </c>
      <c r="D395" s="1439">
        <v>60.8</v>
      </c>
      <c r="L395"/>
    </row>
    <row r="396" spans="2:12" ht="15.75">
      <c r="B396" s="622">
        <v>33329</v>
      </c>
      <c r="C396" s="1229">
        <v>64.546999999999997</v>
      </c>
      <c r="D396" s="1439">
        <v>61</v>
      </c>
      <c r="L396"/>
    </row>
    <row r="397" spans="2:12" ht="15.75">
      <c r="B397" s="622">
        <v>33359</v>
      </c>
      <c r="C397" s="1229">
        <v>64.733999999999995</v>
      </c>
      <c r="D397" s="1439">
        <v>61.1</v>
      </c>
      <c r="L397"/>
    </row>
    <row r="398" spans="2:12" ht="15.75">
      <c r="B398" s="622">
        <v>33390</v>
      </c>
      <c r="C398" s="1229">
        <v>65.106999999999999</v>
      </c>
      <c r="D398" s="1439">
        <v>61.5</v>
      </c>
      <c r="L398"/>
    </row>
    <row r="399" spans="2:12" ht="15.75">
      <c r="B399" s="622">
        <v>33420</v>
      </c>
      <c r="C399" s="1229">
        <v>65.852999999999994</v>
      </c>
      <c r="D399" s="1439">
        <v>62.2</v>
      </c>
      <c r="L399"/>
    </row>
    <row r="400" spans="2:12" ht="15.75">
      <c r="B400" s="622">
        <v>33451</v>
      </c>
      <c r="C400" s="1229">
        <v>65.852999999999994</v>
      </c>
      <c r="D400" s="1439">
        <v>62.2</v>
      </c>
      <c r="L400"/>
    </row>
    <row r="401" spans="2:12" ht="15.75">
      <c r="B401" s="622">
        <v>33482</v>
      </c>
      <c r="C401" s="1229">
        <v>65.852999999999994</v>
      </c>
      <c r="D401" s="1439">
        <v>62.2</v>
      </c>
      <c r="L401"/>
    </row>
    <row r="402" spans="2:12" ht="15.75">
      <c r="B402" s="622">
        <v>33512</v>
      </c>
      <c r="C402" s="1229">
        <v>66.879000000000005</v>
      </c>
      <c r="D402" s="1439">
        <v>63.2</v>
      </c>
      <c r="L402"/>
    </row>
    <row r="403" spans="2:12" ht="15.75">
      <c r="B403" s="622">
        <v>33543</v>
      </c>
      <c r="C403" s="1229">
        <v>67.159000000000006</v>
      </c>
      <c r="D403" s="1439">
        <v>63.4</v>
      </c>
      <c r="L403"/>
    </row>
    <row r="404" spans="2:12" ht="15.75">
      <c r="B404" s="622">
        <v>33573</v>
      </c>
      <c r="C404" s="1229">
        <v>67.251999999999995</v>
      </c>
      <c r="D404" s="1439">
        <v>63.5</v>
      </c>
      <c r="L404"/>
    </row>
    <row r="405" spans="2:12" ht="15.75">
      <c r="B405" s="622">
        <v>33604</v>
      </c>
      <c r="C405" s="1229">
        <v>67.625</v>
      </c>
      <c r="D405" s="1439">
        <v>63.9</v>
      </c>
      <c r="L405"/>
    </row>
    <row r="406" spans="2:12" ht="15.75">
      <c r="B406" s="622">
        <v>33635</v>
      </c>
      <c r="C406" s="1229">
        <v>67.998999999999995</v>
      </c>
      <c r="D406" s="1439">
        <v>64.3</v>
      </c>
      <c r="L406"/>
    </row>
    <row r="407" spans="2:12" ht="15.75">
      <c r="B407" s="622">
        <v>33664</v>
      </c>
      <c r="C407" s="1229">
        <v>68.278000000000006</v>
      </c>
      <c r="D407" s="1439">
        <v>64.5</v>
      </c>
      <c r="L407"/>
    </row>
    <row r="408" spans="2:12" ht="15.75">
      <c r="B408" s="622">
        <v>33695</v>
      </c>
      <c r="C408" s="1229">
        <v>68.558000000000007</v>
      </c>
      <c r="D408" s="1439">
        <v>64.7</v>
      </c>
      <c r="L408"/>
    </row>
    <row r="409" spans="2:12" ht="15.75">
      <c r="B409" s="622">
        <v>33725</v>
      </c>
      <c r="C409" s="1229">
        <v>68.745000000000005</v>
      </c>
      <c r="D409" s="1439">
        <v>64.900000000000006</v>
      </c>
      <c r="L409"/>
    </row>
    <row r="410" spans="2:12" ht="15.75">
      <c r="B410" s="622">
        <v>33756</v>
      </c>
      <c r="C410" s="1229">
        <v>68.930999999999997</v>
      </c>
      <c r="D410" s="1439">
        <v>65.099999999999994</v>
      </c>
      <c r="L410"/>
    </row>
    <row r="411" spans="2:12" ht="15.75">
      <c r="B411" s="622">
        <v>33786</v>
      </c>
      <c r="C411" s="1229">
        <v>69.117999999999995</v>
      </c>
      <c r="D411" s="1439">
        <v>65.3</v>
      </c>
      <c r="L411"/>
    </row>
    <row r="412" spans="2:12" ht="15.75">
      <c r="B412" s="622">
        <v>33817</v>
      </c>
      <c r="C412" s="1229">
        <v>69.117999999999995</v>
      </c>
      <c r="D412" s="1439">
        <v>65.3</v>
      </c>
      <c r="L412"/>
    </row>
    <row r="413" spans="2:12" ht="15.75">
      <c r="B413" s="622">
        <v>33848</v>
      </c>
      <c r="C413" s="1229">
        <v>69.117999999999995</v>
      </c>
      <c r="D413" s="1439">
        <v>65.3</v>
      </c>
      <c r="L413"/>
    </row>
    <row r="414" spans="2:12" ht="15.75">
      <c r="B414" s="622">
        <v>33878</v>
      </c>
      <c r="C414" s="1229">
        <v>69.117999999999995</v>
      </c>
      <c r="D414" s="1439">
        <v>65.3</v>
      </c>
      <c r="L414"/>
    </row>
    <row r="415" spans="2:12" ht="15.75">
      <c r="B415" s="622">
        <v>33909</v>
      </c>
      <c r="C415" s="1229">
        <v>69.397999999999996</v>
      </c>
      <c r="D415" s="1439">
        <v>65.599999999999994</v>
      </c>
      <c r="L415"/>
    </row>
    <row r="416" spans="2:12" ht="15.75">
      <c r="B416" s="622">
        <v>33939</v>
      </c>
      <c r="C416" s="1229">
        <v>69.491</v>
      </c>
      <c r="D416" s="1439">
        <v>65.7</v>
      </c>
      <c r="L416"/>
    </row>
    <row r="417" spans="2:12" ht="15.75">
      <c r="B417" s="622">
        <v>33970</v>
      </c>
      <c r="C417" s="1229">
        <v>70.703999999999994</v>
      </c>
      <c r="D417" s="1439">
        <v>66.8</v>
      </c>
      <c r="L417"/>
    </row>
    <row r="418" spans="2:12" ht="15.75">
      <c r="B418" s="622">
        <v>34001</v>
      </c>
      <c r="C418" s="1229">
        <v>71.263000000000005</v>
      </c>
      <c r="D418" s="1439">
        <v>67.3</v>
      </c>
      <c r="L418"/>
    </row>
    <row r="419" spans="2:12" ht="15.75">
      <c r="B419" s="622">
        <v>34029</v>
      </c>
      <c r="C419" s="1229">
        <v>71.45</v>
      </c>
      <c r="D419" s="1439">
        <v>67.5</v>
      </c>
      <c r="L419"/>
    </row>
    <row r="420" spans="2:12" ht="15.75">
      <c r="B420" s="622">
        <v>34060</v>
      </c>
      <c r="C420" s="1229">
        <v>71.635999999999996</v>
      </c>
      <c r="D420" s="1439">
        <v>67.7</v>
      </c>
      <c r="L420"/>
    </row>
    <row r="421" spans="2:12" ht="15.75">
      <c r="B421" s="622">
        <v>34090</v>
      </c>
      <c r="C421" s="1229">
        <v>71.73</v>
      </c>
      <c r="D421" s="1439">
        <v>67.8</v>
      </c>
      <c r="L421"/>
    </row>
    <row r="422" spans="2:12" ht="15.75">
      <c r="B422" s="622">
        <v>34121</v>
      </c>
      <c r="C422" s="1229">
        <v>71.915999999999997</v>
      </c>
      <c r="D422" s="1439">
        <v>68</v>
      </c>
      <c r="L422"/>
    </row>
    <row r="423" spans="2:12" ht="15.75">
      <c r="B423" s="622">
        <v>34151</v>
      </c>
      <c r="C423" s="1229">
        <v>72.289000000000001</v>
      </c>
      <c r="D423" s="1439">
        <v>68.3</v>
      </c>
      <c r="L423"/>
    </row>
    <row r="424" spans="2:12" ht="15.75">
      <c r="B424" s="622">
        <v>34182</v>
      </c>
      <c r="C424" s="1229">
        <v>72.289000000000001</v>
      </c>
      <c r="D424" s="1439">
        <v>68.3</v>
      </c>
      <c r="L424"/>
    </row>
    <row r="425" spans="2:12" ht="15.75">
      <c r="B425" s="622">
        <v>34213</v>
      </c>
      <c r="C425" s="1229">
        <v>72.195999999999998</v>
      </c>
      <c r="D425" s="1439">
        <v>68.2</v>
      </c>
      <c r="L425"/>
    </row>
    <row r="426" spans="2:12" ht="15.75">
      <c r="B426" s="622">
        <v>34243</v>
      </c>
      <c r="C426" s="1229">
        <v>72.195999999999998</v>
      </c>
      <c r="D426" s="1439">
        <v>68.2</v>
      </c>
      <c r="L426"/>
    </row>
    <row r="427" spans="2:12" ht="15.75">
      <c r="B427" s="622">
        <v>34274</v>
      </c>
      <c r="C427" s="1229">
        <v>72.289000000000001</v>
      </c>
      <c r="D427" s="1439">
        <v>68.3</v>
      </c>
      <c r="L427"/>
    </row>
    <row r="428" spans="2:12" ht="15.75">
      <c r="B428" s="622">
        <v>34304</v>
      </c>
      <c r="C428" s="1229">
        <v>72.475999999999999</v>
      </c>
      <c r="D428" s="1439">
        <v>68.5</v>
      </c>
      <c r="L428"/>
    </row>
    <row r="429" spans="2:12" ht="15.75">
      <c r="B429" s="622">
        <v>34335</v>
      </c>
      <c r="C429" s="1229">
        <v>72.849000000000004</v>
      </c>
      <c r="D429" s="1439">
        <v>68.8</v>
      </c>
      <c r="L429"/>
    </row>
    <row r="430" spans="2:12" ht="15.75">
      <c r="B430" s="622">
        <v>34366</v>
      </c>
      <c r="C430" s="1229">
        <v>73.409000000000006</v>
      </c>
      <c r="D430" s="1439">
        <v>69.400000000000006</v>
      </c>
      <c r="L430"/>
    </row>
    <row r="431" spans="2:12" ht="15.75">
      <c r="B431" s="622">
        <v>34394</v>
      </c>
      <c r="C431" s="1229">
        <v>73.501999999999995</v>
      </c>
      <c r="D431" s="1439">
        <v>69.5</v>
      </c>
      <c r="L431"/>
    </row>
    <row r="432" spans="2:12" ht="15.75">
      <c r="B432" s="622">
        <v>34425</v>
      </c>
      <c r="C432" s="1229">
        <v>73.594999999999999</v>
      </c>
      <c r="D432" s="1439">
        <v>69.599999999999994</v>
      </c>
      <c r="L432"/>
    </row>
    <row r="433" spans="2:12" ht="15.75">
      <c r="B433" s="622">
        <v>34455</v>
      </c>
      <c r="C433" s="1229">
        <v>73.781999999999996</v>
      </c>
      <c r="D433" s="1439">
        <v>69.7</v>
      </c>
      <c r="L433"/>
    </row>
    <row r="434" spans="2:12" ht="15.75">
      <c r="B434" s="622">
        <v>34486</v>
      </c>
      <c r="C434" s="1229">
        <v>73.875</v>
      </c>
      <c r="D434" s="1439">
        <v>69.8</v>
      </c>
      <c r="L434"/>
    </row>
    <row r="435" spans="2:12" ht="15.75">
      <c r="B435" s="622">
        <v>34516</v>
      </c>
      <c r="C435" s="1229">
        <v>74.061999999999998</v>
      </c>
      <c r="D435" s="1439">
        <v>69.900000000000006</v>
      </c>
      <c r="L435"/>
    </row>
    <row r="436" spans="2:12" ht="15.75">
      <c r="B436" s="622">
        <v>34547</v>
      </c>
      <c r="C436" s="1229">
        <v>74.248000000000005</v>
      </c>
      <c r="D436" s="1439">
        <v>70.099999999999994</v>
      </c>
      <c r="L436"/>
    </row>
    <row r="437" spans="2:12" ht="15.75">
      <c r="B437" s="622">
        <v>34578</v>
      </c>
      <c r="C437" s="1229">
        <v>74.061999999999998</v>
      </c>
      <c r="D437" s="1439">
        <v>69.900000000000006</v>
      </c>
      <c r="L437"/>
    </row>
    <row r="438" spans="2:12" ht="15.75">
      <c r="B438" s="622">
        <v>34608</v>
      </c>
      <c r="C438" s="1229">
        <v>73.968000000000004</v>
      </c>
      <c r="D438" s="1439">
        <v>69.8</v>
      </c>
      <c r="L438"/>
    </row>
    <row r="439" spans="2:12" ht="15.75">
      <c r="B439" s="622">
        <v>34639</v>
      </c>
      <c r="C439" s="1229">
        <v>74.061999999999998</v>
      </c>
      <c r="D439" s="1439">
        <v>69.900000000000006</v>
      </c>
      <c r="L439"/>
    </row>
    <row r="440" spans="2:12" ht="15.75">
      <c r="B440" s="622">
        <v>34669</v>
      </c>
      <c r="C440" s="1229">
        <v>74.248000000000005</v>
      </c>
      <c r="D440" s="1439">
        <v>70.099999999999994</v>
      </c>
      <c r="L440"/>
    </row>
    <row r="441" spans="2:12" ht="15.75">
      <c r="B441" s="622">
        <v>34700</v>
      </c>
      <c r="C441" s="1229">
        <v>74.528000000000006</v>
      </c>
      <c r="D441" s="1439">
        <v>70.400000000000006</v>
      </c>
      <c r="L441"/>
    </row>
    <row r="442" spans="2:12" ht="15.75">
      <c r="B442" s="622">
        <v>34731</v>
      </c>
      <c r="C442" s="1229">
        <v>74.900999999999996</v>
      </c>
      <c r="D442" s="1439">
        <v>70.8</v>
      </c>
      <c r="L442"/>
    </row>
    <row r="443" spans="2:12" ht="15.75">
      <c r="B443" s="622">
        <v>34759</v>
      </c>
      <c r="C443" s="1229">
        <v>74.900999999999996</v>
      </c>
      <c r="D443" s="1439">
        <v>70.8</v>
      </c>
      <c r="L443"/>
    </row>
    <row r="444" spans="2:12" ht="15.75">
      <c r="B444" s="622">
        <v>34790</v>
      </c>
      <c r="C444" s="1229">
        <v>74.994</v>
      </c>
      <c r="D444" s="1439">
        <v>70.900000000000006</v>
      </c>
      <c r="L444"/>
    </row>
    <row r="445" spans="2:12" ht="15.75">
      <c r="B445" s="622">
        <v>34820</v>
      </c>
      <c r="C445" s="1229">
        <v>74.994</v>
      </c>
      <c r="D445" s="1439">
        <v>70.900000000000006</v>
      </c>
      <c r="L445"/>
    </row>
    <row r="446" spans="2:12" ht="15.75">
      <c r="B446" s="622">
        <v>34851</v>
      </c>
      <c r="C446" s="1229">
        <v>75.087999999999994</v>
      </c>
      <c r="D446" s="1439">
        <v>71</v>
      </c>
      <c r="L446"/>
    </row>
    <row r="447" spans="2:12" ht="15.75">
      <c r="B447" s="622">
        <v>34881</v>
      </c>
      <c r="C447" s="1229">
        <v>75.274000000000001</v>
      </c>
      <c r="D447" s="1439">
        <v>71.2</v>
      </c>
      <c r="L447"/>
    </row>
    <row r="448" spans="2:12" ht="15.75">
      <c r="B448" s="622">
        <v>34912</v>
      </c>
      <c r="C448" s="1229">
        <v>75.274000000000001</v>
      </c>
      <c r="D448" s="1439">
        <v>71.2</v>
      </c>
      <c r="L448"/>
    </row>
    <row r="449" spans="2:12" ht="15.75">
      <c r="B449" s="622">
        <v>34943</v>
      </c>
      <c r="C449" s="1229">
        <v>75.274000000000001</v>
      </c>
      <c r="D449" s="1439">
        <v>71.2</v>
      </c>
      <c r="L449"/>
    </row>
    <row r="450" spans="2:12" ht="15.75">
      <c r="B450" s="622">
        <v>34973</v>
      </c>
      <c r="C450" s="1229">
        <v>75.087999999999994</v>
      </c>
      <c r="D450" s="1439">
        <v>71</v>
      </c>
      <c r="L450"/>
    </row>
    <row r="451" spans="2:12" ht="15.75">
      <c r="B451" s="622">
        <v>35004</v>
      </c>
      <c r="C451" s="1229">
        <v>75.087999999999994</v>
      </c>
      <c r="D451" s="1439">
        <v>71</v>
      </c>
      <c r="L451"/>
    </row>
    <row r="452" spans="2:12" ht="15.75">
      <c r="B452" s="622">
        <v>35034</v>
      </c>
      <c r="C452" s="1229">
        <v>75.367000000000004</v>
      </c>
      <c r="D452" s="1439">
        <v>71.2</v>
      </c>
      <c r="L452"/>
    </row>
    <row r="453" spans="2:12" ht="15.75">
      <c r="B453" s="622">
        <v>35065</v>
      </c>
      <c r="C453" s="1229">
        <v>75.554000000000002</v>
      </c>
      <c r="D453" s="1439">
        <v>71.400000000000006</v>
      </c>
      <c r="L453"/>
    </row>
    <row r="454" spans="2:12" ht="15.75">
      <c r="B454" s="622">
        <v>35096</v>
      </c>
      <c r="C454" s="1229">
        <v>76.02</v>
      </c>
      <c r="D454" s="1439">
        <v>71.8</v>
      </c>
      <c r="L454"/>
    </row>
    <row r="455" spans="2:12" ht="15.75">
      <c r="B455" s="622">
        <v>35125</v>
      </c>
      <c r="C455" s="1229">
        <v>76.02</v>
      </c>
      <c r="D455" s="1439">
        <v>71.8</v>
      </c>
      <c r="L455"/>
    </row>
    <row r="456" spans="2:12" ht="15.75">
      <c r="B456" s="622">
        <v>35156</v>
      </c>
      <c r="C456" s="1229">
        <v>76.02</v>
      </c>
      <c r="D456" s="1439">
        <v>71.8</v>
      </c>
      <c r="L456"/>
    </row>
    <row r="457" spans="2:12" ht="15.75">
      <c r="B457" s="622">
        <v>35186</v>
      </c>
      <c r="C457" s="1229">
        <v>76.114000000000004</v>
      </c>
      <c r="D457" s="1439">
        <v>71.900000000000006</v>
      </c>
      <c r="L457"/>
    </row>
    <row r="458" spans="2:12" ht="15.75">
      <c r="B458" s="622">
        <v>35217</v>
      </c>
      <c r="C458" s="1229">
        <v>76.206999999999994</v>
      </c>
      <c r="D458" s="1439">
        <v>72</v>
      </c>
      <c r="L458"/>
    </row>
    <row r="459" spans="2:12" ht="15.75">
      <c r="B459" s="622">
        <v>35247</v>
      </c>
      <c r="C459" s="1229">
        <v>76.3</v>
      </c>
      <c r="D459" s="1439">
        <v>72.099999999999994</v>
      </c>
      <c r="L459"/>
    </row>
    <row r="460" spans="2:12" ht="15.75">
      <c r="B460" s="622">
        <v>35278</v>
      </c>
      <c r="C460" s="1229">
        <v>76.3</v>
      </c>
      <c r="D460" s="1439">
        <v>72.099999999999994</v>
      </c>
      <c r="L460"/>
    </row>
    <row r="461" spans="2:12" ht="15.75">
      <c r="B461" s="622">
        <v>35309</v>
      </c>
      <c r="C461" s="1229">
        <v>76.3</v>
      </c>
      <c r="D461" s="1439">
        <v>72.099999999999994</v>
      </c>
      <c r="L461"/>
    </row>
    <row r="462" spans="2:12" ht="15.75">
      <c r="B462" s="622">
        <v>35339</v>
      </c>
      <c r="C462" s="1229">
        <v>76.3</v>
      </c>
      <c r="D462" s="1439">
        <v>72.099999999999994</v>
      </c>
      <c r="L462"/>
    </row>
    <row r="463" spans="2:12" ht="15.75">
      <c r="B463" s="622">
        <v>35370</v>
      </c>
      <c r="C463" s="1229">
        <v>76.206999999999994</v>
      </c>
      <c r="D463" s="1439">
        <v>72</v>
      </c>
      <c r="L463"/>
    </row>
    <row r="464" spans="2:12" ht="15.75">
      <c r="B464" s="622">
        <v>35400</v>
      </c>
      <c r="C464" s="1229">
        <v>76.486999999999995</v>
      </c>
      <c r="D464" s="1439">
        <v>72.3</v>
      </c>
      <c r="L464"/>
    </row>
    <row r="465" spans="2:12" ht="15.75">
      <c r="B465" s="622">
        <v>35431</v>
      </c>
      <c r="C465" s="1229">
        <v>77.14</v>
      </c>
      <c r="D465" s="1439">
        <v>72.900000000000006</v>
      </c>
      <c r="L465"/>
    </row>
    <row r="466" spans="2:12" ht="15.75">
      <c r="B466" s="622">
        <v>35462</v>
      </c>
      <c r="C466" s="1229">
        <v>77.233000000000004</v>
      </c>
      <c r="D466" s="1439">
        <v>73</v>
      </c>
      <c r="L466"/>
    </row>
    <row r="467" spans="2:12" ht="15.75">
      <c r="B467" s="622">
        <v>35490</v>
      </c>
      <c r="C467" s="1229">
        <v>77.233000000000004</v>
      </c>
      <c r="D467" s="1439">
        <v>73</v>
      </c>
      <c r="L467"/>
    </row>
    <row r="468" spans="2:12" ht="15.75">
      <c r="B468" s="622">
        <v>35521</v>
      </c>
      <c r="C468" s="1229">
        <v>77.14</v>
      </c>
      <c r="D468" s="1439">
        <v>72.900000000000006</v>
      </c>
      <c r="L468"/>
    </row>
    <row r="469" spans="2:12" ht="15.75">
      <c r="B469" s="622">
        <v>35551</v>
      </c>
      <c r="C469" s="1229">
        <v>77.325999999999993</v>
      </c>
      <c r="D469" s="1439">
        <v>73.099999999999994</v>
      </c>
      <c r="L469"/>
    </row>
    <row r="470" spans="2:12" ht="15.75">
      <c r="B470" s="622">
        <v>35582</v>
      </c>
      <c r="C470" s="1229">
        <v>77.42</v>
      </c>
      <c r="D470" s="1439">
        <v>73.099999999999994</v>
      </c>
      <c r="L470"/>
    </row>
    <row r="471" spans="2:12" ht="15.75">
      <c r="B471" s="622">
        <v>35612</v>
      </c>
      <c r="C471" s="1229">
        <v>78.072000000000003</v>
      </c>
      <c r="D471" s="1439">
        <v>73.8</v>
      </c>
      <c r="L471"/>
    </row>
    <row r="472" spans="2:12" ht="15.75">
      <c r="B472" s="622">
        <v>35643</v>
      </c>
      <c r="C472" s="1229">
        <v>78.165999999999997</v>
      </c>
      <c r="D472" s="1439">
        <v>73.8</v>
      </c>
      <c r="L472"/>
    </row>
    <row r="473" spans="2:12" ht="15.75">
      <c r="B473" s="622">
        <v>35674</v>
      </c>
      <c r="C473" s="1229">
        <v>77.978999999999999</v>
      </c>
      <c r="D473" s="1439">
        <v>73.7</v>
      </c>
      <c r="L473"/>
    </row>
    <row r="474" spans="2:12" ht="15.75">
      <c r="B474" s="622">
        <v>35704</v>
      </c>
      <c r="C474" s="1229">
        <v>77.885999999999996</v>
      </c>
      <c r="D474" s="1439">
        <v>73.599999999999994</v>
      </c>
      <c r="L474"/>
    </row>
    <row r="475" spans="2:12" ht="15.75">
      <c r="B475" s="622">
        <v>35735</v>
      </c>
      <c r="C475" s="1229">
        <v>77.885999999999996</v>
      </c>
      <c r="D475" s="1439">
        <v>73.599999999999994</v>
      </c>
      <c r="L475"/>
    </row>
    <row r="476" spans="2:12" ht="15.75">
      <c r="B476" s="622">
        <v>35765</v>
      </c>
      <c r="C476" s="1229">
        <v>78.072000000000003</v>
      </c>
      <c r="D476" s="1439">
        <v>73.8</v>
      </c>
      <c r="L476"/>
    </row>
    <row r="477" spans="2:12" ht="15.75">
      <c r="B477" s="622">
        <v>35796</v>
      </c>
      <c r="C477" s="1229">
        <v>78.072000000000003</v>
      </c>
      <c r="D477" s="1439">
        <v>73.8</v>
      </c>
      <c r="L477"/>
    </row>
    <row r="478" spans="2:12" ht="15.75">
      <c r="B478" s="622">
        <v>35827</v>
      </c>
      <c r="C478" s="1229">
        <v>78.259</v>
      </c>
      <c r="D478" s="1439">
        <v>73.900000000000006</v>
      </c>
      <c r="L478"/>
    </row>
    <row r="479" spans="2:12" ht="15.75">
      <c r="B479" s="622">
        <v>35855</v>
      </c>
      <c r="C479" s="1229">
        <v>78.165999999999997</v>
      </c>
      <c r="D479" s="1439">
        <v>73.8</v>
      </c>
      <c r="L479"/>
    </row>
    <row r="480" spans="2:12" ht="15.75">
      <c r="B480" s="622">
        <v>35886</v>
      </c>
      <c r="C480" s="1229">
        <v>78.259</v>
      </c>
      <c r="D480" s="1439">
        <v>73.900000000000006</v>
      </c>
      <c r="L480"/>
    </row>
    <row r="481" spans="2:12" ht="15.75">
      <c r="B481" s="622">
        <v>35916</v>
      </c>
      <c r="C481" s="1229">
        <v>78.352000000000004</v>
      </c>
      <c r="D481" s="1439">
        <v>74</v>
      </c>
      <c r="L481"/>
    </row>
    <row r="482" spans="2:12" ht="15.75">
      <c r="B482" s="622">
        <v>35947</v>
      </c>
      <c r="C482" s="1229">
        <v>78.445999999999998</v>
      </c>
      <c r="D482" s="1439">
        <v>74.099999999999994</v>
      </c>
      <c r="L482"/>
    </row>
    <row r="483" spans="2:12" ht="15.75">
      <c r="B483" s="622">
        <v>35977</v>
      </c>
      <c r="C483" s="1229">
        <v>78.724999999999994</v>
      </c>
      <c r="D483" s="1439">
        <v>74.400000000000006</v>
      </c>
      <c r="L483"/>
    </row>
    <row r="484" spans="2:12" ht="15.75">
      <c r="B484" s="622">
        <v>36008</v>
      </c>
      <c r="C484" s="1229">
        <v>78.539000000000001</v>
      </c>
      <c r="D484" s="1439">
        <v>74.2</v>
      </c>
      <c r="L484"/>
    </row>
    <row r="485" spans="2:12" ht="15.75">
      <c r="B485" s="622">
        <v>36039</v>
      </c>
      <c r="C485" s="1229">
        <v>78.352000000000004</v>
      </c>
      <c r="D485" s="1439">
        <v>74</v>
      </c>
      <c r="L485"/>
    </row>
    <row r="486" spans="2:12" ht="15.75">
      <c r="B486" s="622">
        <v>36069</v>
      </c>
      <c r="C486" s="1229">
        <v>78.259</v>
      </c>
      <c r="D486" s="1439">
        <v>73.900000000000006</v>
      </c>
      <c r="L486"/>
    </row>
    <row r="487" spans="2:12" ht="15.75">
      <c r="B487" s="622">
        <v>36100</v>
      </c>
      <c r="C487" s="1229">
        <v>78.259</v>
      </c>
      <c r="D487" s="1439">
        <v>73.900000000000006</v>
      </c>
      <c r="L487"/>
    </row>
    <row r="488" spans="2:12" ht="15.75">
      <c r="B488" s="622">
        <v>36130</v>
      </c>
      <c r="C488" s="1229">
        <v>78.352000000000004</v>
      </c>
      <c r="D488" s="1439">
        <v>74</v>
      </c>
      <c r="L488"/>
    </row>
    <row r="489" spans="2:12" ht="15.75">
      <c r="B489" s="622">
        <v>36161</v>
      </c>
      <c r="C489" s="1229">
        <v>78.259</v>
      </c>
      <c r="D489" s="1439">
        <v>73.900000000000006</v>
      </c>
      <c r="L489"/>
    </row>
    <row r="490" spans="2:12" ht="15.75">
      <c r="B490" s="622">
        <v>36192</v>
      </c>
      <c r="C490" s="1229">
        <v>78.352000000000004</v>
      </c>
      <c r="D490" s="1439">
        <v>74</v>
      </c>
      <c r="L490"/>
    </row>
    <row r="491" spans="2:12" ht="15.75">
      <c r="B491" s="622">
        <v>36220</v>
      </c>
      <c r="C491" s="1229">
        <v>78.352000000000004</v>
      </c>
      <c r="D491" s="1439">
        <v>74</v>
      </c>
      <c r="L491"/>
    </row>
    <row r="492" spans="2:12" ht="15.75">
      <c r="B492" s="622">
        <v>36251</v>
      </c>
      <c r="C492" s="1229">
        <v>78.724999999999994</v>
      </c>
      <c r="D492" s="1439">
        <v>74.400000000000006</v>
      </c>
      <c r="L492"/>
    </row>
    <row r="493" spans="2:12" ht="15.75">
      <c r="B493" s="622">
        <v>36281</v>
      </c>
      <c r="C493" s="1229">
        <v>78.724999999999994</v>
      </c>
      <c r="D493" s="1439">
        <v>74.400000000000006</v>
      </c>
      <c r="L493"/>
    </row>
    <row r="494" spans="2:12" ht="15.75">
      <c r="B494" s="622">
        <v>36312</v>
      </c>
      <c r="C494" s="1229">
        <v>78.819000000000003</v>
      </c>
      <c r="D494" s="1439">
        <v>74.5</v>
      </c>
      <c r="L494"/>
    </row>
    <row r="495" spans="2:12" ht="15.75">
      <c r="B495" s="622">
        <v>36342</v>
      </c>
      <c r="C495" s="1229">
        <v>79.191999999999993</v>
      </c>
      <c r="D495" s="1439">
        <v>74.8</v>
      </c>
      <c r="L495"/>
    </row>
    <row r="496" spans="2:12" ht="15.75">
      <c r="B496" s="622">
        <v>36373</v>
      </c>
      <c r="C496" s="1229">
        <v>79.097999999999999</v>
      </c>
      <c r="D496" s="1439">
        <v>74.8</v>
      </c>
      <c r="L496"/>
    </row>
    <row r="497" spans="2:12" ht="15.75">
      <c r="B497" s="622">
        <v>36404</v>
      </c>
      <c r="C497" s="1229">
        <v>78.912000000000006</v>
      </c>
      <c r="D497" s="1439">
        <v>74.599999999999994</v>
      </c>
      <c r="L497"/>
    </row>
    <row r="498" spans="2:12" ht="15.75">
      <c r="B498" s="622">
        <v>36434</v>
      </c>
      <c r="C498" s="1229">
        <v>78.819000000000003</v>
      </c>
      <c r="D498" s="1439">
        <v>74.5</v>
      </c>
      <c r="L498"/>
    </row>
    <row r="499" spans="2:12" ht="15.75">
      <c r="B499" s="622">
        <v>36465</v>
      </c>
      <c r="C499" s="1229">
        <v>79.004999999999995</v>
      </c>
      <c r="D499" s="1439">
        <v>74.7</v>
      </c>
      <c r="L499"/>
    </row>
    <row r="500" spans="2:12" ht="15.75">
      <c r="B500" s="622">
        <v>36495</v>
      </c>
      <c r="C500" s="1229">
        <v>79.284999999999997</v>
      </c>
      <c r="D500" s="1439">
        <v>74.900000000000006</v>
      </c>
      <c r="L500"/>
    </row>
    <row r="501" spans="2:12" ht="15.75">
      <c r="B501" s="622">
        <v>36526</v>
      </c>
      <c r="C501" s="1229">
        <v>79.471999999999994</v>
      </c>
      <c r="D501" s="1439">
        <v>75.099999999999994</v>
      </c>
      <c r="L501"/>
    </row>
    <row r="502" spans="2:12" ht="15.75">
      <c r="B502" s="622">
        <v>36557</v>
      </c>
      <c r="C502" s="1229">
        <v>79.564999999999998</v>
      </c>
      <c r="D502" s="1439">
        <v>75.099999999999994</v>
      </c>
      <c r="L502"/>
    </row>
    <row r="503" spans="2:12" ht="15.75">
      <c r="B503" s="622">
        <v>36586</v>
      </c>
      <c r="C503" s="1229">
        <v>79.564999999999998</v>
      </c>
      <c r="D503" s="1439">
        <v>75.099999999999994</v>
      </c>
      <c r="L503"/>
    </row>
    <row r="504" spans="2:12" ht="15.75">
      <c r="B504" s="622">
        <v>36617</v>
      </c>
      <c r="C504" s="1229">
        <v>79.564999999999998</v>
      </c>
      <c r="D504" s="1439">
        <v>75.099999999999994</v>
      </c>
      <c r="L504"/>
    </row>
    <row r="505" spans="2:12" ht="15.75">
      <c r="B505" s="622">
        <v>36647</v>
      </c>
      <c r="C505" s="1229">
        <v>79.471999999999994</v>
      </c>
      <c r="D505" s="1439">
        <v>75.099999999999994</v>
      </c>
      <c r="L505"/>
    </row>
    <row r="506" spans="2:12" ht="15.75">
      <c r="B506" s="622">
        <v>36678</v>
      </c>
      <c r="C506" s="1229">
        <v>79.844999999999999</v>
      </c>
      <c r="D506" s="1439">
        <v>75.400000000000006</v>
      </c>
      <c r="L506"/>
    </row>
    <row r="507" spans="2:12" ht="15.75">
      <c r="B507" s="622">
        <v>36708</v>
      </c>
      <c r="C507" s="1229">
        <v>80.218000000000004</v>
      </c>
      <c r="D507" s="1439">
        <v>75.8</v>
      </c>
      <c r="L507"/>
    </row>
    <row r="508" spans="2:12" ht="15.75">
      <c r="B508" s="622">
        <v>36739</v>
      </c>
      <c r="C508" s="1229">
        <v>80.031000000000006</v>
      </c>
      <c r="D508" s="1439">
        <v>75.599999999999994</v>
      </c>
      <c r="L508"/>
    </row>
    <row r="509" spans="2:12" ht="15.75">
      <c r="B509" s="622">
        <v>36770</v>
      </c>
      <c r="C509" s="1229">
        <v>80.218000000000004</v>
      </c>
      <c r="D509" s="1439">
        <v>75.8</v>
      </c>
      <c r="L509"/>
    </row>
    <row r="510" spans="2:12" ht="15.75">
      <c r="B510" s="622">
        <v>36800</v>
      </c>
      <c r="C510" s="1229">
        <v>80.125</v>
      </c>
      <c r="D510" s="1439">
        <v>75.7</v>
      </c>
      <c r="L510"/>
    </row>
    <row r="511" spans="2:12" ht="15.75">
      <c r="B511" s="622">
        <v>36831</v>
      </c>
      <c r="C511" s="1229">
        <v>80.218000000000004</v>
      </c>
      <c r="D511" s="1439">
        <v>75.8</v>
      </c>
      <c r="L511"/>
    </row>
    <row r="512" spans="2:12" ht="15.75">
      <c r="B512" s="622">
        <v>36861</v>
      </c>
      <c r="C512" s="1229">
        <v>80.870999999999995</v>
      </c>
      <c r="D512" s="1439">
        <v>76.400000000000006</v>
      </c>
      <c r="L512"/>
    </row>
    <row r="513" spans="2:12" ht="15.75">
      <c r="B513" s="622">
        <v>36892</v>
      </c>
      <c r="C513" s="1229">
        <v>80.590999999999994</v>
      </c>
      <c r="D513" s="1439">
        <v>76.2</v>
      </c>
      <c r="L513"/>
    </row>
    <row r="514" spans="2:12" ht="15.75">
      <c r="B514" s="622">
        <v>36923</v>
      </c>
      <c r="C514" s="1229">
        <v>81.057000000000002</v>
      </c>
      <c r="D514" s="1439">
        <v>76.599999999999994</v>
      </c>
      <c r="L514"/>
    </row>
    <row r="515" spans="2:12" ht="15.75">
      <c r="B515" s="622">
        <v>36951</v>
      </c>
      <c r="C515" s="1229">
        <v>81.057000000000002</v>
      </c>
      <c r="D515" s="1439">
        <v>76.599999999999994</v>
      </c>
      <c r="L515"/>
    </row>
    <row r="516" spans="2:12" ht="15.75">
      <c r="B516" s="622">
        <v>36982</v>
      </c>
      <c r="C516" s="1229">
        <v>81.430000000000007</v>
      </c>
      <c r="D516" s="1439">
        <v>76.900000000000006</v>
      </c>
      <c r="L516"/>
    </row>
    <row r="517" spans="2:12" ht="15.75">
      <c r="B517" s="622">
        <v>37012</v>
      </c>
      <c r="C517" s="1229">
        <v>81.709999999999994</v>
      </c>
      <c r="D517" s="1439">
        <v>77.2</v>
      </c>
      <c r="L517"/>
    </row>
    <row r="518" spans="2:12" ht="15.75">
      <c r="B518" s="622">
        <v>37043</v>
      </c>
      <c r="C518" s="1229">
        <v>81.804000000000002</v>
      </c>
      <c r="D518" s="1439">
        <v>77.3</v>
      </c>
      <c r="L518"/>
    </row>
    <row r="519" spans="2:12" ht="15.75">
      <c r="B519" s="622">
        <v>37073</v>
      </c>
      <c r="C519" s="1229">
        <v>81.897000000000006</v>
      </c>
      <c r="D519" s="1439">
        <v>77.400000000000006</v>
      </c>
      <c r="L519"/>
    </row>
    <row r="520" spans="2:12" ht="15.75">
      <c r="B520" s="622">
        <v>37104</v>
      </c>
      <c r="C520" s="1229">
        <v>81.709999999999994</v>
      </c>
      <c r="D520" s="1439">
        <v>77.2</v>
      </c>
      <c r="L520"/>
    </row>
    <row r="521" spans="2:12" ht="15.75">
      <c r="B521" s="622">
        <v>37135</v>
      </c>
      <c r="C521" s="1229">
        <v>81.709999999999994</v>
      </c>
      <c r="D521" s="1439">
        <v>77.2</v>
      </c>
      <c r="L521"/>
    </row>
    <row r="522" spans="2:12" ht="15.75">
      <c r="B522" s="622">
        <v>37165</v>
      </c>
      <c r="C522" s="1229">
        <v>81.617000000000004</v>
      </c>
      <c r="D522" s="1439">
        <v>77.099999999999994</v>
      </c>
      <c r="L522"/>
    </row>
    <row r="523" spans="2:12" ht="15.75">
      <c r="B523" s="622">
        <v>37196</v>
      </c>
      <c r="C523" s="1229">
        <v>81.430000000000007</v>
      </c>
      <c r="D523" s="1439">
        <v>76.900000000000006</v>
      </c>
      <c r="L523"/>
    </row>
    <row r="524" spans="2:12" ht="15.75">
      <c r="B524" s="622">
        <v>37226</v>
      </c>
      <c r="C524" s="1229">
        <v>82.177000000000007</v>
      </c>
      <c r="D524" s="1439">
        <v>77.7</v>
      </c>
      <c r="L524"/>
    </row>
    <row r="525" spans="2:12" ht="15.75">
      <c r="B525" s="622">
        <v>37257</v>
      </c>
      <c r="C525" s="1229">
        <v>82.27</v>
      </c>
      <c r="D525" s="1439">
        <v>77.7</v>
      </c>
      <c r="L525"/>
    </row>
    <row r="526" spans="2:12" ht="15.75">
      <c r="B526" s="622">
        <v>37288</v>
      </c>
      <c r="C526" s="1229">
        <v>82.55</v>
      </c>
      <c r="D526" s="1439">
        <v>78</v>
      </c>
      <c r="L526"/>
    </row>
    <row r="527" spans="2:12" ht="15.75">
      <c r="B527" s="622">
        <v>37316</v>
      </c>
      <c r="C527" s="1229">
        <v>82.736000000000004</v>
      </c>
      <c r="D527" s="1439">
        <v>78.2</v>
      </c>
      <c r="L527"/>
    </row>
    <row r="528" spans="2:12" ht="15.75">
      <c r="B528" s="622">
        <v>37347</v>
      </c>
      <c r="C528" s="1229">
        <v>82.643000000000001</v>
      </c>
      <c r="D528" s="1439">
        <v>78.099999999999994</v>
      </c>
      <c r="L528"/>
    </row>
    <row r="529" spans="2:12" ht="15.75">
      <c r="B529" s="622">
        <v>37377</v>
      </c>
      <c r="C529" s="1229">
        <v>82.736000000000004</v>
      </c>
      <c r="D529" s="1439">
        <v>78.2</v>
      </c>
      <c r="L529"/>
    </row>
    <row r="530" spans="2:12" ht="15.75">
      <c r="B530" s="622">
        <v>37408</v>
      </c>
      <c r="C530" s="1229">
        <v>82.736000000000004</v>
      </c>
      <c r="D530" s="1439">
        <v>78.2</v>
      </c>
      <c r="L530"/>
    </row>
    <row r="531" spans="2:12" ht="15.75">
      <c r="B531" s="622">
        <v>37438</v>
      </c>
      <c r="C531" s="1229">
        <v>82.83</v>
      </c>
      <c r="D531" s="1439">
        <v>78.3</v>
      </c>
      <c r="L531"/>
    </row>
    <row r="532" spans="2:12" ht="15.75">
      <c r="B532" s="622">
        <v>37469</v>
      </c>
      <c r="C532" s="1229">
        <v>82.736000000000004</v>
      </c>
      <c r="D532" s="1439">
        <v>78.2</v>
      </c>
      <c r="L532"/>
    </row>
    <row r="533" spans="2:12" ht="15.75">
      <c r="B533" s="622">
        <v>37500</v>
      </c>
      <c r="C533" s="1229">
        <v>82.736000000000004</v>
      </c>
      <c r="D533" s="1439">
        <v>78.2</v>
      </c>
      <c r="L533"/>
    </row>
    <row r="534" spans="2:12" ht="15.75">
      <c r="B534" s="622">
        <v>37530</v>
      </c>
      <c r="C534" s="1229">
        <v>82.643000000000001</v>
      </c>
      <c r="D534" s="1439">
        <v>78.099999999999994</v>
      </c>
      <c r="L534"/>
    </row>
    <row r="535" spans="2:12" ht="15.75">
      <c r="B535" s="622">
        <v>37561</v>
      </c>
      <c r="C535" s="1229">
        <v>82.363</v>
      </c>
      <c r="D535" s="1439">
        <v>77.8</v>
      </c>
      <c r="L535"/>
    </row>
    <row r="536" spans="2:12" ht="15.75">
      <c r="B536" s="622">
        <v>37591</v>
      </c>
      <c r="C536" s="1229">
        <v>83.108999999999995</v>
      </c>
      <c r="D536" s="1439">
        <v>78.5</v>
      </c>
      <c r="L536"/>
    </row>
    <row r="537" spans="2:12" ht="15.75">
      <c r="B537" s="622">
        <v>37622</v>
      </c>
      <c r="C537" s="1229">
        <v>83.108999999999995</v>
      </c>
      <c r="D537" s="1439">
        <v>78.5</v>
      </c>
      <c r="L537"/>
    </row>
    <row r="538" spans="2:12" ht="15.75">
      <c r="B538" s="622">
        <v>37653</v>
      </c>
      <c r="C538" s="1229">
        <v>83.575999999999993</v>
      </c>
      <c r="D538" s="1439">
        <v>79</v>
      </c>
      <c r="L538"/>
    </row>
    <row r="539" spans="2:12" ht="15.75">
      <c r="B539" s="622">
        <v>37681</v>
      </c>
      <c r="C539" s="1229">
        <v>83.668999999999997</v>
      </c>
      <c r="D539" s="1439">
        <v>79</v>
      </c>
      <c r="L539"/>
    </row>
    <row r="540" spans="2:12" ht="15.75">
      <c r="B540" s="622">
        <v>37712</v>
      </c>
      <c r="C540" s="1229">
        <v>83.388999999999996</v>
      </c>
      <c r="D540" s="1439">
        <v>78.8</v>
      </c>
      <c r="L540"/>
    </row>
    <row r="541" spans="2:12" ht="15.75">
      <c r="B541" s="622">
        <v>37742</v>
      </c>
      <c r="C541" s="1229">
        <v>83.203000000000003</v>
      </c>
      <c r="D541" s="1439">
        <v>78.599999999999994</v>
      </c>
      <c r="L541"/>
    </row>
    <row r="542" spans="2:12" ht="15.75">
      <c r="B542" s="622">
        <v>37773</v>
      </c>
      <c r="C542" s="1229">
        <v>83.481999999999999</v>
      </c>
      <c r="D542" s="1439">
        <v>78.900000000000006</v>
      </c>
      <c r="L542"/>
    </row>
    <row r="543" spans="2:12" ht="15.75">
      <c r="B543" s="622">
        <v>37803</v>
      </c>
      <c r="C543" s="1229">
        <v>83.668999999999997</v>
      </c>
      <c r="D543" s="1439">
        <v>79</v>
      </c>
      <c r="L543"/>
    </row>
    <row r="544" spans="2:12" ht="15.75">
      <c r="B544" s="622">
        <v>37834</v>
      </c>
      <c r="C544" s="1229">
        <v>83.668999999999997</v>
      </c>
      <c r="D544" s="1439">
        <v>79</v>
      </c>
      <c r="L544"/>
    </row>
    <row r="545" spans="2:12" ht="15.75">
      <c r="B545" s="622">
        <v>37865</v>
      </c>
      <c r="C545" s="1229">
        <v>83.575999999999993</v>
      </c>
      <c r="D545" s="1439">
        <v>79</v>
      </c>
      <c r="L545"/>
    </row>
    <row r="546" spans="2:12" ht="15.75">
      <c r="B546" s="622">
        <v>37895</v>
      </c>
      <c r="C546" s="1229">
        <v>83.575999999999993</v>
      </c>
      <c r="D546" s="1439">
        <v>79</v>
      </c>
      <c r="L546"/>
    </row>
    <row r="547" spans="2:12" ht="15.75">
      <c r="B547" s="622">
        <v>37926</v>
      </c>
      <c r="C547" s="1229">
        <v>83.388999999999996</v>
      </c>
      <c r="D547" s="1439">
        <v>78.8</v>
      </c>
      <c r="L547"/>
    </row>
    <row r="548" spans="2:12" ht="15.75">
      <c r="B548" s="622">
        <v>37956</v>
      </c>
      <c r="C548" s="1229">
        <v>84.042000000000002</v>
      </c>
      <c r="D548" s="1439">
        <v>79.400000000000006</v>
      </c>
      <c r="L548"/>
    </row>
    <row r="549" spans="2:12" ht="15.75">
      <c r="B549" s="622">
        <v>37987</v>
      </c>
      <c r="C549" s="1229">
        <v>84.042000000000002</v>
      </c>
      <c r="D549" s="1439">
        <v>79.400000000000006</v>
      </c>
      <c r="L549"/>
    </row>
    <row r="550" spans="2:12" ht="15.75">
      <c r="B550" s="622">
        <v>38018</v>
      </c>
      <c r="C550" s="1229">
        <v>84.228999999999999</v>
      </c>
      <c r="D550" s="1439">
        <v>79.599999999999994</v>
      </c>
      <c r="L550"/>
    </row>
    <row r="551" spans="2:12" ht="15.75">
      <c r="B551" s="622">
        <v>38047</v>
      </c>
      <c r="C551" s="1229">
        <v>84.509</v>
      </c>
      <c r="D551" s="1439">
        <v>79.900000000000006</v>
      </c>
      <c r="L551"/>
    </row>
    <row r="552" spans="2:12" ht="15.75">
      <c r="B552" s="622">
        <v>38078</v>
      </c>
      <c r="C552" s="1229">
        <v>84.787999999999997</v>
      </c>
      <c r="D552" s="1439">
        <v>80.099999999999994</v>
      </c>
      <c r="L552"/>
    </row>
    <row r="553" spans="2:12" ht="15.75">
      <c r="B553" s="622">
        <v>38108</v>
      </c>
      <c r="C553" s="1229">
        <v>84.974999999999994</v>
      </c>
      <c r="D553" s="1439">
        <v>80.3</v>
      </c>
      <c r="L553"/>
    </row>
    <row r="554" spans="2:12" ht="15.75">
      <c r="B554" s="622">
        <v>38139</v>
      </c>
      <c r="C554" s="1229">
        <v>84.974999999999994</v>
      </c>
      <c r="D554" s="1439">
        <v>80.3</v>
      </c>
      <c r="L554"/>
    </row>
    <row r="555" spans="2:12" ht="15.75">
      <c r="B555" s="622">
        <v>38169</v>
      </c>
      <c r="C555" s="1229">
        <v>85.161000000000001</v>
      </c>
      <c r="D555" s="1439">
        <v>80.400000000000006</v>
      </c>
      <c r="L555"/>
    </row>
    <row r="556" spans="2:12" ht="15.75">
      <c r="B556" s="622">
        <v>38200</v>
      </c>
      <c r="C556" s="1229">
        <v>85.254999999999995</v>
      </c>
      <c r="D556" s="1439">
        <v>80.5</v>
      </c>
      <c r="L556"/>
    </row>
    <row r="557" spans="2:12" ht="15.75">
      <c r="B557" s="622">
        <v>38231</v>
      </c>
      <c r="C557" s="1229">
        <v>85.067999999999998</v>
      </c>
      <c r="D557" s="1439">
        <v>80.3</v>
      </c>
      <c r="L557"/>
    </row>
    <row r="558" spans="2:12" ht="15.75">
      <c r="B558" s="622">
        <v>38261</v>
      </c>
      <c r="C558" s="1229">
        <v>85.161000000000001</v>
      </c>
      <c r="D558" s="1439">
        <v>80.400000000000006</v>
      </c>
      <c r="L558"/>
    </row>
    <row r="559" spans="2:12" ht="15.75">
      <c r="B559" s="622">
        <v>38292</v>
      </c>
      <c r="C559" s="1229">
        <v>84.974999999999994</v>
      </c>
      <c r="D559" s="1439">
        <v>80.3</v>
      </c>
      <c r="L559"/>
    </row>
    <row r="560" spans="2:12" ht="15.75">
      <c r="B560" s="622">
        <v>38322</v>
      </c>
      <c r="C560" s="1229">
        <v>85.908000000000001</v>
      </c>
      <c r="D560" s="1439">
        <v>81.2</v>
      </c>
      <c r="L560"/>
    </row>
    <row r="561" spans="2:12" ht="15.75">
      <c r="B561" s="622">
        <v>38353</v>
      </c>
      <c r="C561" s="1229">
        <v>85.254999999999995</v>
      </c>
      <c r="D561" s="1439">
        <v>80.599999999999994</v>
      </c>
      <c r="L561"/>
    </row>
    <row r="562" spans="2:12" ht="15.75">
      <c r="B562" s="622">
        <v>38384</v>
      </c>
      <c r="C562" s="1229">
        <v>85.628</v>
      </c>
      <c r="D562" s="1439">
        <v>80.900000000000006</v>
      </c>
      <c r="L562"/>
    </row>
    <row r="563" spans="2:12" ht="15.75">
      <c r="B563" s="622">
        <v>38412</v>
      </c>
      <c r="C563" s="1229">
        <v>86.001000000000005</v>
      </c>
      <c r="D563" s="1439">
        <v>81.3</v>
      </c>
      <c r="L563"/>
    </row>
    <row r="564" spans="2:12" ht="15.75">
      <c r="B564" s="622">
        <v>38443</v>
      </c>
      <c r="C564" s="1229">
        <v>85.813999999999993</v>
      </c>
      <c r="D564" s="1439">
        <v>81</v>
      </c>
      <c r="L564"/>
    </row>
    <row r="565" spans="2:12" ht="15.75">
      <c r="B565" s="622">
        <v>38473</v>
      </c>
      <c r="C565" s="1229">
        <v>86.001000000000005</v>
      </c>
      <c r="D565" s="1439">
        <v>81.2</v>
      </c>
      <c r="L565"/>
    </row>
    <row r="566" spans="2:12" ht="15.75">
      <c r="B566" s="622">
        <v>38504</v>
      </c>
      <c r="C566" s="1229">
        <v>86.093999999999994</v>
      </c>
      <c r="D566" s="1439">
        <v>81.3</v>
      </c>
      <c r="L566"/>
    </row>
    <row r="567" spans="2:12" ht="15.75">
      <c r="B567" s="622">
        <v>38534</v>
      </c>
      <c r="C567" s="1229">
        <v>86.466999999999999</v>
      </c>
      <c r="D567" s="1439">
        <v>81.7</v>
      </c>
      <c r="L567"/>
    </row>
    <row r="568" spans="2:12" ht="15.75">
      <c r="B568" s="622">
        <v>38565</v>
      </c>
      <c r="C568" s="1229">
        <v>86.561000000000007</v>
      </c>
      <c r="D568" s="1439">
        <v>81.8</v>
      </c>
      <c r="L568"/>
    </row>
    <row r="569" spans="2:12" ht="15.75">
      <c r="B569" s="622">
        <v>38596</v>
      </c>
      <c r="C569" s="1229">
        <v>86.653999999999996</v>
      </c>
      <c r="D569" s="1439">
        <v>81.900000000000006</v>
      </c>
      <c r="L569"/>
    </row>
    <row r="570" spans="2:12" ht="15.75">
      <c r="B570" s="622">
        <v>38626</v>
      </c>
      <c r="C570" s="1229">
        <v>86.747</v>
      </c>
      <c r="D570" s="1439">
        <v>81.900000000000006</v>
      </c>
      <c r="L570"/>
    </row>
    <row r="571" spans="2:12" ht="15.75">
      <c r="B571" s="622">
        <v>38657</v>
      </c>
      <c r="C571" s="1229">
        <v>86.466999999999999</v>
      </c>
      <c r="D571" s="1439">
        <v>81.7</v>
      </c>
      <c r="L571"/>
    </row>
    <row r="572" spans="2:12" ht="15.75">
      <c r="B572" s="622">
        <v>38687</v>
      </c>
      <c r="C572" s="1229">
        <v>87.12</v>
      </c>
      <c r="D572" s="1439">
        <v>82.3</v>
      </c>
      <c r="L572"/>
    </row>
    <row r="573" spans="2:12" ht="15.75">
      <c r="B573" s="622">
        <v>38718</v>
      </c>
      <c r="C573" s="1229">
        <v>86.84</v>
      </c>
      <c r="D573" s="1439">
        <v>82</v>
      </c>
      <c r="L573"/>
    </row>
    <row r="574" spans="2:12" ht="15.75">
      <c r="B574" s="622">
        <v>38749</v>
      </c>
      <c r="C574" s="1229">
        <v>87.213999999999999</v>
      </c>
      <c r="D574" s="1439">
        <v>82.4</v>
      </c>
      <c r="L574"/>
    </row>
    <row r="575" spans="2:12" ht="15.75">
      <c r="B575" s="622">
        <v>38777</v>
      </c>
      <c r="C575" s="1229">
        <v>87.213999999999999</v>
      </c>
      <c r="D575" s="1439">
        <v>82.4</v>
      </c>
      <c r="L575"/>
    </row>
    <row r="576" spans="2:12" ht="15.75">
      <c r="B576" s="622">
        <v>38808</v>
      </c>
      <c r="C576" s="1229">
        <v>87.492999999999995</v>
      </c>
      <c r="D576" s="1439">
        <v>82.7</v>
      </c>
      <c r="L576"/>
    </row>
    <row r="577" spans="2:12" ht="15.75">
      <c r="B577" s="622">
        <v>38838</v>
      </c>
      <c r="C577" s="1229">
        <v>87.492999999999995</v>
      </c>
      <c r="D577" s="1439">
        <v>82.7</v>
      </c>
      <c r="L577"/>
    </row>
    <row r="578" spans="2:12" ht="15.75">
      <c r="B578" s="622">
        <v>38869</v>
      </c>
      <c r="C578" s="1229">
        <v>87.68</v>
      </c>
      <c r="D578" s="1439">
        <v>82.9</v>
      </c>
      <c r="L578"/>
    </row>
    <row r="579" spans="2:12" ht="15.75">
      <c r="B579" s="622">
        <v>38899</v>
      </c>
      <c r="C579" s="1229">
        <v>88.052999999999997</v>
      </c>
      <c r="D579" s="1439">
        <v>83.2</v>
      </c>
      <c r="L579"/>
    </row>
    <row r="580" spans="2:12" ht="15.75">
      <c r="B580" s="622">
        <v>38930</v>
      </c>
      <c r="C580" s="1229">
        <v>87.866</v>
      </c>
      <c r="D580" s="1439">
        <v>83</v>
      </c>
      <c r="L580"/>
    </row>
    <row r="581" spans="2:12" ht="15.75">
      <c r="B581" s="622">
        <v>38961</v>
      </c>
      <c r="C581" s="1229">
        <v>87.587000000000003</v>
      </c>
      <c r="D581" s="1439">
        <v>82.7</v>
      </c>
      <c r="L581"/>
    </row>
    <row r="582" spans="2:12" ht="15.75">
      <c r="B582" s="622">
        <v>38991</v>
      </c>
      <c r="C582" s="1229">
        <v>87.68</v>
      </c>
      <c r="D582" s="1439">
        <v>82.8</v>
      </c>
      <c r="L582"/>
    </row>
    <row r="583" spans="2:12" ht="15.75">
      <c r="B583" s="622">
        <v>39022</v>
      </c>
      <c r="C583" s="1229">
        <v>87.68</v>
      </c>
      <c r="D583" s="1439">
        <v>82.8</v>
      </c>
      <c r="L583"/>
    </row>
    <row r="584" spans="2:12" ht="15.75">
      <c r="B584" s="622">
        <v>39052</v>
      </c>
      <c r="C584" s="1229">
        <v>88.332999999999998</v>
      </c>
      <c r="D584" s="1439">
        <v>83.5</v>
      </c>
      <c r="L584"/>
    </row>
    <row r="585" spans="2:12" ht="15.75">
      <c r="B585" s="622">
        <v>39083</v>
      </c>
      <c r="C585" s="1229">
        <v>88.332999999999998</v>
      </c>
      <c r="D585" s="1439">
        <v>83.5</v>
      </c>
      <c r="L585"/>
    </row>
    <row r="586" spans="2:12" ht="15.75">
      <c r="B586" s="622">
        <v>39114</v>
      </c>
      <c r="C586" s="1229">
        <v>88.706000000000003</v>
      </c>
      <c r="D586" s="1439">
        <v>83.8</v>
      </c>
      <c r="L586"/>
    </row>
    <row r="587" spans="2:12" ht="15.75">
      <c r="B587" s="622">
        <v>39142</v>
      </c>
      <c r="C587" s="1229">
        <v>88.893000000000001</v>
      </c>
      <c r="D587" s="1439">
        <v>84</v>
      </c>
      <c r="L587"/>
    </row>
    <row r="588" spans="2:12" ht="15.75">
      <c r="B588" s="622">
        <v>39173</v>
      </c>
      <c r="C588" s="1229">
        <v>89.358999999999995</v>
      </c>
      <c r="D588" s="1439">
        <v>84.4</v>
      </c>
      <c r="L588"/>
    </row>
    <row r="589" spans="2:12" ht="15.75">
      <c r="B589" s="622">
        <v>39203</v>
      </c>
      <c r="C589" s="1229">
        <v>89.358999999999995</v>
      </c>
      <c r="D589" s="1439">
        <v>84.4</v>
      </c>
      <c r="L589"/>
    </row>
    <row r="590" spans="2:12" ht="15.75">
      <c r="B590" s="622">
        <v>39234</v>
      </c>
      <c r="C590" s="1229">
        <v>89.358999999999995</v>
      </c>
      <c r="D590" s="1439">
        <v>84.5</v>
      </c>
      <c r="L590"/>
    </row>
    <row r="591" spans="2:12" ht="15.75">
      <c r="B591" s="622">
        <v>39264</v>
      </c>
      <c r="C591" s="1229">
        <v>89.825000000000003</v>
      </c>
      <c r="D591" s="1439">
        <v>84.9</v>
      </c>
      <c r="L591"/>
    </row>
    <row r="592" spans="2:12" ht="15.75">
      <c r="B592" s="622">
        <v>39295</v>
      </c>
      <c r="C592" s="1229">
        <v>89.731999999999999</v>
      </c>
      <c r="D592" s="1439">
        <v>84.8</v>
      </c>
      <c r="L592"/>
    </row>
    <row r="593" spans="2:12" ht="15.75">
      <c r="B593" s="622">
        <v>39326</v>
      </c>
      <c r="C593" s="1229">
        <v>89.918999999999997</v>
      </c>
      <c r="D593" s="1439">
        <v>84.9</v>
      </c>
      <c r="L593"/>
    </row>
    <row r="594" spans="2:12" ht="15.75">
      <c r="B594" s="622">
        <v>39356</v>
      </c>
      <c r="C594" s="1229">
        <v>90.105000000000004</v>
      </c>
      <c r="D594" s="1439">
        <v>85.1</v>
      </c>
      <c r="L594"/>
    </row>
    <row r="595" spans="2:12" ht="15.75">
      <c r="B595" s="622">
        <v>39387</v>
      </c>
      <c r="C595" s="1229">
        <v>90.570999999999998</v>
      </c>
      <c r="D595" s="1439">
        <v>85.6</v>
      </c>
      <c r="L595"/>
    </row>
    <row r="596" spans="2:12" ht="15.75">
      <c r="B596" s="622">
        <v>39417</v>
      </c>
      <c r="C596" s="1229">
        <v>91.131</v>
      </c>
      <c r="D596" s="1439">
        <v>86.1</v>
      </c>
      <c r="L596"/>
    </row>
    <row r="597" spans="2:12" ht="15.75">
      <c r="B597" s="622">
        <v>39448</v>
      </c>
      <c r="C597" s="1229">
        <v>90.850999999999999</v>
      </c>
      <c r="D597" s="1439">
        <v>85.8</v>
      </c>
      <c r="L597"/>
    </row>
    <row r="598" spans="2:12" ht="15.75">
      <c r="B598" s="622">
        <v>39479</v>
      </c>
      <c r="C598" s="1229">
        <v>91.224000000000004</v>
      </c>
      <c r="D598" s="1439">
        <v>86.2</v>
      </c>
      <c r="L598"/>
    </row>
    <row r="599" spans="2:12" ht="15.75">
      <c r="B599" s="622">
        <v>39508</v>
      </c>
      <c r="C599" s="1229">
        <v>91.691000000000003</v>
      </c>
      <c r="D599" s="1439">
        <v>86.6</v>
      </c>
      <c r="L599"/>
    </row>
    <row r="600" spans="2:12" ht="15.75">
      <c r="B600" s="622">
        <v>39539</v>
      </c>
      <c r="C600" s="1229">
        <v>91.504000000000005</v>
      </c>
      <c r="D600" s="1439">
        <v>86.4</v>
      </c>
      <c r="L600"/>
    </row>
    <row r="601" spans="2:12" ht="15.75">
      <c r="B601" s="622">
        <v>39569</v>
      </c>
      <c r="C601" s="1229">
        <v>92.063999999999993</v>
      </c>
      <c r="D601" s="1439">
        <v>86.9</v>
      </c>
      <c r="L601"/>
    </row>
    <row r="602" spans="2:12" ht="15.75">
      <c r="B602" s="622">
        <v>39600</v>
      </c>
      <c r="C602" s="1229">
        <v>92.25</v>
      </c>
      <c r="D602" s="1439">
        <v>87.2</v>
      </c>
      <c r="L602"/>
    </row>
    <row r="603" spans="2:12" ht="15.75">
      <c r="B603" s="622">
        <v>39630</v>
      </c>
      <c r="C603" s="1229">
        <v>92.81</v>
      </c>
      <c r="D603" s="1439">
        <v>87.7</v>
      </c>
      <c r="L603"/>
    </row>
    <row r="604" spans="2:12" ht="15.75">
      <c r="B604" s="622">
        <v>39661</v>
      </c>
      <c r="C604" s="1229">
        <v>92.53</v>
      </c>
      <c r="D604" s="1439">
        <v>87.4</v>
      </c>
      <c r="L604"/>
    </row>
    <row r="605" spans="2:12" ht="15.75">
      <c r="B605" s="622">
        <v>39692</v>
      </c>
      <c r="C605" s="1229">
        <v>92.436999999999998</v>
      </c>
      <c r="D605" s="1439">
        <v>87.4</v>
      </c>
      <c r="L605"/>
    </row>
    <row r="606" spans="2:12" ht="15.75">
      <c r="B606" s="622">
        <v>39722</v>
      </c>
      <c r="C606" s="1229">
        <v>92.25</v>
      </c>
      <c r="D606" s="1439">
        <v>87.2</v>
      </c>
      <c r="L606"/>
    </row>
    <row r="607" spans="2:12" ht="15.75">
      <c r="B607" s="622">
        <v>39753</v>
      </c>
      <c r="C607" s="1229">
        <v>91.784000000000006</v>
      </c>
      <c r="D607" s="1439">
        <v>86.8</v>
      </c>
      <c r="L607"/>
    </row>
    <row r="608" spans="2:12" ht="15.75">
      <c r="B608" s="622">
        <v>39783</v>
      </c>
      <c r="C608" s="1229">
        <v>92.156999999999996</v>
      </c>
      <c r="D608" s="1439">
        <v>87</v>
      </c>
      <c r="L608"/>
    </row>
    <row r="609" spans="2:12" ht="15.75">
      <c r="B609" s="622">
        <v>39814</v>
      </c>
      <c r="C609" s="1229">
        <v>91.691000000000003</v>
      </c>
      <c r="D609" s="1439">
        <v>86.6</v>
      </c>
      <c r="L609"/>
    </row>
    <row r="610" spans="2:12" ht="15.75">
      <c r="B610" s="622">
        <v>39845</v>
      </c>
      <c r="C610" s="1229">
        <v>92.25</v>
      </c>
      <c r="D610" s="1439">
        <v>87.1</v>
      </c>
      <c r="L610"/>
    </row>
    <row r="611" spans="2:12" ht="15.75">
      <c r="B611" s="622">
        <v>39873</v>
      </c>
      <c r="C611" s="1229">
        <v>92.063999999999993</v>
      </c>
      <c r="D611" s="1439">
        <v>87</v>
      </c>
      <c r="L611"/>
    </row>
    <row r="612" spans="2:12" ht="15.75">
      <c r="B612" s="622">
        <v>39904</v>
      </c>
      <c r="C612" s="1229">
        <v>92.156999999999996</v>
      </c>
      <c r="D612" s="1439">
        <v>87</v>
      </c>
      <c r="L612"/>
    </row>
    <row r="613" spans="2:12" ht="15.75">
      <c r="B613" s="622">
        <v>39934</v>
      </c>
      <c r="C613" s="1229">
        <v>92.063999999999993</v>
      </c>
      <c r="D613" s="1439">
        <v>87</v>
      </c>
      <c r="L613"/>
    </row>
    <row r="614" spans="2:12" ht="15.75">
      <c r="B614" s="622">
        <v>39965</v>
      </c>
      <c r="C614" s="1229">
        <v>92.343999999999994</v>
      </c>
      <c r="D614" s="1439">
        <v>87.3</v>
      </c>
      <c r="L614"/>
    </row>
    <row r="615" spans="2:12" ht="15.75">
      <c r="B615" s="622">
        <v>39995</v>
      </c>
      <c r="C615" s="1229">
        <v>92.343999999999994</v>
      </c>
      <c r="D615" s="1439">
        <v>87.3</v>
      </c>
      <c r="L615"/>
    </row>
    <row r="616" spans="2:12" ht="15.75">
      <c r="B616" s="622">
        <v>40026</v>
      </c>
      <c r="C616" s="1229">
        <v>92.53</v>
      </c>
      <c r="D616" s="1439">
        <v>87.5</v>
      </c>
      <c r="L616"/>
    </row>
    <row r="617" spans="2:12" ht="15.75">
      <c r="B617" s="622">
        <v>40057</v>
      </c>
      <c r="C617" s="1229">
        <v>92.25</v>
      </c>
      <c r="D617" s="1439">
        <v>87.1</v>
      </c>
      <c r="L617"/>
    </row>
    <row r="618" spans="2:12" ht="15.75">
      <c r="B618" s="622">
        <v>40087</v>
      </c>
      <c r="C618" s="1229">
        <v>92.25</v>
      </c>
      <c r="D618" s="1439">
        <v>87.2</v>
      </c>
      <c r="L618"/>
    </row>
    <row r="619" spans="2:12" ht="15.75">
      <c r="B619" s="622">
        <v>40118</v>
      </c>
      <c r="C619" s="1229">
        <v>92.156999999999996</v>
      </c>
      <c r="D619" s="1439">
        <v>87.1</v>
      </c>
      <c r="L619"/>
    </row>
    <row r="620" spans="2:12" ht="15.75">
      <c r="B620" s="622">
        <v>40148</v>
      </c>
      <c r="C620" s="1229">
        <v>92.903000000000006</v>
      </c>
      <c r="D620" s="1439">
        <v>87.8</v>
      </c>
      <c r="L620"/>
    </row>
    <row r="621" spans="2:12" ht="15.75">
      <c r="B621" s="622">
        <v>40179</v>
      </c>
      <c r="C621" s="1229">
        <v>92.343999999999994</v>
      </c>
      <c r="D621" s="1439">
        <v>87.3</v>
      </c>
      <c r="L621"/>
    </row>
    <row r="622" spans="2:12" ht="15.75">
      <c r="B622" s="622">
        <v>40210</v>
      </c>
      <c r="C622" s="1229">
        <v>92.716999999999999</v>
      </c>
      <c r="D622" s="1439">
        <v>87.6</v>
      </c>
      <c r="L622"/>
    </row>
    <row r="623" spans="2:12" ht="15.75">
      <c r="B623" s="622">
        <v>40238</v>
      </c>
      <c r="C623" s="1229">
        <v>93.183000000000007</v>
      </c>
      <c r="D623" s="1439">
        <v>88.1</v>
      </c>
      <c r="L623"/>
    </row>
    <row r="624" spans="2:12" ht="15.75">
      <c r="B624" s="622">
        <v>40269</v>
      </c>
      <c r="C624" s="1229">
        <v>93.277000000000001</v>
      </c>
      <c r="D624" s="1439">
        <v>88.1</v>
      </c>
      <c r="L624"/>
    </row>
    <row r="625" spans="2:12" ht="15.75">
      <c r="B625" s="622">
        <v>40299</v>
      </c>
      <c r="C625" s="1229">
        <v>93.183000000000007</v>
      </c>
      <c r="D625" s="1439">
        <v>88.1</v>
      </c>
      <c r="L625"/>
    </row>
    <row r="626" spans="2:12" ht="15.75">
      <c r="B626" s="622">
        <v>40330</v>
      </c>
      <c r="C626" s="1229">
        <v>93.183000000000007</v>
      </c>
      <c r="D626" s="1439">
        <v>88.1</v>
      </c>
      <c r="L626"/>
    </row>
    <row r="627" spans="2:12" ht="15.75">
      <c r="B627" s="622">
        <v>40360</v>
      </c>
      <c r="C627" s="1229">
        <v>93.37</v>
      </c>
      <c r="D627" s="1439">
        <v>88.2</v>
      </c>
      <c r="L627"/>
    </row>
    <row r="628" spans="2:12" ht="15.75">
      <c r="B628" s="622">
        <v>40391</v>
      </c>
      <c r="C628" s="1229">
        <v>93.462999999999994</v>
      </c>
      <c r="D628" s="1439">
        <v>88.3</v>
      </c>
      <c r="L628"/>
    </row>
    <row r="629" spans="2:12" ht="15.75">
      <c r="B629" s="622">
        <v>40422</v>
      </c>
      <c r="C629" s="1229">
        <v>93.37</v>
      </c>
      <c r="D629" s="1439">
        <v>88.2</v>
      </c>
      <c r="L629"/>
    </row>
    <row r="630" spans="2:12" ht="15.75">
      <c r="B630" s="622">
        <v>40452</v>
      </c>
      <c r="C630" s="1229">
        <v>93.462999999999994</v>
      </c>
      <c r="D630" s="1439">
        <v>88.3</v>
      </c>
      <c r="L630"/>
    </row>
    <row r="631" spans="2:12" ht="15.75">
      <c r="B631" s="622">
        <v>40483</v>
      </c>
      <c r="C631" s="1229">
        <v>93.555999999999997</v>
      </c>
      <c r="D631" s="1439">
        <v>88.4</v>
      </c>
      <c r="L631"/>
    </row>
    <row r="632" spans="2:12" ht="15.75">
      <c r="B632" s="622">
        <v>40513</v>
      </c>
      <c r="C632" s="1229">
        <v>94.116</v>
      </c>
      <c r="D632" s="1439">
        <v>89</v>
      </c>
      <c r="L632"/>
    </row>
    <row r="633" spans="2:12" ht="15.75">
      <c r="B633" s="622">
        <v>40544</v>
      </c>
      <c r="C633" s="1229">
        <v>93.929000000000002</v>
      </c>
      <c r="D633" s="1439">
        <v>88.7</v>
      </c>
      <c r="L633"/>
    </row>
    <row r="634" spans="2:12" ht="15.75">
      <c r="B634" s="622">
        <v>40575</v>
      </c>
      <c r="C634" s="1229">
        <v>94.489000000000004</v>
      </c>
      <c r="D634" s="1439">
        <v>89.3</v>
      </c>
      <c r="L634"/>
    </row>
    <row r="635" spans="2:12" ht="15.75">
      <c r="B635" s="622">
        <v>40603</v>
      </c>
      <c r="C635" s="1229">
        <v>95.049000000000007</v>
      </c>
      <c r="D635" s="1439">
        <v>89.8</v>
      </c>
      <c r="L635"/>
    </row>
    <row r="636" spans="2:12" ht="15.75">
      <c r="B636" s="622">
        <v>40634</v>
      </c>
      <c r="C636" s="1229">
        <v>95.049000000000007</v>
      </c>
      <c r="D636" s="1439">
        <v>89.8</v>
      </c>
      <c r="L636"/>
    </row>
    <row r="637" spans="2:12" ht="15.75">
      <c r="B637" s="622">
        <v>40664</v>
      </c>
      <c r="C637" s="1229">
        <v>95.049000000000007</v>
      </c>
      <c r="D637" s="1439">
        <v>89.8</v>
      </c>
      <c r="L637"/>
    </row>
    <row r="638" spans="2:12" ht="15.75">
      <c r="B638" s="622">
        <v>40695</v>
      </c>
      <c r="C638" s="1229">
        <v>95.141999999999996</v>
      </c>
      <c r="D638" s="1439">
        <v>89.9</v>
      </c>
      <c r="L638"/>
    </row>
    <row r="639" spans="2:12" ht="15.75">
      <c r="B639" s="622">
        <v>40725</v>
      </c>
      <c r="C639" s="1229">
        <v>95.328999999999994</v>
      </c>
      <c r="D639" s="1439">
        <v>90.1</v>
      </c>
      <c r="L639"/>
    </row>
    <row r="640" spans="2:12" ht="15.75">
      <c r="B640" s="622">
        <v>40756</v>
      </c>
      <c r="C640" s="1229">
        <v>95.421999999999997</v>
      </c>
      <c r="D640" s="1439">
        <v>90.2</v>
      </c>
      <c r="L640"/>
    </row>
    <row r="641" spans="2:12" ht="15.75">
      <c r="B641" s="622">
        <v>40787</v>
      </c>
      <c r="C641" s="1229">
        <v>95.608000000000004</v>
      </c>
      <c r="D641" s="1439">
        <v>90.3</v>
      </c>
      <c r="L641"/>
    </row>
    <row r="642" spans="2:12" ht="15.75">
      <c r="B642" s="622">
        <v>40817</v>
      </c>
      <c r="C642" s="1229">
        <v>95.608000000000004</v>
      </c>
      <c r="D642" s="1439">
        <v>90.4</v>
      </c>
      <c r="L642"/>
    </row>
    <row r="643" spans="2:12" ht="15.75">
      <c r="B643" s="622">
        <v>40848</v>
      </c>
      <c r="C643" s="1229">
        <v>95.795000000000002</v>
      </c>
      <c r="D643" s="1439">
        <v>90.5</v>
      </c>
      <c r="L643"/>
    </row>
    <row r="644" spans="2:12" ht="15.75">
      <c r="B644" s="622">
        <v>40878</v>
      </c>
      <c r="C644" s="1229">
        <v>95.981999999999999</v>
      </c>
      <c r="D644" s="1439">
        <v>90.7</v>
      </c>
      <c r="L644"/>
    </row>
    <row r="645" spans="2:12" ht="15.75">
      <c r="B645" s="622">
        <v>40909</v>
      </c>
      <c r="C645" s="1229">
        <v>95.888000000000005</v>
      </c>
      <c r="D645" s="1439">
        <v>90.6</v>
      </c>
      <c r="L645"/>
    </row>
    <row r="646" spans="2:12" ht="15.75">
      <c r="B646" s="622">
        <v>40940</v>
      </c>
      <c r="C646" s="1229">
        <v>96.540999999999997</v>
      </c>
      <c r="D646" s="1439">
        <v>91.2</v>
      </c>
      <c r="L646"/>
    </row>
    <row r="647" spans="2:12" ht="15.75">
      <c r="B647" s="622">
        <v>40969</v>
      </c>
      <c r="C647" s="1229">
        <v>97.100999999999999</v>
      </c>
      <c r="D647" s="1439">
        <v>91.7</v>
      </c>
      <c r="L647"/>
    </row>
    <row r="648" spans="2:12" ht="15.75">
      <c r="B648" s="622">
        <v>41000</v>
      </c>
      <c r="C648" s="1229">
        <v>96.914000000000001</v>
      </c>
      <c r="D648" s="1439">
        <v>91.6</v>
      </c>
      <c r="L648"/>
    </row>
    <row r="649" spans="2:12" ht="15.75">
      <c r="B649" s="622">
        <v>41030</v>
      </c>
      <c r="C649" s="1229">
        <v>96.914000000000001</v>
      </c>
      <c r="D649" s="1439">
        <v>91.5</v>
      </c>
      <c r="L649"/>
    </row>
    <row r="650" spans="2:12" ht="15.75">
      <c r="B650" s="622">
        <v>41061</v>
      </c>
      <c r="C650" s="1229">
        <v>96.727999999999994</v>
      </c>
      <c r="D650" s="1439">
        <v>91.4</v>
      </c>
      <c r="L650"/>
    </row>
    <row r="651" spans="2:12" ht="15.75">
      <c r="B651" s="622">
        <v>41091</v>
      </c>
      <c r="C651" s="1229">
        <v>97.100999999999999</v>
      </c>
      <c r="D651" s="1439">
        <v>91.7</v>
      </c>
      <c r="L651"/>
    </row>
    <row r="652" spans="2:12" ht="15.75">
      <c r="B652" s="622">
        <v>41122</v>
      </c>
      <c r="C652" s="1229">
        <v>97.474000000000004</v>
      </c>
      <c r="D652" s="1439">
        <v>92.1</v>
      </c>
      <c r="L652"/>
    </row>
    <row r="653" spans="2:12" ht="15.75">
      <c r="B653" s="622">
        <v>41153</v>
      </c>
      <c r="C653" s="1229">
        <v>97.566999999999993</v>
      </c>
      <c r="D653" s="1439">
        <v>92.2</v>
      </c>
      <c r="L653"/>
    </row>
    <row r="654" spans="2:12" ht="15.75">
      <c r="B654" s="622">
        <v>41183</v>
      </c>
      <c r="C654" s="1229">
        <v>97.566999999999993</v>
      </c>
      <c r="D654" s="1439">
        <v>92.2</v>
      </c>
      <c r="L654"/>
    </row>
    <row r="655" spans="2:12" ht="15.75">
      <c r="B655" s="622">
        <v>41214</v>
      </c>
      <c r="C655" s="1229">
        <v>97.661000000000001</v>
      </c>
      <c r="D655" s="1439">
        <v>92.2</v>
      </c>
      <c r="L655"/>
    </row>
    <row r="656" spans="2:12" ht="15.75">
      <c r="B656" s="622">
        <v>41244</v>
      </c>
      <c r="C656" s="1229">
        <v>97.94</v>
      </c>
      <c r="D656" s="1439">
        <v>92.5</v>
      </c>
      <c r="L656"/>
    </row>
    <row r="657" spans="2:12" ht="15.75">
      <c r="B657" s="622">
        <v>41275</v>
      </c>
      <c r="C657" s="1229">
        <v>97.474000000000004</v>
      </c>
      <c r="D657" s="1439">
        <v>92.1</v>
      </c>
      <c r="L657"/>
    </row>
    <row r="658" spans="2:12" ht="15.75">
      <c r="B658" s="622">
        <v>41306</v>
      </c>
      <c r="C658" s="1229">
        <v>98.034000000000006</v>
      </c>
      <c r="D658" s="1439">
        <v>92.6</v>
      </c>
      <c r="L658"/>
    </row>
    <row r="659" spans="2:12" ht="15.75">
      <c r="B659" s="622">
        <v>41334</v>
      </c>
      <c r="C659" s="1229">
        <v>98.5</v>
      </c>
      <c r="D659" s="1439">
        <v>93</v>
      </c>
      <c r="L659"/>
    </row>
    <row r="660" spans="2:12" ht="15.75">
      <c r="B660" s="622">
        <v>41365</v>
      </c>
      <c r="C660" s="1229">
        <v>98.034000000000006</v>
      </c>
      <c r="D660" s="1439">
        <v>92.6</v>
      </c>
      <c r="L660"/>
    </row>
    <row r="661" spans="2:12" ht="15.75">
      <c r="B661" s="622">
        <v>41395</v>
      </c>
      <c r="C661" s="1229">
        <v>98.406999999999996</v>
      </c>
      <c r="D661" s="1439">
        <v>93</v>
      </c>
      <c r="L661"/>
    </row>
    <row r="662" spans="2:12" ht="15.75">
      <c r="B662" s="622">
        <v>41426</v>
      </c>
      <c r="C662" s="1229">
        <v>98.5</v>
      </c>
      <c r="D662" s="1439">
        <v>93.1</v>
      </c>
      <c r="L662"/>
    </row>
    <row r="663" spans="2:12" ht="15.75">
      <c r="B663" s="622">
        <v>41456</v>
      </c>
      <c r="C663" s="1229">
        <v>98.965999999999994</v>
      </c>
      <c r="D663" s="1439">
        <v>93.5</v>
      </c>
      <c r="L663"/>
    </row>
    <row r="664" spans="2:12" ht="15.75">
      <c r="B664" s="622">
        <v>41487</v>
      </c>
      <c r="C664" s="1229">
        <v>98.965999999999994</v>
      </c>
      <c r="D664" s="1439">
        <v>93.5</v>
      </c>
      <c r="L664"/>
    </row>
    <row r="665" spans="2:12" ht="15.75">
      <c r="B665" s="622">
        <v>41518</v>
      </c>
      <c r="C665" s="1229">
        <v>98.965999999999994</v>
      </c>
      <c r="D665" s="1439">
        <v>93.5</v>
      </c>
      <c r="L665"/>
    </row>
    <row r="666" spans="2:12" ht="15.75">
      <c r="B666" s="622">
        <v>41548</v>
      </c>
      <c r="C666" s="1229">
        <v>98.78</v>
      </c>
      <c r="D666" s="1439">
        <v>93.3</v>
      </c>
      <c r="L666"/>
    </row>
    <row r="667" spans="2:12" ht="15.75">
      <c r="B667" s="622">
        <v>41579</v>
      </c>
      <c r="C667" s="1229">
        <v>98.965999999999994</v>
      </c>
      <c r="D667" s="1439">
        <v>93.5</v>
      </c>
      <c r="L667"/>
    </row>
    <row r="668" spans="2:12" ht="15.75">
      <c r="B668" s="622">
        <v>41609</v>
      </c>
      <c r="C668" s="1229">
        <v>99.338999999999999</v>
      </c>
      <c r="D668" s="1439">
        <v>93.9</v>
      </c>
      <c r="L668"/>
    </row>
    <row r="669" spans="2:12" ht="15.75">
      <c r="B669" s="622">
        <v>41640</v>
      </c>
      <c r="C669" s="1229">
        <v>98.78</v>
      </c>
      <c r="D669" s="1439">
        <v>93.3</v>
      </c>
      <c r="L669"/>
    </row>
    <row r="670" spans="2:12" ht="15.75">
      <c r="B670" s="622">
        <v>41671</v>
      </c>
      <c r="C670" s="1229">
        <v>99.245999999999995</v>
      </c>
      <c r="D670" s="1439">
        <v>93.8</v>
      </c>
      <c r="L670"/>
    </row>
    <row r="671" spans="2:12" ht="15.75">
      <c r="B671" s="622">
        <v>41699</v>
      </c>
      <c r="C671" s="1229">
        <v>99.525999999999996</v>
      </c>
      <c r="D671" s="1439">
        <v>94</v>
      </c>
      <c r="L671"/>
    </row>
    <row r="672" spans="2:12" ht="15.75">
      <c r="B672" s="622">
        <v>41730</v>
      </c>
      <c r="C672" s="1229">
        <v>99.338999999999999</v>
      </c>
      <c r="D672" s="1439">
        <v>93.9</v>
      </c>
      <c r="L672"/>
    </row>
    <row r="673" spans="2:12" ht="15.75">
      <c r="B673" s="622">
        <v>41760</v>
      </c>
      <c r="C673" s="1229">
        <v>99.245999999999995</v>
      </c>
      <c r="D673" s="1439">
        <v>93.8</v>
      </c>
      <c r="L673"/>
    </row>
    <row r="674" spans="2:12" ht="15.75">
      <c r="B674" s="622">
        <v>41791</v>
      </c>
      <c r="C674" s="1229">
        <v>99.525999999999996</v>
      </c>
      <c r="D674" s="1439">
        <v>94</v>
      </c>
      <c r="L674"/>
    </row>
    <row r="675" spans="2:12" ht="15.75">
      <c r="B675" s="622">
        <v>41821</v>
      </c>
      <c r="C675" s="1229">
        <v>99.805999999999997</v>
      </c>
      <c r="D675" s="1439">
        <v>94.3</v>
      </c>
      <c r="L675"/>
    </row>
    <row r="676" spans="2:12" ht="15.75">
      <c r="B676" s="622">
        <v>41852</v>
      </c>
      <c r="C676" s="1229">
        <v>99.805999999999997</v>
      </c>
      <c r="D676" s="1439">
        <v>94.3</v>
      </c>
      <c r="L676"/>
    </row>
    <row r="677" spans="2:12" ht="15.75">
      <c r="B677" s="622">
        <v>41883</v>
      </c>
      <c r="C677" s="1229">
        <v>99.805999999999997</v>
      </c>
      <c r="D677" s="1439">
        <v>94.3</v>
      </c>
      <c r="L677"/>
    </row>
    <row r="678" spans="2:12" ht="15.75">
      <c r="B678" s="622">
        <v>41913</v>
      </c>
      <c r="C678" s="1229">
        <v>99.525999999999996</v>
      </c>
      <c r="D678" s="1439">
        <v>94.1</v>
      </c>
      <c r="L678"/>
    </row>
    <row r="679" spans="2:12" ht="15.75">
      <c r="B679" s="622">
        <v>41944</v>
      </c>
      <c r="C679" s="1229">
        <v>99.525999999999996</v>
      </c>
      <c r="D679" s="1439">
        <v>94.1</v>
      </c>
      <c r="L679"/>
    </row>
    <row r="680" spans="2:12" ht="15.75">
      <c r="B680" s="622">
        <v>41974</v>
      </c>
      <c r="C680" s="1229">
        <v>99.525999999999996</v>
      </c>
      <c r="D680" s="1439">
        <v>94</v>
      </c>
      <c r="L680"/>
    </row>
    <row r="681" spans="2:12" ht="15.75">
      <c r="B681" s="622">
        <v>42005</v>
      </c>
      <c r="C681" s="1229">
        <v>98.5</v>
      </c>
      <c r="D681" s="1439">
        <v>93.1</v>
      </c>
      <c r="L681"/>
    </row>
    <row r="682" spans="2:12" ht="15.75">
      <c r="B682" s="622">
        <v>42036</v>
      </c>
      <c r="C682" s="1229">
        <v>99.2</v>
      </c>
      <c r="D682" s="1439">
        <v>93.8</v>
      </c>
      <c r="L682"/>
    </row>
    <row r="683" spans="2:12" ht="15.75">
      <c r="B683" s="622">
        <v>42064</v>
      </c>
      <c r="C683" s="1229">
        <v>99.7</v>
      </c>
      <c r="D683" s="1439">
        <v>94.3</v>
      </c>
      <c r="L683"/>
    </row>
    <row r="684" spans="2:12" ht="15.75">
      <c r="B684" s="622">
        <v>42095</v>
      </c>
      <c r="C684" s="1229">
        <v>100.2</v>
      </c>
      <c r="D684" s="1439">
        <v>94.7</v>
      </c>
      <c r="L684"/>
    </row>
    <row r="685" spans="2:12" ht="15.75">
      <c r="B685" s="622">
        <v>42125</v>
      </c>
      <c r="C685" s="1229">
        <v>100.4</v>
      </c>
      <c r="D685" s="1439">
        <v>94.9</v>
      </c>
      <c r="L685"/>
    </row>
    <row r="686" spans="2:12" ht="15.75">
      <c r="B686" s="622">
        <v>42156</v>
      </c>
      <c r="C686" s="1229">
        <v>100.4</v>
      </c>
      <c r="D686" s="1439">
        <v>94.9</v>
      </c>
      <c r="L686"/>
    </row>
    <row r="687" spans="2:12" ht="15.75">
      <c r="B687" s="622">
        <v>42186</v>
      </c>
      <c r="C687" s="1229">
        <v>100.6</v>
      </c>
      <c r="D687" s="1439">
        <v>95.1</v>
      </c>
      <c r="L687"/>
    </row>
    <row r="688" spans="2:12" ht="15.75">
      <c r="B688" s="622">
        <v>42217</v>
      </c>
      <c r="C688" s="1229">
        <v>100.6</v>
      </c>
      <c r="D688" s="1439">
        <v>95</v>
      </c>
      <c r="L688"/>
    </row>
    <row r="689" spans="2:12" ht="15.75">
      <c r="B689" s="622">
        <v>42248</v>
      </c>
      <c r="C689" s="1229">
        <v>100.4</v>
      </c>
      <c r="D689" s="1439">
        <v>94.9</v>
      </c>
      <c r="L689"/>
    </row>
    <row r="690" spans="2:12" ht="15.75">
      <c r="B690" s="622">
        <v>42278</v>
      </c>
      <c r="C690" s="1229">
        <v>100.4</v>
      </c>
      <c r="D690" s="1439">
        <v>94.9</v>
      </c>
      <c r="L690"/>
    </row>
    <row r="691" spans="2:12" ht="15.75">
      <c r="B691" s="622">
        <v>42309</v>
      </c>
      <c r="C691" s="1229">
        <v>99.7</v>
      </c>
      <c r="D691" s="1439">
        <v>94.3</v>
      </c>
      <c r="L691"/>
    </row>
    <row r="692" spans="2:12" ht="15.75">
      <c r="B692" s="622">
        <v>42339</v>
      </c>
      <c r="C692" s="1229">
        <v>99.7</v>
      </c>
      <c r="D692" s="1439">
        <v>94.3</v>
      </c>
      <c r="L692"/>
    </row>
    <row r="693" spans="2:12" ht="15.75">
      <c r="B693" s="622">
        <v>42370</v>
      </c>
      <c r="C693" s="1229">
        <v>99</v>
      </c>
      <c r="D693" s="1439">
        <v>93.6</v>
      </c>
      <c r="L693"/>
    </row>
    <row r="694" spans="2:12" ht="15.75">
      <c r="B694" s="622">
        <v>42401</v>
      </c>
      <c r="C694" s="1229">
        <v>99.3</v>
      </c>
      <c r="D694" s="1439">
        <v>93.9</v>
      </c>
      <c r="L694"/>
    </row>
    <row r="695" spans="2:12" ht="15.75">
      <c r="B695" s="622">
        <v>42430</v>
      </c>
      <c r="C695" s="1229">
        <v>100</v>
      </c>
      <c r="D695" s="1439">
        <v>94.5</v>
      </c>
      <c r="L695"/>
    </row>
    <row r="696" spans="2:12" ht="15.75">
      <c r="B696" s="622">
        <v>42461</v>
      </c>
      <c r="C696" s="1229">
        <v>100.1</v>
      </c>
      <c r="D696" s="1439">
        <v>94.6</v>
      </c>
      <c r="L696"/>
    </row>
    <row r="697" spans="2:12" ht="15.75">
      <c r="B697" s="622">
        <v>42491</v>
      </c>
      <c r="C697" s="1229">
        <v>100.6</v>
      </c>
      <c r="D697" s="1439">
        <v>95.1</v>
      </c>
      <c r="L697"/>
    </row>
    <row r="698" spans="2:12" ht="15.75">
      <c r="B698" s="622">
        <v>42522</v>
      </c>
      <c r="C698" s="1229">
        <v>100.7</v>
      </c>
      <c r="D698" s="1439">
        <v>95.2</v>
      </c>
      <c r="L698"/>
    </row>
    <row r="699" spans="2:12" ht="15.75">
      <c r="B699" s="622">
        <v>42552</v>
      </c>
      <c r="C699" s="1229">
        <v>101.1</v>
      </c>
      <c r="D699" s="1439">
        <v>95.5</v>
      </c>
      <c r="L699"/>
    </row>
    <row r="700" spans="2:12" ht="15.75">
      <c r="B700" s="622">
        <v>42583</v>
      </c>
      <c r="C700" s="1229">
        <v>101</v>
      </c>
      <c r="D700" s="1439">
        <v>95.4</v>
      </c>
      <c r="L700"/>
    </row>
    <row r="701" spans="2:12" ht="15.75">
      <c r="B701" s="622">
        <v>42614</v>
      </c>
      <c r="C701" s="1229">
        <v>101</v>
      </c>
      <c r="D701" s="1439">
        <v>95.5</v>
      </c>
      <c r="L701"/>
    </row>
    <row r="702" spans="2:12" ht="15.75">
      <c r="B702" s="622">
        <v>42644</v>
      </c>
      <c r="C702" s="1229">
        <v>101.2</v>
      </c>
      <c r="D702" s="1439">
        <v>95.6</v>
      </c>
      <c r="L702"/>
    </row>
    <row r="703" spans="2:12" ht="15.75">
      <c r="B703" s="622">
        <v>42675</v>
      </c>
      <c r="C703" s="1229">
        <v>100.5</v>
      </c>
      <c r="D703" s="1439">
        <v>95</v>
      </c>
      <c r="L703"/>
    </row>
    <row r="704" spans="2:12" ht="15.75">
      <c r="B704" s="622">
        <v>42705</v>
      </c>
      <c r="C704" s="1229">
        <v>101.2</v>
      </c>
      <c r="D704" s="1439">
        <v>95.6</v>
      </c>
      <c r="L704"/>
    </row>
    <row r="705" spans="2:12" ht="15.75">
      <c r="B705" s="622">
        <v>42736</v>
      </c>
      <c r="C705" s="1229">
        <v>100.6</v>
      </c>
      <c r="D705" s="1439">
        <v>95.1</v>
      </c>
      <c r="L705"/>
    </row>
    <row r="706" spans="2:12" ht="15.75">
      <c r="B706" s="622">
        <v>42767</v>
      </c>
      <c r="C706" s="1229">
        <v>101.2</v>
      </c>
      <c r="D706" s="1439">
        <v>95.6</v>
      </c>
      <c r="L706"/>
    </row>
    <row r="707" spans="2:12" ht="15.75">
      <c r="B707" s="622">
        <v>42795</v>
      </c>
      <c r="C707" s="1229">
        <v>101.4</v>
      </c>
      <c r="D707" s="1439">
        <v>95.8</v>
      </c>
      <c r="L707"/>
    </row>
    <row r="708" spans="2:12" ht="15.75">
      <c r="B708" s="622">
        <v>42826</v>
      </c>
      <c r="C708" s="1229">
        <v>101.8</v>
      </c>
      <c r="D708" s="1439">
        <v>96.2</v>
      </c>
      <c r="L708"/>
    </row>
    <row r="709" spans="2:12" ht="15.75">
      <c r="B709" s="622">
        <v>42856</v>
      </c>
      <c r="C709" s="1229">
        <v>101.8</v>
      </c>
      <c r="D709" s="1439">
        <v>96.2</v>
      </c>
      <c r="L709"/>
    </row>
    <row r="710" spans="2:12" ht="15.75">
      <c r="B710" s="622">
        <v>42887</v>
      </c>
      <c r="C710" s="1229">
        <v>102.1</v>
      </c>
      <c r="D710" s="1439">
        <v>96.5</v>
      </c>
      <c r="L710"/>
    </row>
    <row r="711" spans="2:12" ht="15.75">
      <c r="B711" s="622">
        <v>42917</v>
      </c>
      <c r="C711" s="1229">
        <v>102.5</v>
      </c>
      <c r="D711" s="1439">
        <v>96.9</v>
      </c>
      <c r="L711"/>
    </row>
    <row r="712" spans="2:12" ht="15.75">
      <c r="B712" s="622">
        <v>42948</v>
      </c>
      <c r="C712" s="1229">
        <v>102.6</v>
      </c>
      <c r="D712" s="1439">
        <v>97</v>
      </c>
      <c r="L712"/>
    </row>
    <row r="713" spans="2:12" ht="15.75">
      <c r="B713" s="622">
        <v>42979</v>
      </c>
      <c r="C713" s="1229">
        <v>102.7</v>
      </c>
      <c r="D713" s="1439">
        <v>97</v>
      </c>
      <c r="L713"/>
    </row>
    <row r="714" spans="2:12" ht="15.75">
      <c r="B714" s="622">
        <v>43009</v>
      </c>
      <c r="C714" s="1229">
        <v>102.5</v>
      </c>
      <c r="D714" s="1439">
        <v>96.9</v>
      </c>
      <c r="L714"/>
    </row>
    <row r="715" spans="2:12" ht="15.75">
      <c r="B715" s="622">
        <v>43040</v>
      </c>
      <c r="C715" s="1229">
        <v>102.1</v>
      </c>
      <c r="D715" s="1439">
        <v>96.5</v>
      </c>
      <c r="L715"/>
    </row>
    <row r="716" spans="2:12" ht="15.75">
      <c r="B716" s="622">
        <v>43070</v>
      </c>
      <c r="C716" s="1229">
        <v>102.6</v>
      </c>
      <c r="D716" s="1439">
        <v>96.9</v>
      </c>
      <c r="L716"/>
    </row>
    <row r="717" spans="2:12" ht="15.75">
      <c r="B717" s="622">
        <v>43101</v>
      </c>
      <c r="C717" s="1229">
        <v>102</v>
      </c>
      <c r="D717" s="1439">
        <v>96.4</v>
      </c>
      <c r="L717"/>
    </row>
    <row r="718" spans="2:12" ht="15.75">
      <c r="B718" s="622">
        <v>43132</v>
      </c>
      <c r="C718" s="1229">
        <v>102.3</v>
      </c>
      <c r="D718" s="1439">
        <v>96.7</v>
      </c>
      <c r="L718"/>
    </row>
    <row r="719" spans="2:12" ht="15.75">
      <c r="B719" s="622">
        <v>43160</v>
      </c>
      <c r="C719" s="1229">
        <v>102.9</v>
      </c>
      <c r="D719" s="1439">
        <v>97.2</v>
      </c>
      <c r="L719"/>
    </row>
    <row r="720" spans="2:12" ht="15.75">
      <c r="B720" s="622">
        <v>43191</v>
      </c>
      <c r="C720" s="1229">
        <v>103.1</v>
      </c>
      <c r="D720" s="1439">
        <v>97.5</v>
      </c>
      <c r="L720"/>
    </row>
    <row r="721" spans="2:21" ht="15.75">
      <c r="B721" s="622">
        <v>43221</v>
      </c>
      <c r="C721" s="1229">
        <v>103.9</v>
      </c>
      <c r="D721" s="1439">
        <v>98.2</v>
      </c>
      <c r="L721"/>
    </row>
    <row r="722" spans="2:21" ht="15.75">
      <c r="B722" s="622">
        <v>43252</v>
      </c>
      <c r="C722" s="1229">
        <v>104</v>
      </c>
      <c r="D722" s="1439">
        <v>98.3</v>
      </c>
      <c r="L722"/>
    </row>
    <row r="723" spans="2:21" ht="15.75">
      <c r="B723" s="622">
        <v>43282</v>
      </c>
      <c r="C723" s="1229">
        <v>104.4</v>
      </c>
      <c r="D723" s="1439">
        <v>98.7</v>
      </c>
      <c r="L723"/>
    </row>
    <row r="724" spans="2:21" ht="15.75">
      <c r="B724" s="622">
        <v>43313</v>
      </c>
      <c r="C724" s="1229">
        <v>104.5</v>
      </c>
      <c r="D724" s="1439">
        <v>98.8</v>
      </c>
      <c r="L724"/>
    </row>
    <row r="725" spans="2:21" ht="15.75">
      <c r="B725" s="622">
        <v>43344</v>
      </c>
      <c r="C725" s="1229">
        <v>104.7</v>
      </c>
      <c r="D725" s="1439">
        <v>99</v>
      </c>
      <c r="L725"/>
    </row>
    <row r="726" spans="2:21" ht="15.75">
      <c r="B726" s="622">
        <v>43374</v>
      </c>
      <c r="C726" s="1229">
        <v>104.9</v>
      </c>
      <c r="D726" s="1439">
        <v>99.1</v>
      </c>
      <c r="L726"/>
    </row>
    <row r="727" spans="2:21" ht="15.75">
      <c r="B727" s="622">
        <v>43405</v>
      </c>
      <c r="C727" s="1229">
        <v>104.2</v>
      </c>
      <c r="D727" s="1439">
        <v>98.5</v>
      </c>
      <c r="L727"/>
    </row>
    <row r="728" spans="2:21" ht="15.75">
      <c r="B728" s="622">
        <v>43435</v>
      </c>
      <c r="C728" s="1229">
        <v>104.2</v>
      </c>
      <c r="D728" s="1439">
        <v>98.5</v>
      </c>
      <c r="L728"/>
    </row>
    <row r="729" spans="2:21" ht="15.75">
      <c r="B729" s="622">
        <v>43466</v>
      </c>
      <c r="C729" s="1229">
        <v>103.4</v>
      </c>
      <c r="D729" s="1439">
        <v>97.7</v>
      </c>
      <c r="L729"/>
    </row>
    <row r="730" spans="2:21" ht="15.75">
      <c r="B730" s="622">
        <v>43497</v>
      </c>
      <c r="C730" s="1230">
        <v>103.8</v>
      </c>
      <c r="D730" s="1439">
        <v>98.1</v>
      </c>
      <c r="L730"/>
      <c r="P730" s="2328"/>
      <c r="Q730" s="2328"/>
      <c r="R730" s="2328"/>
      <c r="S730" s="2328"/>
      <c r="T730" s="2328"/>
      <c r="U730" s="2328"/>
    </row>
    <row r="731" spans="2:21" ht="15.75">
      <c r="B731" s="622">
        <v>43525</v>
      </c>
      <c r="C731" s="1230">
        <v>104.2</v>
      </c>
      <c r="D731" s="1439">
        <v>98.5</v>
      </c>
      <c r="L731"/>
    </row>
    <row r="732" spans="2:21" ht="15.75">
      <c r="B732" s="622">
        <v>43556</v>
      </c>
      <c r="C732" s="1230">
        <v>105.2</v>
      </c>
      <c r="D732" s="1439">
        <v>99.4</v>
      </c>
      <c r="L732"/>
      <c r="P732" s="58"/>
      <c r="S732" s="58"/>
    </row>
    <row r="733" spans="2:21" ht="15.75">
      <c r="B733" s="622">
        <v>43586</v>
      </c>
      <c r="C733" s="1230">
        <v>105.4</v>
      </c>
      <c r="D733" s="1439">
        <v>99.6</v>
      </c>
      <c r="L733"/>
      <c r="P733" s="58"/>
      <c r="S733" s="58"/>
    </row>
    <row r="734" spans="2:21" ht="15.75">
      <c r="B734" s="622">
        <v>43617</v>
      </c>
      <c r="C734" s="1231">
        <v>105.7</v>
      </c>
      <c r="D734" s="1439">
        <v>99.9</v>
      </c>
      <c r="L734"/>
      <c r="P734" s="58"/>
      <c r="S734" s="58"/>
    </row>
    <row r="735" spans="2:21" ht="15.75">
      <c r="B735" s="622">
        <v>43647</v>
      </c>
      <c r="C735" s="1231">
        <v>106.2</v>
      </c>
      <c r="D735" s="1439">
        <v>100.3</v>
      </c>
      <c r="L735"/>
      <c r="P735" s="58"/>
      <c r="S735" s="58"/>
    </row>
    <row r="736" spans="2:21" ht="15.75">
      <c r="B736" s="622">
        <v>43678</v>
      </c>
      <c r="C736" s="1231">
        <v>106</v>
      </c>
      <c r="D736" s="1439">
        <v>100.2</v>
      </c>
      <c r="L736"/>
      <c r="P736" s="58"/>
      <c r="S736" s="58"/>
    </row>
    <row r="737" spans="2:19" ht="15.75">
      <c r="B737" s="622">
        <v>43709</v>
      </c>
      <c r="C737" s="1231">
        <v>106</v>
      </c>
      <c r="D737" s="1439">
        <v>100.2</v>
      </c>
      <c r="L737"/>
      <c r="P737" s="58"/>
      <c r="S737" s="58"/>
    </row>
    <row r="738" spans="2:19" ht="15.75">
      <c r="B738" s="622">
        <v>43739</v>
      </c>
      <c r="C738" s="1231">
        <v>106.1</v>
      </c>
      <c r="D738" s="1439">
        <v>100.2</v>
      </c>
      <c r="L738"/>
      <c r="P738" s="58"/>
      <c r="S738" s="58"/>
    </row>
    <row r="739" spans="2:19" ht="15.75">
      <c r="B739" s="622">
        <v>43770</v>
      </c>
      <c r="C739" s="1231">
        <v>105.3</v>
      </c>
      <c r="D739" s="1439">
        <v>99.5</v>
      </c>
      <c r="L739"/>
      <c r="P739" s="58"/>
      <c r="S739" s="58"/>
    </row>
    <row r="740" spans="2:19" ht="16.5" thickBot="1">
      <c r="B740" s="622">
        <v>43800</v>
      </c>
      <c r="C740" s="1231">
        <v>105.8</v>
      </c>
      <c r="D740" s="1439">
        <v>100</v>
      </c>
      <c r="L740"/>
      <c r="P740" s="58"/>
      <c r="S740" s="58"/>
    </row>
    <row r="741" spans="2:19" ht="16.5" thickBot="1">
      <c r="B741" s="622">
        <v>43831</v>
      </c>
      <c r="C741" s="1231">
        <v>105.2</v>
      </c>
      <c r="D741" s="1439">
        <v>99.8</v>
      </c>
      <c r="E741" s="1221">
        <v>43831</v>
      </c>
      <c r="F741" s="1222">
        <v>99.8</v>
      </c>
      <c r="G741" s="1223" t="s">
        <v>1450</v>
      </c>
      <c r="H741" s="1205" t="s">
        <v>1450</v>
      </c>
      <c r="L741"/>
      <c r="P741" s="58"/>
      <c r="S741" s="58"/>
    </row>
    <row r="742" spans="2:19" ht="16.5" thickBot="1">
      <c r="B742" s="622">
        <v>43862</v>
      </c>
      <c r="C742" s="1231">
        <v>105.6</v>
      </c>
      <c r="D742" s="1439">
        <v>100.1</v>
      </c>
      <c r="E742" s="1221">
        <v>43862</v>
      </c>
      <c r="F742" s="1222">
        <v>100.1</v>
      </c>
      <c r="G742" s="1223" t="s">
        <v>1450</v>
      </c>
      <c r="H742" s="1205">
        <v>0.3</v>
      </c>
      <c r="L742"/>
      <c r="P742" s="58"/>
      <c r="S742" s="58"/>
    </row>
    <row r="743" spans="2:19" ht="16.5" thickBot="1">
      <c r="B743" s="622">
        <v>43891</v>
      </c>
      <c r="C743" s="1231">
        <v>105.7</v>
      </c>
      <c r="D743" s="1439">
        <v>100.3</v>
      </c>
      <c r="E743" s="1221">
        <v>43891</v>
      </c>
      <c r="F743" s="1222">
        <v>100.3</v>
      </c>
      <c r="G743" s="1223" t="s">
        <v>1450</v>
      </c>
      <c r="H743" s="1205">
        <v>0.2</v>
      </c>
      <c r="L743"/>
      <c r="P743" s="58"/>
      <c r="S743" s="58"/>
    </row>
    <row r="744" spans="2:19" ht="16.5" thickBot="1">
      <c r="B744" s="622">
        <v>43922</v>
      </c>
      <c r="C744" s="1231">
        <v>106.1</v>
      </c>
      <c r="D744" s="1439">
        <v>100.4</v>
      </c>
      <c r="E744" s="1221">
        <v>43922</v>
      </c>
      <c r="F744" s="1222">
        <v>100.4</v>
      </c>
      <c r="G744" s="1223" t="s">
        <v>1450</v>
      </c>
      <c r="H744" s="1205">
        <v>0.1</v>
      </c>
      <c r="L744"/>
      <c r="P744" s="58"/>
      <c r="S744" s="58"/>
    </row>
    <row r="745" spans="2:19" ht="16.5" thickBot="1">
      <c r="B745" s="622">
        <v>43952</v>
      </c>
      <c r="C745" s="1231">
        <v>106</v>
      </c>
      <c r="D745" s="1439">
        <v>100.4</v>
      </c>
      <c r="E745" s="1221">
        <v>43952</v>
      </c>
      <c r="F745" s="1222">
        <v>100.4</v>
      </c>
      <c r="G745" s="1223" t="s">
        <v>1450</v>
      </c>
      <c r="H745" s="1205" t="s">
        <v>1451</v>
      </c>
      <c r="L745"/>
      <c r="P745" s="58"/>
      <c r="S745" s="58"/>
    </row>
    <row r="746" spans="2:19" ht="16.5" thickBot="1">
      <c r="B746" s="622">
        <v>43983</v>
      </c>
      <c r="C746" s="1231">
        <v>106.6</v>
      </c>
      <c r="D746" s="1439">
        <v>100.5</v>
      </c>
      <c r="E746" s="1221">
        <v>43983</v>
      </c>
      <c r="F746" s="1222">
        <v>100.5</v>
      </c>
      <c r="G746" s="1223" t="s">
        <v>1450</v>
      </c>
      <c r="H746" s="1205">
        <v>0.1</v>
      </c>
      <c r="L746"/>
      <c r="P746" s="58"/>
      <c r="S746" s="58"/>
    </row>
    <row r="747" spans="2:19" ht="16.5" thickBot="1">
      <c r="B747" s="622">
        <v>44013</v>
      </c>
      <c r="C747" s="1231">
        <v>106.1</v>
      </c>
      <c r="D747" s="1439">
        <v>99.7</v>
      </c>
      <c r="E747" s="1221">
        <v>44013</v>
      </c>
      <c r="F747" s="1222">
        <v>99.7</v>
      </c>
      <c r="G747" s="1223" t="s">
        <v>1450</v>
      </c>
      <c r="H747" s="1205">
        <v>-0.8</v>
      </c>
      <c r="L747"/>
      <c r="P747" s="58"/>
      <c r="S747" s="58"/>
    </row>
    <row r="748" spans="2:19" ht="16.5" thickBot="1">
      <c r="B748" s="622">
        <v>44044</v>
      </c>
      <c r="C748" s="1231">
        <v>106</v>
      </c>
      <c r="D748" s="1439">
        <v>99.7</v>
      </c>
      <c r="E748" s="1221">
        <v>44044</v>
      </c>
      <c r="F748" s="1222">
        <v>99.7</v>
      </c>
      <c r="G748" s="1223" t="s">
        <v>1450</v>
      </c>
      <c r="H748" s="1205" t="s">
        <v>1451</v>
      </c>
      <c r="L748"/>
      <c r="P748" s="58"/>
      <c r="S748" s="58"/>
    </row>
    <row r="749" spans="2:19" ht="16.5" thickBot="1">
      <c r="B749" s="622">
        <v>44075</v>
      </c>
      <c r="C749" s="1231">
        <v>105.8</v>
      </c>
      <c r="D749" s="1439">
        <v>99.7</v>
      </c>
      <c r="E749" s="1221">
        <v>44075</v>
      </c>
      <c r="F749" s="1222">
        <v>99.7</v>
      </c>
      <c r="G749" s="1223" t="s">
        <v>1450</v>
      </c>
      <c r="H749" s="1205" t="s">
        <v>1451</v>
      </c>
      <c r="L749"/>
      <c r="P749" s="58"/>
      <c r="S749" s="58"/>
    </row>
    <row r="750" spans="2:19" ht="16.5" thickBot="1">
      <c r="B750" s="622">
        <v>44105</v>
      </c>
      <c r="C750" s="1231">
        <v>105.9</v>
      </c>
      <c r="D750" s="1439">
        <v>99.9</v>
      </c>
      <c r="E750" s="1221">
        <v>44105</v>
      </c>
      <c r="F750" s="1222">
        <v>99.9</v>
      </c>
      <c r="G750" s="1223" t="s">
        <v>1450</v>
      </c>
      <c r="H750" s="1205">
        <v>0.2</v>
      </c>
      <c r="L750"/>
      <c r="P750" s="58"/>
      <c r="S750" s="58"/>
    </row>
    <row r="751" spans="2:19" ht="16.5" thickBot="1">
      <c r="B751" s="622">
        <v>44136</v>
      </c>
      <c r="C751" s="1231">
        <v>105</v>
      </c>
      <c r="D751" s="1439">
        <v>99.7</v>
      </c>
      <c r="E751" s="1221">
        <v>44136</v>
      </c>
      <c r="F751" s="1222">
        <v>99.7</v>
      </c>
      <c r="G751" s="1223" t="s">
        <v>1450</v>
      </c>
      <c r="H751" s="1205">
        <v>-0.2</v>
      </c>
      <c r="L751"/>
      <c r="P751" s="58"/>
      <c r="S751" s="58"/>
    </row>
    <row r="752" spans="2:19" ht="16.5" thickBot="1">
      <c r="B752" s="622">
        <v>44166</v>
      </c>
      <c r="C752" s="1232">
        <v>105.5</v>
      </c>
      <c r="D752" s="1439">
        <v>99.8</v>
      </c>
      <c r="E752" s="1221">
        <v>44166</v>
      </c>
      <c r="F752" s="1222">
        <v>99.8</v>
      </c>
      <c r="G752" s="1223" t="s">
        <v>1450</v>
      </c>
      <c r="H752" s="1205">
        <v>0.1</v>
      </c>
      <c r="L752"/>
      <c r="P752" s="58"/>
      <c r="S752" s="58"/>
    </row>
    <row r="753" spans="2:19" ht="16.5" thickBot="1">
      <c r="B753" s="622">
        <v>44197</v>
      </c>
      <c r="C753" s="1232">
        <v>106.3</v>
      </c>
      <c r="D753" s="1439">
        <v>101</v>
      </c>
      <c r="E753" s="1221">
        <v>44197</v>
      </c>
      <c r="F753" s="1222">
        <v>101</v>
      </c>
      <c r="G753" s="1223">
        <v>1.2</v>
      </c>
      <c r="H753" s="1205">
        <v>1.2</v>
      </c>
      <c r="L753"/>
      <c r="P753" s="58"/>
      <c r="S753" s="58"/>
    </row>
    <row r="754" spans="2:19" ht="16.5" thickBot="1">
      <c r="B754" s="622">
        <v>44228</v>
      </c>
      <c r="C754" s="1232">
        <v>107</v>
      </c>
      <c r="D754" s="1439">
        <v>101.6</v>
      </c>
      <c r="E754" s="1221">
        <v>44228</v>
      </c>
      <c r="F754" s="1222">
        <v>101.6</v>
      </c>
      <c r="G754" s="1223">
        <v>1.5</v>
      </c>
      <c r="H754" s="1205">
        <v>0.6</v>
      </c>
      <c r="L754"/>
      <c r="P754" s="58"/>
      <c r="S754" s="58"/>
    </row>
    <row r="755" spans="2:19" ht="16.5" thickBot="1">
      <c r="B755" s="622">
        <v>44256</v>
      </c>
      <c r="C755" s="1232">
        <v>107.5</v>
      </c>
      <c r="D755" s="1439">
        <v>102.1</v>
      </c>
      <c r="E755" s="1221">
        <v>44256</v>
      </c>
      <c r="F755" s="1222">
        <v>102.1</v>
      </c>
      <c r="G755" s="1223">
        <v>1.8</v>
      </c>
      <c r="H755" s="1205">
        <v>0.5</v>
      </c>
      <c r="L755"/>
      <c r="P755" s="58"/>
      <c r="S755" s="58"/>
    </row>
    <row r="756" spans="2:19" ht="16.5" thickBot="1">
      <c r="B756" s="622">
        <v>44287</v>
      </c>
      <c r="C756" s="1232">
        <v>108.2</v>
      </c>
      <c r="D756" s="1439">
        <v>102.4</v>
      </c>
      <c r="E756" s="1221">
        <v>44287</v>
      </c>
      <c r="F756" s="1222">
        <v>102.4</v>
      </c>
      <c r="G756" s="1223">
        <v>2</v>
      </c>
      <c r="H756" s="1205">
        <v>0.3</v>
      </c>
      <c r="L756"/>
      <c r="P756" s="58"/>
      <c r="S756" s="58"/>
    </row>
    <row r="757" spans="2:19" ht="16.5" thickBot="1">
      <c r="B757" s="622">
        <v>44317</v>
      </c>
      <c r="C757" s="1232">
        <v>108.7</v>
      </c>
      <c r="D757" s="1439">
        <v>102.6</v>
      </c>
      <c r="E757" s="1221">
        <v>44317</v>
      </c>
      <c r="F757" s="1222">
        <v>102.6</v>
      </c>
      <c r="G757" s="1223">
        <v>2.2000000000000002</v>
      </c>
      <c r="H757" s="1205">
        <v>0.2</v>
      </c>
      <c r="L757"/>
      <c r="P757" s="58"/>
      <c r="S757" s="58"/>
    </row>
    <row r="758" spans="2:19" ht="16.5" thickBot="1">
      <c r="B758" s="622">
        <v>44348</v>
      </c>
      <c r="C758" s="1232">
        <v>109.1</v>
      </c>
      <c r="D758" s="1439">
        <v>102.9</v>
      </c>
      <c r="E758" s="1221">
        <v>44348</v>
      </c>
      <c r="F758" s="1222">
        <v>102.9</v>
      </c>
      <c r="G758" s="1223">
        <v>2.4</v>
      </c>
      <c r="H758" s="1205">
        <v>0.3</v>
      </c>
      <c r="L758"/>
      <c r="P758" s="58"/>
      <c r="S758" s="58"/>
    </row>
    <row r="759" spans="2:19" ht="16.5" thickBot="1">
      <c r="B759" s="622">
        <v>44378</v>
      </c>
      <c r="C759" s="1232">
        <v>110.1</v>
      </c>
      <c r="D759" s="1439">
        <v>103.4</v>
      </c>
      <c r="E759" s="1221">
        <v>44378</v>
      </c>
      <c r="F759" s="1222">
        <v>103.4</v>
      </c>
      <c r="G759" s="1223">
        <v>3.7</v>
      </c>
      <c r="H759" s="1205">
        <v>0.5</v>
      </c>
      <c r="L759"/>
      <c r="P759" s="58"/>
      <c r="S759" s="58"/>
    </row>
    <row r="760" spans="2:19" ht="16.5" thickBot="1">
      <c r="B760" s="622">
        <v>44409</v>
      </c>
      <c r="C760" s="1232">
        <v>110.1</v>
      </c>
      <c r="D760" s="1439">
        <v>103.5</v>
      </c>
      <c r="E760" s="1221">
        <v>44409</v>
      </c>
      <c r="F760" s="1222">
        <v>103.5</v>
      </c>
      <c r="G760" s="1223">
        <v>3.8</v>
      </c>
      <c r="H760" s="1205">
        <v>0.1</v>
      </c>
      <c r="L760"/>
      <c r="P760" s="58"/>
      <c r="S760" s="58"/>
    </row>
    <row r="761" spans="2:19" ht="16.5" thickBot="1">
      <c r="B761" s="622">
        <v>44440</v>
      </c>
      <c r="C761" s="1232">
        <v>110.1</v>
      </c>
      <c r="D761" s="1439">
        <v>103.8</v>
      </c>
      <c r="E761" s="1221">
        <v>44440</v>
      </c>
      <c r="F761" s="1222">
        <v>103.8</v>
      </c>
      <c r="G761" s="1223">
        <v>4.0999999999999996</v>
      </c>
      <c r="H761" s="1205">
        <v>0.3</v>
      </c>
      <c r="L761"/>
      <c r="P761" s="58"/>
      <c r="S761" s="58"/>
    </row>
    <row r="762" spans="2:19" ht="16.5" thickBot="1">
      <c r="B762" s="622">
        <v>44470</v>
      </c>
      <c r="C762" s="1232">
        <v>110.7</v>
      </c>
      <c r="D762" s="1439">
        <v>104.3</v>
      </c>
      <c r="E762" s="1221">
        <v>44470</v>
      </c>
      <c r="F762" s="1222">
        <v>104.3</v>
      </c>
      <c r="G762" s="1223">
        <v>4.4000000000000004</v>
      </c>
      <c r="H762" s="1205">
        <v>0.5</v>
      </c>
      <c r="L762"/>
      <c r="P762" s="58"/>
      <c r="S762" s="58"/>
    </row>
    <row r="763" spans="2:19" ht="16.5" thickBot="1">
      <c r="B763" s="622">
        <v>44501</v>
      </c>
      <c r="C763" s="1232">
        <v>110.5</v>
      </c>
      <c r="D763" s="1439">
        <v>104.5</v>
      </c>
      <c r="E763" s="1221">
        <v>44501</v>
      </c>
      <c r="F763" s="1222">
        <v>104.5</v>
      </c>
      <c r="G763" s="1223">
        <v>4.8</v>
      </c>
      <c r="H763" s="1205">
        <v>0.2</v>
      </c>
      <c r="L763"/>
      <c r="P763" s="58"/>
      <c r="S763" s="58"/>
    </row>
    <row r="764" spans="2:19" ht="16.5" thickBot="1">
      <c r="B764" s="622">
        <v>44531</v>
      </c>
      <c r="C764" s="1232">
        <v>111.1</v>
      </c>
      <c r="D764" s="1439">
        <v>104.7</v>
      </c>
      <c r="E764" s="1221">
        <v>44531</v>
      </c>
      <c r="F764" s="1222">
        <v>104.7</v>
      </c>
      <c r="G764" s="1223">
        <v>4.9000000000000004</v>
      </c>
      <c r="H764" s="1205">
        <v>0.2</v>
      </c>
      <c r="L764" s="68"/>
      <c r="M764">
        <v>100</v>
      </c>
      <c r="P764" s="58"/>
      <c r="S764" s="58"/>
    </row>
    <row r="765" spans="2:19" ht="16.5" thickBot="1">
      <c r="B765" s="622">
        <v>44562</v>
      </c>
      <c r="C765" s="1232">
        <v>111.5</v>
      </c>
      <c r="D765" s="1439">
        <v>105.2</v>
      </c>
      <c r="E765" s="1221">
        <v>44562</v>
      </c>
      <c r="F765" s="1222">
        <v>105.2</v>
      </c>
      <c r="G765" s="1223">
        <v>4.2</v>
      </c>
      <c r="H765" s="1205">
        <v>0.5</v>
      </c>
      <c r="K765">
        <v>1</v>
      </c>
      <c r="L765" s="146">
        <v>0.06</v>
      </c>
      <c r="M765" s="91">
        <f>+M764*(1-L765)</f>
        <v>94</v>
      </c>
      <c r="P765" s="58"/>
      <c r="S765" s="58"/>
    </row>
    <row r="766" spans="2:19" ht="16.5" thickBot="1">
      <c r="B766" s="622">
        <v>44593</v>
      </c>
      <c r="C766" s="1232">
        <v>112.5</v>
      </c>
      <c r="D766" s="1439">
        <v>106</v>
      </c>
      <c r="E766" s="1221">
        <v>44593</v>
      </c>
      <c r="F766" s="1222">
        <v>106</v>
      </c>
      <c r="G766" s="1223">
        <v>4.3</v>
      </c>
      <c r="H766" s="1205">
        <v>0.8</v>
      </c>
      <c r="K766">
        <v>2</v>
      </c>
      <c r="L766" s="146">
        <v>0.05</v>
      </c>
      <c r="M766" s="91">
        <f t="shared" ref="M766:M802" si="30">+M765*(1-L766)</f>
        <v>89.3</v>
      </c>
      <c r="P766" s="58"/>
      <c r="S766" s="58"/>
    </row>
    <row r="767" spans="2:19" ht="16.5" thickBot="1">
      <c r="B767" s="622">
        <v>44621</v>
      </c>
      <c r="C767" s="1232">
        <v>115.3</v>
      </c>
      <c r="D767" s="1439">
        <v>108.1</v>
      </c>
      <c r="E767" s="1221">
        <v>44621</v>
      </c>
      <c r="F767" s="1222">
        <v>108.1</v>
      </c>
      <c r="G767" s="1223">
        <v>5.9</v>
      </c>
      <c r="H767" s="1205">
        <v>2</v>
      </c>
      <c r="K767">
        <v>3</v>
      </c>
      <c r="L767" s="146">
        <v>0.06</v>
      </c>
      <c r="M767" s="91">
        <f t="shared" si="30"/>
        <v>83.941999999999993</v>
      </c>
      <c r="P767" s="58"/>
      <c r="S767" s="58"/>
    </row>
    <row r="768" spans="2:19" ht="16.5" thickBot="1">
      <c r="B768" s="622">
        <v>44652</v>
      </c>
      <c r="C768" s="1232">
        <v>116.2</v>
      </c>
      <c r="D768" s="1439">
        <v>108.8</v>
      </c>
      <c r="E768" s="1221">
        <v>44652</v>
      </c>
      <c r="F768" s="1222">
        <v>108.8</v>
      </c>
      <c r="G768" s="1223">
        <v>6.3</v>
      </c>
      <c r="H768" s="1205">
        <v>0.6</v>
      </c>
      <c r="K768">
        <v>4</v>
      </c>
      <c r="L768" s="146">
        <v>0.03</v>
      </c>
      <c r="M768" s="91">
        <f t="shared" si="30"/>
        <v>81.423739999999995</v>
      </c>
      <c r="P768" s="58"/>
      <c r="S768" s="58"/>
    </row>
    <row r="769" spans="1:19" ht="16.5" thickBot="1">
      <c r="B769" s="622">
        <v>44682</v>
      </c>
      <c r="C769" s="1232">
        <v>117.3</v>
      </c>
      <c r="D769" s="1439">
        <v>109.8</v>
      </c>
      <c r="E769" s="1221">
        <v>44682</v>
      </c>
      <c r="F769" s="1222">
        <v>109.8</v>
      </c>
      <c r="G769" s="1223">
        <v>7</v>
      </c>
      <c r="H769" s="1205">
        <v>0.9</v>
      </c>
      <c r="K769">
        <v>5</v>
      </c>
      <c r="L769" s="146">
        <v>2.5000000000000001E-2</v>
      </c>
      <c r="M769" s="91">
        <f t="shared" si="30"/>
        <v>79.388146499999991</v>
      </c>
      <c r="P769" s="58"/>
      <c r="S769" s="58"/>
    </row>
    <row r="770" spans="1:19" ht="16.5" thickBot="1">
      <c r="B770" s="622">
        <v>44713</v>
      </c>
      <c r="C770" s="1232">
        <v>117.4</v>
      </c>
      <c r="D770" s="1439">
        <v>109.8</v>
      </c>
      <c r="E770" s="1221">
        <v>44713</v>
      </c>
      <c r="F770" s="1222">
        <v>109.8</v>
      </c>
      <c r="G770" s="1223">
        <v>6.7</v>
      </c>
      <c r="H770" s="1205" t="s">
        <v>1451</v>
      </c>
      <c r="K770">
        <v>6</v>
      </c>
      <c r="L770" s="146">
        <v>2.5000000000000001E-2</v>
      </c>
      <c r="M770" s="91">
        <f t="shared" si="30"/>
        <v>77.403442837499995</v>
      </c>
      <c r="P770" s="58"/>
      <c r="S770" s="58"/>
    </row>
    <row r="771" spans="1:19" ht="16.5" thickBot="1">
      <c r="B771" s="622">
        <v>44743</v>
      </c>
      <c r="C771" s="1232">
        <v>118.4</v>
      </c>
      <c r="D771" s="1439">
        <v>110.3</v>
      </c>
      <c r="E771" s="1221">
        <v>44743</v>
      </c>
      <c r="F771" s="1222">
        <v>110.3</v>
      </c>
      <c r="G771" s="1223">
        <v>6.7</v>
      </c>
      <c r="H771" s="1205">
        <v>0.5</v>
      </c>
      <c r="K771">
        <v>7</v>
      </c>
      <c r="L771" s="146">
        <v>2.5000000000000001E-2</v>
      </c>
      <c r="M771" s="91">
        <f t="shared" si="30"/>
        <v>75.468356766562493</v>
      </c>
      <c r="P771" s="58"/>
      <c r="S771" s="58"/>
    </row>
    <row r="772" spans="1:19" ht="16.5" thickBot="1">
      <c r="B772" s="622">
        <v>44774</v>
      </c>
      <c r="C772" s="1232">
        <v>118.8</v>
      </c>
      <c r="D772" s="1439">
        <v>110.7</v>
      </c>
      <c r="E772" s="1221">
        <v>44774</v>
      </c>
      <c r="F772" s="1222">
        <v>110.7</v>
      </c>
      <c r="G772" s="1223">
        <v>7</v>
      </c>
      <c r="H772" s="1205">
        <v>0.4</v>
      </c>
      <c r="K772">
        <v>8</v>
      </c>
      <c r="L772" s="146">
        <v>2.3E-2</v>
      </c>
      <c r="M772" s="91">
        <f t="shared" si="30"/>
        <v>73.732584560931556</v>
      </c>
      <c r="P772" s="58"/>
      <c r="S772" s="58"/>
    </row>
    <row r="773" spans="1:19" ht="16.5" thickBot="1">
      <c r="B773" s="622">
        <v>44805</v>
      </c>
      <c r="C773" s="1232">
        <v>121.1</v>
      </c>
      <c r="D773" s="1439">
        <v>112.7</v>
      </c>
      <c r="E773" s="1221">
        <v>44805</v>
      </c>
      <c r="F773" s="1222">
        <v>112.7</v>
      </c>
      <c r="G773" s="1223">
        <v>8.6</v>
      </c>
      <c r="H773" s="1205">
        <v>1.8</v>
      </c>
      <c r="K773">
        <v>9</v>
      </c>
      <c r="L773" s="146">
        <v>2.1999999999999999E-2</v>
      </c>
      <c r="M773" s="91">
        <f t="shared" si="30"/>
        <v>72.110467700591059</v>
      </c>
      <c r="P773" s="58"/>
      <c r="S773" s="58"/>
    </row>
    <row r="774" spans="1:19" ht="16.5" thickBot="1">
      <c r="B774" s="622">
        <v>44835</v>
      </c>
      <c r="C774" s="1232">
        <v>122.2</v>
      </c>
      <c r="D774" s="1439">
        <v>113.5</v>
      </c>
      <c r="E774" s="1221">
        <v>44835</v>
      </c>
      <c r="F774" s="1222">
        <v>113.5</v>
      </c>
      <c r="G774" s="1223">
        <v>8.8000000000000007</v>
      </c>
      <c r="H774" s="1205">
        <v>0.7</v>
      </c>
      <c r="K774">
        <v>10</v>
      </c>
      <c r="L774" s="146">
        <v>2.1999999999999999E-2</v>
      </c>
      <c r="M774" s="91">
        <f t="shared" si="30"/>
        <v>70.524037411178057</v>
      </c>
      <c r="P774" s="58"/>
      <c r="S774" s="58"/>
    </row>
    <row r="775" spans="1:19" ht="16.5" thickBot="1">
      <c r="B775" s="622">
        <v>44866</v>
      </c>
      <c r="C775" s="1232">
        <v>121.6</v>
      </c>
      <c r="D775" s="1439">
        <v>113.7</v>
      </c>
      <c r="E775" s="1221">
        <v>44866</v>
      </c>
      <c r="F775" s="1222">
        <v>113.7</v>
      </c>
      <c r="G775" s="1223">
        <v>8.8000000000000007</v>
      </c>
      <c r="H775" s="1205">
        <v>0.2</v>
      </c>
      <c r="K775">
        <v>11</v>
      </c>
      <c r="L775" s="146">
        <v>2.1999999999999999E-2</v>
      </c>
      <c r="M775" s="91">
        <f t="shared" si="30"/>
        <v>68.972508588132143</v>
      </c>
      <c r="P775" s="58"/>
      <c r="S775" s="58"/>
    </row>
    <row r="776" spans="1:19" ht="16.5" thickBot="1">
      <c r="B776" s="622">
        <v>44896</v>
      </c>
      <c r="C776" s="1232">
        <v>120.6</v>
      </c>
      <c r="D776" s="1439">
        <v>113.2</v>
      </c>
      <c r="E776" s="1221">
        <v>44896</v>
      </c>
      <c r="F776" s="1222">
        <v>113.2</v>
      </c>
      <c r="G776" s="1223">
        <v>8.1</v>
      </c>
      <c r="H776" s="1205">
        <v>-0.4</v>
      </c>
      <c r="J776" s="146">
        <f>_xlfn.RRI(37,C321,C776)</f>
        <v>1.9777705672038293E-2</v>
      </c>
      <c r="K776">
        <v>12</v>
      </c>
      <c r="L776" s="146">
        <v>2.1999999999999999E-2</v>
      </c>
      <c r="M776" s="91">
        <f t="shared" si="30"/>
        <v>67.455113399193237</v>
      </c>
      <c r="P776" s="58"/>
      <c r="S776" s="58"/>
    </row>
    <row r="777" spans="1:19" ht="16.5" thickBot="1">
      <c r="A777" s="34"/>
      <c r="B777" s="1429">
        <v>44927</v>
      </c>
      <c r="C777" s="1430">
        <f>ROUND(C776*D777/D776,2)</f>
        <v>121.77</v>
      </c>
      <c r="D777" s="1439">
        <v>114.3</v>
      </c>
      <c r="E777" s="1221">
        <v>44927</v>
      </c>
      <c r="F777" s="1224">
        <v>114.3</v>
      </c>
      <c r="G777" s="1225"/>
      <c r="H777" s="1206"/>
      <c r="K777">
        <v>13</v>
      </c>
      <c r="L777" s="146">
        <v>2.1999999999999999E-2</v>
      </c>
      <c r="M777" s="91">
        <f t="shared" si="30"/>
        <v>65.971100904410989</v>
      </c>
      <c r="P777" s="58"/>
      <c r="S777" s="58"/>
    </row>
    <row r="778" spans="1:19" ht="15.75">
      <c r="B778" s="622">
        <v>44958</v>
      </c>
      <c r="C778" s="1430">
        <f t="shared" ref="C778:C816" si="31">ROUND(C777*D778/D777,2)</f>
        <v>122.73</v>
      </c>
      <c r="D778" s="1439">
        <v>115.2</v>
      </c>
      <c r="K778">
        <v>14</v>
      </c>
      <c r="L778" s="146">
        <v>2.1999999999999999E-2</v>
      </c>
      <c r="M778" s="91">
        <f t="shared" si="30"/>
        <v>64.519736684513944</v>
      </c>
      <c r="P778" s="58"/>
      <c r="S778" s="58"/>
    </row>
    <row r="779" spans="1:19" ht="15.75">
      <c r="B779" s="622">
        <v>44986</v>
      </c>
      <c r="C779" s="1430">
        <f t="shared" si="31"/>
        <v>123.69</v>
      </c>
      <c r="D779" s="1439">
        <v>116.1</v>
      </c>
      <c r="K779">
        <v>15</v>
      </c>
      <c r="L779" s="146">
        <v>2.1999999999999999E-2</v>
      </c>
      <c r="M779" s="91">
        <f t="shared" si="30"/>
        <v>63.100302477454633</v>
      </c>
      <c r="P779" s="58"/>
      <c r="S779" s="58"/>
    </row>
    <row r="780" spans="1:19" ht="15.75">
      <c r="B780" s="622">
        <v>45017</v>
      </c>
      <c r="C780" s="1430">
        <f t="shared" si="31"/>
        <v>124.22</v>
      </c>
      <c r="D780" s="1439">
        <v>116.6</v>
      </c>
      <c r="K780">
        <v>16</v>
      </c>
      <c r="L780" s="146">
        <v>2.1999999999999999E-2</v>
      </c>
      <c r="M780" s="91">
        <f t="shared" si="30"/>
        <v>61.71209582295063</v>
      </c>
      <c r="P780" s="58"/>
      <c r="S780" s="58"/>
    </row>
    <row r="781" spans="1:19" ht="15.75">
      <c r="B781" s="622">
        <v>45047</v>
      </c>
      <c r="C781" s="1430">
        <f t="shared" si="31"/>
        <v>124.11</v>
      </c>
      <c r="D781" s="1439">
        <v>116.5</v>
      </c>
      <c r="K781">
        <v>17</v>
      </c>
      <c r="L781" s="146">
        <v>2.1999999999999999E-2</v>
      </c>
      <c r="M781" s="91">
        <f t="shared" si="30"/>
        <v>60.354429714845715</v>
      </c>
      <c r="P781" s="58"/>
      <c r="S781" s="58"/>
    </row>
    <row r="782" spans="1:19" ht="15.75">
      <c r="B782" s="622">
        <v>45078</v>
      </c>
      <c r="C782" s="1430">
        <f t="shared" si="31"/>
        <v>124.43</v>
      </c>
      <c r="D782" s="1439">
        <v>116.8</v>
      </c>
      <c r="K782">
        <v>18</v>
      </c>
      <c r="L782" s="146">
        <v>2.1999999999999999E-2</v>
      </c>
      <c r="M782" s="91">
        <f t="shared" si="30"/>
        <v>59.026632261119104</v>
      </c>
      <c r="P782" s="58"/>
      <c r="S782" s="58"/>
    </row>
    <row r="783" spans="1:19" ht="15.75">
      <c r="B783" s="622">
        <v>45108</v>
      </c>
      <c r="C783" s="1430">
        <f t="shared" si="31"/>
        <v>124.75</v>
      </c>
      <c r="D783" s="1439">
        <v>117.1</v>
      </c>
      <c r="K783">
        <v>19</v>
      </c>
      <c r="L783" s="146">
        <v>2.1999999999999999E-2</v>
      </c>
      <c r="M783" s="91">
        <f t="shared" si="30"/>
        <v>57.728046351374481</v>
      </c>
      <c r="P783" s="58"/>
      <c r="S783" s="58"/>
    </row>
    <row r="784" spans="1:19" ht="15.75">
      <c r="B784" s="622">
        <v>45139</v>
      </c>
      <c r="C784" s="1430">
        <f t="shared" si="31"/>
        <v>125.18</v>
      </c>
      <c r="D784" s="1439">
        <v>117.5</v>
      </c>
      <c r="K784">
        <v>20</v>
      </c>
      <c r="L784" s="146">
        <v>2.1999999999999999E-2</v>
      </c>
      <c r="M784" s="91">
        <f t="shared" si="30"/>
        <v>56.458029331644241</v>
      </c>
      <c r="P784" s="58"/>
      <c r="R784" s="260"/>
      <c r="S784" s="58"/>
    </row>
    <row r="785" spans="2:19" ht="15.75">
      <c r="B785" s="622">
        <v>45170</v>
      </c>
      <c r="C785" s="1430">
        <f t="shared" si="31"/>
        <v>125.5</v>
      </c>
      <c r="D785" s="1439">
        <v>117.8</v>
      </c>
      <c r="K785">
        <v>21</v>
      </c>
      <c r="L785" s="146">
        <v>2.1999999999999999E-2</v>
      </c>
      <c r="M785" s="91">
        <f t="shared" si="30"/>
        <v>55.215952686348068</v>
      </c>
      <c r="P785" s="58"/>
      <c r="S785" s="58"/>
    </row>
    <row r="786" spans="2:19" ht="15.75">
      <c r="B786" s="622">
        <v>45200</v>
      </c>
      <c r="C786" s="1430">
        <f t="shared" si="31"/>
        <v>125.5</v>
      </c>
      <c r="D786" s="1439">
        <v>117.8</v>
      </c>
      <c r="K786">
        <v>22</v>
      </c>
      <c r="L786" s="146">
        <v>2.1999999999999999E-2</v>
      </c>
      <c r="M786" s="91">
        <f t="shared" si="30"/>
        <v>54.001201727248407</v>
      </c>
      <c r="P786" s="58"/>
      <c r="S786" s="58"/>
    </row>
    <row r="787" spans="2:19" ht="15.75">
      <c r="B787" s="622">
        <v>45231</v>
      </c>
      <c r="C787" s="1430">
        <f t="shared" si="31"/>
        <v>124.97</v>
      </c>
      <c r="D787" s="1439">
        <v>117.3</v>
      </c>
      <c r="K787">
        <v>23</v>
      </c>
      <c r="L787" s="146">
        <v>2.1999999999999999E-2</v>
      </c>
      <c r="M787" s="91">
        <f t="shared" si="30"/>
        <v>52.813175289248939</v>
      </c>
      <c r="P787" s="58"/>
      <c r="S787" s="58"/>
    </row>
    <row r="788" spans="2:19" ht="15.75">
      <c r="B788" s="622">
        <v>45261</v>
      </c>
      <c r="C788" s="1430">
        <f t="shared" si="31"/>
        <v>125.08</v>
      </c>
      <c r="D788" s="1439">
        <v>117.4</v>
      </c>
      <c r="K788">
        <v>24</v>
      </c>
      <c r="L788" s="146">
        <v>2.1999999999999999E-2</v>
      </c>
      <c r="M788" s="91">
        <f t="shared" si="30"/>
        <v>51.651285432885459</v>
      </c>
      <c r="P788" s="58"/>
      <c r="S788" s="58"/>
    </row>
    <row r="789" spans="2:19" ht="15.75">
      <c r="B789" s="622">
        <v>45292</v>
      </c>
      <c r="C789" s="1430">
        <f t="shared" si="31"/>
        <v>125.29</v>
      </c>
      <c r="D789" s="1439">
        <v>117.6</v>
      </c>
      <c r="K789">
        <v>25</v>
      </c>
      <c r="L789" s="146">
        <v>2.1999999999999999E-2</v>
      </c>
      <c r="M789" s="91">
        <f t="shared" si="30"/>
        <v>50.514957153361976</v>
      </c>
      <c r="P789" s="58"/>
      <c r="S789" s="58"/>
    </row>
    <row r="790" spans="2:19" ht="15.75">
      <c r="B790" s="622">
        <v>45323</v>
      </c>
      <c r="C790" s="1430">
        <f t="shared" si="31"/>
        <v>125.82</v>
      </c>
      <c r="D790" s="1439">
        <v>118.1</v>
      </c>
      <c r="K790">
        <v>26</v>
      </c>
      <c r="L790" s="146">
        <v>2.1999999999999999E-2</v>
      </c>
      <c r="M790" s="91">
        <f t="shared" si="30"/>
        <v>49.403628095988012</v>
      </c>
      <c r="P790" s="58"/>
      <c r="S790" s="58"/>
    </row>
    <row r="791" spans="2:19" ht="15.75">
      <c r="B791" s="622">
        <v>45352</v>
      </c>
      <c r="C791" s="1430">
        <f t="shared" si="31"/>
        <v>126.35</v>
      </c>
      <c r="D791" s="1439">
        <v>118.6</v>
      </c>
      <c r="K791">
        <v>27</v>
      </c>
      <c r="L791" s="146">
        <v>2.1999999999999999E-2</v>
      </c>
      <c r="M791" s="91">
        <f t="shared" si="30"/>
        <v>48.316748277876272</v>
      </c>
      <c r="P791" s="58"/>
      <c r="S791" s="58"/>
    </row>
    <row r="792" spans="2:19" ht="15.75">
      <c r="B792" s="622">
        <v>45383</v>
      </c>
      <c r="C792" s="1430">
        <f t="shared" si="31"/>
        <v>126.99</v>
      </c>
      <c r="D792" s="1439">
        <v>119.2</v>
      </c>
      <c r="K792">
        <v>28</v>
      </c>
      <c r="L792" s="146">
        <v>2.1999999999999999E-2</v>
      </c>
      <c r="M792" s="91">
        <f t="shared" si="30"/>
        <v>47.253779815762989</v>
      </c>
      <c r="P792" s="58"/>
      <c r="S792" s="58"/>
    </row>
    <row r="793" spans="2:19" ht="15.75">
      <c r="B793" s="622">
        <v>45413</v>
      </c>
      <c r="C793" s="1430">
        <f t="shared" si="31"/>
        <v>127.1</v>
      </c>
      <c r="D793" s="1439">
        <v>119.3</v>
      </c>
      <c r="K793">
        <v>29</v>
      </c>
      <c r="L793" s="146">
        <v>2.1999999999999999E-2</v>
      </c>
      <c r="M793" s="91">
        <f t="shared" si="30"/>
        <v>46.214196659816203</v>
      </c>
      <c r="P793" s="58"/>
      <c r="S793" s="58"/>
    </row>
    <row r="794" spans="2:19" ht="15.75">
      <c r="B794" s="622">
        <v>45444</v>
      </c>
      <c r="C794" s="1430">
        <f t="shared" si="31"/>
        <v>127.21</v>
      </c>
      <c r="D794" s="1439">
        <v>119.4</v>
      </c>
      <c r="K794">
        <v>30</v>
      </c>
      <c r="L794" s="146">
        <v>2.1999999999999999E-2</v>
      </c>
      <c r="M794" s="91">
        <f t="shared" si="30"/>
        <v>45.197484333300245</v>
      </c>
    </row>
    <row r="795" spans="2:19" ht="15.75">
      <c r="B795" s="622">
        <v>45474</v>
      </c>
      <c r="C795" s="1430">
        <f t="shared" si="31"/>
        <v>127.64</v>
      </c>
      <c r="D795" s="2132">
        <v>119.8</v>
      </c>
      <c r="K795">
        <v>31</v>
      </c>
      <c r="L795" s="146">
        <v>2.1999999999999999E-2</v>
      </c>
      <c r="M795" s="91">
        <f t="shared" si="30"/>
        <v>44.203139677967641</v>
      </c>
    </row>
    <row r="796" spans="2:19" ht="15.75">
      <c r="B796" s="622">
        <v>45505</v>
      </c>
      <c r="C796" s="1430">
        <f t="shared" si="31"/>
        <v>127.53</v>
      </c>
      <c r="D796" s="2132">
        <v>119.7</v>
      </c>
      <c r="K796">
        <v>32</v>
      </c>
      <c r="L796" s="146">
        <v>2.1999999999999999E-2</v>
      </c>
      <c r="M796" s="91">
        <f t="shared" si="30"/>
        <v>43.230670605052353</v>
      </c>
    </row>
    <row r="797" spans="2:19" ht="15.75">
      <c r="B797" s="622">
        <v>45536</v>
      </c>
      <c r="C797" s="1430">
        <f t="shared" si="31"/>
        <v>127.53</v>
      </c>
      <c r="D797" s="2132">
        <v>119.7</v>
      </c>
      <c r="K797">
        <v>33</v>
      </c>
      <c r="L797" s="146">
        <v>2.1999999999999999E-2</v>
      </c>
      <c r="M797" s="91">
        <f t="shared" si="30"/>
        <v>42.279595851741199</v>
      </c>
    </row>
    <row r="798" spans="2:19" ht="15.75">
      <c r="B798" s="622">
        <v>45566</v>
      </c>
      <c r="C798" s="1430">
        <f t="shared" si="31"/>
        <v>128.06</v>
      </c>
      <c r="D798" s="1439">
        <v>120.2</v>
      </c>
      <c r="K798">
        <v>34</v>
      </c>
      <c r="L798" s="146">
        <v>2.1999999999999999E-2</v>
      </c>
      <c r="M798" s="91">
        <f t="shared" si="30"/>
        <v>41.349444743002891</v>
      </c>
    </row>
    <row r="799" spans="2:19" ht="15.75">
      <c r="B799" s="622">
        <v>45597</v>
      </c>
      <c r="C799" s="1430">
        <f t="shared" si="31"/>
        <v>127.74</v>
      </c>
      <c r="D799" s="1439">
        <v>119.9</v>
      </c>
      <c r="K799">
        <v>35</v>
      </c>
      <c r="L799" s="146">
        <v>2.1999999999999999E-2</v>
      </c>
      <c r="M799" s="91">
        <f t="shared" si="30"/>
        <v>40.43975695865683</v>
      </c>
    </row>
    <row r="800" spans="2:19" ht="15.75">
      <c r="B800" s="622">
        <v>45627</v>
      </c>
      <c r="C800" s="1430">
        <f t="shared" si="31"/>
        <v>128.38</v>
      </c>
      <c r="D800" s="1439">
        <v>120.5</v>
      </c>
      <c r="K800">
        <v>36</v>
      </c>
      <c r="L800" s="146">
        <v>2.1999999999999999E-2</v>
      </c>
      <c r="M800" s="91">
        <f t="shared" si="30"/>
        <v>39.550082305566377</v>
      </c>
    </row>
    <row r="801" spans="2:14" ht="15.75">
      <c r="B801" s="622">
        <v>45658</v>
      </c>
      <c r="C801" s="1430">
        <f t="shared" si="31"/>
        <v>128.16999999999999</v>
      </c>
      <c r="D801" s="1439">
        <v>120.3</v>
      </c>
      <c r="K801">
        <v>37</v>
      </c>
      <c r="L801" s="146">
        <v>2.1999999999999999E-2</v>
      </c>
      <c r="M801" s="91">
        <f t="shared" si="30"/>
        <v>38.679980494843917</v>
      </c>
    </row>
    <row r="802" spans="2:14" ht="15.75">
      <c r="B802" s="622">
        <v>45689</v>
      </c>
      <c r="C802" s="1430">
        <f t="shared" si="31"/>
        <v>128.69999999999999</v>
      </c>
      <c r="D802" s="1439">
        <v>120.8</v>
      </c>
      <c r="K802">
        <v>38</v>
      </c>
      <c r="L802" s="146">
        <v>2.1999999999999999E-2</v>
      </c>
      <c r="M802" s="91">
        <f t="shared" si="30"/>
        <v>37.829020923957351</v>
      </c>
      <c r="N802" s="146">
        <f>_xlfn.RRI(K802,M764,M802)</f>
        <v>-2.5256979341022001E-2</v>
      </c>
    </row>
    <row r="803" spans="2:14" ht="15.75">
      <c r="B803" s="622">
        <v>45717</v>
      </c>
      <c r="C803" s="1430">
        <f t="shared" si="31"/>
        <v>129.13</v>
      </c>
      <c r="D803" s="1438">
        <v>121.2</v>
      </c>
      <c r="K803">
        <v>39</v>
      </c>
    </row>
    <row r="804" spans="2:14" ht="15.75">
      <c r="B804" s="622">
        <v>45748</v>
      </c>
      <c r="C804" s="1430">
        <f t="shared" si="31"/>
        <v>129.66</v>
      </c>
      <c r="D804" s="1438">
        <v>121.7</v>
      </c>
      <c r="K804">
        <v>40</v>
      </c>
    </row>
    <row r="805" spans="2:14" ht="15.75">
      <c r="B805" s="622">
        <v>45778</v>
      </c>
      <c r="C805" s="1430">
        <f t="shared" si="31"/>
        <v>129.77000000000001</v>
      </c>
      <c r="D805" s="1438">
        <v>121.8</v>
      </c>
      <c r="K805">
        <v>41</v>
      </c>
    </row>
    <row r="806" spans="2:14" ht="15.75">
      <c r="B806" s="622">
        <v>45809</v>
      </c>
      <c r="C806" s="1430">
        <f t="shared" si="31"/>
        <v>129.77000000000001</v>
      </c>
      <c r="D806" s="1438">
        <v>121.8</v>
      </c>
      <c r="K806">
        <v>42</v>
      </c>
    </row>
    <row r="807" spans="2:14" ht="15.75">
      <c r="B807" s="622">
        <v>45839</v>
      </c>
      <c r="C807" s="1430">
        <f t="shared" si="31"/>
        <v>130.19999999999999</v>
      </c>
      <c r="D807" s="1438">
        <v>122.2</v>
      </c>
      <c r="K807">
        <v>43</v>
      </c>
    </row>
    <row r="808" spans="2:14" ht="15.75">
      <c r="B808" s="622">
        <v>45870</v>
      </c>
      <c r="C808" s="1430">
        <f t="shared" si="31"/>
        <v>130.31</v>
      </c>
      <c r="D808" s="1438">
        <v>122.3</v>
      </c>
      <c r="K808">
        <v>44</v>
      </c>
    </row>
    <row r="809" spans="2:14" ht="15">
      <c r="B809" s="72">
        <v>45901</v>
      </c>
      <c r="C809" s="1430">
        <f t="shared" si="31"/>
        <v>130.63</v>
      </c>
      <c r="D809" s="1438">
        <v>122.6</v>
      </c>
      <c r="K809">
        <v>45</v>
      </c>
    </row>
    <row r="810" spans="2:14" ht="15.75">
      <c r="B810" s="622">
        <v>45931</v>
      </c>
      <c r="C810" s="1430">
        <f t="shared" si="31"/>
        <v>131.06</v>
      </c>
      <c r="D810" s="1438">
        <v>123</v>
      </c>
      <c r="K810">
        <v>46</v>
      </c>
    </row>
    <row r="811" spans="2:14" ht="15">
      <c r="B811" s="72">
        <v>45962</v>
      </c>
      <c r="C811" s="1430">
        <f t="shared" si="31"/>
        <v>130.74</v>
      </c>
      <c r="D811" s="1438">
        <v>122.7</v>
      </c>
      <c r="K811">
        <v>47</v>
      </c>
    </row>
    <row r="812" spans="2:14" ht="15.75">
      <c r="B812" s="622">
        <v>45992</v>
      </c>
      <c r="C812" s="1430">
        <f t="shared" si="31"/>
        <v>130.74</v>
      </c>
      <c r="D812" s="1438">
        <v>122.7</v>
      </c>
      <c r="K812">
        <v>48</v>
      </c>
    </row>
    <row r="813" spans="2:14" ht="15">
      <c r="B813" s="72">
        <v>46023</v>
      </c>
      <c r="C813" s="1430">
        <f t="shared" si="31"/>
        <v>130.85</v>
      </c>
      <c r="D813" s="1438">
        <v>122.8</v>
      </c>
    </row>
    <row r="814" spans="2:14" ht="15.75">
      <c r="B814" s="622">
        <v>46054</v>
      </c>
      <c r="C814" s="1430">
        <f t="shared" si="31"/>
        <v>0</v>
      </c>
    </row>
    <row r="815" spans="2:14" ht="15">
      <c r="B815" s="72">
        <v>46082</v>
      </c>
      <c r="C815" s="1430" t="e">
        <f t="shared" si="31"/>
        <v>#DIV/0!</v>
      </c>
    </row>
    <row r="816" spans="2:14" ht="15.75">
      <c r="B816" s="622">
        <v>46113</v>
      </c>
      <c r="C816" s="1430" t="e">
        <f t="shared" si="31"/>
        <v>#DIV/0!</v>
      </c>
    </row>
    <row r="817" spans="2:3" ht="15">
      <c r="B817" s="72">
        <v>46143</v>
      </c>
      <c r="C817" s="1232"/>
    </row>
    <row r="818" spans="2:3" ht="15.75">
      <c r="B818" s="622">
        <v>46174</v>
      </c>
      <c r="C818" s="1232"/>
    </row>
    <row r="819" spans="2:3" ht="15">
      <c r="B819" s="72">
        <v>46204</v>
      </c>
      <c r="C819" s="1232"/>
    </row>
    <row r="820" spans="2:3" ht="15.75">
      <c r="B820" s="622">
        <v>46235</v>
      </c>
      <c r="C820" s="1232"/>
    </row>
    <row r="821" spans="2:3" ht="15">
      <c r="B821" s="72">
        <v>46266</v>
      </c>
      <c r="C821" s="1232"/>
    </row>
    <row r="822" spans="2:3" ht="15.75">
      <c r="B822" s="622">
        <v>46296</v>
      </c>
      <c r="C822" s="1232"/>
    </row>
    <row r="823" spans="2:3" ht="15">
      <c r="B823" s="72">
        <v>46327</v>
      </c>
      <c r="C823" s="1232"/>
    </row>
    <row r="824" spans="2:3" ht="15.75">
      <c r="B824" s="622">
        <v>46357</v>
      </c>
      <c r="C824" s="1232"/>
    </row>
    <row r="825" spans="2:3" ht="15">
      <c r="B825" s="72">
        <v>46388</v>
      </c>
      <c r="C825" s="1232"/>
    </row>
    <row r="826" spans="2:3" ht="15.75">
      <c r="B826" s="622">
        <v>46419</v>
      </c>
      <c r="C826" s="1232"/>
    </row>
    <row r="827" spans="2:3" ht="15">
      <c r="B827" s="72">
        <v>46447</v>
      </c>
      <c r="C827" s="1232"/>
    </row>
    <row r="828" spans="2:3" ht="15.75">
      <c r="B828" s="622">
        <v>46478</v>
      </c>
      <c r="C828" s="1232"/>
    </row>
    <row r="829" spans="2:3" ht="15">
      <c r="B829" s="72">
        <v>46508</v>
      </c>
      <c r="C829" s="1232"/>
    </row>
    <row r="830" spans="2:3" ht="15.75">
      <c r="B830" s="622">
        <v>46539</v>
      </c>
      <c r="C830" s="1232"/>
    </row>
    <row r="831" spans="2:3" ht="15">
      <c r="B831" s="72">
        <v>46569</v>
      </c>
      <c r="C831" s="1232"/>
    </row>
    <row r="832" spans="2:3" ht="15.75">
      <c r="B832" s="622">
        <v>46600</v>
      </c>
      <c r="C832" s="1232"/>
    </row>
    <row r="833" spans="2:3" ht="15">
      <c r="B833" s="72">
        <v>46631</v>
      </c>
      <c r="C833" s="1232"/>
    </row>
    <row r="834" spans="2:3" ht="15.75">
      <c r="B834" s="622">
        <v>46661</v>
      </c>
      <c r="C834" s="1232"/>
    </row>
    <row r="835" spans="2:3" ht="15">
      <c r="B835" s="72">
        <v>46692</v>
      </c>
      <c r="C835" s="1232"/>
    </row>
    <row r="836" spans="2:3" ht="15.75">
      <c r="B836" s="622">
        <v>46722</v>
      </c>
      <c r="C836" s="1232"/>
    </row>
    <row r="837" spans="2:3" ht="15">
      <c r="B837" s="72">
        <v>46753</v>
      </c>
      <c r="C837" s="1232"/>
    </row>
    <row r="838" spans="2:3" ht="15.75">
      <c r="B838" s="622">
        <v>46784</v>
      </c>
      <c r="C838" s="1232"/>
    </row>
    <row r="839" spans="2:3" ht="15">
      <c r="B839" s="72">
        <v>46813</v>
      </c>
      <c r="C839" s="1232"/>
    </row>
    <row r="840" spans="2:3" ht="15.75">
      <c r="B840" s="622">
        <v>46844</v>
      </c>
      <c r="C840" s="1232"/>
    </row>
    <row r="841" spans="2:3" ht="15">
      <c r="B841" s="72">
        <v>46874</v>
      </c>
      <c r="C841" s="1232"/>
    </row>
    <row r="842" spans="2:3" ht="15.75">
      <c r="B842" s="622">
        <v>46905</v>
      </c>
      <c r="C842" s="1232"/>
    </row>
    <row r="843" spans="2:3" ht="15">
      <c r="B843" s="72">
        <v>46935</v>
      </c>
      <c r="C843" s="1232"/>
    </row>
    <row r="844" spans="2:3" ht="15.75">
      <c r="B844" s="622">
        <v>46966</v>
      </c>
      <c r="C844" s="1232"/>
    </row>
    <row r="845" spans="2:3" ht="15">
      <c r="B845" s="72">
        <v>46997</v>
      </c>
      <c r="C845" s="1232"/>
    </row>
    <row r="846" spans="2:3" ht="15.75">
      <c r="B846" s="622">
        <v>47027</v>
      </c>
      <c r="C846" s="1232"/>
    </row>
    <row r="847" spans="2:3" ht="15">
      <c r="B847" s="72">
        <v>47058</v>
      </c>
      <c r="C847" s="1232"/>
    </row>
    <row r="848" spans="2:3" ht="15.75">
      <c r="B848" s="622">
        <v>47088</v>
      </c>
      <c r="C848" s="1232"/>
    </row>
    <row r="849" spans="2:3" ht="15">
      <c r="B849" s="72">
        <v>47119</v>
      </c>
      <c r="C849" s="1232"/>
    </row>
    <row r="850" spans="2:3" ht="15.75">
      <c r="B850" s="622">
        <v>47150</v>
      </c>
      <c r="C850" s="1232"/>
    </row>
    <row r="851" spans="2:3" ht="15">
      <c r="B851" s="72">
        <v>47178</v>
      </c>
      <c r="C851" s="1232"/>
    </row>
    <row r="852" spans="2:3" ht="15">
      <c r="B852" s="72"/>
      <c r="C852" s="1232"/>
    </row>
    <row r="853" spans="2:3" ht="15">
      <c r="B853" s="72"/>
      <c r="C853" s="1232"/>
    </row>
    <row r="854" spans="2:3" ht="15">
      <c r="B854" s="72"/>
      <c r="C854" s="1232"/>
    </row>
    <row r="855" spans="2:3" ht="15">
      <c r="B855" s="72"/>
      <c r="C855" s="1232"/>
    </row>
    <row r="856" spans="2:3" ht="15">
      <c r="B856" s="72"/>
      <c r="C856" s="1232"/>
    </row>
    <row r="857" spans="2:3" ht="15">
      <c r="B857" s="72"/>
      <c r="C857" s="1232"/>
    </row>
    <row r="858" spans="2:3" ht="15">
      <c r="B858" s="72"/>
      <c r="C858" s="1232"/>
    </row>
    <row r="859" spans="2:3" ht="15">
      <c r="B859" s="72"/>
      <c r="C859" s="1232"/>
    </row>
    <row r="860" spans="2:3" ht="15">
      <c r="B860" s="72"/>
      <c r="C860" s="1232"/>
    </row>
    <row r="861" spans="2:3" ht="15">
      <c r="B861" s="72"/>
      <c r="C861" s="1232"/>
    </row>
    <row r="862" spans="2:3" ht="15">
      <c r="B862" s="72"/>
      <c r="C862" s="1232"/>
    </row>
    <row r="863" spans="2:3" ht="15">
      <c r="B863" s="72"/>
      <c r="C863" s="1232"/>
    </row>
    <row r="864" spans="2:3" ht="15">
      <c r="B864" s="72"/>
      <c r="C864" s="1232"/>
    </row>
    <row r="865" spans="2:3" ht="15">
      <c r="B865" s="72"/>
      <c r="C865" s="1232"/>
    </row>
    <row r="866" spans="2:3" ht="15">
      <c r="B866" s="72"/>
      <c r="C866" s="1232"/>
    </row>
    <row r="867" spans="2:3" ht="15">
      <c r="B867" s="72"/>
      <c r="C867" s="1232"/>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0.125" defaultRowHeight="14.25" zeroHeight="1" outlineLevelCol="1"/>
  <cols>
    <col min="1" max="1" width="4.625" style="212" customWidth="1"/>
    <col min="2" max="2" width="7.125" style="236" customWidth="1"/>
    <col min="3" max="6" width="15.625" style="216" customWidth="1"/>
    <col min="7" max="7" width="0" style="216" hidden="1" customWidth="1"/>
    <col min="8" max="11" width="14.5" style="216" customWidth="1"/>
    <col min="12" max="12" width="9.125" style="216" hidden="1" customWidth="1"/>
    <col min="13" max="13" width="9.125" style="216" customWidth="1"/>
    <col min="14" max="15" width="14.5" style="216" customWidth="1"/>
    <col min="16" max="16" width="14.5" style="216" customWidth="1" outlineLevel="1"/>
    <col min="17" max="17" width="14.625" style="216" customWidth="1" outlineLevel="1"/>
    <col min="18" max="18" width="14.5" style="216" customWidth="1" outlineLevel="1"/>
    <col min="19" max="19" width="3" style="216" customWidth="1"/>
    <col min="20" max="20" width="8.125" style="216" customWidth="1"/>
    <col min="21" max="21" width="12.625" style="216" customWidth="1"/>
    <col min="22" max="22" width="11.125" style="216" customWidth="1"/>
    <col min="23" max="23" width="10.125" style="216" customWidth="1"/>
    <col min="24" max="24" width="6.625" style="216" customWidth="1"/>
    <col min="25" max="25" width="10.625" style="216" customWidth="1"/>
    <col min="26" max="27" width="10.625" customWidth="1"/>
    <col min="28" max="28" width="10.625" style="216" customWidth="1"/>
    <col min="29" max="32" width="7.125" style="216" customWidth="1"/>
    <col min="33" max="204" width="3" style="216" customWidth="1"/>
    <col min="205" max="16384" width="0.125" style="216"/>
  </cols>
  <sheetData>
    <row r="1" spans="1:27" ht="29.1" customHeight="1">
      <c r="A1" s="335"/>
      <c r="B1" s="2994"/>
      <c r="C1" s="2994"/>
      <c r="D1" s="2994"/>
      <c r="E1" s="2994"/>
      <c r="F1" s="2995"/>
      <c r="G1" s="213"/>
      <c r="H1" s="328" t="s">
        <v>328</v>
      </c>
      <c r="I1" s="214" t="s">
        <v>126</v>
      </c>
      <c r="J1" s="214" t="s">
        <v>287</v>
      </c>
      <c r="K1" s="215" t="s">
        <v>288</v>
      </c>
      <c r="L1" s="336"/>
      <c r="M1" s="335"/>
      <c r="N1" s="2991" t="s">
        <v>379</v>
      </c>
      <c r="O1" s="215" t="s">
        <v>126</v>
      </c>
      <c r="P1" s="215" t="s">
        <v>567</v>
      </c>
      <c r="Q1" s="215" t="s">
        <v>568</v>
      </c>
      <c r="R1" s="215" t="s">
        <v>569</v>
      </c>
      <c r="S1" s="212"/>
      <c r="T1" s="211" t="str">
        <f>"$B$1:$O$"&amp;COUNTIF(B:B,"&gt;0")+18</f>
        <v>$B$1:$O$18</v>
      </c>
      <c r="U1" s="212" t="s">
        <v>304</v>
      </c>
      <c r="V1" s="212" t="s">
        <v>305</v>
      </c>
      <c r="W1" s="212" t="s">
        <v>306</v>
      </c>
      <c r="X1" t="s">
        <v>380</v>
      </c>
      <c r="Y1" s="216" t="s">
        <v>833</v>
      </c>
    </row>
    <row r="2" spans="1:27">
      <c r="A2" s="337"/>
      <c r="B2" s="2988" t="s">
        <v>298</v>
      </c>
      <c r="C2" s="2988"/>
      <c r="D2" s="2988"/>
      <c r="E2" s="2988"/>
      <c r="F2" s="2989"/>
      <c r="G2" s="217"/>
      <c r="H2" s="218" t="str">
        <f>+'BVerfG 1 BvL 5-18'!D8</f>
        <v/>
      </c>
      <c r="I2" s="218" t="str">
        <f>+H2</f>
        <v/>
      </c>
      <c r="J2" s="218" t="str">
        <f>+I2</f>
        <v/>
      </c>
      <c r="K2" s="218" t="str">
        <f>+J2</f>
        <v/>
      </c>
      <c r="L2" s="212"/>
      <c r="M2" s="337"/>
      <c r="N2" s="2992"/>
      <c r="O2" s="329">
        <f>IF(Adaequanz_GebDatAglBer=0,0,'BVerfG 1 BvL 5-18'!H8)</f>
        <v>0</v>
      </c>
      <c r="P2" s="329">
        <f>IF(Adaequanz_GebDatAglBer=0,0,IF(Adaequanz_Sondertaste,'BVerfG 1 BvL 5-18'!I8,0))</f>
        <v>0</v>
      </c>
      <c r="Q2" s="329">
        <f>IF(Adaequanz_GebDatAglBer=0,0,IF(Adaequanz_Sondertaste,'BVerfG 1 BvL 5-18'!J8,0))</f>
        <v>0</v>
      </c>
      <c r="R2" s="329">
        <f>IF(Adaequanz_GebDatAglBer=0,0,IF(Adaequanz_Sondertaste,'BVerfG 1 BvL 5-18'!K8,0))</f>
        <v>0</v>
      </c>
      <c r="S2" s="212"/>
      <c r="T2" s="216" t="s">
        <v>563</v>
      </c>
      <c r="U2" s="258" t="b">
        <v>1</v>
      </c>
      <c r="V2" s="258" t="b">
        <v>0</v>
      </c>
      <c r="W2" s="258" t="b">
        <v>0</v>
      </c>
      <c r="X2" s="15" t="b">
        <v>0</v>
      </c>
      <c r="Y2" s="15" t="b">
        <v>1</v>
      </c>
    </row>
    <row r="3" spans="1:27">
      <c r="A3" s="337"/>
      <c r="B3" s="2988" t="s">
        <v>813</v>
      </c>
      <c r="C3" s="2988"/>
      <c r="D3" s="2988"/>
      <c r="E3" s="2988"/>
      <c r="F3" s="2989"/>
      <c r="H3" s="218">
        <f>IFERROR(+H4+IF(H5&lt;H2,H2,H5),0)</f>
        <v>0</v>
      </c>
      <c r="I3" s="218">
        <f>IFERROR(+I4+IF(I5&lt;I2,I2,I5),0)</f>
        <v>0</v>
      </c>
      <c r="J3" s="218">
        <f>IFERROR(+J4+IF(J5&lt;J2,J2,J5),0)</f>
        <v>0</v>
      </c>
      <c r="K3" s="218">
        <f>IFERROR(+K4+IF(K5&lt;K2,K2,K5),0)</f>
        <v>0</v>
      </c>
      <c r="L3" s="212"/>
      <c r="M3" s="337"/>
      <c r="N3" s="2992"/>
      <c r="O3" s="220">
        <f>IFERROR(+O4+IF(O5&lt;'BVerfG 1 BvL 5-18'!H8,O2,O5),0)</f>
        <v>0</v>
      </c>
      <c r="P3" s="220">
        <f>IF(Adaequanz_Sondertaste,IFERROR(+P4+IF(P5&lt;'BVerfG 1 BvL 5-18'!I8,P2,P5),0),0)</f>
        <v>0</v>
      </c>
      <c r="Q3" s="220">
        <f>IF(Adaequanz_Sondertaste,IFERROR(+Q4+IF(Q5&lt;'BVerfG 1 BvL 5-18'!J8,Q2,Q5),0),0)</f>
        <v>0</v>
      </c>
      <c r="R3" s="220">
        <f>IF(Adaequanz_Sondertaste,IFERROR(+R4+IF(R5&lt;'BVerfG 1 BvL 5-18'!K8,R2,R5),0),0)</f>
        <v>0</v>
      </c>
      <c r="S3" s="212"/>
      <c r="T3" s="216">
        <f>MAX(U3:X3)</f>
        <v>1</v>
      </c>
      <c r="U3" s="216">
        <f>IF(DRVJa,1,0)</f>
        <v>1</v>
      </c>
      <c r="V3" s="216">
        <f>IF(V2,1,0)</f>
        <v>0</v>
      </c>
      <c r="W3" s="216">
        <f>IF(W2,1,0)</f>
        <v>0</v>
      </c>
      <c r="X3" s="216">
        <f>IF(X2,4,0)</f>
        <v>0</v>
      </c>
    </row>
    <row r="4" spans="1:27" ht="15">
      <c r="A4" s="337"/>
      <c r="B4" s="2988" t="s">
        <v>814</v>
      </c>
      <c r="C4" s="2988"/>
      <c r="D4" s="2988"/>
      <c r="E4" s="2988"/>
      <c r="F4" s="2989"/>
      <c r="H4" s="219">
        <f>+'BVerfG 1 BvL 5-18'!D10</f>
        <v>0</v>
      </c>
      <c r="I4" s="218">
        <f>+'BVerfG 1 BvL 5-18'!E10</f>
        <v>0</v>
      </c>
      <c r="J4" s="218">
        <f>+'BVerfG 1 BvL 5-18'!F10</f>
        <v>0</v>
      </c>
      <c r="K4" s="218">
        <f>+'BVerfG 1 BvL 5-18'!G10</f>
        <v>0</v>
      </c>
      <c r="L4" s="212"/>
      <c r="M4" s="337"/>
      <c r="N4" s="2992"/>
      <c r="O4" s="220">
        <f>IF(Adaequanz_GebDatAglBer=0,0,'BVerfG 1 BvL 5-18'!H10)</f>
        <v>0</v>
      </c>
      <c r="P4" s="220">
        <f>IF(Adaequanz_GebDatAglBer=0,0,'BVerfG 1 BvL 5-18'!I10)</f>
        <v>0</v>
      </c>
      <c r="Q4" s="220">
        <f>IF(Adaequanz_GebDatAglBer=0,0,'BVerfG 1 BvL 5-18'!J10)</f>
        <v>0</v>
      </c>
      <c r="R4" s="220">
        <f>IF(Adaequanz_GebDatAglBer=0,0,'BVerfG 1 BvL 5-18'!K10)</f>
        <v>0</v>
      </c>
      <c r="S4" s="212"/>
      <c r="U4" s="2990">
        <f>+U3+V3+W3</f>
        <v>1</v>
      </c>
      <c r="V4" s="2990"/>
      <c r="W4" s="2990"/>
    </row>
    <row r="5" spans="1:27">
      <c r="A5" s="337"/>
      <c r="B5" s="2988" t="s">
        <v>289</v>
      </c>
      <c r="C5" s="2988"/>
      <c r="D5" s="2988"/>
      <c r="E5" s="2988"/>
      <c r="F5" s="2989"/>
      <c r="H5" s="218">
        <f>+Adaequanz_ReEintrittPfl</f>
        <v>0</v>
      </c>
      <c r="I5" s="218" t="str">
        <f>+'BVerfG 1 BvL 5-18'!E9</f>
        <v/>
      </c>
      <c r="J5" s="218">
        <f>+'BVerfG 1 BvL 5-18'!F9</f>
        <v>0</v>
      </c>
      <c r="K5" s="220">
        <f>+'BVerfG 1 BvL 5-18'!G9</f>
        <v>0</v>
      </c>
      <c r="L5" s="212"/>
      <c r="M5" s="337"/>
      <c r="N5" s="2992"/>
      <c r="O5" s="201">
        <f>IF(Adaequanz_GebDatAglBer=0,0,+'BVerfG 1 BvL 5-18'!H9)</f>
        <v>0</v>
      </c>
      <c r="P5" s="201">
        <f>IF(Adaequanz_GebDatAglBer=0,0,+'BVerfG 1 BvL 5-18'!I9)</f>
        <v>0</v>
      </c>
      <c r="Q5" s="201">
        <f>IF(Adaequanz_GebDatAglBer=0,0,+'BVerfG 1 BvL 5-18'!J9)</f>
        <v>0</v>
      </c>
      <c r="R5" s="201">
        <f>IF(Adaequanz_GebDatAglBer=0,0,+'BVerfG 1 BvL 5-18'!K9)</f>
        <v>0</v>
      </c>
      <c r="S5" s="212"/>
    </row>
    <row r="6" spans="1:27">
      <c r="A6" s="337"/>
      <c r="B6" s="2988" t="s">
        <v>812</v>
      </c>
      <c r="C6" s="2988"/>
      <c r="D6" s="2988"/>
      <c r="E6" s="2988"/>
      <c r="F6" s="2989"/>
      <c r="H6" s="661">
        <f>IF(QVersJa,+Adaequanz_RentePfl,0)</f>
        <v>0</v>
      </c>
      <c r="I6" s="661">
        <f>IFERROR(IF(DRVJa,'BVerfG 1 BvL 5-18'!E12,0)/Adaequanz_Zugangsfaktor,0)</f>
        <v>0</v>
      </c>
      <c r="J6" s="661">
        <f>IF(VersAusglKJa,'BVerfG 1 BvL 5-18'!F12,0)</f>
        <v>0</v>
      </c>
      <c r="K6" s="662">
        <f>IF(VersAusglKJa,'BVerfG 1 BvL 5-18'!G12,0)</f>
        <v>0</v>
      </c>
      <c r="L6" s="212"/>
      <c r="M6" s="337"/>
      <c r="N6" s="2992"/>
      <c r="O6" s="221">
        <f>IF(Adaequanz_GebDatAglBer=0,0,'BVerfG 1 BvL 5-18'!H12)</f>
        <v>0</v>
      </c>
      <c r="P6" s="221">
        <f>IF(Adaequanz_GebDatAglBer=0,0,'BVerfG 1 BvL 5-18'!I11)</f>
        <v>0</v>
      </c>
      <c r="Q6" s="221">
        <f>IF(Adaequanz_GebDatAglBer=0,0,'BVerfG 1 BvL 5-18'!J12)</f>
        <v>0</v>
      </c>
      <c r="R6" s="221">
        <f>IF(Adaequanz_GebDatAglBer=0,0,'BVerfG 1 BvL 5-18'!K12)</f>
        <v>0</v>
      </c>
      <c r="S6" s="212"/>
      <c r="Y6" s="216" t="s">
        <v>301</v>
      </c>
      <c r="Z6" s="216" t="s">
        <v>302</v>
      </c>
      <c r="AA6" s="216" t="s">
        <v>303</v>
      </c>
    </row>
    <row r="7" spans="1:27">
      <c r="A7" s="337"/>
      <c r="B7" s="2988" t="s">
        <v>258</v>
      </c>
      <c r="C7" s="2988"/>
      <c r="D7" s="2988"/>
      <c r="E7" s="2988"/>
      <c r="F7" s="2989"/>
      <c r="H7" s="222">
        <f>+Adaequanz_ADynPfl</f>
        <v>0</v>
      </c>
      <c r="I7" s="222">
        <f>'BVerfG 1 BvL 5-18'!E13</f>
        <v>2.5999999999999999E-2</v>
      </c>
      <c r="J7" s="222">
        <f>'BVerfG 1 BvL 5-18'!F13</f>
        <v>0.01</v>
      </c>
      <c r="K7" s="223">
        <f>'BVerfG 1 BvL 5-18'!G13</f>
        <v>0</v>
      </c>
      <c r="L7" s="212"/>
      <c r="M7" s="337"/>
      <c r="N7" s="2992"/>
      <c r="O7" s="223">
        <f>+'BVerfG 1 BvL 5-18'!H13</f>
        <v>2.5999999999999999E-2</v>
      </c>
      <c r="P7" s="223">
        <f>+'BVerfG 1 BvL 5-18'!I13</f>
        <v>0</v>
      </c>
      <c r="Q7" s="223">
        <f>+'BVerfG 1 BvL 5-18'!J13</f>
        <v>0</v>
      </c>
      <c r="R7" s="223">
        <f>+'BVerfG 1 BvL 5-18'!K13</f>
        <v>0</v>
      </c>
      <c r="S7" s="212"/>
      <c r="Y7" s="216">
        <f>1-Redifferenz</f>
        <v>0.82000000000000006</v>
      </c>
      <c r="Z7" s="216"/>
      <c r="AA7" s="216"/>
    </row>
    <row r="8" spans="1:27">
      <c r="A8" s="337"/>
      <c r="B8" s="2988" t="s">
        <v>257</v>
      </c>
      <c r="C8" s="2988"/>
      <c r="D8" s="2988"/>
      <c r="E8" s="2988"/>
      <c r="F8" s="2989"/>
      <c r="H8" s="218" t="str">
        <f>+'BVerfG 1 BvL 5-18'!D11</f>
        <v/>
      </c>
      <c r="I8" s="218" t="str">
        <f>+'BVerfG 1 BvL 5-18'!E11</f>
        <v/>
      </c>
      <c r="J8" s="218" t="str">
        <f>+'BVerfG 1 BvL 5-18'!F11</f>
        <v/>
      </c>
      <c r="K8" s="220" t="str">
        <f>+'BVerfG 1 BvL 5-18'!G11</f>
        <v/>
      </c>
      <c r="L8" s="212"/>
      <c r="M8" s="337"/>
      <c r="N8" s="2992"/>
      <c r="O8" s="220" t="str">
        <f>+'BVerfG 1 BvL 5-18'!H11</f>
        <v/>
      </c>
      <c r="P8" s="220">
        <f>+'BVerfG 1 BvL 5-18'!I10</f>
        <v>0</v>
      </c>
      <c r="Q8" s="220" t="str">
        <f>+'BVerfG 1 BvL 5-18'!J11</f>
        <v/>
      </c>
      <c r="R8" s="220" t="str">
        <f>+'BVerfG 1 BvL 5-18'!K11</f>
        <v/>
      </c>
      <c r="S8" s="212"/>
      <c r="Y8" s="216">
        <f>IF(Y9*0.3%&gt;0.18,0.18,Y9*0.3%)</f>
        <v>0.18</v>
      </c>
      <c r="Z8" s="216"/>
      <c r="AA8" s="216"/>
    </row>
    <row r="9" spans="1:27">
      <c r="A9" s="337"/>
      <c r="B9" s="2988" t="s">
        <v>259</v>
      </c>
      <c r="C9" s="2988"/>
      <c r="D9" s="2988"/>
      <c r="E9" s="2988"/>
      <c r="F9" s="2989"/>
      <c r="H9" s="222">
        <f>+Adaequanz_LDynPfl</f>
        <v>0</v>
      </c>
      <c r="I9" s="222">
        <f>'BVerfG 1 BvL 5-18'!E14</f>
        <v>2.5999999999999999E-2</v>
      </c>
      <c r="J9" s="222">
        <f>'BVerfG 1 BvL 5-18'!F14</f>
        <v>0.01</v>
      </c>
      <c r="K9" s="223">
        <f>'BVerfG 1 BvL 5-18'!G14</f>
        <v>0</v>
      </c>
      <c r="L9" s="212"/>
      <c r="M9" s="337"/>
      <c r="N9" s="2992"/>
      <c r="O9" s="223">
        <f>+'BVerfG 1 BvL 5-18'!H14</f>
        <v>2.5999999999999999E-2</v>
      </c>
      <c r="P9" s="223">
        <f>+'BVerfG 1 BvL 5-18'!I14</f>
        <v>0</v>
      </c>
      <c r="Q9" s="223">
        <f>+'BVerfG 1 BvL 5-18'!J14</f>
        <v>0</v>
      </c>
      <c r="R9" s="223">
        <f>+'BVerfG 1 BvL 5-18'!K14</f>
        <v>0</v>
      </c>
      <c r="S9" s="212"/>
      <c r="T9" s="244"/>
      <c r="Y9" s="238">
        <f>(Z15-AA15)*12</f>
        <v>780</v>
      </c>
      <c r="Z9" s="216"/>
      <c r="AA9" s="216"/>
    </row>
    <row r="10" spans="1:27" ht="15">
      <c r="A10" s="337"/>
      <c r="B10" s="2988" t="s">
        <v>814</v>
      </c>
      <c r="C10" s="2988"/>
      <c r="D10" s="2988"/>
      <c r="E10" s="2988"/>
      <c r="F10" s="2989"/>
      <c r="H10" s="219">
        <f>IFERROR(ROUND(+'BVerfG 1 BvL 5-18'!D10,2),0)</f>
        <v>0</v>
      </c>
      <c r="I10" s="219">
        <f>+'BVerfG 1 BvL 5-18'!E10</f>
        <v>0</v>
      </c>
      <c r="J10" s="219">
        <f>+'BVerfG 1 BvL 5-18'!F10</f>
        <v>0</v>
      </c>
      <c r="K10" s="224">
        <f>+'BVerfG 1 BvL 5-18'!G10</f>
        <v>0</v>
      </c>
      <c r="L10" s="212"/>
      <c r="M10" s="337"/>
      <c r="N10" s="2992"/>
      <c r="O10" s="224">
        <f>+O4</f>
        <v>0</v>
      </c>
      <c r="P10" s="224">
        <f>+P4</f>
        <v>0</v>
      </c>
      <c r="Q10" s="224">
        <f>+Q4</f>
        <v>0</v>
      </c>
      <c r="R10" s="224">
        <f>+R4</f>
        <v>0</v>
      </c>
      <c r="S10" s="212"/>
      <c r="X10" s="216" t="s">
        <v>375</v>
      </c>
      <c r="Z10" s="238">
        <f>O10-INT(O10)</f>
        <v>0</v>
      </c>
    </row>
    <row r="11" spans="1:27" ht="15">
      <c r="A11" s="337"/>
      <c r="B11" s="2988" t="s">
        <v>815</v>
      </c>
      <c r="C11" s="2988"/>
      <c r="D11" s="2988"/>
      <c r="E11" s="2988"/>
      <c r="F11" s="2989"/>
      <c r="H11" s="222">
        <f>+'BVerfG 1 BvL 5-18'!D19</f>
        <v>0</v>
      </c>
      <c r="I11" s="222">
        <f>+'BVerfG 1 BvL 5-18'!E19</f>
        <v>0</v>
      </c>
      <c r="J11" s="222">
        <f>+'BVerfG 1 BvL 5-18'!F19</f>
        <v>0</v>
      </c>
      <c r="K11" s="223" t="str">
        <f>+'BVerfG 1 BvL 5-18'!G19</f>
        <v/>
      </c>
      <c r="L11" s="212"/>
      <c r="M11" s="337"/>
      <c r="N11" s="2992"/>
      <c r="O11" s="223">
        <f>IF(Adaequanz_GebDatAglBer=0,0,+'BVerfG 1 BvL 5-18'!H19)</f>
        <v>0</v>
      </c>
      <c r="P11" s="223">
        <f>IF(Adaequanz_GebDatAglBer=0,0,+'BVerfG 1 BvL 5-18'!I18)</f>
        <v>0</v>
      </c>
      <c r="Q11" s="223">
        <f>IF(Adaequanz_GebDatAglBer=0,0,+'BVerfG 1 BvL 5-18'!J19)</f>
        <v>0</v>
      </c>
      <c r="R11" s="223">
        <f>IF(Adaequanz_GebDatAglBer=0,0,+'BVerfG 1 BvL 5-18'!K19)</f>
        <v>0</v>
      </c>
      <c r="S11" s="212"/>
      <c r="U11" s="216">
        <f>(1+P$9)^(IF(M18-P$5&gt;0,M18-P$5,1))</f>
        <v>1</v>
      </c>
      <c r="X11" s="231">
        <f>ROUND(B18-1,0)</f>
        <v>-1</v>
      </c>
      <c r="Y11" s="468">
        <f>ROUND(M18-1,0)</f>
        <v>-1</v>
      </c>
      <c r="Z11" s="216"/>
      <c r="AA11" s="216"/>
    </row>
    <row r="12" spans="1:27" ht="15" thickBot="1">
      <c r="A12" s="337"/>
      <c r="B12" s="2996" t="str">
        <f>"Rente im ReAlter bzw. im EzE "&amp;IF(DifferenzfaktorDRV&lt;1,"ggfls. bei DRV Rentenabschlag wg. vorz. Bezugs, § 77 SGB VI","")</f>
        <v>Rente im ReAlter bzw. im EzE ggfls. bei DRV Rentenabschlag wg. vorz. Bezugs, § 77 SGB VI</v>
      </c>
      <c r="C12" s="2996"/>
      <c r="D12" s="2996"/>
      <c r="E12" s="2996"/>
      <c r="F12" s="2997"/>
      <c r="H12" s="225" t="str">
        <f>IF(QVersJa,'BVerfG 1 BvL 5-18'!D15,0)</f>
        <v/>
      </c>
      <c r="I12" s="225">
        <f>IFERROR(ROUND(+I6*Adaequanz_Zugangsfaktor*(1+I7)^I8,2),0)</f>
        <v>0</v>
      </c>
      <c r="J12" s="225">
        <f>IF('BVerfG 1 BvL 5-18'!F15=0,0,IF(VersAusglKJa,'BVerfG 1 BvL 5-18'!F15,0))</f>
        <v>0</v>
      </c>
      <c r="K12" s="226">
        <f>IFERROR(ROUND(IF(SonstJa,'BVerfG 1 BvL 5-18'!G15,0),2),"")</f>
        <v>0</v>
      </c>
      <c r="L12" s="212"/>
      <c r="M12" s="337"/>
      <c r="N12" s="2992"/>
      <c r="O12" s="226">
        <f>IF(Adaequanz_GebDatAglBer=0,0,'BVerfG 1 BvL 5-18'!H15)</f>
        <v>0</v>
      </c>
      <c r="P12" s="226">
        <f>IF(Adaequanz_GebDatAglBer=0,0,'BVerfG 1 BvL 5-18'!I15)</f>
        <v>0</v>
      </c>
      <c r="Q12" s="226">
        <f>IF(Adaequanz_GebDatAglBer=0,0,'BVerfG 1 BvL 5-18'!J15)</f>
        <v>0</v>
      </c>
      <c r="R12" s="226">
        <f>IF(Adaequanz_GebDatAglBer=0,0,'BVerfG 1 BvL 5-18'!K15)</f>
        <v>0</v>
      </c>
      <c r="S12" s="212"/>
      <c r="U12" s="454">
        <f>P$12*(1+P$7)^P$8</f>
        <v>0</v>
      </c>
      <c r="X12" s="330">
        <f>ROUND(M18-1,0)</f>
        <v>-1</v>
      </c>
      <c r="Y12" s="236"/>
      <c r="Z12" s="236"/>
      <c r="AA12" s="236"/>
    </row>
    <row r="13" spans="1:27" ht="38.85" customHeight="1" thickTop="1" thickBot="1">
      <c r="A13" s="337"/>
      <c r="B13" s="2993"/>
      <c r="C13" s="2993"/>
      <c r="D13" s="2993"/>
      <c r="E13" s="2993"/>
      <c r="F13" s="2993"/>
      <c r="G13" s="227"/>
      <c r="H13" s="254">
        <f>SUM(H17:H93)</f>
        <v>0</v>
      </c>
      <c r="I13" s="254" t="e">
        <f>SUM(I18:I94)</f>
        <v>#VALUE!</v>
      </c>
      <c r="J13" s="254">
        <f>SUM(J18:J94)</f>
        <v>0</v>
      </c>
      <c r="K13" s="254">
        <f>SUM(K18:K94)</f>
        <v>0</v>
      </c>
      <c r="L13" s="212"/>
      <c r="M13" s="337"/>
      <c r="N13" s="2992"/>
      <c r="O13" s="323">
        <f>SUM(O18:O93)</f>
        <v>0</v>
      </c>
      <c r="P13" s="323">
        <f>SUM(P18:P93)</f>
        <v>0</v>
      </c>
      <c r="Q13" s="323">
        <f>SUM(Q18:Q93)</f>
        <v>0</v>
      </c>
      <c r="R13" s="323">
        <f>SUM(R18:R93)</f>
        <v>0</v>
      </c>
      <c r="S13" s="212"/>
      <c r="U13" s="454">
        <f>P$12*(1+P$7)^P$8</f>
        <v>0</v>
      </c>
      <c r="X13" s="216" t="s">
        <v>290</v>
      </c>
      <c r="Y13" s="238">
        <f>H10-INT(H10)</f>
        <v>0</v>
      </c>
      <c r="Z13" s="238">
        <f>I10-INT(I10)</f>
        <v>0</v>
      </c>
      <c r="AA13" s="216"/>
    </row>
    <row r="14" spans="1:27" ht="15.75" thickBot="1">
      <c r="A14" s="337"/>
      <c r="B14" s="216"/>
      <c r="E14" s="2987" t="s">
        <v>847</v>
      </c>
      <c r="F14" s="2987"/>
      <c r="G14" s="2987"/>
      <c r="H14" s="2987"/>
      <c r="L14" s="212"/>
      <c r="M14" s="337"/>
      <c r="N14" s="2973" t="s">
        <v>378</v>
      </c>
      <c r="O14" s="2974"/>
      <c r="P14" s="665"/>
      <c r="Q14" s="665"/>
      <c r="R14" s="660"/>
      <c r="S14" s="212"/>
      <c r="U14" s="238">
        <f>(1+P$9)^(M18-P$5)</f>
        <v>1</v>
      </c>
      <c r="X14" s="216" t="s">
        <v>381</v>
      </c>
      <c r="Y14" s="238">
        <f>O10-INT(O10)</f>
        <v>0</v>
      </c>
      <c r="Z14" s="216"/>
      <c r="AA14" s="216"/>
    </row>
    <row r="15" spans="1:27" ht="31.5" customHeight="1">
      <c r="A15" s="337"/>
      <c r="B15" s="2982" t="s">
        <v>299</v>
      </c>
      <c r="C15" s="2980" t="s">
        <v>296</v>
      </c>
      <c r="D15" s="2980"/>
      <c r="E15" s="2980"/>
      <c r="F15" s="2981"/>
      <c r="G15" s="228"/>
      <c r="H15" s="2977" t="s">
        <v>297</v>
      </c>
      <c r="I15" s="2978"/>
      <c r="J15" s="2978"/>
      <c r="K15" s="2979"/>
      <c r="L15" s="212"/>
      <c r="M15" s="337"/>
      <c r="N15" s="2975"/>
      <c r="O15" s="2976"/>
      <c r="P15" s="665"/>
      <c r="Q15" s="665"/>
      <c r="R15" s="660"/>
      <c r="S15" s="212"/>
      <c r="U15" s="2972" t="s">
        <v>810</v>
      </c>
      <c r="V15" s="2972"/>
      <c r="W15" s="2972"/>
      <c r="X15" s="216" t="s">
        <v>300</v>
      </c>
      <c r="Z15" s="216">
        <f>Adaequanz_Renteneintritt</f>
        <v>65</v>
      </c>
      <c r="AA15" s="238">
        <f>IF('BVerfG 1 BvL 5-18'!E9="",0,'BVerfG 1 BvL 5-18'!E9)</f>
        <v>0</v>
      </c>
    </row>
    <row r="16" spans="1:27" ht="62.1" customHeight="1">
      <c r="A16" s="337"/>
      <c r="B16" s="2983"/>
      <c r="C16" s="403" t="str">
        <f>+'BVerfG 1 BvL 5-18'!$D$3</f>
        <v>Quell-Versorgung</v>
      </c>
      <c r="D16" s="403" t="str">
        <f>+'BVerfG 1 BvL 5-18'!$E$3</f>
        <v>DRV
 aus 0 €</v>
      </c>
      <c r="E16" s="403" t="str">
        <f>+'BVerfG 1 BvL 5-18'!$F$3</f>
        <v>VerAusglK</v>
      </c>
      <c r="F16" s="229" t="str">
        <f>+'BVerfG 1 BvL 5-18'!$G$3</f>
        <v>Sonstige Versorgung</v>
      </c>
      <c r="H16" s="230" t="str">
        <f>+C16</f>
        <v>Quell-Versorgung</v>
      </c>
      <c r="I16" s="403" t="str">
        <f>+D16</f>
        <v>DRV
 aus 0 €</v>
      </c>
      <c r="J16" s="403" t="str">
        <f>+E16</f>
        <v>VerAusglK</v>
      </c>
      <c r="K16" s="229" t="str">
        <f>+F16</f>
        <v>Sonstige Versorgung</v>
      </c>
      <c r="L16" s="212"/>
      <c r="M16" s="631" t="s">
        <v>811</v>
      </c>
      <c r="N16" s="326" t="s">
        <v>376</v>
      </c>
      <c r="O16" s="327" t="s">
        <v>377</v>
      </c>
      <c r="P16" s="2984"/>
      <c r="Q16" s="2985"/>
      <c r="R16" s="2986"/>
      <c r="S16" s="212"/>
      <c r="T16" s="216" t="s">
        <v>143</v>
      </c>
    </row>
    <row r="17" spans="1:23" s="236" customFormat="1" ht="28.35" hidden="1" customHeight="1">
      <c r="A17" s="324"/>
      <c r="B17" s="233" t="s">
        <v>7</v>
      </c>
      <c r="C17" s="234" t="s">
        <v>291</v>
      </c>
      <c r="D17" s="234" t="s">
        <v>292</v>
      </c>
      <c r="E17" s="234" t="s">
        <v>293</v>
      </c>
      <c r="F17" s="235" t="s">
        <v>294</v>
      </c>
      <c r="H17" s="406"/>
      <c r="I17" s="405"/>
      <c r="J17" s="405"/>
      <c r="K17" s="407"/>
      <c r="L17" s="232"/>
      <c r="M17" s="324">
        <f>+O2-1</f>
        <v>-1</v>
      </c>
      <c r="N17" s="324"/>
      <c r="O17" s="325"/>
      <c r="P17" s="232"/>
      <c r="Q17" s="232"/>
      <c r="R17" s="325"/>
      <c r="S17" s="232"/>
    </row>
    <row r="18" spans="1:23">
      <c r="A18" s="337"/>
      <c r="B18" s="237">
        <f>IFERROR(ROUNDDOWN(IF(H2&lt;&gt;"",H2),0),0)</f>
        <v>0</v>
      </c>
      <c r="C18" s="439">
        <f t="shared" ref="C18:C49" si="0">IFERROR(IF(QuellVersrg,IF($B18&lt;INT(H$5),0,IF($B18=INT(H$2),H$12,IF($B18&gt;INT(H$2),H$12*(1+H$9)^(IF($B18-H$5&lt;=0,0,$B18-IF(H$5&lt;H$2,H$2,H$5))),0))),0),0)</f>
        <v>0</v>
      </c>
      <c r="D18" s="439">
        <f t="shared" ref="D18:D49" si="1">IFERROR(IF(DRVPfl,IF($B18&lt;INT(I$5),0,IF($B18=INT(I$2),I$12,IF($B18&gt;INT(I$2),I$12*(1+I$9)^(IF($B18-I$5&lt;=0,0,$B18-IF(I$5&lt;I$2,I$2,I$5))),0))),0),0)</f>
        <v>0</v>
      </c>
      <c r="E18" s="439">
        <f t="shared" ref="E18:E49" si="2">IFERROR(IF(VersAusglKPfl,IF($B18&lt;INT(J$5),0,IF($B18=INT(J$2),J$12,IF($B18&gt;INT(J$2),J$12*(1+J$9)^(IF($B18-J$5&lt;=0,0,$B18-IF(J$5&lt;J$2,J$2,J$5))),0))),0),0)</f>
        <v>0</v>
      </c>
      <c r="F18" s="439">
        <f t="shared" ref="F18:F49" si="3">IFERROR(IF(SonstPfl,IF($B18&lt;INT(K$5),0,IF($B18=INT(K$2),K$12,IF($B18&gt;INT(K$2),K$12*(1+K$9)^(IF($B18-K$5&lt;=0,0,$B18-IF(K$5&lt;K$2,K$2,K$5))),0))),0),0)</f>
        <v>0</v>
      </c>
      <c r="G18" s="236"/>
      <c r="H18" s="440">
        <f t="shared" ref="H18:H49" si="4">C18*12*IF(AND(INT(H$5)=B18,H$5&gt;INT(H$5)),1-(H$5-INT(H$5)),1)</f>
        <v>0</v>
      </c>
      <c r="I18" s="440" t="e">
        <f t="shared" ref="I18:I49" si="5">D18*12*IF(AND(INT(I$5)=$B18,I$5&gt;INT(I$5)),1-(I$5-INT(I$5)),1)</f>
        <v>#VALUE!</v>
      </c>
      <c r="J18" s="440">
        <f t="shared" ref="J18:J49" si="6">E18*12*IF(AND(INT(J$5)=$B18,J$5&gt;INT(J$5)),1-(J$5-INT(J$5)),1)</f>
        <v>0</v>
      </c>
      <c r="K18" s="440">
        <f t="shared" ref="K18:K49" si="7">F18*12*IF(AND(INT(K$5)=$B18,K$5&gt;INT(K$5)),1-(K$5-INT(K$5)),1)</f>
        <v>0</v>
      </c>
      <c r="L18" s="632"/>
      <c r="M18" s="666">
        <f>IF(DRVAusglBerJa,IFERROR(ROUNDDOWN(IF(O$2&lt;&gt;"",O$2),0),0),0)</f>
        <v>0</v>
      </c>
      <c r="N18" s="440">
        <f t="shared" ref="N18:N49" si="8">IFERROR(IF(AND(VersBer,DRVAusglBerJa),IF($M18&lt;INT(O$5),0,IF($M18=INT(O$2),O$12,IF($M18&gt;INT(O$2),O$12*(1+O$9)^(IF($M18-O$5&lt;=0,0,$M18-IF(O$5&lt;O$2,O$2,O$5))),0))),0),0)</f>
        <v>0</v>
      </c>
      <c r="O18" s="440">
        <f t="shared" ref="O18:O25" si="9">N18*12*IF(AND(INT(O$5)=$M18,O$5&gt;INT(O$5)),(1-(O$5-INT(O$5))),1)</f>
        <v>0</v>
      </c>
      <c r="P18" s="440">
        <f t="shared" ref="P18:Q37" si="10">IFERROR(IF(VersBer,IF($M18&lt;INT(P$5),0,IF($M18=INT(P$2),P$12,IF($M18&gt;INT(P$2),P$12*(1+P$9)^(IF($M18-P$5&lt;=0,0,$M18-IF(P$5&lt;P$2,P$2,P$5))),0))),0),0)</f>
        <v>0</v>
      </c>
      <c r="Q18" s="440">
        <f t="shared" si="10"/>
        <v>0</v>
      </c>
      <c r="R18" s="440">
        <f>IFERROR(IF(VerBer,IF($M18&lt;INT(R$5),0,IF($M18=INT(R$2),R$12,IF($M18&gt;INT(R$2),R$12*(1+R$9)^(IF($M18-R$5&lt;=0,0,$M18-IF(R$5&lt;R$2,R$2,R$5))),0))),0),0)</f>
        <v>0</v>
      </c>
      <c r="S18" s="212"/>
      <c r="U18" s="454">
        <f t="shared" ref="U18:U28" si="11">+P18*12*IF(AND(INT(P$5)=$M18,P$5&gt;INT(P$5)),1-(P$5-INT(P$5)),1)</f>
        <v>0</v>
      </c>
      <c r="V18" s="454">
        <f>+Q18*12*IF(AND(INT(Q$5)=$M18,Q$5&gt;INT(Q$5)),1-(Q$5-INT(Q$5)),1)</f>
        <v>0</v>
      </c>
      <c r="W18" s="454">
        <f>+R18*12*IF(AND(INT(R$5)=$M18,R$5&gt;INT(R$5)),1-(R$5-INT(R$5)),1)</f>
        <v>0</v>
      </c>
    </row>
    <row r="19" spans="1:23">
      <c r="A19" s="337"/>
      <c r="B19" s="237" t="str">
        <f t="shared" ref="B19:B50" si="12">IFERROR(IF(B18+1&lt;IF(Endalter=0,EndalterDRV,Endalter),B18+1,""),"")</f>
        <v/>
      </c>
      <c r="C19" s="439">
        <f t="shared" si="0"/>
        <v>0</v>
      </c>
      <c r="D19" s="439">
        <f t="shared" si="1"/>
        <v>0</v>
      </c>
      <c r="E19" s="439">
        <f t="shared" si="2"/>
        <v>0</v>
      </c>
      <c r="F19" s="439">
        <f t="shared" si="3"/>
        <v>0</v>
      </c>
      <c r="G19" s="236"/>
      <c r="H19" s="441">
        <f t="shared" si="4"/>
        <v>0</v>
      </c>
      <c r="I19" s="441" t="e">
        <f t="shared" si="5"/>
        <v>#VALUE!</v>
      </c>
      <c r="J19" s="441">
        <f t="shared" si="6"/>
        <v>0</v>
      </c>
      <c r="K19" s="441">
        <f t="shared" si="7"/>
        <v>0</v>
      </c>
      <c r="L19" s="633"/>
      <c r="M19" s="668" t="str">
        <f>IFERROR(IF(M18+1&lt;O$3,M18+1,""),"")</f>
        <v/>
      </c>
      <c r="N19" s="441">
        <f t="shared" si="8"/>
        <v>0</v>
      </c>
      <c r="O19" s="441">
        <f t="shared" si="9"/>
        <v>0</v>
      </c>
      <c r="P19" s="441">
        <f t="shared" si="10"/>
        <v>0</v>
      </c>
      <c r="Q19" s="441">
        <f t="shared" si="10"/>
        <v>0</v>
      </c>
      <c r="R19" s="441">
        <f>IFERROR(IF(VerBer,IF($M19&lt;INT(R$5),0,IF($M19=INT(R$2),R$12,IF($M19&gt;INT(R$2),R$12*(1+R$9)^(IF($M19-R$5&lt;=0,0,$M19-IF(R$5&lt;R$2,R$2,R$5))),0))),0),0)</f>
        <v>0</v>
      </c>
      <c r="S19" s="212"/>
      <c r="U19" s="454">
        <f t="shared" si="11"/>
        <v>0</v>
      </c>
      <c r="V19" s="454">
        <f t="shared" ref="V19:V82" si="13">+Q19*12*IF(AND(INT(Q$5)=$M19,Q$5&gt;INT(Q$5)),1-(Q$5-INT(Q$5)),1)</f>
        <v>0</v>
      </c>
      <c r="W19" s="454">
        <f t="shared" ref="W19:W82" si="14">+R19*12*IF(AND(INT(R$5)=$M19,R$5&gt;INT(R$5)),1-(R$5-INT(R$5)),1)</f>
        <v>0</v>
      </c>
    </row>
    <row r="20" spans="1:23">
      <c r="A20" s="337"/>
      <c r="B20" s="237" t="str">
        <f t="shared" si="12"/>
        <v/>
      </c>
      <c r="C20" s="439">
        <f t="shared" si="0"/>
        <v>0</v>
      </c>
      <c r="D20" s="439">
        <f t="shared" si="1"/>
        <v>0</v>
      </c>
      <c r="E20" s="439">
        <f t="shared" si="2"/>
        <v>0</v>
      </c>
      <c r="F20" s="439">
        <f t="shared" si="3"/>
        <v>0</v>
      </c>
      <c r="G20" s="236"/>
      <c r="H20" s="440">
        <f t="shared" si="4"/>
        <v>0</v>
      </c>
      <c r="I20" s="440" t="e">
        <f t="shared" si="5"/>
        <v>#VALUE!</v>
      </c>
      <c r="J20" s="440">
        <f t="shared" si="6"/>
        <v>0</v>
      </c>
      <c r="K20" s="440">
        <f t="shared" si="7"/>
        <v>0</v>
      </c>
      <c r="L20" s="632"/>
      <c r="M20" s="666" t="str">
        <f t="shared" ref="M20:M83" si="15">IFERROR(IF(M19+1&lt;O$3,M19+1,""),"")</f>
        <v/>
      </c>
      <c r="N20" s="440">
        <f t="shared" si="8"/>
        <v>0</v>
      </c>
      <c r="O20" s="440">
        <f t="shared" si="9"/>
        <v>0</v>
      </c>
      <c r="P20" s="440">
        <f t="shared" si="10"/>
        <v>0</v>
      </c>
      <c r="Q20" s="440">
        <f t="shared" si="10"/>
        <v>0</v>
      </c>
      <c r="R20" s="440">
        <f>IFERROR(IF(VerBer,IF($M20&lt;INT(R$5),0,IF($M20=INT(R$2),R$12,IF($M20&gt;INT(R$2),R$12*(1+R$9)^(IF($M20-R$5&lt;=0,0,$M20-IF(R$5&lt;R$2,R$2,R$5))),0))),0),0)</f>
        <v>0</v>
      </c>
      <c r="S20" s="212"/>
      <c r="U20" s="454">
        <f t="shared" si="11"/>
        <v>0</v>
      </c>
      <c r="V20" s="454">
        <f t="shared" si="13"/>
        <v>0</v>
      </c>
      <c r="W20" s="454">
        <f t="shared" si="14"/>
        <v>0</v>
      </c>
    </row>
    <row r="21" spans="1:23">
      <c r="A21" s="337"/>
      <c r="B21" s="237" t="str">
        <f t="shared" si="12"/>
        <v/>
      </c>
      <c r="C21" s="439">
        <f t="shared" si="0"/>
        <v>0</v>
      </c>
      <c r="D21" s="439">
        <f t="shared" si="1"/>
        <v>0</v>
      </c>
      <c r="E21" s="439">
        <f t="shared" si="2"/>
        <v>0</v>
      </c>
      <c r="F21" s="439">
        <f t="shared" si="3"/>
        <v>0</v>
      </c>
      <c r="G21" s="236"/>
      <c r="H21" s="441">
        <f t="shared" si="4"/>
        <v>0</v>
      </c>
      <c r="I21" s="441" t="e">
        <f t="shared" si="5"/>
        <v>#VALUE!</v>
      </c>
      <c r="J21" s="441">
        <f t="shared" si="6"/>
        <v>0</v>
      </c>
      <c r="K21" s="441">
        <f t="shared" si="7"/>
        <v>0</v>
      </c>
      <c r="L21" s="633"/>
      <c r="M21" s="668" t="str">
        <f t="shared" si="15"/>
        <v/>
      </c>
      <c r="N21" s="441">
        <f t="shared" si="8"/>
        <v>0</v>
      </c>
      <c r="O21" s="441">
        <f t="shared" si="9"/>
        <v>0</v>
      </c>
      <c r="P21" s="441">
        <f t="shared" si="10"/>
        <v>0</v>
      </c>
      <c r="Q21" s="441">
        <f t="shared" si="10"/>
        <v>0</v>
      </c>
      <c r="R21" s="441">
        <f>IFERROR(IF(VerBer,IF($M21&lt;INT(R$5),0,IF($M21=INT(R$2),R$12,IF($M21&gt;INT(R$2),R$12*(1+R$9)^(IF($M21-R$5&lt;=0,0,$M21-IF(R$5&lt;R$2,R$2,R$5))),0))),0),0)</f>
        <v>0</v>
      </c>
      <c r="S21" s="212"/>
      <c r="U21" s="454">
        <f t="shared" si="11"/>
        <v>0</v>
      </c>
      <c r="V21" s="454">
        <f t="shared" si="13"/>
        <v>0</v>
      </c>
      <c r="W21" s="454">
        <f t="shared" si="14"/>
        <v>0</v>
      </c>
    </row>
    <row r="22" spans="1:23">
      <c r="A22" s="337"/>
      <c r="B22" s="237" t="str">
        <f t="shared" si="12"/>
        <v/>
      </c>
      <c r="C22" s="439">
        <f t="shared" si="0"/>
        <v>0</v>
      </c>
      <c r="D22" s="439">
        <f t="shared" si="1"/>
        <v>0</v>
      </c>
      <c r="E22" s="439">
        <f t="shared" si="2"/>
        <v>0</v>
      </c>
      <c r="F22" s="439">
        <f t="shared" si="3"/>
        <v>0</v>
      </c>
      <c r="G22" s="236"/>
      <c r="H22" s="440">
        <f t="shared" si="4"/>
        <v>0</v>
      </c>
      <c r="I22" s="440" t="e">
        <f t="shared" si="5"/>
        <v>#VALUE!</v>
      </c>
      <c r="J22" s="440">
        <f t="shared" si="6"/>
        <v>0</v>
      </c>
      <c r="K22" s="440">
        <f t="shared" si="7"/>
        <v>0</v>
      </c>
      <c r="L22" s="632"/>
      <c r="M22" s="666" t="str">
        <f t="shared" si="15"/>
        <v/>
      </c>
      <c r="N22" s="440">
        <f t="shared" si="8"/>
        <v>0</v>
      </c>
      <c r="O22" s="440">
        <f t="shared" si="9"/>
        <v>0</v>
      </c>
      <c r="P22" s="440">
        <f t="shared" si="10"/>
        <v>0</v>
      </c>
      <c r="Q22" s="440">
        <f t="shared" si="10"/>
        <v>0</v>
      </c>
      <c r="R22" s="440">
        <f>IFERROR(IF(VerBer,IF($M22&lt;INT(R$5),0,IF($M22=INT(R$2),R$12,IF($M22&gt;INT(R$2),R$12*(1+R$9)^(IF($M22-R$5&lt;=0,0,$M22-IF(R$5&lt;R$2,R$2,R$5))),0))),0),0)</f>
        <v>0</v>
      </c>
      <c r="S22" s="212"/>
      <c r="U22" s="454">
        <f t="shared" si="11"/>
        <v>0</v>
      </c>
      <c r="V22" s="454">
        <f t="shared" si="13"/>
        <v>0</v>
      </c>
      <c r="W22" s="454">
        <f t="shared" si="14"/>
        <v>0</v>
      </c>
    </row>
    <row r="23" spans="1:23">
      <c r="A23" s="337"/>
      <c r="B23" s="237" t="str">
        <f t="shared" si="12"/>
        <v/>
      </c>
      <c r="C23" s="439">
        <f t="shared" si="0"/>
        <v>0</v>
      </c>
      <c r="D23" s="439">
        <f t="shared" si="1"/>
        <v>0</v>
      </c>
      <c r="E23" s="439">
        <f t="shared" si="2"/>
        <v>0</v>
      </c>
      <c r="F23" s="439">
        <f t="shared" si="3"/>
        <v>0</v>
      </c>
      <c r="G23" s="236"/>
      <c r="H23" s="441">
        <f t="shared" si="4"/>
        <v>0</v>
      </c>
      <c r="I23" s="441" t="e">
        <f t="shared" si="5"/>
        <v>#VALUE!</v>
      </c>
      <c r="J23" s="441">
        <f t="shared" si="6"/>
        <v>0</v>
      </c>
      <c r="K23" s="441">
        <f t="shared" si="7"/>
        <v>0</v>
      </c>
      <c r="L23" s="633"/>
      <c r="M23" s="668" t="str">
        <f t="shared" si="15"/>
        <v/>
      </c>
      <c r="N23" s="441">
        <f t="shared" si="8"/>
        <v>0</v>
      </c>
      <c r="O23" s="441">
        <f t="shared" si="9"/>
        <v>0</v>
      </c>
      <c r="P23" s="441">
        <f t="shared" si="10"/>
        <v>0</v>
      </c>
      <c r="Q23" s="441">
        <f t="shared" si="10"/>
        <v>0</v>
      </c>
      <c r="R23" s="441">
        <f>IFERROR(IF(VerBer,IF($M23&lt;INT(R$5),0,IF($M23=INT(R$2),R$12,IF($M23&gt;INT(R$2),R$12*(1+R$9)^(IF($M23-R$5&lt;=0,0,$M23-IF(R$5&lt;R$2,R$2,R$5))),0))),0),0)</f>
        <v>0</v>
      </c>
      <c r="S23" s="212"/>
      <c r="U23" s="454">
        <f t="shared" si="11"/>
        <v>0</v>
      </c>
      <c r="V23" s="454">
        <f t="shared" si="13"/>
        <v>0</v>
      </c>
      <c r="W23" s="454">
        <f t="shared" si="14"/>
        <v>0</v>
      </c>
    </row>
    <row r="24" spans="1:23">
      <c r="A24" s="337"/>
      <c r="B24" s="237" t="str">
        <f t="shared" si="12"/>
        <v/>
      </c>
      <c r="C24" s="439">
        <f t="shared" si="0"/>
        <v>0</v>
      </c>
      <c r="D24" s="439">
        <f t="shared" si="1"/>
        <v>0</v>
      </c>
      <c r="E24" s="439">
        <f t="shared" si="2"/>
        <v>0</v>
      </c>
      <c r="F24" s="439">
        <f t="shared" si="3"/>
        <v>0</v>
      </c>
      <c r="G24" s="236"/>
      <c r="H24" s="440">
        <f t="shared" si="4"/>
        <v>0</v>
      </c>
      <c r="I24" s="440" t="e">
        <f t="shared" si="5"/>
        <v>#VALUE!</v>
      </c>
      <c r="J24" s="440">
        <f t="shared" si="6"/>
        <v>0</v>
      </c>
      <c r="K24" s="440">
        <f t="shared" si="7"/>
        <v>0</v>
      </c>
      <c r="L24" s="632"/>
      <c r="M24" s="666" t="str">
        <f t="shared" si="15"/>
        <v/>
      </c>
      <c r="N24" s="440">
        <f t="shared" si="8"/>
        <v>0</v>
      </c>
      <c r="O24" s="440">
        <f t="shared" si="9"/>
        <v>0</v>
      </c>
      <c r="P24" s="440">
        <f t="shared" si="10"/>
        <v>0</v>
      </c>
      <c r="Q24" s="440">
        <f t="shared" si="10"/>
        <v>0</v>
      </c>
      <c r="R24" s="440">
        <f>IFERROR(IF(VerBer,IF($M24&lt;INT(R$5),0,IF($M24=INT(R$2),R$12,IF($M24&gt;INT(R$2),R$12*(1+R$9)^(IF($M24-R$5&lt;=0,0,$M24-IF(R$5&lt;R$2,R$2,R$5))),0))),0),0)</f>
        <v>0</v>
      </c>
      <c r="S24" s="212"/>
      <c r="U24" s="454">
        <f t="shared" si="11"/>
        <v>0</v>
      </c>
      <c r="V24" s="454">
        <f t="shared" si="13"/>
        <v>0</v>
      </c>
      <c r="W24" s="454">
        <f t="shared" si="14"/>
        <v>0</v>
      </c>
    </row>
    <row r="25" spans="1:23">
      <c r="A25" s="337"/>
      <c r="B25" s="237" t="str">
        <f t="shared" si="12"/>
        <v/>
      </c>
      <c r="C25" s="439">
        <f t="shared" si="0"/>
        <v>0</v>
      </c>
      <c r="D25" s="439">
        <f t="shared" si="1"/>
        <v>0</v>
      </c>
      <c r="E25" s="439">
        <f t="shared" si="2"/>
        <v>0</v>
      </c>
      <c r="F25" s="439">
        <f t="shared" si="3"/>
        <v>0</v>
      </c>
      <c r="G25" s="236"/>
      <c r="H25" s="441">
        <f t="shared" si="4"/>
        <v>0</v>
      </c>
      <c r="I25" s="441" t="e">
        <f t="shared" si="5"/>
        <v>#VALUE!</v>
      </c>
      <c r="J25" s="441">
        <f t="shared" si="6"/>
        <v>0</v>
      </c>
      <c r="K25" s="441">
        <f t="shared" si="7"/>
        <v>0</v>
      </c>
      <c r="L25" s="633"/>
      <c r="M25" s="668" t="str">
        <f t="shared" si="15"/>
        <v/>
      </c>
      <c r="N25" s="441">
        <f t="shared" si="8"/>
        <v>0</v>
      </c>
      <c r="O25" s="441">
        <f t="shared" si="9"/>
        <v>0</v>
      </c>
      <c r="P25" s="441">
        <f t="shared" si="10"/>
        <v>0</v>
      </c>
      <c r="Q25" s="441">
        <f t="shared" si="10"/>
        <v>0</v>
      </c>
      <c r="R25" s="441">
        <f>IFERROR(IF(VerBer,IF($M25&lt;INT(R$5),0,IF($M25=INT(R$2),R$12,IF($M25&gt;INT(R$2),R$12*(1+R$9)^(IF($M25-R$5&lt;=0,0,$M25-IF(R$5&lt;R$2,R$2,R$5))),0))),0),0)</f>
        <v>0</v>
      </c>
      <c r="S25" s="212"/>
      <c r="U25" s="454">
        <f t="shared" si="11"/>
        <v>0</v>
      </c>
      <c r="V25" s="454">
        <f t="shared" si="13"/>
        <v>0</v>
      </c>
      <c r="W25" s="454">
        <f t="shared" si="14"/>
        <v>0</v>
      </c>
    </row>
    <row r="26" spans="1:23">
      <c r="A26" s="337"/>
      <c r="B26" s="237" t="str">
        <f t="shared" si="12"/>
        <v/>
      </c>
      <c r="C26" s="439">
        <f t="shared" si="0"/>
        <v>0</v>
      </c>
      <c r="D26" s="439">
        <f t="shared" si="1"/>
        <v>0</v>
      </c>
      <c r="E26" s="439">
        <f t="shared" si="2"/>
        <v>0</v>
      </c>
      <c r="F26" s="439">
        <f t="shared" si="3"/>
        <v>0</v>
      </c>
      <c r="G26" s="236"/>
      <c r="H26" s="440">
        <f t="shared" si="4"/>
        <v>0</v>
      </c>
      <c r="I26" s="440" t="e">
        <f t="shared" si="5"/>
        <v>#VALUE!</v>
      </c>
      <c r="J26" s="440">
        <f t="shared" si="6"/>
        <v>0</v>
      </c>
      <c r="K26" s="440">
        <f t="shared" si="7"/>
        <v>0</v>
      </c>
      <c r="L26" s="632"/>
      <c r="M26" s="666" t="str">
        <f t="shared" si="15"/>
        <v/>
      </c>
      <c r="N26" s="440">
        <f t="shared" si="8"/>
        <v>0</v>
      </c>
      <c r="O26" s="440">
        <f>N26*12*IF(AND(INT(O$5)=$M26,O$5&gt;INT(O$5)),(1-(O$5-INT(O$5))),1)</f>
        <v>0</v>
      </c>
      <c r="P26" s="440">
        <f t="shared" si="10"/>
        <v>0</v>
      </c>
      <c r="Q26" s="440">
        <f t="shared" si="10"/>
        <v>0</v>
      </c>
      <c r="R26" s="440">
        <f>IFERROR(IF(VerBer,IF($M26&lt;INT(R$5),0,IF($M26=INT(R$2),R$12,IF($M26&gt;INT(R$2),R$12*(1+R$9)^(IF($M26-R$5&lt;=0,0,$M26-IF(R$5&lt;R$2,R$2,R$5))),0))),0),0)</f>
        <v>0</v>
      </c>
      <c r="S26" s="212"/>
      <c r="U26" s="454">
        <f t="shared" si="11"/>
        <v>0</v>
      </c>
      <c r="V26" s="454">
        <f t="shared" si="13"/>
        <v>0</v>
      </c>
      <c r="W26" s="454">
        <f t="shared" si="14"/>
        <v>0</v>
      </c>
    </row>
    <row r="27" spans="1:23">
      <c r="A27" s="337"/>
      <c r="B27" s="237" t="str">
        <f t="shared" si="12"/>
        <v/>
      </c>
      <c r="C27" s="439">
        <f t="shared" si="0"/>
        <v>0</v>
      </c>
      <c r="D27" s="439">
        <f t="shared" si="1"/>
        <v>0</v>
      </c>
      <c r="E27" s="439">
        <f t="shared" si="2"/>
        <v>0</v>
      </c>
      <c r="F27" s="439">
        <f t="shared" si="3"/>
        <v>0</v>
      </c>
      <c r="G27" s="236"/>
      <c r="H27" s="441">
        <f t="shared" si="4"/>
        <v>0</v>
      </c>
      <c r="I27" s="441" t="e">
        <f t="shared" si="5"/>
        <v>#VALUE!</v>
      </c>
      <c r="J27" s="441">
        <f t="shared" si="6"/>
        <v>0</v>
      </c>
      <c r="K27" s="441">
        <f t="shared" si="7"/>
        <v>0</v>
      </c>
      <c r="L27" s="633"/>
      <c r="M27" s="668" t="str">
        <f t="shared" si="15"/>
        <v/>
      </c>
      <c r="N27" s="441">
        <f t="shared" si="8"/>
        <v>0</v>
      </c>
      <c r="O27" s="441">
        <f t="shared" ref="O27:O90" si="16">N27*12*IF(AND(INT(O$5)=$M27,O$5&gt;INT(O$5)),(1-(O$5-INT(O$5))),1)</f>
        <v>0</v>
      </c>
      <c r="P27" s="441">
        <f t="shared" si="10"/>
        <v>0</v>
      </c>
      <c r="Q27" s="441">
        <f t="shared" si="10"/>
        <v>0</v>
      </c>
      <c r="R27" s="441">
        <f>IFERROR(IF(VerBer,IF($M27&lt;INT(R$5),0,IF($M27=INT(R$2),R$12,IF($M27&gt;INT(R$2),R$12*(1+R$9)^(IF($M27-R$5&lt;=0,0,$M27-IF(R$5&lt;R$2,R$2,R$5))),0))),0),0)</f>
        <v>0</v>
      </c>
      <c r="S27" s="212"/>
      <c r="U27" s="454">
        <f t="shared" si="11"/>
        <v>0</v>
      </c>
      <c r="V27" s="454">
        <f t="shared" si="13"/>
        <v>0</v>
      </c>
      <c r="W27" s="454">
        <f t="shared" si="14"/>
        <v>0</v>
      </c>
    </row>
    <row r="28" spans="1:23">
      <c r="A28" s="337"/>
      <c r="B28" s="237" t="str">
        <f t="shared" si="12"/>
        <v/>
      </c>
      <c r="C28" s="439">
        <f t="shared" si="0"/>
        <v>0</v>
      </c>
      <c r="D28" s="439">
        <f t="shared" si="1"/>
        <v>0</v>
      </c>
      <c r="E28" s="439">
        <f t="shared" si="2"/>
        <v>0</v>
      </c>
      <c r="F28" s="439">
        <f t="shared" si="3"/>
        <v>0</v>
      </c>
      <c r="G28" s="236"/>
      <c r="H28" s="440">
        <f t="shared" si="4"/>
        <v>0</v>
      </c>
      <c r="I28" s="440" t="e">
        <f t="shared" si="5"/>
        <v>#VALUE!</v>
      </c>
      <c r="J28" s="440">
        <f t="shared" si="6"/>
        <v>0</v>
      </c>
      <c r="K28" s="440">
        <f t="shared" si="7"/>
        <v>0</v>
      </c>
      <c r="L28" s="632"/>
      <c r="M28" s="666" t="str">
        <f t="shared" si="15"/>
        <v/>
      </c>
      <c r="N28" s="440">
        <f t="shared" si="8"/>
        <v>0</v>
      </c>
      <c r="O28" s="440">
        <f t="shared" si="16"/>
        <v>0</v>
      </c>
      <c r="P28" s="440">
        <f t="shared" si="10"/>
        <v>0</v>
      </c>
      <c r="Q28" s="440">
        <f t="shared" si="10"/>
        <v>0</v>
      </c>
      <c r="R28" s="440">
        <f>IFERROR(IF(VerBer,IF($M28&lt;INT(R$5),0,IF($M28=INT(R$2),R$12,IF($M28&gt;INT(R$2),R$12*(1+R$9)^(IF($M28-R$5&lt;=0,0,$M28-IF(R$5&lt;R$2,R$2,R$5))),0))),0),0)</f>
        <v>0</v>
      </c>
      <c r="S28" s="212"/>
      <c r="U28" s="454">
        <f t="shared" si="11"/>
        <v>0</v>
      </c>
      <c r="V28" s="454">
        <f t="shared" si="13"/>
        <v>0</v>
      </c>
      <c r="W28" s="454">
        <f t="shared" si="14"/>
        <v>0</v>
      </c>
    </row>
    <row r="29" spans="1:23">
      <c r="A29" s="337"/>
      <c r="B29" s="237" t="str">
        <f t="shared" si="12"/>
        <v/>
      </c>
      <c r="C29" s="439">
        <f t="shared" si="0"/>
        <v>0</v>
      </c>
      <c r="D29" s="439">
        <f t="shared" si="1"/>
        <v>0</v>
      </c>
      <c r="E29" s="439">
        <f t="shared" si="2"/>
        <v>0</v>
      </c>
      <c r="F29" s="439">
        <f t="shared" si="3"/>
        <v>0</v>
      </c>
      <c r="G29" s="236"/>
      <c r="H29" s="441">
        <f t="shared" si="4"/>
        <v>0</v>
      </c>
      <c r="I29" s="441" t="e">
        <f t="shared" si="5"/>
        <v>#VALUE!</v>
      </c>
      <c r="J29" s="441">
        <f t="shared" si="6"/>
        <v>0</v>
      </c>
      <c r="K29" s="441">
        <f t="shared" si="7"/>
        <v>0</v>
      </c>
      <c r="L29" s="633"/>
      <c r="M29" s="668" t="str">
        <f t="shared" si="15"/>
        <v/>
      </c>
      <c r="N29" s="441">
        <f t="shared" si="8"/>
        <v>0</v>
      </c>
      <c r="O29" s="441">
        <f t="shared" si="16"/>
        <v>0</v>
      </c>
      <c r="P29" s="441">
        <f t="shared" si="10"/>
        <v>0</v>
      </c>
      <c r="Q29" s="441">
        <f t="shared" si="10"/>
        <v>0</v>
      </c>
      <c r="R29" s="441">
        <f>IFERROR(IF(VerBer,IF($M29&lt;INT(R$5),0,IF($M29=INT(R$2),R$12,IF($M29&gt;INT(R$2),R$12*(1+R$9)^(IF($M29-R$5&lt;=0,0,$M29-IF(R$5&lt;R$2,R$2,R$5))),0))),0),0)</f>
        <v>0</v>
      </c>
      <c r="S29" s="212"/>
      <c r="U29" s="454">
        <f>+P29*12*IF(AND(INT(P$5)=$M29,P$5&gt;INT(P$5)),1-(P$5-INT(P$5)),1)</f>
        <v>0</v>
      </c>
      <c r="V29" s="454">
        <f t="shared" si="13"/>
        <v>0</v>
      </c>
      <c r="W29" s="454">
        <f t="shared" si="14"/>
        <v>0</v>
      </c>
    </row>
    <row r="30" spans="1:23">
      <c r="A30" s="337"/>
      <c r="B30" s="237" t="str">
        <f t="shared" si="12"/>
        <v/>
      </c>
      <c r="C30" s="439">
        <f t="shared" si="0"/>
        <v>0</v>
      </c>
      <c r="D30" s="439">
        <f t="shared" si="1"/>
        <v>0</v>
      </c>
      <c r="E30" s="439">
        <f t="shared" si="2"/>
        <v>0</v>
      </c>
      <c r="F30" s="439">
        <f t="shared" si="3"/>
        <v>0</v>
      </c>
      <c r="G30" s="236"/>
      <c r="H30" s="440">
        <f t="shared" si="4"/>
        <v>0</v>
      </c>
      <c r="I30" s="440" t="e">
        <f t="shared" si="5"/>
        <v>#VALUE!</v>
      </c>
      <c r="J30" s="440">
        <f t="shared" si="6"/>
        <v>0</v>
      </c>
      <c r="K30" s="440">
        <f t="shared" si="7"/>
        <v>0</v>
      </c>
      <c r="L30" s="632"/>
      <c r="M30" s="666" t="str">
        <f t="shared" si="15"/>
        <v/>
      </c>
      <c r="N30" s="440">
        <f t="shared" si="8"/>
        <v>0</v>
      </c>
      <c r="O30" s="440">
        <f t="shared" si="16"/>
        <v>0</v>
      </c>
      <c r="P30" s="440">
        <f t="shared" si="10"/>
        <v>0</v>
      </c>
      <c r="Q30" s="440">
        <f t="shared" si="10"/>
        <v>0</v>
      </c>
      <c r="R30" s="440">
        <f>IFERROR(IF(VerBer,IF($M30&lt;INT(R$5),0,IF($M30=INT(R$2),R$12,IF($M30&gt;INT(R$2),R$12*(1+R$9)^(IF($M30-R$5&lt;=0,0,$M30-IF(R$5&lt;R$2,R$2,R$5))),0))),0),0)</f>
        <v>0</v>
      </c>
      <c r="S30" s="212"/>
      <c r="U30" s="454">
        <f>+P30*12*IF(AND(INT(P$5)=$M30,P$5&gt;INT(P$5)),1-(P$5-INT(P$5)),1)</f>
        <v>0</v>
      </c>
      <c r="V30" s="454">
        <f t="shared" si="13"/>
        <v>0</v>
      </c>
      <c r="W30" s="454">
        <f t="shared" si="14"/>
        <v>0</v>
      </c>
    </row>
    <row r="31" spans="1:23">
      <c r="A31" s="337"/>
      <c r="B31" s="237" t="str">
        <f t="shared" si="12"/>
        <v/>
      </c>
      <c r="C31" s="439">
        <f t="shared" si="0"/>
        <v>0</v>
      </c>
      <c r="D31" s="439">
        <f t="shared" si="1"/>
        <v>0</v>
      </c>
      <c r="E31" s="439">
        <f t="shared" si="2"/>
        <v>0</v>
      </c>
      <c r="F31" s="439">
        <f t="shared" si="3"/>
        <v>0</v>
      </c>
      <c r="G31" s="236"/>
      <c r="H31" s="441">
        <f t="shared" si="4"/>
        <v>0</v>
      </c>
      <c r="I31" s="441" t="e">
        <f t="shared" si="5"/>
        <v>#VALUE!</v>
      </c>
      <c r="J31" s="441">
        <f t="shared" si="6"/>
        <v>0</v>
      </c>
      <c r="K31" s="441">
        <f t="shared" si="7"/>
        <v>0</v>
      </c>
      <c r="L31" s="633"/>
      <c r="M31" s="668" t="str">
        <f t="shared" si="15"/>
        <v/>
      </c>
      <c r="N31" s="441">
        <f t="shared" si="8"/>
        <v>0</v>
      </c>
      <c r="O31" s="441">
        <f t="shared" si="16"/>
        <v>0</v>
      </c>
      <c r="P31" s="441">
        <f t="shared" si="10"/>
        <v>0</v>
      </c>
      <c r="Q31" s="441">
        <f t="shared" si="10"/>
        <v>0</v>
      </c>
      <c r="R31" s="441">
        <f>IFERROR(IF(VerBer,IF($M31&lt;INT(R$5),0,IF($M31=INT(R$2),R$12,IF($M31&gt;INT(R$2),R$12*(1+R$9)^(IF($M31-R$5&lt;=0,0,$M31-IF(R$5&lt;R$2,R$2,R$5))),0))),0),0)</f>
        <v>0</v>
      </c>
      <c r="S31" s="212"/>
      <c r="U31" s="454">
        <f t="shared" ref="U31:U93" si="17">+P31*12*IF(AND(INT(P$5)=$M31,P$5&gt;INT(P$5)),1-(P$5-INT(P$5)),1)</f>
        <v>0</v>
      </c>
      <c r="V31" s="454">
        <f t="shared" si="13"/>
        <v>0</v>
      </c>
      <c r="W31" s="454">
        <f t="shared" si="14"/>
        <v>0</v>
      </c>
    </row>
    <row r="32" spans="1:23">
      <c r="A32" s="337"/>
      <c r="B32" s="237" t="str">
        <f t="shared" si="12"/>
        <v/>
      </c>
      <c r="C32" s="439">
        <f t="shared" si="0"/>
        <v>0</v>
      </c>
      <c r="D32" s="439">
        <f t="shared" si="1"/>
        <v>0</v>
      </c>
      <c r="E32" s="439">
        <f t="shared" si="2"/>
        <v>0</v>
      </c>
      <c r="F32" s="439">
        <f t="shared" si="3"/>
        <v>0</v>
      </c>
      <c r="G32" s="236"/>
      <c r="H32" s="440">
        <f t="shared" si="4"/>
        <v>0</v>
      </c>
      <c r="I32" s="440" t="e">
        <f t="shared" si="5"/>
        <v>#VALUE!</v>
      </c>
      <c r="J32" s="440">
        <f t="shared" si="6"/>
        <v>0</v>
      </c>
      <c r="K32" s="440">
        <f t="shared" si="7"/>
        <v>0</v>
      </c>
      <c r="L32" s="632"/>
      <c r="M32" s="666" t="str">
        <f t="shared" si="15"/>
        <v/>
      </c>
      <c r="N32" s="440">
        <f t="shared" si="8"/>
        <v>0</v>
      </c>
      <c r="O32" s="440">
        <f t="shared" si="16"/>
        <v>0</v>
      </c>
      <c r="P32" s="440">
        <f t="shared" si="10"/>
        <v>0</v>
      </c>
      <c r="Q32" s="440">
        <f t="shared" si="10"/>
        <v>0</v>
      </c>
      <c r="R32" s="440">
        <f>IFERROR(IF(VerBer,IF($M32&lt;INT(R$5),0,IF($M32=INT(R$2),R$12,IF($M32&gt;INT(R$2),R$12*(1+R$9)^(IF($M32-R$5&lt;=0,0,$M32-IF(R$5&lt;R$2,R$2,R$5))),0))),0),0)</f>
        <v>0</v>
      </c>
      <c r="S32" s="212"/>
      <c r="U32" s="454">
        <f t="shared" si="17"/>
        <v>0</v>
      </c>
      <c r="V32" s="454">
        <f t="shared" si="13"/>
        <v>0</v>
      </c>
      <c r="W32" s="454">
        <f t="shared" si="14"/>
        <v>0</v>
      </c>
    </row>
    <row r="33" spans="1:23">
      <c r="A33" s="337"/>
      <c r="B33" s="237" t="str">
        <f t="shared" si="12"/>
        <v/>
      </c>
      <c r="C33" s="439">
        <f t="shared" si="0"/>
        <v>0</v>
      </c>
      <c r="D33" s="439">
        <f t="shared" si="1"/>
        <v>0</v>
      </c>
      <c r="E33" s="439">
        <f t="shared" si="2"/>
        <v>0</v>
      </c>
      <c r="F33" s="439">
        <f t="shared" si="3"/>
        <v>0</v>
      </c>
      <c r="G33" s="236"/>
      <c r="H33" s="441">
        <f t="shared" si="4"/>
        <v>0</v>
      </c>
      <c r="I33" s="441" t="e">
        <f t="shared" si="5"/>
        <v>#VALUE!</v>
      </c>
      <c r="J33" s="441">
        <f t="shared" si="6"/>
        <v>0</v>
      </c>
      <c r="K33" s="441">
        <f t="shared" si="7"/>
        <v>0</v>
      </c>
      <c r="L33" s="633"/>
      <c r="M33" s="668" t="str">
        <f t="shared" si="15"/>
        <v/>
      </c>
      <c r="N33" s="441">
        <f t="shared" si="8"/>
        <v>0</v>
      </c>
      <c r="O33" s="441">
        <f t="shared" si="16"/>
        <v>0</v>
      </c>
      <c r="P33" s="441">
        <f t="shared" si="10"/>
        <v>0</v>
      </c>
      <c r="Q33" s="441">
        <f t="shared" si="10"/>
        <v>0</v>
      </c>
      <c r="R33" s="441">
        <f>IFERROR(IF(VerBer,IF($M33&lt;INT(R$5),0,IF($M33=INT(R$2),R$12,IF($M33&gt;INT(R$2),R$12*(1+R$9)^(IF($M33-R$5&lt;=0,0,$M33-IF(R$5&lt;R$2,R$2,R$5))),0))),0),0)</f>
        <v>0</v>
      </c>
      <c r="S33" s="212"/>
      <c r="U33" s="454">
        <f t="shared" si="17"/>
        <v>0</v>
      </c>
      <c r="V33" s="454">
        <f t="shared" si="13"/>
        <v>0</v>
      </c>
      <c r="W33" s="454">
        <f t="shared" si="14"/>
        <v>0</v>
      </c>
    </row>
    <row r="34" spans="1:23">
      <c r="A34" s="337"/>
      <c r="B34" s="237" t="str">
        <f t="shared" si="12"/>
        <v/>
      </c>
      <c r="C34" s="439">
        <f t="shared" si="0"/>
        <v>0</v>
      </c>
      <c r="D34" s="439">
        <f t="shared" si="1"/>
        <v>0</v>
      </c>
      <c r="E34" s="439">
        <f t="shared" si="2"/>
        <v>0</v>
      </c>
      <c r="F34" s="439">
        <f t="shared" si="3"/>
        <v>0</v>
      </c>
      <c r="G34" s="236"/>
      <c r="H34" s="440">
        <f t="shared" si="4"/>
        <v>0</v>
      </c>
      <c r="I34" s="440" t="e">
        <f t="shared" si="5"/>
        <v>#VALUE!</v>
      </c>
      <c r="J34" s="440">
        <f t="shared" si="6"/>
        <v>0</v>
      </c>
      <c r="K34" s="440">
        <f t="shared" si="7"/>
        <v>0</v>
      </c>
      <c r="L34" s="632"/>
      <c r="M34" s="666" t="str">
        <f t="shared" si="15"/>
        <v/>
      </c>
      <c r="N34" s="440">
        <f t="shared" si="8"/>
        <v>0</v>
      </c>
      <c r="O34" s="440">
        <f t="shared" si="16"/>
        <v>0</v>
      </c>
      <c r="P34" s="440">
        <f t="shared" si="10"/>
        <v>0</v>
      </c>
      <c r="Q34" s="440">
        <f t="shared" si="10"/>
        <v>0</v>
      </c>
      <c r="R34" s="440">
        <f>IFERROR(IF(VerBer,IF($M34&lt;INT(R$5),0,IF($M34=INT(R$2),R$12,IF($M34&gt;INT(R$2),R$12*(1+R$9)^(IF($M34-R$5&lt;=0,0,$M34-IF(R$5&lt;R$2,R$2,R$5))),0))),0),0)</f>
        <v>0</v>
      </c>
      <c r="S34" s="212"/>
      <c r="U34" s="454">
        <f t="shared" si="17"/>
        <v>0</v>
      </c>
      <c r="V34" s="454">
        <f t="shared" si="13"/>
        <v>0</v>
      </c>
      <c r="W34" s="454">
        <f t="shared" si="14"/>
        <v>0</v>
      </c>
    </row>
    <row r="35" spans="1:23">
      <c r="A35" s="337"/>
      <c r="B35" s="237" t="str">
        <f t="shared" si="12"/>
        <v/>
      </c>
      <c r="C35" s="439">
        <f t="shared" si="0"/>
        <v>0</v>
      </c>
      <c r="D35" s="439">
        <f t="shared" si="1"/>
        <v>0</v>
      </c>
      <c r="E35" s="439">
        <f t="shared" si="2"/>
        <v>0</v>
      </c>
      <c r="F35" s="439">
        <f t="shared" si="3"/>
        <v>0</v>
      </c>
      <c r="G35" s="236"/>
      <c r="H35" s="441">
        <f t="shared" si="4"/>
        <v>0</v>
      </c>
      <c r="I35" s="441" t="e">
        <f t="shared" si="5"/>
        <v>#VALUE!</v>
      </c>
      <c r="J35" s="441">
        <f t="shared" si="6"/>
        <v>0</v>
      </c>
      <c r="K35" s="441">
        <f t="shared" si="7"/>
        <v>0</v>
      </c>
      <c r="L35" s="633"/>
      <c r="M35" s="668" t="str">
        <f t="shared" si="15"/>
        <v/>
      </c>
      <c r="N35" s="441">
        <f t="shared" si="8"/>
        <v>0</v>
      </c>
      <c r="O35" s="441">
        <f t="shared" si="16"/>
        <v>0</v>
      </c>
      <c r="P35" s="441">
        <f t="shared" si="10"/>
        <v>0</v>
      </c>
      <c r="Q35" s="441">
        <f t="shared" si="10"/>
        <v>0</v>
      </c>
      <c r="R35" s="441">
        <f>IFERROR(IF(VerBer,IF($M35&lt;INT(R$5),0,IF($M35=INT(R$2),R$12,IF($M35&gt;INT(R$2),R$12*(1+R$9)^(IF($M35-R$5&lt;=0,0,$M35-IF(R$5&lt;R$2,R$2,R$5))),0))),0),0)</f>
        <v>0</v>
      </c>
      <c r="S35" s="212"/>
      <c r="U35" s="454">
        <f t="shared" si="17"/>
        <v>0</v>
      </c>
      <c r="V35" s="454">
        <f t="shared" si="13"/>
        <v>0</v>
      </c>
      <c r="W35" s="454">
        <f t="shared" si="14"/>
        <v>0</v>
      </c>
    </row>
    <row r="36" spans="1:23">
      <c r="A36" s="337"/>
      <c r="B36" s="237" t="str">
        <f t="shared" si="12"/>
        <v/>
      </c>
      <c r="C36" s="439">
        <f t="shared" si="0"/>
        <v>0</v>
      </c>
      <c r="D36" s="439">
        <f t="shared" si="1"/>
        <v>0</v>
      </c>
      <c r="E36" s="439">
        <f t="shared" si="2"/>
        <v>0</v>
      </c>
      <c r="F36" s="439">
        <f t="shared" si="3"/>
        <v>0</v>
      </c>
      <c r="G36" s="236"/>
      <c r="H36" s="440">
        <f t="shared" si="4"/>
        <v>0</v>
      </c>
      <c r="I36" s="440" t="e">
        <f t="shared" si="5"/>
        <v>#VALUE!</v>
      </c>
      <c r="J36" s="440">
        <f t="shared" si="6"/>
        <v>0</v>
      </c>
      <c r="K36" s="440">
        <f t="shared" si="7"/>
        <v>0</v>
      </c>
      <c r="L36" s="632"/>
      <c r="M36" s="666" t="str">
        <f t="shared" si="15"/>
        <v/>
      </c>
      <c r="N36" s="440">
        <f t="shared" si="8"/>
        <v>0</v>
      </c>
      <c r="O36" s="440">
        <f t="shared" si="16"/>
        <v>0</v>
      </c>
      <c r="P36" s="440">
        <f t="shared" si="10"/>
        <v>0</v>
      </c>
      <c r="Q36" s="440">
        <f t="shared" si="10"/>
        <v>0</v>
      </c>
      <c r="R36" s="440">
        <f>IFERROR(IF(VerBer,IF($M36&lt;INT(R$5),0,IF($M36=INT(R$2),R$12,IF($M36&gt;INT(R$2),R$12*(1+R$9)^(IF($M36-R$5&lt;=0,0,$M36-IF(R$5&lt;R$2,R$2,R$5))),0))),0),0)</f>
        <v>0</v>
      </c>
      <c r="S36" s="212"/>
      <c r="U36" s="454">
        <f t="shared" si="17"/>
        <v>0</v>
      </c>
      <c r="V36" s="454">
        <f t="shared" si="13"/>
        <v>0</v>
      </c>
      <c r="W36" s="454">
        <f t="shared" si="14"/>
        <v>0</v>
      </c>
    </row>
    <row r="37" spans="1:23">
      <c r="A37" s="337"/>
      <c r="B37" s="237" t="str">
        <f t="shared" si="12"/>
        <v/>
      </c>
      <c r="C37" s="439">
        <f t="shared" si="0"/>
        <v>0</v>
      </c>
      <c r="D37" s="439">
        <f t="shared" si="1"/>
        <v>0</v>
      </c>
      <c r="E37" s="439">
        <f t="shared" si="2"/>
        <v>0</v>
      </c>
      <c r="F37" s="439">
        <f t="shared" si="3"/>
        <v>0</v>
      </c>
      <c r="G37" s="236"/>
      <c r="H37" s="441">
        <f t="shared" si="4"/>
        <v>0</v>
      </c>
      <c r="I37" s="441" t="e">
        <f t="shared" si="5"/>
        <v>#VALUE!</v>
      </c>
      <c r="J37" s="441">
        <f t="shared" si="6"/>
        <v>0</v>
      </c>
      <c r="K37" s="441">
        <f t="shared" si="7"/>
        <v>0</v>
      </c>
      <c r="L37" s="633"/>
      <c r="M37" s="668" t="str">
        <f t="shared" si="15"/>
        <v/>
      </c>
      <c r="N37" s="441">
        <f t="shared" si="8"/>
        <v>0</v>
      </c>
      <c r="O37" s="441">
        <f t="shared" si="16"/>
        <v>0</v>
      </c>
      <c r="P37" s="441">
        <f t="shared" si="10"/>
        <v>0</v>
      </c>
      <c r="Q37" s="441">
        <f t="shared" si="10"/>
        <v>0</v>
      </c>
      <c r="R37" s="441">
        <f>IFERROR(IF(VerBer,IF($M37&lt;INT(R$5),0,IF($M37=INT(R$2),R$12,IF($M37&gt;INT(R$2),R$12*(1+R$9)^(IF($M37-R$5&lt;=0,0,$M37-IF(R$5&lt;R$2,R$2,R$5))),0))),0),0)</f>
        <v>0</v>
      </c>
      <c r="S37" s="212"/>
      <c r="U37" s="454">
        <f t="shared" si="17"/>
        <v>0</v>
      </c>
      <c r="V37" s="454">
        <f t="shared" si="13"/>
        <v>0</v>
      </c>
      <c r="W37" s="454">
        <f t="shared" si="14"/>
        <v>0</v>
      </c>
    </row>
    <row r="38" spans="1:23">
      <c r="A38" s="337"/>
      <c r="B38" s="237" t="str">
        <f t="shared" si="12"/>
        <v/>
      </c>
      <c r="C38" s="439">
        <f t="shared" si="0"/>
        <v>0</v>
      </c>
      <c r="D38" s="439">
        <f t="shared" si="1"/>
        <v>0</v>
      </c>
      <c r="E38" s="439">
        <f t="shared" si="2"/>
        <v>0</v>
      </c>
      <c r="F38" s="439">
        <f t="shared" si="3"/>
        <v>0</v>
      </c>
      <c r="G38" s="236"/>
      <c r="H38" s="440">
        <f t="shared" si="4"/>
        <v>0</v>
      </c>
      <c r="I38" s="440" t="e">
        <f t="shared" si="5"/>
        <v>#VALUE!</v>
      </c>
      <c r="J38" s="440">
        <f t="shared" si="6"/>
        <v>0</v>
      </c>
      <c r="K38" s="440">
        <f t="shared" si="7"/>
        <v>0</v>
      </c>
      <c r="L38" s="632"/>
      <c r="M38" s="666" t="str">
        <f t="shared" si="15"/>
        <v/>
      </c>
      <c r="N38" s="440">
        <f t="shared" si="8"/>
        <v>0</v>
      </c>
      <c r="O38" s="440">
        <f t="shared" si="16"/>
        <v>0</v>
      </c>
      <c r="P38" s="440">
        <f t="shared" ref="P38:Q57" si="18">IFERROR(IF(VersBer,IF($M38&lt;INT(P$5),0,IF($M38=INT(P$2),P$12,IF($M38&gt;INT(P$2),P$12*(1+P$9)^(IF($M38-P$5&lt;=0,0,$M38-IF(P$5&lt;P$2,P$2,P$5))),0))),0),0)</f>
        <v>0</v>
      </c>
      <c r="Q38" s="440">
        <f t="shared" si="18"/>
        <v>0</v>
      </c>
      <c r="R38" s="440">
        <f>IFERROR(IF(VerBer,IF($M38&lt;INT(R$5),0,IF($M38=INT(R$2),R$12,IF($M38&gt;INT(R$2),R$12*(1+R$9)^(IF($M38-R$5&lt;=0,0,$M38-IF(R$5&lt;R$2,R$2,R$5))),0))),0),0)</f>
        <v>0</v>
      </c>
      <c r="S38" s="212"/>
      <c r="U38" s="454">
        <f t="shared" si="17"/>
        <v>0</v>
      </c>
      <c r="V38" s="454">
        <f t="shared" si="13"/>
        <v>0</v>
      </c>
      <c r="W38" s="454">
        <f t="shared" si="14"/>
        <v>0</v>
      </c>
    </row>
    <row r="39" spans="1:23">
      <c r="A39" s="337"/>
      <c r="B39" s="237" t="str">
        <f t="shared" si="12"/>
        <v/>
      </c>
      <c r="C39" s="439">
        <f t="shared" si="0"/>
        <v>0</v>
      </c>
      <c r="D39" s="439">
        <f t="shared" si="1"/>
        <v>0</v>
      </c>
      <c r="E39" s="439">
        <f t="shared" si="2"/>
        <v>0</v>
      </c>
      <c r="F39" s="439">
        <f t="shared" si="3"/>
        <v>0</v>
      </c>
      <c r="G39" s="236"/>
      <c r="H39" s="441">
        <f t="shared" si="4"/>
        <v>0</v>
      </c>
      <c r="I39" s="441" t="e">
        <f t="shared" si="5"/>
        <v>#VALUE!</v>
      </c>
      <c r="J39" s="441">
        <f t="shared" si="6"/>
        <v>0</v>
      </c>
      <c r="K39" s="441">
        <f t="shared" si="7"/>
        <v>0</v>
      </c>
      <c r="L39" s="633"/>
      <c r="M39" s="668" t="str">
        <f t="shared" si="15"/>
        <v/>
      </c>
      <c r="N39" s="441">
        <f t="shared" si="8"/>
        <v>0</v>
      </c>
      <c r="O39" s="441">
        <f t="shared" si="16"/>
        <v>0</v>
      </c>
      <c r="P39" s="441">
        <f t="shared" si="18"/>
        <v>0</v>
      </c>
      <c r="Q39" s="441">
        <f t="shared" si="18"/>
        <v>0</v>
      </c>
      <c r="R39" s="441">
        <f>IFERROR(IF(VerBer,IF($M39&lt;INT(R$5),0,IF($M39=INT(R$2),R$12,IF($M39&gt;INT(R$2),R$12*(1+R$9)^(IF($M39-R$5&lt;=0,0,$M39-IF(R$5&lt;R$2,R$2,R$5))),0))),0),0)</f>
        <v>0</v>
      </c>
      <c r="S39" s="212"/>
      <c r="U39" s="454">
        <f t="shared" si="17"/>
        <v>0</v>
      </c>
      <c r="V39" s="454">
        <f t="shared" si="13"/>
        <v>0</v>
      </c>
      <c r="W39" s="454">
        <f t="shared" si="14"/>
        <v>0</v>
      </c>
    </row>
    <row r="40" spans="1:23">
      <c r="A40" s="337"/>
      <c r="B40" s="237" t="str">
        <f t="shared" si="12"/>
        <v/>
      </c>
      <c r="C40" s="439">
        <f t="shared" si="0"/>
        <v>0</v>
      </c>
      <c r="D40" s="439">
        <f t="shared" si="1"/>
        <v>0</v>
      </c>
      <c r="E40" s="439">
        <f t="shared" si="2"/>
        <v>0</v>
      </c>
      <c r="F40" s="439">
        <f t="shared" si="3"/>
        <v>0</v>
      </c>
      <c r="G40" s="236"/>
      <c r="H40" s="440">
        <f t="shared" si="4"/>
        <v>0</v>
      </c>
      <c r="I40" s="440" t="e">
        <f t="shared" si="5"/>
        <v>#VALUE!</v>
      </c>
      <c r="J40" s="440">
        <f t="shared" si="6"/>
        <v>0</v>
      </c>
      <c r="K40" s="440">
        <f t="shared" si="7"/>
        <v>0</v>
      </c>
      <c r="L40" s="632"/>
      <c r="M40" s="666" t="str">
        <f t="shared" si="15"/>
        <v/>
      </c>
      <c r="N40" s="440">
        <f t="shared" si="8"/>
        <v>0</v>
      </c>
      <c r="O40" s="440">
        <f t="shared" si="16"/>
        <v>0</v>
      </c>
      <c r="P40" s="440">
        <f t="shared" si="18"/>
        <v>0</v>
      </c>
      <c r="Q40" s="440">
        <f t="shared" si="18"/>
        <v>0</v>
      </c>
      <c r="R40" s="440">
        <f>IFERROR(IF(VerBer,IF($M40&lt;INT(R$5),0,IF($M40=INT(R$2),R$12,IF($M40&gt;INT(R$2),R$12*(1+R$9)^(IF($M40-R$5&lt;=0,0,$M40-IF(R$5&lt;R$2,R$2,R$5))),0))),0),0)</f>
        <v>0</v>
      </c>
      <c r="S40" s="212"/>
      <c r="U40" s="454">
        <f t="shared" si="17"/>
        <v>0</v>
      </c>
      <c r="V40" s="454">
        <f t="shared" si="13"/>
        <v>0</v>
      </c>
      <c r="W40" s="454">
        <f t="shared" si="14"/>
        <v>0</v>
      </c>
    </row>
    <row r="41" spans="1:23">
      <c r="A41" s="337"/>
      <c r="B41" s="237" t="str">
        <f t="shared" si="12"/>
        <v/>
      </c>
      <c r="C41" s="439">
        <f t="shared" si="0"/>
        <v>0</v>
      </c>
      <c r="D41" s="439">
        <f t="shared" si="1"/>
        <v>0</v>
      </c>
      <c r="E41" s="439">
        <f t="shared" si="2"/>
        <v>0</v>
      </c>
      <c r="F41" s="439">
        <f t="shared" si="3"/>
        <v>0</v>
      </c>
      <c r="G41" s="236"/>
      <c r="H41" s="441">
        <f t="shared" si="4"/>
        <v>0</v>
      </c>
      <c r="I41" s="441" t="e">
        <f t="shared" si="5"/>
        <v>#VALUE!</v>
      </c>
      <c r="J41" s="441">
        <f t="shared" si="6"/>
        <v>0</v>
      </c>
      <c r="K41" s="441">
        <f t="shared" si="7"/>
        <v>0</v>
      </c>
      <c r="L41" s="633"/>
      <c r="M41" s="668" t="str">
        <f t="shared" si="15"/>
        <v/>
      </c>
      <c r="N41" s="441">
        <f t="shared" si="8"/>
        <v>0</v>
      </c>
      <c r="O41" s="441">
        <f t="shared" si="16"/>
        <v>0</v>
      </c>
      <c r="P41" s="441">
        <f t="shared" si="18"/>
        <v>0</v>
      </c>
      <c r="Q41" s="441">
        <f t="shared" si="18"/>
        <v>0</v>
      </c>
      <c r="R41" s="441">
        <f>IFERROR(IF(VerBer,IF($M41&lt;INT(R$5),0,IF($M41=INT(R$2),R$12,IF($M41&gt;INT(R$2),R$12*(1+R$9)^(IF($M41-R$5&lt;=0,0,$M41-IF(R$5&lt;R$2,R$2,R$5))),0))),0),0)</f>
        <v>0</v>
      </c>
      <c r="S41" s="212"/>
      <c r="U41" s="454">
        <f t="shared" si="17"/>
        <v>0</v>
      </c>
      <c r="V41" s="454">
        <f t="shared" si="13"/>
        <v>0</v>
      </c>
      <c r="W41" s="454">
        <f t="shared" si="14"/>
        <v>0</v>
      </c>
    </row>
    <row r="42" spans="1:23">
      <c r="A42" s="337"/>
      <c r="B42" s="237" t="str">
        <f t="shared" si="12"/>
        <v/>
      </c>
      <c r="C42" s="439">
        <f t="shared" si="0"/>
        <v>0</v>
      </c>
      <c r="D42" s="439">
        <f t="shared" si="1"/>
        <v>0</v>
      </c>
      <c r="E42" s="439">
        <f t="shared" si="2"/>
        <v>0</v>
      </c>
      <c r="F42" s="439">
        <f t="shared" si="3"/>
        <v>0</v>
      </c>
      <c r="G42" s="236"/>
      <c r="H42" s="440">
        <f t="shared" si="4"/>
        <v>0</v>
      </c>
      <c r="I42" s="440" t="e">
        <f t="shared" si="5"/>
        <v>#VALUE!</v>
      </c>
      <c r="J42" s="440">
        <f t="shared" si="6"/>
        <v>0</v>
      </c>
      <c r="K42" s="440">
        <f t="shared" si="7"/>
        <v>0</v>
      </c>
      <c r="L42" s="632"/>
      <c r="M42" s="666" t="str">
        <f t="shared" si="15"/>
        <v/>
      </c>
      <c r="N42" s="440">
        <f t="shared" si="8"/>
        <v>0</v>
      </c>
      <c r="O42" s="440">
        <f t="shared" si="16"/>
        <v>0</v>
      </c>
      <c r="P42" s="440">
        <f t="shared" si="18"/>
        <v>0</v>
      </c>
      <c r="Q42" s="440">
        <f t="shared" si="18"/>
        <v>0</v>
      </c>
      <c r="R42" s="440">
        <f>IFERROR(IF(VerBer,IF($M42&lt;INT(R$5),0,IF($M42=INT(R$2),R$12,IF($M42&gt;INT(R$2),R$12*(1+R$9)^(IF($M42-R$5&lt;=0,0,$M42-IF(R$5&lt;R$2,R$2,R$5))),0))),0),0)</f>
        <v>0</v>
      </c>
      <c r="S42" s="212"/>
      <c r="T42" s="322"/>
      <c r="U42" s="454">
        <f t="shared" si="17"/>
        <v>0</v>
      </c>
      <c r="V42" s="454">
        <f t="shared" si="13"/>
        <v>0</v>
      </c>
      <c r="W42" s="454">
        <f t="shared" si="14"/>
        <v>0</v>
      </c>
    </row>
    <row r="43" spans="1:23">
      <c r="A43" s="337"/>
      <c r="B43" s="237" t="str">
        <f t="shared" si="12"/>
        <v/>
      </c>
      <c r="C43" s="439">
        <f t="shared" si="0"/>
        <v>0</v>
      </c>
      <c r="D43" s="439">
        <f t="shared" si="1"/>
        <v>0</v>
      </c>
      <c r="E43" s="439">
        <f t="shared" si="2"/>
        <v>0</v>
      </c>
      <c r="F43" s="439">
        <f t="shared" si="3"/>
        <v>0</v>
      </c>
      <c r="G43" s="236"/>
      <c r="H43" s="441">
        <f t="shared" si="4"/>
        <v>0</v>
      </c>
      <c r="I43" s="441" t="e">
        <f t="shared" si="5"/>
        <v>#VALUE!</v>
      </c>
      <c r="J43" s="441">
        <f t="shared" si="6"/>
        <v>0</v>
      </c>
      <c r="K43" s="441">
        <f t="shared" si="7"/>
        <v>0</v>
      </c>
      <c r="L43" s="633"/>
      <c r="M43" s="668" t="str">
        <f t="shared" si="15"/>
        <v/>
      </c>
      <c r="N43" s="441">
        <f t="shared" si="8"/>
        <v>0</v>
      </c>
      <c r="O43" s="441">
        <f t="shared" si="16"/>
        <v>0</v>
      </c>
      <c r="P43" s="441">
        <f t="shared" si="18"/>
        <v>0</v>
      </c>
      <c r="Q43" s="441">
        <f t="shared" si="18"/>
        <v>0</v>
      </c>
      <c r="R43" s="441">
        <f>IFERROR(IF(VerBer,IF($M43&lt;INT(R$5),0,IF($M43=INT(R$2),R$12,IF($M43&gt;INT(R$2),R$12*(1+R$9)^(IF($M43-R$5&lt;=0,0,$M43-IF(R$5&lt;R$2,R$2,R$5))),0))),0),0)</f>
        <v>0</v>
      </c>
      <c r="S43" s="212"/>
      <c r="U43" s="454">
        <f t="shared" si="17"/>
        <v>0</v>
      </c>
      <c r="V43" s="454">
        <f t="shared" si="13"/>
        <v>0</v>
      </c>
      <c r="W43" s="454">
        <f t="shared" si="14"/>
        <v>0</v>
      </c>
    </row>
    <row r="44" spans="1:23">
      <c r="A44" s="337"/>
      <c r="B44" s="237" t="str">
        <f t="shared" si="12"/>
        <v/>
      </c>
      <c r="C44" s="439">
        <f t="shared" si="0"/>
        <v>0</v>
      </c>
      <c r="D44" s="439">
        <f t="shared" si="1"/>
        <v>0</v>
      </c>
      <c r="E44" s="439">
        <f t="shared" si="2"/>
        <v>0</v>
      </c>
      <c r="F44" s="439">
        <f t="shared" si="3"/>
        <v>0</v>
      </c>
      <c r="G44" s="236"/>
      <c r="H44" s="440">
        <f t="shared" si="4"/>
        <v>0</v>
      </c>
      <c r="I44" s="440" t="e">
        <f t="shared" si="5"/>
        <v>#VALUE!</v>
      </c>
      <c r="J44" s="440">
        <f t="shared" si="6"/>
        <v>0</v>
      </c>
      <c r="K44" s="440">
        <f t="shared" si="7"/>
        <v>0</v>
      </c>
      <c r="L44" s="632"/>
      <c r="M44" s="666" t="str">
        <f t="shared" si="15"/>
        <v/>
      </c>
      <c r="N44" s="440">
        <f t="shared" si="8"/>
        <v>0</v>
      </c>
      <c r="O44" s="440">
        <f t="shared" si="16"/>
        <v>0</v>
      </c>
      <c r="P44" s="440">
        <f t="shared" si="18"/>
        <v>0</v>
      </c>
      <c r="Q44" s="440">
        <f t="shared" si="18"/>
        <v>0</v>
      </c>
      <c r="R44" s="440">
        <f>IFERROR(IF(VerBer,IF($M44&lt;INT(R$5),0,IF($M44=INT(R$2),R$12,IF($M44&gt;INT(R$2),R$12*(1+R$9)^(IF($M44-R$5&lt;=0,0,$M44-IF(R$5&lt;R$2,R$2,R$5))),0))),0),0)</f>
        <v>0</v>
      </c>
      <c r="S44" s="212"/>
      <c r="U44" s="454">
        <f t="shared" si="17"/>
        <v>0</v>
      </c>
      <c r="V44" s="454">
        <f t="shared" si="13"/>
        <v>0</v>
      </c>
      <c r="W44" s="454">
        <f t="shared" si="14"/>
        <v>0</v>
      </c>
    </row>
    <row r="45" spans="1:23">
      <c r="A45" s="337"/>
      <c r="B45" s="237" t="str">
        <f t="shared" si="12"/>
        <v/>
      </c>
      <c r="C45" s="439">
        <f t="shared" si="0"/>
        <v>0</v>
      </c>
      <c r="D45" s="439">
        <f t="shared" si="1"/>
        <v>0</v>
      </c>
      <c r="E45" s="439">
        <f t="shared" si="2"/>
        <v>0</v>
      </c>
      <c r="F45" s="439">
        <f t="shared" si="3"/>
        <v>0</v>
      </c>
      <c r="G45" s="236"/>
      <c r="H45" s="441">
        <f t="shared" si="4"/>
        <v>0</v>
      </c>
      <c r="I45" s="441" t="e">
        <f t="shared" si="5"/>
        <v>#VALUE!</v>
      </c>
      <c r="J45" s="441">
        <f t="shared" si="6"/>
        <v>0</v>
      </c>
      <c r="K45" s="441">
        <f t="shared" si="7"/>
        <v>0</v>
      </c>
      <c r="L45" s="633"/>
      <c r="M45" s="668" t="str">
        <f t="shared" si="15"/>
        <v/>
      </c>
      <c r="N45" s="441">
        <f t="shared" si="8"/>
        <v>0</v>
      </c>
      <c r="O45" s="441">
        <f t="shared" si="16"/>
        <v>0</v>
      </c>
      <c r="P45" s="441">
        <f t="shared" si="18"/>
        <v>0</v>
      </c>
      <c r="Q45" s="441">
        <f t="shared" si="18"/>
        <v>0</v>
      </c>
      <c r="R45" s="441">
        <f>IFERROR(IF(VerBer,IF($M45&lt;INT(R$5),0,IF($M45=INT(R$2),R$12,IF($M45&gt;INT(R$2),R$12*(1+R$9)^(IF($M45-R$5&lt;=0,0,$M45-IF(R$5&lt;R$2,R$2,R$5))),0))),0),0)</f>
        <v>0</v>
      </c>
      <c r="S45" s="212"/>
      <c r="U45" s="454">
        <f t="shared" si="17"/>
        <v>0</v>
      </c>
      <c r="V45" s="454">
        <f t="shared" si="13"/>
        <v>0</v>
      </c>
      <c r="W45" s="454">
        <f t="shared" si="14"/>
        <v>0</v>
      </c>
    </row>
    <row r="46" spans="1:23">
      <c r="A46" s="337"/>
      <c r="B46" s="237" t="str">
        <f t="shared" si="12"/>
        <v/>
      </c>
      <c r="C46" s="439">
        <f t="shared" si="0"/>
        <v>0</v>
      </c>
      <c r="D46" s="439">
        <f t="shared" si="1"/>
        <v>0</v>
      </c>
      <c r="E46" s="439">
        <f t="shared" si="2"/>
        <v>0</v>
      </c>
      <c r="F46" s="439">
        <f t="shared" si="3"/>
        <v>0</v>
      </c>
      <c r="G46" s="236"/>
      <c r="H46" s="440">
        <f t="shared" si="4"/>
        <v>0</v>
      </c>
      <c r="I46" s="440" t="e">
        <f t="shared" si="5"/>
        <v>#VALUE!</v>
      </c>
      <c r="J46" s="440">
        <f t="shared" si="6"/>
        <v>0</v>
      </c>
      <c r="K46" s="440">
        <f t="shared" si="7"/>
        <v>0</v>
      </c>
      <c r="L46" s="632"/>
      <c r="M46" s="666" t="str">
        <f t="shared" si="15"/>
        <v/>
      </c>
      <c r="N46" s="440">
        <f t="shared" si="8"/>
        <v>0</v>
      </c>
      <c r="O46" s="440">
        <f t="shared" si="16"/>
        <v>0</v>
      </c>
      <c r="P46" s="440">
        <f t="shared" si="18"/>
        <v>0</v>
      </c>
      <c r="Q46" s="440">
        <f t="shared" si="18"/>
        <v>0</v>
      </c>
      <c r="R46" s="440">
        <f>IFERROR(IF(VerBer,IF($M46&lt;INT(R$5),0,IF($M46=INT(R$2),R$12,IF($M46&gt;INT(R$2),R$12*(1+R$9)^(IF($M46-R$5&lt;=0,0,$M46-IF(R$5&lt;R$2,R$2,R$5))),0))),0),0)</f>
        <v>0</v>
      </c>
      <c r="S46" s="212"/>
      <c r="U46" s="454">
        <f t="shared" si="17"/>
        <v>0</v>
      </c>
      <c r="V46" s="454">
        <f t="shared" si="13"/>
        <v>0</v>
      </c>
      <c r="W46" s="454">
        <f t="shared" si="14"/>
        <v>0</v>
      </c>
    </row>
    <row r="47" spans="1:23">
      <c r="A47" s="337"/>
      <c r="B47" s="237" t="str">
        <f t="shared" si="12"/>
        <v/>
      </c>
      <c r="C47" s="439">
        <f t="shared" si="0"/>
        <v>0</v>
      </c>
      <c r="D47" s="439">
        <f t="shared" si="1"/>
        <v>0</v>
      </c>
      <c r="E47" s="439">
        <f t="shared" si="2"/>
        <v>0</v>
      </c>
      <c r="F47" s="439">
        <f t="shared" si="3"/>
        <v>0</v>
      </c>
      <c r="G47" s="236"/>
      <c r="H47" s="441">
        <f t="shared" si="4"/>
        <v>0</v>
      </c>
      <c r="I47" s="441" t="e">
        <f t="shared" si="5"/>
        <v>#VALUE!</v>
      </c>
      <c r="J47" s="441">
        <f t="shared" si="6"/>
        <v>0</v>
      </c>
      <c r="K47" s="441">
        <f t="shared" si="7"/>
        <v>0</v>
      </c>
      <c r="L47" s="633"/>
      <c r="M47" s="668" t="str">
        <f t="shared" si="15"/>
        <v/>
      </c>
      <c r="N47" s="441">
        <f t="shared" si="8"/>
        <v>0</v>
      </c>
      <c r="O47" s="441">
        <f t="shared" si="16"/>
        <v>0</v>
      </c>
      <c r="P47" s="441">
        <f t="shared" si="18"/>
        <v>0</v>
      </c>
      <c r="Q47" s="441">
        <f t="shared" si="18"/>
        <v>0</v>
      </c>
      <c r="R47" s="441">
        <f>IFERROR(IF(VerBer,IF($M47&lt;INT(R$5),0,IF($M47=INT(R$2),R$12,IF($M47&gt;INT(R$2),R$12*(1+R$9)^(IF($M47-R$5&lt;=0,0,$M47-IF(R$5&lt;R$2,R$2,R$5))),0))),0),0)</f>
        <v>0</v>
      </c>
      <c r="S47" s="212"/>
      <c r="U47" s="454">
        <f t="shared" si="17"/>
        <v>0</v>
      </c>
      <c r="V47" s="454">
        <f t="shared" si="13"/>
        <v>0</v>
      </c>
      <c r="W47" s="454">
        <f t="shared" si="14"/>
        <v>0</v>
      </c>
    </row>
    <row r="48" spans="1:23">
      <c r="A48" s="337"/>
      <c r="B48" s="237" t="str">
        <f t="shared" si="12"/>
        <v/>
      </c>
      <c r="C48" s="439">
        <f t="shared" si="0"/>
        <v>0</v>
      </c>
      <c r="D48" s="439">
        <f t="shared" si="1"/>
        <v>0</v>
      </c>
      <c r="E48" s="439">
        <f t="shared" si="2"/>
        <v>0</v>
      </c>
      <c r="F48" s="439">
        <f t="shared" si="3"/>
        <v>0</v>
      </c>
      <c r="G48" s="236"/>
      <c r="H48" s="440">
        <f t="shared" si="4"/>
        <v>0</v>
      </c>
      <c r="I48" s="440" t="e">
        <f t="shared" si="5"/>
        <v>#VALUE!</v>
      </c>
      <c r="J48" s="440">
        <f t="shared" si="6"/>
        <v>0</v>
      </c>
      <c r="K48" s="440">
        <f t="shared" si="7"/>
        <v>0</v>
      </c>
      <c r="L48" s="632"/>
      <c r="M48" s="666" t="str">
        <f t="shared" si="15"/>
        <v/>
      </c>
      <c r="N48" s="440">
        <f t="shared" si="8"/>
        <v>0</v>
      </c>
      <c r="O48" s="440">
        <f t="shared" si="16"/>
        <v>0</v>
      </c>
      <c r="P48" s="440">
        <f t="shared" si="18"/>
        <v>0</v>
      </c>
      <c r="Q48" s="440">
        <f t="shared" si="18"/>
        <v>0</v>
      </c>
      <c r="R48" s="440">
        <f>IFERROR(IF(VerBer,IF($M48&lt;INT(R$5),0,IF($M48=INT(R$2),R$12,IF($M48&gt;INT(R$2),R$12*(1+R$9)^(IF($M48-R$5&lt;=0,0,$M48-IF(R$5&lt;R$2,R$2,R$5))),0))),0),0)</f>
        <v>0</v>
      </c>
      <c r="S48" s="212"/>
      <c r="U48" s="454">
        <f t="shared" si="17"/>
        <v>0</v>
      </c>
      <c r="V48" s="454">
        <f t="shared" si="13"/>
        <v>0</v>
      </c>
      <c r="W48" s="454">
        <f t="shared" si="14"/>
        <v>0</v>
      </c>
    </row>
    <row r="49" spans="1:23">
      <c r="A49" s="337"/>
      <c r="B49" s="237" t="str">
        <f t="shared" si="12"/>
        <v/>
      </c>
      <c r="C49" s="439">
        <f t="shared" si="0"/>
        <v>0</v>
      </c>
      <c r="D49" s="439">
        <f t="shared" si="1"/>
        <v>0</v>
      </c>
      <c r="E49" s="439">
        <f t="shared" si="2"/>
        <v>0</v>
      </c>
      <c r="F49" s="439">
        <f t="shared" si="3"/>
        <v>0</v>
      </c>
      <c r="G49" s="236"/>
      <c r="H49" s="441">
        <f t="shared" si="4"/>
        <v>0</v>
      </c>
      <c r="I49" s="441" t="e">
        <f t="shared" si="5"/>
        <v>#VALUE!</v>
      </c>
      <c r="J49" s="441">
        <f t="shared" si="6"/>
        <v>0</v>
      </c>
      <c r="K49" s="441">
        <f t="shared" si="7"/>
        <v>0</v>
      </c>
      <c r="L49" s="633"/>
      <c r="M49" s="668" t="str">
        <f t="shared" si="15"/>
        <v/>
      </c>
      <c r="N49" s="441">
        <f t="shared" si="8"/>
        <v>0</v>
      </c>
      <c r="O49" s="441">
        <f t="shared" si="16"/>
        <v>0</v>
      </c>
      <c r="P49" s="441">
        <f t="shared" si="18"/>
        <v>0</v>
      </c>
      <c r="Q49" s="441">
        <f t="shared" si="18"/>
        <v>0</v>
      </c>
      <c r="R49" s="441">
        <f>IFERROR(IF(VerBer,IF($M49&lt;INT(R$5),0,IF($M49=INT(R$2),R$12,IF($M49&gt;INT(R$2),R$12*(1+R$9)^(IF($M49-R$5&lt;=0,0,$M49-IF(R$5&lt;R$2,R$2,R$5))),0))),0),0)</f>
        <v>0</v>
      </c>
      <c r="S49" s="212"/>
      <c r="U49" s="454">
        <f t="shared" si="17"/>
        <v>0</v>
      </c>
      <c r="V49" s="454">
        <f t="shared" si="13"/>
        <v>0</v>
      </c>
      <c r="W49" s="454">
        <f t="shared" si="14"/>
        <v>0</v>
      </c>
    </row>
    <row r="50" spans="1:23">
      <c r="A50" s="337"/>
      <c r="B50" s="237" t="str">
        <f t="shared" si="12"/>
        <v/>
      </c>
      <c r="C50" s="439">
        <f t="shared" ref="C50:C81" si="19">IFERROR(IF(QuellVersrg,IF($B50&lt;INT(H$5),0,IF($B50=INT(H$2),H$12,IF($B50&gt;INT(H$2),H$12*(1+H$9)^(IF($B50-H$5&lt;=0,0,$B50-IF(H$5&lt;H$2,H$2,H$5))),0))),0),0)</f>
        <v>0</v>
      </c>
      <c r="D50" s="439">
        <f t="shared" ref="D50:D81" si="20">IFERROR(IF(DRVPfl,IF($B50&lt;INT(I$5),0,IF($B50=INT(I$2),I$12,IF($B50&gt;INT(I$2),I$12*(1+I$9)^(IF($B50-I$5&lt;=0,0,$B50-IF(I$5&lt;I$2,I$2,I$5))),0))),0),0)</f>
        <v>0</v>
      </c>
      <c r="E50" s="439">
        <f t="shared" ref="E50:E81" si="21">IFERROR(IF(VersAusglKPfl,IF($B50&lt;INT(J$5),0,IF($B50=INT(J$2),J$12,IF($B50&gt;INT(J$2),J$12*(1+J$9)^(IF($B50-J$5&lt;=0,0,$B50-IF(J$5&lt;J$2,J$2,J$5))),0))),0),0)</f>
        <v>0</v>
      </c>
      <c r="F50" s="439">
        <f t="shared" ref="F50:F81" si="22">IFERROR(IF(SonstPfl,IF($B50&lt;INT(K$5),0,IF($B50=INT(K$2),K$12,IF($B50&gt;INT(K$2),K$12*(1+K$9)^(IF($B50-K$5&lt;=0,0,$B50-IF(K$5&lt;K$2,K$2,K$5))),0))),0),0)</f>
        <v>0</v>
      </c>
      <c r="G50" s="236"/>
      <c r="H50" s="440">
        <f t="shared" ref="H50:H81" si="23">C50*12*IF(AND(INT(H$5)=B50,H$5&gt;INT(H$5)),1-(H$5-INT(H$5)),1)</f>
        <v>0</v>
      </c>
      <c r="I50" s="440" t="e">
        <f t="shared" ref="I50:I81" si="24">D50*12*IF(AND(INT(I$5)=$B50,I$5&gt;INT(I$5)),1-(I$5-INT(I$5)),1)</f>
        <v>#VALUE!</v>
      </c>
      <c r="J50" s="440">
        <f t="shared" ref="J50:J81" si="25">E50*12*IF(AND(INT(J$5)=$B50,J$5&gt;INT(J$5)),1-(J$5-INT(J$5)),1)</f>
        <v>0</v>
      </c>
      <c r="K50" s="440">
        <f t="shared" ref="K50:K81" si="26">F50*12*IF(AND(INT(K$5)=$B50,K$5&gt;INT(K$5)),1-(K$5-INT(K$5)),1)</f>
        <v>0</v>
      </c>
      <c r="L50" s="632"/>
      <c r="M50" s="666" t="str">
        <f t="shared" si="15"/>
        <v/>
      </c>
      <c r="N50" s="440">
        <f t="shared" ref="N50:N81" si="27">IFERROR(IF(AND(VersBer,DRVAusglBerJa),IF($M50&lt;INT(O$5),0,IF($M50=INT(O$2),O$12,IF($M50&gt;INT(O$2),O$12*(1+O$9)^(IF($M50-O$5&lt;=0,0,$M50-IF(O$5&lt;O$2,O$2,O$5))),0))),0),0)</f>
        <v>0</v>
      </c>
      <c r="O50" s="440">
        <f t="shared" si="16"/>
        <v>0</v>
      </c>
      <c r="P50" s="440">
        <f t="shared" si="18"/>
        <v>0</v>
      </c>
      <c r="Q50" s="440">
        <f t="shared" si="18"/>
        <v>0</v>
      </c>
      <c r="R50" s="440">
        <f>IFERROR(IF(VerBer,IF($M50&lt;INT(R$5),0,IF($M50=INT(R$2),R$12,IF($M50&gt;INT(R$2),R$12*(1+R$9)^(IF($M50-R$5&lt;=0,0,$M50-IF(R$5&lt;R$2,R$2,R$5))),0))),0),0)</f>
        <v>0</v>
      </c>
      <c r="S50" s="212"/>
      <c r="U50" s="454">
        <f t="shared" si="17"/>
        <v>0</v>
      </c>
      <c r="V50" s="454">
        <f t="shared" si="13"/>
        <v>0</v>
      </c>
      <c r="W50" s="454">
        <f t="shared" si="14"/>
        <v>0</v>
      </c>
    </row>
    <row r="51" spans="1:23">
      <c r="A51" s="337"/>
      <c r="B51" s="237" t="str">
        <f t="shared" ref="B51:B82" si="28">IFERROR(IF(B50+1&lt;IF(Endalter=0,EndalterDRV,Endalter),B50+1,""),"")</f>
        <v/>
      </c>
      <c r="C51" s="439">
        <f t="shared" si="19"/>
        <v>0</v>
      </c>
      <c r="D51" s="439">
        <f t="shared" si="20"/>
        <v>0</v>
      </c>
      <c r="E51" s="439">
        <f t="shared" si="21"/>
        <v>0</v>
      </c>
      <c r="F51" s="439">
        <f t="shared" si="22"/>
        <v>0</v>
      </c>
      <c r="G51" s="236"/>
      <c r="H51" s="441">
        <f t="shared" si="23"/>
        <v>0</v>
      </c>
      <c r="I51" s="441" t="e">
        <f t="shared" si="24"/>
        <v>#VALUE!</v>
      </c>
      <c r="J51" s="441">
        <f t="shared" si="25"/>
        <v>0</v>
      </c>
      <c r="K51" s="441">
        <f t="shared" si="26"/>
        <v>0</v>
      </c>
      <c r="L51" s="633"/>
      <c r="M51" s="668" t="str">
        <f t="shared" si="15"/>
        <v/>
      </c>
      <c r="N51" s="441">
        <f t="shared" si="27"/>
        <v>0</v>
      </c>
      <c r="O51" s="441">
        <f t="shared" si="16"/>
        <v>0</v>
      </c>
      <c r="P51" s="441">
        <f t="shared" si="18"/>
        <v>0</v>
      </c>
      <c r="Q51" s="441">
        <f t="shared" si="18"/>
        <v>0</v>
      </c>
      <c r="R51" s="441">
        <f>IFERROR(IF(VerBer,IF($M51&lt;INT(R$5),0,IF($M51=INT(R$2),R$12,IF($M51&gt;INT(R$2),R$12*(1+R$9)^(IF($M51-R$5&lt;=0,0,$M51-IF(R$5&lt;R$2,R$2,R$5))),0))),0),0)</f>
        <v>0</v>
      </c>
      <c r="S51" s="212"/>
      <c r="U51" s="454">
        <f t="shared" si="17"/>
        <v>0</v>
      </c>
      <c r="V51" s="454">
        <f t="shared" si="13"/>
        <v>0</v>
      </c>
      <c r="W51" s="454">
        <f t="shared" si="14"/>
        <v>0</v>
      </c>
    </row>
    <row r="52" spans="1:23">
      <c r="A52" s="337"/>
      <c r="B52" s="237" t="str">
        <f t="shared" si="28"/>
        <v/>
      </c>
      <c r="C52" s="439">
        <f t="shared" si="19"/>
        <v>0</v>
      </c>
      <c r="D52" s="439">
        <f t="shared" si="20"/>
        <v>0</v>
      </c>
      <c r="E52" s="439">
        <f t="shared" si="21"/>
        <v>0</v>
      </c>
      <c r="F52" s="439">
        <f t="shared" si="22"/>
        <v>0</v>
      </c>
      <c r="G52" s="236"/>
      <c r="H52" s="440">
        <f t="shared" si="23"/>
        <v>0</v>
      </c>
      <c r="I52" s="440" t="e">
        <f t="shared" si="24"/>
        <v>#VALUE!</v>
      </c>
      <c r="J52" s="440">
        <f t="shared" si="25"/>
        <v>0</v>
      </c>
      <c r="K52" s="440">
        <f t="shared" si="26"/>
        <v>0</v>
      </c>
      <c r="L52" s="632"/>
      <c r="M52" s="666" t="str">
        <f t="shared" si="15"/>
        <v/>
      </c>
      <c r="N52" s="440">
        <f t="shared" si="27"/>
        <v>0</v>
      </c>
      <c r="O52" s="440">
        <f t="shared" si="16"/>
        <v>0</v>
      </c>
      <c r="P52" s="440">
        <f t="shared" si="18"/>
        <v>0</v>
      </c>
      <c r="Q52" s="440">
        <f t="shared" si="18"/>
        <v>0</v>
      </c>
      <c r="R52" s="440">
        <f>IFERROR(IF(VerBer,IF($M52&lt;INT(R$5),0,IF($M52=INT(R$2),R$12,IF($M52&gt;INT(R$2),R$12*(1+R$9)^(IF($M52-R$5&lt;=0,0,$M52-IF(R$5&lt;R$2,R$2,R$5))),0))),0),0)</f>
        <v>0</v>
      </c>
      <c r="S52" s="212"/>
      <c r="U52" s="454">
        <f t="shared" si="17"/>
        <v>0</v>
      </c>
      <c r="V52" s="454">
        <f t="shared" si="13"/>
        <v>0</v>
      </c>
      <c r="W52" s="454">
        <f t="shared" si="14"/>
        <v>0</v>
      </c>
    </row>
    <row r="53" spans="1:23">
      <c r="A53" s="337"/>
      <c r="B53" s="237" t="str">
        <f t="shared" si="28"/>
        <v/>
      </c>
      <c r="C53" s="439">
        <f t="shared" si="19"/>
        <v>0</v>
      </c>
      <c r="D53" s="439">
        <f t="shared" si="20"/>
        <v>0</v>
      </c>
      <c r="E53" s="439">
        <f t="shared" si="21"/>
        <v>0</v>
      </c>
      <c r="F53" s="439">
        <f t="shared" si="22"/>
        <v>0</v>
      </c>
      <c r="G53" s="236"/>
      <c r="H53" s="441">
        <f t="shared" si="23"/>
        <v>0</v>
      </c>
      <c r="I53" s="441" t="e">
        <f t="shared" si="24"/>
        <v>#VALUE!</v>
      </c>
      <c r="J53" s="441">
        <f t="shared" si="25"/>
        <v>0</v>
      </c>
      <c r="K53" s="441">
        <f t="shared" si="26"/>
        <v>0</v>
      </c>
      <c r="L53" s="633"/>
      <c r="M53" s="668" t="str">
        <f t="shared" si="15"/>
        <v/>
      </c>
      <c r="N53" s="441">
        <f t="shared" si="27"/>
        <v>0</v>
      </c>
      <c r="O53" s="441">
        <f t="shared" si="16"/>
        <v>0</v>
      </c>
      <c r="P53" s="441">
        <f t="shared" si="18"/>
        <v>0</v>
      </c>
      <c r="Q53" s="441">
        <f t="shared" si="18"/>
        <v>0</v>
      </c>
      <c r="R53" s="441">
        <f>IFERROR(IF(VerBer,IF($M53&lt;INT(R$5),0,IF($M53=INT(R$2),R$12,IF($M53&gt;INT(R$2),R$12*(1+R$9)^(IF($M53-R$5&lt;=0,0,$M53-IF(R$5&lt;R$2,R$2,R$5))),0))),0),0)</f>
        <v>0</v>
      </c>
      <c r="S53" s="212"/>
      <c r="U53" s="454">
        <f t="shared" si="17"/>
        <v>0</v>
      </c>
      <c r="V53" s="454">
        <f t="shared" si="13"/>
        <v>0</v>
      </c>
      <c r="W53" s="454">
        <f t="shared" si="14"/>
        <v>0</v>
      </c>
    </row>
    <row r="54" spans="1:23">
      <c r="A54" s="337"/>
      <c r="B54" s="237" t="str">
        <f t="shared" si="28"/>
        <v/>
      </c>
      <c r="C54" s="439">
        <f t="shared" si="19"/>
        <v>0</v>
      </c>
      <c r="D54" s="439">
        <f t="shared" si="20"/>
        <v>0</v>
      </c>
      <c r="E54" s="439">
        <f t="shared" si="21"/>
        <v>0</v>
      </c>
      <c r="F54" s="439">
        <f t="shared" si="22"/>
        <v>0</v>
      </c>
      <c r="G54" s="236"/>
      <c r="H54" s="440">
        <f t="shared" si="23"/>
        <v>0</v>
      </c>
      <c r="I54" s="440" t="e">
        <f t="shared" si="24"/>
        <v>#VALUE!</v>
      </c>
      <c r="J54" s="440">
        <f t="shared" si="25"/>
        <v>0</v>
      </c>
      <c r="K54" s="440">
        <f t="shared" si="26"/>
        <v>0</v>
      </c>
      <c r="L54" s="632"/>
      <c r="M54" s="666" t="str">
        <f t="shared" si="15"/>
        <v/>
      </c>
      <c r="N54" s="440">
        <f t="shared" si="27"/>
        <v>0</v>
      </c>
      <c r="O54" s="440">
        <f t="shared" si="16"/>
        <v>0</v>
      </c>
      <c r="P54" s="440">
        <f t="shared" si="18"/>
        <v>0</v>
      </c>
      <c r="Q54" s="440">
        <f t="shared" si="18"/>
        <v>0</v>
      </c>
      <c r="R54" s="440">
        <f>IFERROR(IF(VerBer,IF($M54&lt;INT(R$5),0,IF($M54=INT(R$2),R$12,IF($M54&gt;INT(R$2),R$12*(1+R$9)^(IF($M54-R$5&lt;=0,0,$M54-IF(R$5&lt;R$2,R$2,R$5))),0))),0),0)</f>
        <v>0</v>
      </c>
      <c r="S54" s="212"/>
      <c r="U54" s="454">
        <f t="shared" si="17"/>
        <v>0</v>
      </c>
      <c r="V54" s="454">
        <f t="shared" si="13"/>
        <v>0</v>
      </c>
      <c r="W54" s="454">
        <f t="shared" si="14"/>
        <v>0</v>
      </c>
    </row>
    <row r="55" spans="1:23">
      <c r="A55" s="337"/>
      <c r="B55" s="237" t="str">
        <f t="shared" si="28"/>
        <v/>
      </c>
      <c r="C55" s="439">
        <f t="shared" si="19"/>
        <v>0</v>
      </c>
      <c r="D55" s="439">
        <f t="shared" si="20"/>
        <v>0</v>
      </c>
      <c r="E55" s="439">
        <f t="shared" si="21"/>
        <v>0</v>
      </c>
      <c r="F55" s="439">
        <f t="shared" si="22"/>
        <v>0</v>
      </c>
      <c r="G55" s="236"/>
      <c r="H55" s="441">
        <f t="shared" si="23"/>
        <v>0</v>
      </c>
      <c r="I55" s="441" t="e">
        <f t="shared" si="24"/>
        <v>#VALUE!</v>
      </c>
      <c r="J55" s="441">
        <f t="shared" si="25"/>
        <v>0</v>
      </c>
      <c r="K55" s="441">
        <f t="shared" si="26"/>
        <v>0</v>
      </c>
      <c r="L55" s="633"/>
      <c r="M55" s="668" t="str">
        <f t="shared" si="15"/>
        <v/>
      </c>
      <c r="N55" s="441">
        <f t="shared" si="27"/>
        <v>0</v>
      </c>
      <c r="O55" s="441">
        <f t="shared" si="16"/>
        <v>0</v>
      </c>
      <c r="P55" s="441">
        <f t="shared" si="18"/>
        <v>0</v>
      </c>
      <c r="Q55" s="441">
        <f t="shared" si="18"/>
        <v>0</v>
      </c>
      <c r="R55" s="441">
        <f>IFERROR(IF(VerBer,IF($M55&lt;INT(R$5),0,IF($M55=INT(R$2),R$12,IF($M55&gt;INT(R$2),R$12*(1+R$9)^(IF($M55-R$5&lt;=0,0,$M55-IF(R$5&lt;R$2,R$2,R$5))),0))),0),0)</f>
        <v>0</v>
      </c>
      <c r="S55" s="212"/>
      <c r="U55" s="454">
        <f t="shared" si="17"/>
        <v>0</v>
      </c>
      <c r="V55" s="454">
        <f t="shared" si="13"/>
        <v>0</v>
      </c>
      <c r="W55" s="454">
        <f t="shared" si="14"/>
        <v>0</v>
      </c>
    </row>
    <row r="56" spans="1:23">
      <c r="A56" s="337"/>
      <c r="B56" s="237" t="str">
        <f t="shared" si="28"/>
        <v/>
      </c>
      <c r="C56" s="439">
        <f t="shared" si="19"/>
        <v>0</v>
      </c>
      <c r="D56" s="439">
        <f t="shared" si="20"/>
        <v>0</v>
      </c>
      <c r="E56" s="439">
        <f t="shared" si="21"/>
        <v>0</v>
      </c>
      <c r="F56" s="439">
        <f t="shared" si="22"/>
        <v>0</v>
      </c>
      <c r="G56" s="236"/>
      <c r="H56" s="440">
        <f t="shared" si="23"/>
        <v>0</v>
      </c>
      <c r="I56" s="440" t="e">
        <f t="shared" si="24"/>
        <v>#VALUE!</v>
      </c>
      <c r="J56" s="440">
        <f t="shared" si="25"/>
        <v>0</v>
      </c>
      <c r="K56" s="440">
        <f t="shared" si="26"/>
        <v>0</v>
      </c>
      <c r="L56" s="632"/>
      <c r="M56" s="666" t="str">
        <f t="shared" si="15"/>
        <v/>
      </c>
      <c r="N56" s="440">
        <f t="shared" si="27"/>
        <v>0</v>
      </c>
      <c r="O56" s="440">
        <f t="shared" si="16"/>
        <v>0</v>
      </c>
      <c r="P56" s="440">
        <f t="shared" si="18"/>
        <v>0</v>
      </c>
      <c r="Q56" s="440">
        <f t="shared" si="18"/>
        <v>0</v>
      </c>
      <c r="R56" s="440">
        <f>IFERROR(IF(VerBer,IF($M56&lt;INT(R$5),0,IF($M56=INT(R$2),R$12,IF($M56&gt;INT(R$2),R$12*(1+R$9)^(IF($M56-R$5&lt;=0,0,$M56-IF(R$5&lt;R$2,R$2,R$5))),0))),0),0)</f>
        <v>0</v>
      </c>
      <c r="S56" s="212"/>
      <c r="U56" s="454">
        <f t="shared" si="17"/>
        <v>0</v>
      </c>
      <c r="V56" s="454">
        <f t="shared" si="13"/>
        <v>0</v>
      </c>
      <c r="W56" s="454">
        <f t="shared" si="14"/>
        <v>0</v>
      </c>
    </row>
    <row r="57" spans="1:23">
      <c r="A57" s="337"/>
      <c r="B57" s="237" t="str">
        <f t="shared" si="28"/>
        <v/>
      </c>
      <c r="C57" s="439">
        <f t="shared" si="19"/>
        <v>0</v>
      </c>
      <c r="D57" s="439">
        <f t="shared" si="20"/>
        <v>0</v>
      </c>
      <c r="E57" s="439">
        <f t="shared" si="21"/>
        <v>0</v>
      </c>
      <c r="F57" s="439">
        <f t="shared" si="22"/>
        <v>0</v>
      </c>
      <c r="G57" s="236"/>
      <c r="H57" s="441">
        <f t="shared" si="23"/>
        <v>0</v>
      </c>
      <c r="I57" s="441" t="e">
        <f t="shared" si="24"/>
        <v>#VALUE!</v>
      </c>
      <c r="J57" s="441">
        <f t="shared" si="25"/>
        <v>0</v>
      </c>
      <c r="K57" s="441">
        <f t="shared" si="26"/>
        <v>0</v>
      </c>
      <c r="L57" s="633"/>
      <c r="M57" s="668" t="str">
        <f t="shared" si="15"/>
        <v/>
      </c>
      <c r="N57" s="441">
        <f t="shared" si="27"/>
        <v>0</v>
      </c>
      <c r="O57" s="441">
        <f t="shared" si="16"/>
        <v>0</v>
      </c>
      <c r="P57" s="441">
        <f t="shared" si="18"/>
        <v>0</v>
      </c>
      <c r="Q57" s="441">
        <f t="shared" si="18"/>
        <v>0</v>
      </c>
      <c r="R57" s="441">
        <f>IFERROR(IF(VerBer,IF($M57&lt;INT(R$5),0,IF($M57=INT(R$2),R$12,IF($M57&gt;INT(R$2),R$12*(1+R$9)^(IF($M57-R$5&lt;=0,0,$M57-IF(R$5&lt;R$2,R$2,R$5))),0))),0),0)</f>
        <v>0</v>
      </c>
      <c r="S57" s="212"/>
      <c r="U57" s="454">
        <f t="shared" si="17"/>
        <v>0</v>
      </c>
      <c r="V57" s="454">
        <f t="shared" si="13"/>
        <v>0</v>
      </c>
      <c r="W57" s="454">
        <f t="shared" si="14"/>
        <v>0</v>
      </c>
    </row>
    <row r="58" spans="1:23">
      <c r="A58" s="337"/>
      <c r="B58" s="237" t="str">
        <f t="shared" si="28"/>
        <v/>
      </c>
      <c r="C58" s="439">
        <f t="shared" si="19"/>
        <v>0</v>
      </c>
      <c r="D58" s="439">
        <f t="shared" si="20"/>
        <v>0</v>
      </c>
      <c r="E58" s="439">
        <f t="shared" si="21"/>
        <v>0</v>
      </c>
      <c r="F58" s="439">
        <f t="shared" si="22"/>
        <v>0</v>
      </c>
      <c r="G58" s="236"/>
      <c r="H58" s="440">
        <f t="shared" si="23"/>
        <v>0</v>
      </c>
      <c r="I58" s="440" t="e">
        <f t="shared" si="24"/>
        <v>#VALUE!</v>
      </c>
      <c r="J58" s="440">
        <f t="shared" si="25"/>
        <v>0</v>
      </c>
      <c r="K58" s="440">
        <f t="shared" si="26"/>
        <v>0</v>
      </c>
      <c r="L58" s="632"/>
      <c r="M58" s="666" t="str">
        <f t="shared" si="15"/>
        <v/>
      </c>
      <c r="N58" s="440">
        <f t="shared" si="27"/>
        <v>0</v>
      </c>
      <c r="O58" s="440">
        <f t="shared" si="16"/>
        <v>0</v>
      </c>
      <c r="P58" s="440">
        <f t="shared" ref="P58:Q70" si="29">IFERROR(IF(VersBer,IF($M58&lt;INT(P$5),0,IF($M58=INT(P$2),P$12,IF($M58&gt;INT(P$2),P$12*(1+P$9)^(IF($M58-P$5&lt;=0,0,$M58-IF(P$5&lt;P$2,P$2,P$5))),0))),0),0)</f>
        <v>0</v>
      </c>
      <c r="Q58" s="440">
        <f t="shared" si="29"/>
        <v>0</v>
      </c>
      <c r="R58" s="440">
        <f>IFERROR(IF(VerBer,IF($M58&lt;INT(R$5),0,IF($M58=INT(R$2),R$12,IF($M58&gt;INT(R$2),R$12*(1+R$9)^(IF($M58-R$5&lt;=0,0,$M58-IF(R$5&lt;R$2,R$2,R$5))),0))),0),0)</f>
        <v>0</v>
      </c>
      <c r="S58" s="212"/>
      <c r="U58" s="454">
        <f t="shared" si="17"/>
        <v>0</v>
      </c>
      <c r="V58" s="454">
        <f t="shared" si="13"/>
        <v>0</v>
      </c>
      <c r="W58" s="454">
        <f t="shared" si="14"/>
        <v>0</v>
      </c>
    </row>
    <row r="59" spans="1:23">
      <c r="A59" s="337"/>
      <c r="B59" s="237" t="str">
        <f t="shared" si="28"/>
        <v/>
      </c>
      <c r="C59" s="439">
        <f t="shared" si="19"/>
        <v>0</v>
      </c>
      <c r="D59" s="439">
        <f t="shared" si="20"/>
        <v>0</v>
      </c>
      <c r="E59" s="439">
        <f t="shared" si="21"/>
        <v>0</v>
      </c>
      <c r="F59" s="439">
        <f t="shared" si="22"/>
        <v>0</v>
      </c>
      <c r="G59" s="236"/>
      <c r="H59" s="441">
        <f t="shared" si="23"/>
        <v>0</v>
      </c>
      <c r="I59" s="441" t="e">
        <f t="shared" si="24"/>
        <v>#VALUE!</v>
      </c>
      <c r="J59" s="441">
        <f t="shared" si="25"/>
        <v>0</v>
      </c>
      <c r="K59" s="441">
        <f t="shared" si="26"/>
        <v>0</v>
      </c>
      <c r="L59" s="633"/>
      <c r="M59" s="668" t="str">
        <f t="shared" si="15"/>
        <v/>
      </c>
      <c r="N59" s="441">
        <f t="shared" si="27"/>
        <v>0</v>
      </c>
      <c r="O59" s="441">
        <f t="shared" si="16"/>
        <v>0</v>
      </c>
      <c r="P59" s="441">
        <f t="shared" si="29"/>
        <v>0</v>
      </c>
      <c r="Q59" s="441">
        <f t="shared" si="29"/>
        <v>0</v>
      </c>
      <c r="R59" s="441">
        <f>IFERROR(IF(VerBer,IF($M59&lt;INT(R$5),0,IF($M59=INT(R$2),R$12,IF($M59&gt;INT(R$2),R$12*(1+R$9)^(IF($M59-R$5&lt;=0,0,$M59-IF(R$5&lt;R$2,R$2,R$5))),0))),0),0)</f>
        <v>0</v>
      </c>
      <c r="S59" s="212"/>
      <c r="U59" s="454">
        <f t="shared" si="17"/>
        <v>0</v>
      </c>
      <c r="V59" s="454">
        <f t="shared" si="13"/>
        <v>0</v>
      </c>
      <c r="W59" s="454">
        <f t="shared" si="14"/>
        <v>0</v>
      </c>
    </row>
    <row r="60" spans="1:23">
      <c r="A60" s="337"/>
      <c r="B60" s="237" t="str">
        <f t="shared" si="28"/>
        <v/>
      </c>
      <c r="C60" s="439">
        <f t="shared" si="19"/>
        <v>0</v>
      </c>
      <c r="D60" s="439">
        <f t="shared" si="20"/>
        <v>0</v>
      </c>
      <c r="E60" s="439">
        <f t="shared" si="21"/>
        <v>0</v>
      </c>
      <c r="F60" s="439">
        <f t="shared" si="22"/>
        <v>0</v>
      </c>
      <c r="G60" s="236"/>
      <c r="H60" s="440">
        <f t="shared" si="23"/>
        <v>0</v>
      </c>
      <c r="I60" s="440" t="e">
        <f t="shared" si="24"/>
        <v>#VALUE!</v>
      </c>
      <c r="J60" s="440">
        <f t="shared" si="25"/>
        <v>0</v>
      </c>
      <c r="K60" s="440">
        <f t="shared" si="26"/>
        <v>0</v>
      </c>
      <c r="L60" s="632"/>
      <c r="M60" s="666" t="str">
        <f t="shared" si="15"/>
        <v/>
      </c>
      <c r="N60" s="440">
        <f t="shared" si="27"/>
        <v>0</v>
      </c>
      <c r="O60" s="440">
        <f t="shared" si="16"/>
        <v>0</v>
      </c>
      <c r="P60" s="440">
        <f t="shared" si="29"/>
        <v>0</v>
      </c>
      <c r="Q60" s="440">
        <f t="shared" si="29"/>
        <v>0</v>
      </c>
      <c r="R60" s="440">
        <f>IFERROR(IF(VerBer,IF($M60&lt;INT(R$5),0,IF($M60=INT(R$2),R$12,IF($M60&gt;INT(R$2),R$12*(1+R$9)^(IF($M60-R$5&lt;=0,0,$M60-IF(R$5&lt;R$2,R$2,R$5))),0))),0),0)</f>
        <v>0</v>
      </c>
      <c r="S60" s="212"/>
      <c r="U60" s="454">
        <f t="shared" si="17"/>
        <v>0</v>
      </c>
      <c r="V60" s="454">
        <f t="shared" si="13"/>
        <v>0</v>
      </c>
      <c r="W60" s="454">
        <f t="shared" si="14"/>
        <v>0</v>
      </c>
    </row>
    <row r="61" spans="1:23">
      <c r="A61" s="337"/>
      <c r="B61" s="237" t="str">
        <f t="shared" si="28"/>
        <v/>
      </c>
      <c r="C61" s="439">
        <f t="shared" si="19"/>
        <v>0</v>
      </c>
      <c r="D61" s="439">
        <f t="shared" si="20"/>
        <v>0</v>
      </c>
      <c r="E61" s="439">
        <f t="shared" si="21"/>
        <v>0</v>
      </c>
      <c r="F61" s="439">
        <f t="shared" si="22"/>
        <v>0</v>
      </c>
      <c r="G61" s="236"/>
      <c r="H61" s="441">
        <f t="shared" si="23"/>
        <v>0</v>
      </c>
      <c r="I61" s="441" t="e">
        <f t="shared" si="24"/>
        <v>#VALUE!</v>
      </c>
      <c r="J61" s="441">
        <f t="shared" si="25"/>
        <v>0</v>
      </c>
      <c r="K61" s="441">
        <f t="shared" si="26"/>
        <v>0</v>
      </c>
      <c r="L61" s="633"/>
      <c r="M61" s="668" t="str">
        <f t="shared" si="15"/>
        <v/>
      </c>
      <c r="N61" s="441">
        <f t="shared" si="27"/>
        <v>0</v>
      </c>
      <c r="O61" s="441">
        <f t="shared" si="16"/>
        <v>0</v>
      </c>
      <c r="P61" s="441">
        <f t="shared" si="29"/>
        <v>0</v>
      </c>
      <c r="Q61" s="441">
        <f t="shared" si="29"/>
        <v>0</v>
      </c>
      <c r="R61" s="441">
        <f>IFERROR(IF(VerBer,IF($M61&lt;INT(R$5),0,IF($M61=INT(R$2),R$12,IF($M61&gt;INT(R$2),R$12*(1+R$9)^(IF($M61-R$5&lt;=0,0,$M61-IF(R$5&lt;R$2,R$2,R$5))),0))),0),0)</f>
        <v>0</v>
      </c>
      <c r="S61" s="212"/>
      <c r="U61" s="454">
        <f t="shared" si="17"/>
        <v>0</v>
      </c>
      <c r="V61" s="454">
        <f t="shared" si="13"/>
        <v>0</v>
      </c>
      <c r="W61" s="454">
        <f t="shared" si="14"/>
        <v>0</v>
      </c>
    </row>
    <row r="62" spans="1:23">
      <c r="A62" s="337"/>
      <c r="B62" s="237" t="str">
        <f t="shared" si="28"/>
        <v/>
      </c>
      <c r="C62" s="439">
        <f t="shared" si="19"/>
        <v>0</v>
      </c>
      <c r="D62" s="439">
        <f t="shared" si="20"/>
        <v>0</v>
      </c>
      <c r="E62" s="439">
        <f t="shared" si="21"/>
        <v>0</v>
      </c>
      <c r="F62" s="439">
        <f t="shared" si="22"/>
        <v>0</v>
      </c>
      <c r="G62" s="236"/>
      <c r="H62" s="440">
        <f t="shared" si="23"/>
        <v>0</v>
      </c>
      <c r="I62" s="440" t="e">
        <f t="shared" si="24"/>
        <v>#VALUE!</v>
      </c>
      <c r="J62" s="440">
        <f t="shared" si="25"/>
        <v>0</v>
      </c>
      <c r="K62" s="440">
        <f t="shared" si="26"/>
        <v>0</v>
      </c>
      <c r="L62" s="632"/>
      <c r="M62" s="666" t="str">
        <f t="shared" si="15"/>
        <v/>
      </c>
      <c r="N62" s="440">
        <f t="shared" si="27"/>
        <v>0</v>
      </c>
      <c r="O62" s="440">
        <f t="shared" si="16"/>
        <v>0</v>
      </c>
      <c r="P62" s="440">
        <f t="shared" si="29"/>
        <v>0</v>
      </c>
      <c r="Q62" s="440">
        <f t="shared" si="29"/>
        <v>0</v>
      </c>
      <c r="R62" s="440">
        <f>IFERROR(IF(VerBer,IF($M62&lt;INT(R$5),0,IF($M62=INT(R$2),R$12,IF($M62&gt;INT(R$2),R$12*(1+R$9)^(IF($M62-R$5&lt;=0,0,$M62-IF(R$5&lt;R$2,R$2,R$5))),0))),0),0)</f>
        <v>0</v>
      </c>
      <c r="S62" s="212"/>
      <c r="U62" s="454">
        <f t="shared" si="17"/>
        <v>0</v>
      </c>
      <c r="V62" s="454">
        <f t="shared" si="13"/>
        <v>0</v>
      </c>
      <c r="W62" s="454">
        <f t="shared" si="14"/>
        <v>0</v>
      </c>
    </row>
    <row r="63" spans="1:23">
      <c r="A63" s="337"/>
      <c r="B63" s="237" t="str">
        <f t="shared" si="28"/>
        <v/>
      </c>
      <c r="C63" s="439">
        <f t="shared" si="19"/>
        <v>0</v>
      </c>
      <c r="D63" s="439">
        <f t="shared" si="20"/>
        <v>0</v>
      </c>
      <c r="E63" s="439">
        <f t="shared" si="21"/>
        <v>0</v>
      </c>
      <c r="F63" s="439">
        <f t="shared" si="22"/>
        <v>0</v>
      </c>
      <c r="G63" s="236"/>
      <c r="H63" s="441">
        <f t="shared" si="23"/>
        <v>0</v>
      </c>
      <c r="I63" s="441" t="e">
        <f t="shared" si="24"/>
        <v>#VALUE!</v>
      </c>
      <c r="J63" s="441">
        <f t="shared" si="25"/>
        <v>0</v>
      </c>
      <c r="K63" s="441">
        <f t="shared" si="26"/>
        <v>0</v>
      </c>
      <c r="L63" s="633"/>
      <c r="M63" s="668" t="str">
        <f t="shared" si="15"/>
        <v/>
      </c>
      <c r="N63" s="441">
        <f t="shared" si="27"/>
        <v>0</v>
      </c>
      <c r="O63" s="441">
        <f t="shared" si="16"/>
        <v>0</v>
      </c>
      <c r="P63" s="441">
        <f t="shared" si="29"/>
        <v>0</v>
      </c>
      <c r="Q63" s="441">
        <f t="shared" si="29"/>
        <v>0</v>
      </c>
      <c r="R63" s="441">
        <f>IFERROR(IF(VerBer,IF($M63&lt;INT(R$5),0,IF($M63=INT(R$2),R$12,IF($M63&gt;INT(R$2),R$12*(1+R$9)^(IF($M63-R$5&lt;=0,0,$M63-IF(R$5&lt;R$2,R$2,R$5))),0))),0),0)</f>
        <v>0</v>
      </c>
      <c r="S63" s="212"/>
      <c r="U63" s="454">
        <f t="shared" si="17"/>
        <v>0</v>
      </c>
      <c r="V63" s="454">
        <f t="shared" si="13"/>
        <v>0</v>
      </c>
      <c r="W63" s="454">
        <f t="shared" si="14"/>
        <v>0</v>
      </c>
    </row>
    <row r="64" spans="1:23">
      <c r="A64" s="337"/>
      <c r="B64" s="237" t="str">
        <f t="shared" si="28"/>
        <v/>
      </c>
      <c r="C64" s="439">
        <f t="shared" si="19"/>
        <v>0</v>
      </c>
      <c r="D64" s="439">
        <f t="shared" si="20"/>
        <v>0</v>
      </c>
      <c r="E64" s="439">
        <f t="shared" si="21"/>
        <v>0</v>
      </c>
      <c r="F64" s="439">
        <f t="shared" si="22"/>
        <v>0</v>
      </c>
      <c r="G64" s="236"/>
      <c r="H64" s="440">
        <f t="shared" si="23"/>
        <v>0</v>
      </c>
      <c r="I64" s="440" t="e">
        <f t="shared" si="24"/>
        <v>#VALUE!</v>
      </c>
      <c r="J64" s="440">
        <f t="shared" si="25"/>
        <v>0</v>
      </c>
      <c r="K64" s="440">
        <f t="shared" si="26"/>
        <v>0</v>
      </c>
      <c r="L64" s="632"/>
      <c r="M64" s="666" t="str">
        <f t="shared" si="15"/>
        <v/>
      </c>
      <c r="N64" s="440">
        <f t="shared" si="27"/>
        <v>0</v>
      </c>
      <c r="O64" s="440">
        <f t="shared" si="16"/>
        <v>0</v>
      </c>
      <c r="P64" s="440">
        <f t="shared" si="29"/>
        <v>0</v>
      </c>
      <c r="Q64" s="440">
        <f t="shared" si="29"/>
        <v>0</v>
      </c>
      <c r="R64" s="440">
        <f>IFERROR(IF(VerBer,IF($M64&lt;INT(R$5),0,IF($M64=INT(R$2),R$12,IF($M64&gt;INT(R$2),R$12*(1+R$9)^(IF($M64-R$5&lt;=0,0,$M64-IF(R$5&lt;R$2,R$2,R$5))),0))),0),0)</f>
        <v>0</v>
      </c>
      <c r="S64" s="212"/>
      <c r="U64" s="454">
        <f t="shared" si="17"/>
        <v>0</v>
      </c>
      <c r="V64" s="454">
        <f t="shared" si="13"/>
        <v>0</v>
      </c>
      <c r="W64" s="454">
        <f t="shared" si="14"/>
        <v>0</v>
      </c>
    </row>
    <row r="65" spans="1:23">
      <c r="A65" s="337"/>
      <c r="B65" s="237" t="str">
        <f t="shared" si="28"/>
        <v/>
      </c>
      <c r="C65" s="439">
        <f t="shared" si="19"/>
        <v>0</v>
      </c>
      <c r="D65" s="439">
        <f t="shared" si="20"/>
        <v>0</v>
      </c>
      <c r="E65" s="439">
        <f t="shared" si="21"/>
        <v>0</v>
      </c>
      <c r="F65" s="439">
        <f t="shared" si="22"/>
        <v>0</v>
      </c>
      <c r="G65" s="236"/>
      <c r="H65" s="441">
        <f t="shared" si="23"/>
        <v>0</v>
      </c>
      <c r="I65" s="441" t="e">
        <f t="shared" si="24"/>
        <v>#VALUE!</v>
      </c>
      <c r="J65" s="441">
        <f t="shared" si="25"/>
        <v>0</v>
      </c>
      <c r="K65" s="441">
        <f t="shared" si="26"/>
        <v>0</v>
      </c>
      <c r="L65" s="633"/>
      <c r="M65" s="668" t="str">
        <f t="shared" si="15"/>
        <v/>
      </c>
      <c r="N65" s="441">
        <f t="shared" si="27"/>
        <v>0</v>
      </c>
      <c r="O65" s="441">
        <f t="shared" si="16"/>
        <v>0</v>
      </c>
      <c r="P65" s="441">
        <f t="shared" si="29"/>
        <v>0</v>
      </c>
      <c r="Q65" s="441">
        <f t="shared" si="29"/>
        <v>0</v>
      </c>
      <c r="R65" s="441">
        <f>IFERROR(IF(VerBer,IF($M65&lt;INT(R$5),0,IF($M65=INT(R$2),R$12,IF($M65&gt;INT(R$2),R$12*(1+R$9)^(IF($M65-R$5&lt;=0,0,$M65-IF(R$5&lt;R$2,R$2,R$5))),0))),0),0)</f>
        <v>0</v>
      </c>
      <c r="S65" s="212"/>
      <c r="U65" s="454">
        <f t="shared" si="17"/>
        <v>0</v>
      </c>
      <c r="V65" s="454">
        <f t="shared" si="13"/>
        <v>0</v>
      </c>
      <c r="W65" s="454">
        <f t="shared" si="14"/>
        <v>0</v>
      </c>
    </row>
    <row r="66" spans="1:23">
      <c r="A66" s="337"/>
      <c r="B66" s="237" t="str">
        <f t="shared" si="28"/>
        <v/>
      </c>
      <c r="C66" s="439">
        <f t="shared" si="19"/>
        <v>0</v>
      </c>
      <c r="D66" s="439">
        <f t="shared" si="20"/>
        <v>0</v>
      </c>
      <c r="E66" s="439">
        <f t="shared" si="21"/>
        <v>0</v>
      </c>
      <c r="F66" s="439">
        <f t="shared" si="22"/>
        <v>0</v>
      </c>
      <c r="G66" s="236"/>
      <c r="H66" s="440">
        <f t="shared" si="23"/>
        <v>0</v>
      </c>
      <c r="I66" s="440" t="e">
        <f t="shared" si="24"/>
        <v>#VALUE!</v>
      </c>
      <c r="J66" s="440">
        <f t="shared" si="25"/>
        <v>0</v>
      </c>
      <c r="K66" s="440">
        <f t="shared" si="26"/>
        <v>0</v>
      </c>
      <c r="L66" s="632"/>
      <c r="M66" s="666" t="str">
        <f t="shared" si="15"/>
        <v/>
      </c>
      <c r="N66" s="440">
        <f t="shared" si="27"/>
        <v>0</v>
      </c>
      <c r="O66" s="440">
        <f t="shared" si="16"/>
        <v>0</v>
      </c>
      <c r="P66" s="440">
        <f t="shared" si="29"/>
        <v>0</v>
      </c>
      <c r="Q66" s="440">
        <f t="shared" si="29"/>
        <v>0</v>
      </c>
      <c r="R66" s="440">
        <f>IFERROR(IF(VerBer,IF($M66&lt;INT(R$5),0,IF($M66=INT(R$2),R$12,IF($M66&gt;INT(R$2),R$12*(1+R$9)^(IF($M66-R$5&lt;=0,0,$M66-IF(R$5&lt;R$2,R$2,R$5))),0))),0),0)</f>
        <v>0</v>
      </c>
      <c r="S66" s="212"/>
      <c r="U66" s="454">
        <f t="shared" si="17"/>
        <v>0</v>
      </c>
      <c r="V66" s="454">
        <f t="shared" si="13"/>
        <v>0</v>
      </c>
      <c r="W66" s="454">
        <f t="shared" si="14"/>
        <v>0</v>
      </c>
    </row>
    <row r="67" spans="1:23">
      <c r="A67" s="337"/>
      <c r="B67" s="237" t="str">
        <f t="shared" si="28"/>
        <v/>
      </c>
      <c r="C67" s="439">
        <f t="shared" si="19"/>
        <v>0</v>
      </c>
      <c r="D67" s="439">
        <f t="shared" si="20"/>
        <v>0</v>
      </c>
      <c r="E67" s="439">
        <f t="shared" si="21"/>
        <v>0</v>
      </c>
      <c r="F67" s="439">
        <f t="shared" si="22"/>
        <v>0</v>
      </c>
      <c r="G67" s="236"/>
      <c r="H67" s="441">
        <f t="shared" si="23"/>
        <v>0</v>
      </c>
      <c r="I67" s="441" t="e">
        <f t="shared" si="24"/>
        <v>#VALUE!</v>
      </c>
      <c r="J67" s="441">
        <f t="shared" si="25"/>
        <v>0</v>
      </c>
      <c r="K67" s="441">
        <f t="shared" si="26"/>
        <v>0</v>
      </c>
      <c r="L67" s="633"/>
      <c r="M67" s="668" t="str">
        <f t="shared" si="15"/>
        <v/>
      </c>
      <c r="N67" s="441">
        <f t="shared" si="27"/>
        <v>0</v>
      </c>
      <c r="O67" s="441">
        <f t="shared" si="16"/>
        <v>0</v>
      </c>
      <c r="P67" s="441">
        <f t="shared" si="29"/>
        <v>0</v>
      </c>
      <c r="Q67" s="441">
        <f t="shared" si="29"/>
        <v>0</v>
      </c>
      <c r="R67" s="441">
        <f>IFERROR(IF(VerBer,IF($M67&lt;INT(R$5),0,IF($M67=INT(R$2),R$12,IF($M67&gt;INT(R$2),R$12*(1+R$9)^(IF($M67-R$5&lt;=0,0,$M67-IF(R$5&lt;R$2,R$2,R$5))),0))),0),0)</f>
        <v>0</v>
      </c>
      <c r="S67" s="212"/>
      <c r="U67" s="454">
        <f t="shared" si="17"/>
        <v>0</v>
      </c>
      <c r="V67" s="454">
        <f t="shared" si="13"/>
        <v>0</v>
      </c>
      <c r="W67" s="454">
        <f t="shared" si="14"/>
        <v>0</v>
      </c>
    </row>
    <row r="68" spans="1:23">
      <c r="A68" s="337"/>
      <c r="B68" s="237" t="str">
        <f t="shared" si="28"/>
        <v/>
      </c>
      <c r="C68" s="439">
        <f t="shared" si="19"/>
        <v>0</v>
      </c>
      <c r="D68" s="439">
        <f t="shared" si="20"/>
        <v>0</v>
      </c>
      <c r="E68" s="439">
        <f t="shared" si="21"/>
        <v>0</v>
      </c>
      <c r="F68" s="439">
        <f t="shared" si="22"/>
        <v>0</v>
      </c>
      <c r="G68" s="236"/>
      <c r="H68" s="440">
        <f t="shared" si="23"/>
        <v>0</v>
      </c>
      <c r="I68" s="440" t="e">
        <f t="shared" si="24"/>
        <v>#VALUE!</v>
      </c>
      <c r="J68" s="440">
        <f t="shared" si="25"/>
        <v>0</v>
      </c>
      <c r="K68" s="440">
        <f t="shared" si="26"/>
        <v>0</v>
      </c>
      <c r="L68" s="632"/>
      <c r="M68" s="666" t="str">
        <f t="shared" si="15"/>
        <v/>
      </c>
      <c r="N68" s="440">
        <f t="shared" si="27"/>
        <v>0</v>
      </c>
      <c r="O68" s="440">
        <f t="shared" si="16"/>
        <v>0</v>
      </c>
      <c r="P68" s="440">
        <f t="shared" si="29"/>
        <v>0</v>
      </c>
      <c r="Q68" s="440">
        <f t="shared" si="29"/>
        <v>0</v>
      </c>
      <c r="R68" s="440">
        <f>IFERROR(IF(VerBer,IF($M68&lt;INT(R$5),0,IF($M68=INT(R$2),R$12,IF($M68&gt;INT(R$2),R$12*(1+R$9)^(IF($M68-R$5&lt;=0,0,$M68-IF(R$5&lt;R$2,R$2,R$5))),0))),0),0)</f>
        <v>0</v>
      </c>
      <c r="S68" s="212"/>
      <c r="U68" s="454">
        <f t="shared" si="17"/>
        <v>0</v>
      </c>
      <c r="V68" s="454">
        <f t="shared" si="13"/>
        <v>0</v>
      </c>
      <c r="W68" s="454">
        <f t="shared" si="14"/>
        <v>0</v>
      </c>
    </row>
    <row r="69" spans="1:23">
      <c r="A69" s="337"/>
      <c r="B69" s="237" t="str">
        <f t="shared" si="28"/>
        <v/>
      </c>
      <c r="C69" s="439">
        <f t="shared" si="19"/>
        <v>0</v>
      </c>
      <c r="D69" s="439">
        <f t="shared" si="20"/>
        <v>0</v>
      </c>
      <c r="E69" s="439">
        <f t="shared" si="21"/>
        <v>0</v>
      </c>
      <c r="F69" s="439">
        <f t="shared" si="22"/>
        <v>0</v>
      </c>
      <c r="G69" s="236"/>
      <c r="H69" s="441">
        <f t="shared" si="23"/>
        <v>0</v>
      </c>
      <c r="I69" s="441" t="e">
        <f t="shared" si="24"/>
        <v>#VALUE!</v>
      </c>
      <c r="J69" s="441">
        <f t="shared" si="25"/>
        <v>0</v>
      </c>
      <c r="K69" s="441">
        <f t="shared" si="26"/>
        <v>0</v>
      </c>
      <c r="L69" s="633"/>
      <c r="M69" s="668" t="str">
        <f t="shared" si="15"/>
        <v/>
      </c>
      <c r="N69" s="441">
        <f t="shared" si="27"/>
        <v>0</v>
      </c>
      <c r="O69" s="441">
        <f t="shared" si="16"/>
        <v>0</v>
      </c>
      <c r="P69" s="441">
        <f t="shared" si="29"/>
        <v>0</v>
      </c>
      <c r="Q69" s="441">
        <f t="shared" si="29"/>
        <v>0</v>
      </c>
      <c r="R69" s="441">
        <f>IFERROR(IF(VerBer,IF($M69&lt;INT(R$5),0,IF($M69=INT(R$2),R$12,IF($M69&gt;INT(R$2),R$12*(1+R$9)^(IF($M69-R$5&lt;=0,0,$M69-IF(R$5&lt;R$2,R$2,R$5))),0))),0),0)</f>
        <v>0</v>
      </c>
      <c r="S69" s="212"/>
      <c r="U69" s="454">
        <f t="shared" si="17"/>
        <v>0</v>
      </c>
      <c r="V69" s="454">
        <f t="shared" si="13"/>
        <v>0</v>
      </c>
      <c r="W69" s="454">
        <f t="shared" si="14"/>
        <v>0</v>
      </c>
    </row>
    <row r="70" spans="1:23">
      <c r="A70" s="337"/>
      <c r="B70" s="237" t="str">
        <f t="shared" si="28"/>
        <v/>
      </c>
      <c r="C70" s="439">
        <f t="shared" si="19"/>
        <v>0</v>
      </c>
      <c r="D70" s="439">
        <f t="shared" si="20"/>
        <v>0</v>
      </c>
      <c r="E70" s="439">
        <f t="shared" si="21"/>
        <v>0</v>
      </c>
      <c r="F70" s="439">
        <f t="shared" si="22"/>
        <v>0</v>
      </c>
      <c r="G70" s="236"/>
      <c r="H70" s="440">
        <f t="shared" si="23"/>
        <v>0</v>
      </c>
      <c r="I70" s="440" t="e">
        <f t="shared" si="24"/>
        <v>#VALUE!</v>
      </c>
      <c r="J70" s="440">
        <f t="shared" si="25"/>
        <v>0</v>
      </c>
      <c r="K70" s="440">
        <f t="shared" si="26"/>
        <v>0</v>
      </c>
      <c r="L70" s="632"/>
      <c r="M70" s="666" t="str">
        <f t="shared" si="15"/>
        <v/>
      </c>
      <c r="N70" s="440">
        <f t="shared" si="27"/>
        <v>0</v>
      </c>
      <c r="O70" s="440">
        <f t="shared" si="16"/>
        <v>0</v>
      </c>
      <c r="P70" s="440">
        <f t="shared" si="29"/>
        <v>0</v>
      </c>
      <c r="Q70" s="440">
        <f t="shared" si="29"/>
        <v>0</v>
      </c>
      <c r="R70" s="440">
        <f>IFERROR(IF(VerBer,IF($M70&lt;INT(R$5),0,IF($M70=INT(R$2),R$12,IF($M70&gt;INT(R$2),R$12*(1+R$9)^(IF($M70-R$5&lt;=0,0,$M70-IF(R$5&lt;R$2,R$2,R$5))),0))),0),0)</f>
        <v>0</v>
      </c>
      <c r="S70" s="212"/>
      <c r="U70" s="454">
        <f t="shared" si="17"/>
        <v>0</v>
      </c>
      <c r="V70" s="454">
        <f t="shared" si="13"/>
        <v>0</v>
      </c>
      <c r="W70" s="454">
        <f t="shared" si="14"/>
        <v>0</v>
      </c>
    </row>
    <row r="71" spans="1:23">
      <c r="A71" s="337"/>
      <c r="B71" s="237" t="str">
        <f t="shared" si="28"/>
        <v/>
      </c>
      <c r="C71" s="439">
        <f t="shared" si="19"/>
        <v>0</v>
      </c>
      <c r="D71" s="439">
        <f t="shared" si="20"/>
        <v>0</v>
      </c>
      <c r="E71" s="439">
        <f t="shared" si="21"/>
        <v>0</v>
      </c>
      <c r="F71" s="439">
        <f t="shared" si="22"/>
        <v>0</v>
      </c>
      <c r="G71" s="236"/>
      <c r="H71" s="441">
        <f t="shared" si="23"/>
        <v>0</v>
      </c>
      <c r="I71" s="441" t="e">
        <f t="shared" si="24"/>
        <v>#VALUE!</v>
      </c>
      <c r="J71" s="441">
        <f t="shared" si="25"/>
        <v>0</v>
      </c>
      <c r="K71" s="441">
        <f t="shared" si="26"/>
        <v>0</v>
      </c>
      <c r="L71" s="633"/>
      <c r="M71" s="668" t="str">
        <f t="shared" si="15"/>
        <v/>
      </c>
      <c r="N71" s="441">
        <f t="shared" si="27"/>
        <v>0</v>
      </c>
      <c r="O71" s="441">
        <f t="shared" si="16"/>
        <v>0</v>
      </c>
      <c r="P71" s="440">
        <f t="shared" ref="P71:R93" si="30">IFERROR(IF($M71&lt;INT(P$5),0,IF($M71=INT(P$2),P$12,IF($M71&gt;INT(P$2),P$12*(1+P$9)^(IF($M71-P$5&lt;=0,0,$M71-IF(P$5&lt;P$2,P$2,P$5))),0))),0)</f>
        <v>0</v>
      </c>
      <c r="Q71" s="440">
        <f t="shared" si="30"/>
        <v>0</v>
      </c>
      <c r="R71" s="440">
        <f t="shared" si="30"/>
        <v>0</v>
      </c>
      <c r="S71" s="212"/>
      <c r="U71" s="454">
        <f t="shared" si="17"/>
        <v>0</v>
      </c>
      <c r="V71" s="454">
        <f t="shared" si="13"/>
        <v>0</v>
      </c>
      <c r="W71" s="454">
        <f t="shared" si="14"/>
        <v>0</v>
      </c>
    </row>
    <row r="72" spans="1:23">
      <c r="A72" s="337"/>
      <c r="B72" s="237" t="str">
        <f t="shared" si="28"/>
        <v/>
      </c>
      <c r="C72" s="439">
        <f t="shared" si="19"/>
        <v>0</v>
      </c>
      <c r="D72" s="439">
        <f t="shared" si="20"/>
        <v>0</v>
      </c>
      <c r="E72" s="439">
        <f t="shared" si="21"/>
        <v>0</v>
      </c>
      <c r="F72" s="439">
        <f t="shared" si="22"/>
        <v>0</v>
      </c>
      <c r="G72" s="236"/>
      <c r="H72" s="440">
        <f t="shared" si="23"/>
        <v>0</v>
      </c>
      <c r="I72" s="440" t="e">
        <f t="shared" si="24"/>
        <v>#VALUE!</v>
      </c>
      <c r="J72" s="440">
        <f t="shared" si="25"/>
        <v>0</v>
      </c>
      <c r="K72" s="440">
        <f t="shared" si="26"/>
        <v>0</v>
      </c>
      <c r="L72" s="632"/>
      <c r="M72" s="666" t="str">
        <f t="shared" si="15"/>
        <v/>
      </c>
      <c r="N72" s="440">
        <f t="shared" si="27"/>
        <v>0</v>
      </c>
      <c r="O72" s="440">
        <f t="shared" si="16"/>
        <v>0</v>
      </c>
      <c r="P72" s="440">
        <f t="shared" si="30"/>
        <v>0</v>
      </c>
      <c r="Q72" s="440">
        <f t="shared" si="30"/>
        <v>0</v>
      </c>
      <c r="R72" s="667">
        <f t="shared" si="30"/>
        <v>0</v>
      </c>
      <c r="S72" s="212"/>
      <c r="U72" s="454">
        <f t="shared" si="17"/>
        <v>0</v>
      </c>
      <c r="V72" s="454">
        <f t="shared" si="13"/>
        <v>0</v>
      </c>
      <c r="W72" s="454">
        <f t="shared" si="14"/>
        <v>0</v>
      </c>
    </row>
    <row r="73" spans="1:23">
      <c r="A73" s="337"/>
      <c r="B73" s="237" t="str">
        <f t="shared" si="28"/>
        <v/>
      </c>
      <c r="C73" s="439">
        <f t="shared" si="19"/>
        <v>0</v>
      </c>
      <c r="D73" s="439">
        <f t="shared" si="20"/>
        <v>0</v>
      </c>
      <c r="E73" s="439">
        <f t="shared" si="21"/>
        <v>0</v>
      </c>
      <c r="F73" s="439">
        <f t="shared" si="22"/>
        <v>0</v>
      </c>
      <c r="G73" s="236"/>
      <c r="H73" s="441">
        <f t="shared" si="23"/>
        <v>0</v>
      </c>
      <c r="I73" s="441" t="e">
        <f t="shared" si="24"/>
        <v>#VALUE!</v>
      </c>
      <c r="J73" s="441">
        <f t="shared" si="25"/>
        <v>0</v>
      </c>
      <c r="K73" s="441">
        <f t="shared" si="26"/>
        <v>0</v>
      </c>
      <c r="L73" s="633"/>
      <c r="M73" s="668" t="str">
        <f t="shared" si="15"/>
        <v/>
      </c>
      <c r="N73" s="441">
        <f t="shared" si="27"/>
        <v>0</v>
      </c>
      <c r="O73" s="441">
        <f t="shared" si="16"/>
        <v>0</v>
      </c>
      <c r="P73" s="441">
        <f t="shared" si="30"/>
        <v>0</v>
      </c>
      <c r="Q73" s="441">
        <f t="shared" si="30"/>
        <v>0</v>
      </c>
      <c r="R73" s="669">
        <f t="shared" si="30"/>
        <v>0</v>
      </c>
      <c r="S73" s="212"/>
      <c r="U73" s="454">
        <f t="shared" si="17"/>
        <v>0</v>
      </c>
      <c r="V73" s="454">
        <f t="shared" si="13"/>
        <v>0</v>
      </c>
      <c r="W73" s="454">
        <f t="shared" si="14"/>
        <v>0</v>
      </c>
    </row>
    <row r="74" spans="1:23">
      <c r="A74" s="337"/>
      <c r="B74" s="237" t="str">
        <f t="shared" si="28"/>
        <v/>
      </c>
      <c r="C74" s="439">
        <f t="shared" si="19"/>
        <v>0</v>
      </c>
      <c r="D74" s="439">
        <f t="shared" si="20"/>
        <v>0</v>
      </c>
      <c r="E74" s="439">
        <f t="shared" si="21"/>
        <v>0</v>
      </c>
      <c r="F74" s="439">
        <f t="shared" si="22"/>
        <v>0</v>
      </c>
      <c r="G74" s="236"/>
      <c r="H74" s="440">
        <f t="shared" si="23"/>
        <v>0</v>
      </c>
      <c r="I74" s="440" t="e">
        <f t="shared" si="24"/>
        <v>#VALUE!</v>
      </c>
      <c r="J74" s="440">
        <f t="shared" si="25"/>
        <v>0</v>
      </c>
      <c r="K74" s="440">
        <f t="shared" si="26"/>
        <v>0</v>
      </c>
      <c r="L74" s="632"/>
      <c r="M74" s="666" t="str">
        <f t="shared" si="15"/>
        <v/>
      </c>
      <c r="N74" s="440">
        <f t="shared" si="27"/>
        <v>0</v>
      </c>
      <c r="O74" s="440">
        <f t="shared" si="16"/>
        <v>0</v>
      </c>
      <c r="P74" s="440">
        <f t="shared" si="30"/>
        <v>0</v>
      </c>
      <c r="Q74" s="440">
        <f t="shared" si="30"/>
        <v>0</v>
      </c>
      <c r="R74" s="667">
        <f t="shared" si="30"/>
        <v>0</v>
      </c>
      <c r="S74" s="212"/>
      <c r="U74" s="454">
        <f t="shared" si="17"/>
        <v>0</v>
      </c>
      <c r="V74" s="454">
        <f t="shared" si="13"/>
        <v>0</v>
      </c>
      <c r="W74" s="454">
        <f t="shared" si="14"/>
        <v>0</v>
      </c>
    </row>
    <row r="75" spans="1:23">
      <c r="A75" s="337"/>
      <c r="B75" s="237" t="str">
        <f t="shared" si="28"/>
        <v/>
      </c>
      <c r="C75" s="439">
        <f t="shared" si="19"/>
        <v>0</v>
      </c>
      <c r="D75" s="439">
        <f t="shared" si="20"/>
        <v>0</v>
      </c>
      <c r="E75" s="439">
        <f t="shared" si="21"/>
        <v>0</v>
      </c>
      <c r="F75" s="439">
        <f t="shared" si="22"/>
        <v>0</v>
      </c>
      <c r="G75" s="236"/>
      <c r="H75" s="441">
        <f t="shared" si="23"/>
        <v>0</v>
      </c>
      <c r="I75" s="441" t="e">
        <f t="shared" si="24"/>
        <v>#VALUE!</v>
      </c>
      <c r="J75" s="441">
        <f t="shared" si="25"/>
        <v>0</v>
      </c>
      <c r="K75" s="441">
        <f t="shared" si="26"/>
        <v>0</v>
      </c>
      <c r="L75" s="633"/>
      <c r="M75" s="668" t="str">
        <f t="shared" si="15"/>
        <v/>
      </c>
      <c r="N75" s="441">
        <f t="shared" si="27"/>
        <v>0</v>
      </c>
      <c r="O75" s="441">
        <f t="shared" si="16"/>
        <v>0</v>
      </c>
      <c r="P75" s="441">
        <f t="shared" si="30"/>
        <v>0</v>
      </c>
      <c r="Q75" s="441">
        <f t="shared" si="30"/>
        <v>0</v>
      </c>
      <c r="R75" s="669">
        <f t="shared" si="30"/>
        <v>0</v>
      </c>
      <c r="S75" s="212"/>
      <c r="U75" s="454">
        <f t="shared" si="17"/>
        <v>0</v>
      </c>
      <c r="V75" s="454">
        <f t="shared" si="13"/>
        <v>0</v>
      </c>
      <c r="W75" s="454">
        <f t="shared" si="14"/>
        <v>0</v>
      </c>
    </row>
    <row r="76" spans="1:23">
      <c r="A76" s="337"/>
      <c r="B76" s="237" t="str">
        <f t="shared" si="28"/>
        <v/>
      </c>
      <c r="C76" s="439">
        <f t="shared" si="19"/>
        <v>0</v>
      </c>
      <c r="D76" s="439">
        <f t="shared" si="20"/>
        <v>0</v>
      </c>
      <c r="E76" s="439">
        <f t="shared" si="21"/>
        <v>0</v>
      </c>
      <c r="F76" s="439">
        <f t="shared" si="22"/>
        <v>0</v>
      </c>
      <c r="G76" s="236"/>
      <c r="H76" s="440">
        <f t="shared" si="23"/>
        <v>0</v>
      </c>
      <c r="I76" s="440" t="e">
        <f t="shared" si="24"/>
        <v>#VALUE!</v>
      </c>
      <c r="J76" s="440">
        <f t="shared" si="25"/>
        <v>0</v>
      </c>
      <c r="K76" s="440">
        <f t="shared" si="26"/>
        <v>0</v>
      </c>
      <c r="L76" s="632"/>
      <c r="M76" s="666" t="str">
        <f t="shared" si="15"/>
        <v/>
      </c>
      <c r="N76" s="440">
        <f t="shared" si="27"/>
        <v>0</v>
      </c>
      <c r="O76" s="440">
        <f t="shared" si="16"/>
        <v>0</v>
      </c>
      <c r="P76" s="440">
        <f t="shared" si="30"/>
        <v>0</v>
      </c>
      <c r="Q76" s="440">
        <f t="shared" si="30"/>
        <v>0</v>
      </c>
      <c r="R76" s="667">
        <f t="shared" si="30"/>
        <v>0</v>
      </c>
      <c r="S76" s="212"/>
      <c r="U76" s="454">
        <f t="shared" si="17"/>
        <v>0</v>
      </c>
      <c r="V76" s="454">
        <f t="shared" si="13"/>
        <v>0</v>
      </c>
      <c r="W76" s="454">
        <f t="shared" si="14"/>
        <v>0</v>
      </c>
    </row>
    <row r="77" spans="1:23">
      <c r="A77" s="337"/>
      <c r="B77" s="237" t="str">
        <f t="shared" si="28"/>
        <v/>
      </c>
      <c r="C77" s="439">
        <f t="shared" si="19"/>
        <v>0</v>
      </c>
      <c r="D77" s="439">
        <f t="shared" si="20"/>
        <v>0</v>
      </c>
      <c r="E77" s="439">
        <f t="shared" si="21"/>
        <v>0</v>
      </c>
      <c r="F77" s="439">
        <f t="shared" si="22"/>
        <v>0</v>
      </c>
      <c r="G77" s="236"/>
      <c r="H77" s="441">
        <f t="shared" si="23"/>
        <v>0</v>
      </c>
      <c r="I77" s="441" t="e">
        <f t="shared" si="24"/>
        <v>#VALUE!</v>
      </c>
      <c r="J77" s="441">
        <f t="shared" si="25"/>
        <v>0</v>
      </c>
      <c r="K77" s="441">
        <f t="shared" si="26"/>
        <v>0</v>
      </c>
      <c r="L77" s="633"/>
      <c r="M77" s="668" t="str">
        <f t="shared" si="15"/>
        <v/>
      </c>
      <c r="N77" s="441">
        <f t="shared" si="27"/>
        <v>0</v>
      </c>
      <c r="O77" s="441">
        <f t="shared" si="16"/>
        <v>0</v>
      </c>
      <c r="P77" s="441">
        <f t="shared" si="30"/>
        <v>0</v>
      </c>
      <c r="Q77" s="441">
        <f t="shared" si="30"/>
        <v>0</v>
      </c>
      <c r="R77" s="669">
        <f t="shared" si="30"/>
        <v>0</v>
      </c>
      <c r="S77" s="212"/>
      <c r="U77" s="454">
        <f t="shared" si="17"/>
        <v>0</v>
      </c>
      <c r="V77" s="454">
        <f t="shared" si="13"/>
        <v>0</v>
      </c>
      <c r="W77" s="454">
        <f t="shared" si="14"/>
        <v>0</v>
      </c>
    </row>
    <row r="78" spans="1:23">
      <c r="A78" s="337"/>
      <c r="B78" s="237" t="str">
        <f t="shared" si="28"/>
        <v/>
      </c>
      <c r="C78" s="439">
        <f t="shared" si="19"/>
        <v>0</v>
      </c>
      <c r="D78" s="439">
        <f t="shared" si="20"/>
        <v>0</v>
      </c>
      <c r="E78" s="439">
        <f t="shared" si="21"/>
        <v>0</v>
      </c>
      <c r="F78" s="439">
        <f t="shared" si="22"/>
        <v>0</v>
      </c>
      <c r="G78" s="236"/>
      <c r="H78" s="440">
        <f t="shared" si="23"/>
        <v>0</v>
      </c>
      <c r="I78" s="440" t="e">
        <f t="shared" si="24"/>
        <v>#VALUE!</v>
      </c>
      <c r="J78" s="440">
        <f t="shared" si="25"/>
        <v>0</v>
      </c>
      <c r="K78" s="440">
        <f t="shared" si="26"/>
        <v>0</v>
      </c>
      <c r="L78" s="632"/>
      <c r="M78" s="666" t="str">
        <f t="shared" si="15"/>
        <v/>
      </c>
      <c r="N78" s="440">
        <f t="shared" si="27"/>
        <v>0</v>
      </c>
      <c r="O78" s="440">
        <f t="shared" si="16"/>
        <v>0</v>
      </c>
      <c r="P78" s="440">
        <f t="shared" si="30"/>
        <v>0</v>
      </c>
      <c r="Q78" s="440">
        <f t="shared" si="30"/>
        <v>0</v>
      </c>
      <c r="R78" s="667">
        <f t="shared" si="30"/>
        <v>0</v>
      </c>
      <c r="S78" s="212"/>
      <c r="U78" s="454">
        <f t="shared" si="17"/>
        <v>0</v>
      </c>
      <c r="V78" s="454">
        <f t="shared" si="13"/>
        <v>0</v>
      </c>
      <c r="W78" s="454">
        <f t="shared" si="14"/>
        <v>0</v>
      </c>
    </row>
    <row r="79" spans="1:23">
      <c r="A79" s="337"/>
      <c r="B79" s="237" t="str">
        <f t="shared" si="28"/>
        <v/>
      </c>
      <c r="C79" s="439">
        <f t="shared" si="19"/>
        <v>0</v>
      </c>
      <c r="D79" s="439">
        <f t="shared" si="20"/>
        <v>0</v>
      </c>
      <c r="E79" s="439">
        <f t="shared" si="21"/>
        <v>0</v>
      </c>
      <c r="F79" s="439">
        <f t="shared" si="22"/>
        <v>0</v>
      </c>
      <c r="G79" s="236"/>
      <c r="H79" s="441">
        <f t="shared" si="23"/>
        <v>0</v>
      </c>
      <c r="I79" s="441" t="e">
        <f t="shared" si="24"/>
        <v>#VALUE!</v>
      </c>
      <c r="J79" s="441">
        <f t="shared" si="25"/>
        <v>0</v>
      </c>
      <c r="K79" s="441">
        <f t="shared" si="26"/>
        <v>0</v>
      </c>
      <c r="L79" s="633"/>
      <c r="M79" s="668" t="str">
        <f t="shared" si="15"/>
        <v/>
      </c>
      <c r="N79" s="441">
        <f t="shared" si="27"/>
        <v>0</v>
      </c>
      <c r="O79" s="441">
        <f t="shared" si="16"/>
        <v>0</v>
      </c>
      <c r="P79" s="441">
        <f t="shared" si="30"/>
        <v>0</v>
      </c>
      <c r="Q79" s="441">
        <f t="shared" si="30"/>
        <v>0</v>
      </c>
      <c r="R79" s="669">
        <f t="shared" si="30"/>
        <v>0</v>
      </c>
      <c r="S79" s="212"/>
      <c r="U79" s="454">
        <f t="shared" si="17"/>
        <v>0</v>
      </c>
      <c r="V79" s="454">
        <f t="shared" si="13"/>
        <v>0</v>
      </c>
      <c r="W79" s="454">
        <f t="shared" si="14"/>
        <v>0</v>
      </c>
    </row>
    <row r="80" spans="1:23">
      <c r="A80" s="337"/>
      <c r="B80" s="237" t="str">
        <f t="shared" si="28"/>
        <v/>
      </c>
      <c r="C80" s="439">
        <f t="shared" si="19"/>
        <v>0</v>
      </c>
      <c r="D80" s="439">
        <f t="shared" si="20"/>
        <v>0</v>
      </c>
      <c r="E80" s="439">
        <f t="shared" si="21"/>
        <v>0</v>
      </c>
      <c r="F80" s="439">
        <f t="shared" si="22"/>
        <v>0</v>
      </c>
      <c r="G80" s="236"/>
      <c r="H80" s="440">
        <f t="shared" si="23"/>
        <v>0</v>
      </c>
      <c r="I80" s="440" t="e">
        <f t="shared" si="24"/>
        <v>#VALUE!</v>
      </c>
      <c r="J80" s="440">
        <f t="shared" si="25"/>
        <v>0</v>
      </c>
      <c r="K80" s="440">
        <f t="shared" si="26"/>
        <v>0</v>
      </c>
      <c r="L80" s="632"/>
      <c r="M80" s="666" t="str">
        <f t="shared" si="15"/>
        <v/>
      </c>
      <c r="N80" s="440">
        <f t="shared" si="27"/>
        <v>0</v>
      </c>
      <c r="O80" s="440">
        <f t="shared" si="16"/>
        <v>0</v>
      </c>
      <c r="P80" s="440">
        <f t="shared" si="30"/>
        <v>0</v>
      </c>
      <c r="Q80" s="440">
        <f t="shared" si="30"/>
        <v>0</v>
      </c>
      <c r="R80" s="667">
        <f t="shared" si="30"/>
        <v>0</v>
      </c>
      <c r="S80" s="212"/>
      <c r="U80" s="454">
        <f t="shared" si="17"/>
        <v>0</v>
      </c>
      <c r="V80" s="454">
        <f t="shared" si="13"/>
        <v>0</v>
      </c>
      <c r="W80" s="454">
        <f t="shared" si="14"/>
        <v>0</v>
      </c>
    </row>
    <row r="81" spans="1:23">
      <c r="A81" s="337"/>
      <c r="B81" s="237" t="str">
        <f t="shared" si="28"/>
        <v/>
      </c>
      <c r="C81" s="439">
        <f t="shared" si="19"/>
        <v>0</v>
      </c>
      <c r="D81" s="439">
        <f t="shared" si="20"/>
        <v>0</v>
      </c>
      <c r="E81" s="439">
        <f t="shared" si="21"/>
        <v>0</v>
      </c>
      <c r="F81" s="439">
        <f t="shared" si="22"/>
        <v>0</v>
      </c>
      <c r="G81" s="236"/>
      <c r="H81" s="441">
        <f t="shared" si="23"/>
        <v>0</v>
      </c>
      <c r="I81" s="441" t="e">
        <f t="shared" si="24"/>
        <v>#VALUE!</v>
      </c>
      <c r="J81" s="441">
        <f t="shared" si="25"/>
        <v>0</v>
      </c>
      <c r="K81" s="441">
        <f t="shared" si="26"/>
        <v>0</v>
      </c>
      <c r="L81" s="633"/>
      <c r="M81" s="668" t="str">
        <f t="shared" si="15"/>
        <v/>
      </c>
      <c r="N81" s="441">
        <f t="shared" si="27"/>
        <v>0</v>
      </c>
      <c r="O81" s="441">
        <f t="shared" si="16"/>
        <v>0</v>
      </c>
      <c r="P81" s="441">
        <f t="shared" si="30"/>
        <v>0</v>
      </c>
      <c r="Q81" s="441">
        <f t="shared" si="30"/>
        <v>0</v>
      </c>
      <c r="R81" s="669">
        <f t="shared" si="30"/>
        <v>0</v>
      </c>
      <c r="S81" s="212"/>
      <c r="U81" s="454">
        <f t="shared" si="17"/>
        <v>0</v>
      </c>
      <c r="V81" s="454">
        <f t="shared" si="13"/>
        <v>0</v>
      </c>
      <c r="W81" s="454">
        <f t="shared" si="14"/>
        <v>0</v>
      </c>
    </row>
    <row r="82" spans="1:23">
      <c r="A82" s="337"/>
      <c r="B82" s="237" t="str">
        <f t="shared" si="28"/>
        <v/>
      </c>
      <c r="C82" s="439">
        <f t="shared" ref="C82:C94" si="31">IFERROR(IF(QuellVersrg,IF($B82&lt;INT(H$5),0,IF($B82=INT(H$2),H$12,IF($B82&gt;INT(H$2),H$12*(1+H$9)^(IF($B82-H$5&lt;=0,0,$B82-IF(H$5&lt;H$2,H$2,H$5))),0))),0),0)</f>
        <v>0</v>
      </c>
      <c r="D82" s="439">
        <f t="shared" ref="D82:D93" si="32">IFERROR(IF(DRVPfl,IF($B82&lt;INT(I$5),0,IF($B82=INT(I$2),I$12,IF($B82&gt;INT(I$2),I$12*(1+I$9)^(IF($B82-I$5&lt;=0,0,$B82-IF(I$5&lt;I$2,I$2,I$5))),0))),0),0)</f>
        <v>0</v>
      </c>
      <c r="E82" s="439">
        <f t="shared" ref="E82:E93" si="33">IFERROR(IF(VersAusglKPfl,IF($B82&lt;INT(J$5),0,IF($B82=INT(J$2),J$12,IF($B82&gt;INT(J$2),J$12*(1+J$9)^(IF($B82-J$5&lt;=0,0,$B82-IF(J$5&lt;J$2,J$2,J$5))),0))),0),0)</f>
        <v>0</v>
      </c>
      <c r="F82" s="439">
        <f t="shared" ref="F82:F93" si="34">IFERROR(IF(SonstPfl,IF($B82&lt;INT(K$5),0,IF($B82=INT(K$2),K$12,IF($B82&gt;INT(K$2),K$12*(1+K$9)^(IF($B82-K$5&lt;=0,0,$B82-IF(K$5&lt;K$2,K$2,K$5))),0))),0),0)</f>
        <v>0</v>
      </c>
      <c r="G82" s="236"/>
      <c r="H82" s="440">
        <f t="shared" ref="H82:H93" si="35">C82*12*IF(AND(INT(H$5)=B82,H$5&gt;INT(H$5)),1-(H$5-INT(H$5)),1)</f>
        <v>0</v>
      </c>
      <c r="I82" s="440" t="e">
        <f t="shared" ref="I82:I93" si="36">D82*12*IF(AND(INT(I$5)=$B82,I$5&gt;INT(I$5)),1-(I$5-INT(I$5)),1)</f>
        <v>#VALUE!</v>
      </c>
      <c r="J82" s="440">
        <f t="shared" ref="J82:J93" si="37">E82*12*IF(AND(INT(J$5)=$B82,J$5&gt;INT(J$5)),1-(J$5-INT(J$5)),1)</f>
        <v>0</v>
      </c>
      <c r="K82" s="440">
        <f t="shared" ref="K82:K93" si="38">F82*12*IF(AND(INT(K$5)=$B82,K$5&gt;INT(K$5)),1-(K$5-INT(K$5)),1)</f>
        <v>0</v>
      </c>
      <c r="L82" s="632"/>
      <c r="M82" s="666" t="str">
        <f t="shared" si="15"/>
        <v/>
      </c>
      <c r="N82" s="440">
        <f t="shared" ref="N82:N93" si="39">IFERROR(IF(AND(VersBer,DRVAusglBerJa),IF($M82&lt;INT(O$5),0,IF($M82=INT(O$2),O$12,IF($M82&gt;INT(O$2),O$12*(1+O$9)^(IF($M82-O$5&lt;=0,0,$M82-IF(O$5&lt;O$2,O$2,O$5))),0))),0),0)</f>
        <v>0</v>
      </c>
      <c r="O82" s="440">
        <f t="shared" si="16"/>
        <v>0</v>
      </c>
      <c r="P82" s="440">
        <f t="shared" si="30"/>
        <v>0</v>
      </c>
      <c r="Q82" s="440">
        <f t="shared" si="30"/>
        <v>0</v>
      </c>
      <c r="R82" s="667">
        <f t="shared" si="30"/>
        <v>0</v>
      </c>
      <c r="S82" s="212"/>
      <c r="U82" s="454">
        <f t="shared" si="17"/>
        <v>0</v>
      </c>
      <c r="V82" s="454">
        <f t="shared" si="13"/>
        <v>0</v>
      </c>
      <c r="W82" s="454">
        <f t="shared" si="14"/>
        <v>0</v>
      </c>
    </row>
    <row r="83" spans="1:23">
      <c r="A83" s="337"/>
      <c r="B83" s="237" t="str">
        <f t="shared" ref="B83:B94" si="40">IFERROR(IF(B82+1&lt;IF(Endalter=0,EndalterDRV,Endalter),B82+1,""),"")</f>
        <v/>
      </c>
      <c r="C83" s="439">
        <f t="shared" si="31"/>
        <v>0</v>
      </c>
      <c r="D83" s="439">
        <f t="shared" si="32"/>
        <v>0</v>
      </c>
      <c r="E83" s="439">
        <f t="shared" si="33"/>
        <v>0</v>
      </c>
      <c r="F83" s="439">
        <f t="shared" si="34"/>
        <v>0</v>
      </c>
      <c r="G83" s="236"/>
      <c r="H83" s="441">
        <f t="shared" si="35"/>
        <v>0</v>
      </c>
      <c r="I83" s="441" t="e">
        <f t="shared" si="36"/>
        <v>#VALUE!</v>
      </c>
      <c r="J83" s="441">
        <f t="shared" si="37"/>
        <v>0</v>
      </c>
      <c r="K83" s="441">
        <f t="shared" si="38"/>
        <v>0</v>
      </c>
      <c r="L83" s="633"/>
      <c r="M83" s="668" t="str">
        <f t="shared" si="15"/>
        <v/>
      </c>
      <c r="N83" s="441">
        <f t="shared" si="39"/>
        <v>0</v>
      </c>
      <c r="O83" s="441">
        <f t="shared" si="16"/>
        <v>0</v>
      </c>
      <c r="P83" s="441">
        <f t="shared" si="30"/>
        <v>0</v>
      </c>
      <c r="Q83" s="441">
        <f t="shared" si="30"/>
        <v>0</v>
      </c>
      <c r="R83" s="669">
        <f t="shared" si="30"/>
        <v>0</v>
      </c>
      <c r="S83" s="212"/>
      <c r="U83" s="454">
        <f t="shared" si="17"/>
        <v>0</v>
      </c>
      <c r="V83" s="454">
        <f t="shared" ref="V83:V93" si="41">+Q83*12*IF(AND(INT(Q$5)=$M83,Q$5&gt;INT(Q$5)),1-(Q$5-INT(Q$5)),1)</f>
        <v>0</v>
      </c>
      <c r="W83" s="454">
        <f t="shared" ref="W83:W93" si="42">+R83*12*IF(AND(INT(R$5)=$M83,R$5&gt;INT(R$5)),1-(R$5-INT(R$5)),1)</f>
        <v>0</v>
      </c>
    </row>
    <row r="84" spans="1:23">
      <c r="A84" s="337"/>
      <c r="B84" s="237" t="str">
        <f t="shared" si="40"/>
        <v/>
      </c>
      <c r="C84" s="439">
        <f t="shared" si="31"/>
        <v>0</v>
      </c>
      <c r="D84" s="439">
        <f t="shared" si="32"/>
        <v>0</v>
      </c>
      <c r="E84" s="439">
        <f t="shared" si="33"/>
        <v>0</v>
      </c>
      <c r="F84" s="439">
        <f t="shared" si="34"/>
        <v>0</v>
      </c>
      <c r="G84" s="236"/>
      <c r="H84" s="440">
        <f t="shared" si="35"/>
        <v>0</v>
      </c>
      <c r="I84" s="440" t="e">
        <f t="shared" si="36"/>
        <v>#VALUE!</v>
      </c>
      <c r="J84" s="440">
        <f t="shared" si="37"/>
        <v>0</v>
      </c>
      <c r="K84" s="440">
        <f t="shared" si="38"/>
        <v>0</v>
      </c>
      <c r="L84" s="632"/>
      <c r="M84" s="666" t="str">
        <f t="shared" ref="M84:M93" si="43">IFERROR(IF(M83+1&lt;O$3,M83+1,""),"")</f>
        <v/>
      </c>
      <c r="N84" s="440">
        <f t="shared" si="39"/>
        <v>0</v>
      </c>
      <c r="O84" s="440">
        <f t="shared" si="16"/>
        <v>0</v>
      </c>
      <c r="P84" s="440">
        <f t="shared" si="30"/>
        <v>0</v>
      </c>
      <c r="Q84" s="440">
        <f t="shared" si="30"/>
        <v>0</v>
      </c>
      <c r="R84" s="667">
        <f t="shared" si="30"/>
        <v>0</v>
      </c>
      <c r="S84" s="212"/>
      <c r="U84" s="454">
        <f t="shared" si="17"/>
        <v>0</v>
      </c>
      <c r="V84" s="454">
        <f t="shared" si="41"/>
        <v>0</v>
      </c>
      <c r="W84" s="454">
        <f t="shared" si="42"/>
        <v>0</v>
      </c>
    </row>
    <row r="85" spans="1:23">
      <c r="A85" s="337"/>
      <c r="B85" s="237" t="str">
        <f t="shared" si="40"/>
        <v/>
      </c>
      <c r="C85" s="439">
        <f t="shared" si="31"/>
        <v>0</v>
      </c>
      <c r="D85" s="439">
        <f t="shared" si="32"/>
        <v>0</v>
      </c>
      <c r="E85" s="439">
        <f t="shared" si="33"/>
        <v>0</v>
      </c>
      <c r="F85" s="439">
        <f t="shared" si="34"/>
        <v>0</v>
      </c>
      <c r="G85" s="236"/>
      <c r="H85" s="441">
        <f t="shared" si="35"/>
        <v>0</v>
      </c>
      <c r="I85" s="441" t="e">
        <f t="shared" si="36"/>
        <v>#VALUE!</v>
      </c>
      <c r="J85" s="441">
        <f t="shared" si="37"/>
        <v>0</v>
      </c>
      <c r="K85" s="441">
        <f t="shared" si="38"/>
        <v>0</v>
      </c>
      <c r="L85" s="633"/>
      <c r="M85" s="668" t="str">
        <f t="shared" si="43"/>
        <v/>
      </c>
      <c r="N85" s="441">
        <f t="shared" si="39"/>
        <v>0</v>
      </c>
      <c r="O85" s="441">
        <f t="shared" si="16"/>
        <v>0</v>
      </c>
      <c r="P85" s="441">
        <f t="shared" si="30"/>
        <v>0</v>
      </c>
      <c r="Q85" s="441">
        <f t="shared" si="30"/>
        <v>0</v>
      </c>
      <c r="R85" s="669">
        <f t="shared" si="30"/>
        <v>0</v>
      </c>
      <c r="S85" s="212"/>
      <c r="U85" s="454">
        <f t="shared" si="17"/>
        <v>0</v>
      </c>
      <c r="V85" s="454">
        <f t="shared" si="41"/>
        <v>0</v>
      </c>
      <c r="W85" s="454">
        <f t="shared" si="42"/>
        <v>0</v>
      </c>
    </row>
    <row r="86" spans="1:23">
      <c r="A86" s="337"/>
      <c r="B86" s="237" t="str">
        <f t="shared" si="40"/>
        <v/>
      </c>
      <c r="C86" s="439">
        <f t="shared" si="31"/>
        <v>0</v>
      </c>
      <c r="D86" s="439">
        <f t="shared" si="32"/>
        <v>0</v>
      </c>
      <c r="E86" s="439">
        <f t="shared" si="33"/>
        <v>0</v>
      </c>
      <c r="F86" s="439">
        <f t="shared" si="34"/>
        <v>0</v>
      </c>
      <c r="G86" s="236"/>
      <c r="H86" s="440">
        <f t="shared" si="35"/>
        <v>0</v>
      </c>
      <c r="I86" s="440" t="e">
        <f t="shared" si="36"/>
        <v>#VALUE!</v>
      </c>
      <c r="J86" s="440">
        <f t="shared" si="37"/>
        <v>0</v>
      </c>
      <c r="K86" s="440">
        <f t="shared" si="38"/>
        <v>0</v>
      </c>
      <c r="L86" s="632"/>
      <c r="M86" s="666" t="str">
        <f t="shared" si="43"/>
        <v/>
      </c>
      <c r="N86" s="440">
        <f t="shared" si="39"/>
        <v>0</v>
      </c>
      <c r="O86" s="440">
        <f t="shared" si="16"/>
        <v>0</v>
      </c>
      <c r="P86" s="440">
        <f t="shared" si="30"/>
        <v>0</v>
      </c>
      <c r="Q86" s="440">
        <f t="shared" si="30"/>
        <v>0</v>
      </c>
      <c r="R86" s="667">
        <f t="shared" si="30"/>
        <v>0</v>
      </c>
      <c r="S86" s="212"/>
      <c r="U86" s="454">
        <f t="shared" si="17"/>
        <v>0</v>
      </c>
      <c r="V86" s="454">
        <f t="shared" si="41"/>
        <v>0</v>
      </c>
      <c r="W86" s="454">
        <f t="shared" si="42"/>
        <v>0</v>
      </c>
    </row>
    <row r="87" spans="1:23">
      <c r="A87" s="337"/>
      <c r="B87" s="237" t="str">
        <f t="shared" si="40"/>
        <v/>
      </c>
      <c r="C87" s="439">
        <f t="shared" si="31"/>
        <v>0</v>
      </c>
      <c r="D87" s="439">
        <f t="shared" si="32"/>
        <v>0</v>
      </c>
      <c r="E87" s="439">
        <f t="shared" si="33"/>
        <v>0</v>
      </c>
      <c r="F87" s="439">
        <f t="shared" si="34"/>
        <v>0</v>
      </c>
      <c r="G87" s="236"/>
      <c r="H87" s="441">
        <f t="shared" si="35"/>
        <v>0</v>
      </c>
      <c r="I87" s="441" t="e">
        <f t="shared" si="36"/>
        <v>#VALUE!</v>
      </c>
      <c r="J87" s="441">
        <f t="shared" si="37"/>
        <v>0</v>
      </c>
      <c r="K87" s="441">
        <f t="shared" si="38"/>
        <v>0</v>
      </c>
      <c r="L87" s="633"/>
      <c r="M87" s="668" t="str">
        <f t="shared" si="43"/>
        <v/>
      </c>
      <c r="N87" s="441">
        <f t="shared" si="39"/>
        <v>0</v>
      </c>
      <c r="O87" s="441">
        <f t="shared" si="16"/>
        <v>0</v>
      </c>
      <c r="P87" s="441">
        <f t="shared" si="30"/>
        <v>0</v>
      </c>
      <c r="Q87" s="441">
        <f t="shared" si="30"/>
        <v>0</v>
      </c>
      <c r="R87" s="669">
        <f t="shared" si="30"/>
        <v>0</v>
      </c>
      <c r="S87" s="212"/>
      <c r="U87" s="454">
        <f t="shared" si="17"/>
        <v>0</v>
      </c>
      <c r="V87" s="454">
        <f t="shared" si="41"/>
        <v>0</v>
      </c>
      <c r="W87" s="454">
        <f t="shared" si="42"/>
        <v>0</v>
      </c>
    </row>
    <row r="88" spans="1:23">
      <c r="A88" s="337"/>
      <c r="B88" s="237" t="str">
        <f t="shared" si="40"/>
        <v/>
      </c>
      <c r="C88" s="439">
        <f t="shared" si="31"/>
        <v>0</v>
      </c>
      <c r="D88" s="439">
        <f t="shared" si="32"/>
        <v>0</v>
      </c>
      <c r="E88" s="439">
        <f t="shared" si="33"/>
        <v>0</v>
      </c>
      <c r="F88" s="439">
        <f t="shared" si="34"/>
        <v>0</v>
      </c>
      <c r="G88" s="236"/>
      <c r="H88" s="440">
        <f t="shared" si="35"/>
        <v>0</v>
      </c>
      <c r="I88" s="440" t="e">
        <f t="shared" si="36"/>
        <v>#VALUE!</v>
      </c>
      <c r="J88" s="440">
        <f t="shared" si="37"/>
        <v>0</v>
      </c>
      <c r="K88" s="440">
        <f t="shared" si="38"/>
        <v>0</v>
      </c>
      <c r="L88" s="632"/>
      <c r="M88" s="666" t="str">
        <f t="shared" si="43"/>
        <v/>
      </c>
      <c r="N88" s="440">
        <f t="shared" si="39"/>
        <v>0</v>
      </c>
      <c r="O88" s="440">
        <f t="shared" si="16"/>
        <v>0</v>
      </c>
      <c r="P88" s="440">
        <f t="shared" si="30"/>
        <v>0</v>
      </c>
      <c r="Q88" s="440">
        <f t="shared" si="30"/>
        <v>0</v>
      </c>
      <c r="R88" s="667">
        <f t="shared" si="30"/>
        <v>0</v>
      </c>
      <c r="S88" s="212"/>
      <c r="U88" s="454">
        <f t="shared" si="17"/>
        <v>0</v>
      </c>
      <c r="V88" s="454">
        <f t="shared" si="41"/>
        <v>0</v>
      </c>
      <c r="W88" s="454">
        <f t="shared" si="42"/>
        <v>0</v>
      </c>
    </row>
    <row r="89" spans="1:23">
      <c r="A89" s="337"/>
      <c r="B89" s="237" t="str">
        <f t="shared" si="40"/>
        <v/>
      </c>
      <c r="C89" s="439">
        <f t="shared" si="31"/>
        <v>0</v>
      </c>
      <c r="D89" s="439">
        <f t="shared" si="32"/>
        <v>0</v>
      </c>
      <c r="E89" s="439">
        <f t="shared" si="33"/>
        <v>0</v>
      </c>
      <c r="F89" s="439">
        <f t="shared" si="34"/>
        <v>0</v>
      </c>
      <c r="G89" s="236"/>
      <c r="H89" s="441">
        <f t="shared" si="35"/>
        <v>0</v>
      </c>
      <c r="I89" s="441" t="e">
        <f t="shared" si="36"/>
        <v>#VALUE!</v>
      </c>
      <c r="J89" s="441">
        <f t="shared" si="37"/>
        <v>0</v>
      </c>
      <c r="K89" s="441">
        <f t="shared" si="38"/>
        <v>0</v>
      </c>
      <c r="L89" s="633"/>
      <c r="M89" s="668" t="str">
        <f t="shared" si="43"/>
        <v/>
      </c>
      <c r="N89" s="441">
        <f t="shared" si="39"/>
        <v>0</v>
      </c>
      <c r="O89" s="441">
        <f t="shared" si="16"/>
        <v>0</v>
      </c>
      <c r="P89" s="441">
        <f t="shared" si="30"/>
        <v>0</v>
      </c>
      <c r="Q89" s="441">
        <f t="shared" si="30"/>
        <v>0</v>
      </c>
      <c r="R89" s="669">
        <f t="shared" si="30"/>
        <v>0</v>
      </c>
      <c r="S89" s="212"/>
      <c r="U89" s="454">
        <f t="shared" si="17"/>
        <v>0</v>
      </c>
      <c r="V89" s="454">
        <f t="shared" si="41"/>
        <v>0</v>
      </c>
      <c r="W89" s="454">
        <f t="shared" si="42"/>
        <v>0</v>
      </c>
    </row>
    <row r="90" spans="1:23">
      <c r="A90" s="337"/>
      <c r="B90" s="237" t="str">
        <f t="shared" si="40"/>
        <v/>
      </c>
      <c r="C90" s="439">
        <f t="shared" si="31"/>
        <v>0</v>
      </c>
      <c r="D90" s="439">
        <f t="shared" si="32"/>
        <v>0</v>
      </c>
      <c r="E90" s="439">
        <f t="shared" si="33"/>
        <v>0</v>
      </c>
      <c r="F90" s="439">
        <f t="shared" si="34"/>
        <v>0</v>
      </c>
      <c r="G90" s="236"/>
      <c r="H90" s="440">
        <f t="shared" si="35"/>
        <v>0</v>
      </c>
      <c r="I90" s="440" t="e">
        <f t="shared" si="36"/>
        <v>#VALUE!</v>
      </c>
      <c r="J90" s="440">
        <f t="shared" si="37"/>
        <v>0</v>
      </c>
      <c r="K90" s="440">
        <f t="shared" si="38"/>
        <v>0</v>
      </c>
      <c r="L90" s="632"/>
      <c r="M90" s="666" t="str">
        <f t="shared" si="43"/>
        <v/>
      </c>
      <c r="N90" s="440">
        <f t="shared" si="39"/>
        <v>0</v>
      </c>
      <c r="O90" s="440">
        <f t="shared" si="16"/>
        <v>0</v>
      </c>
      <c r="P90" s="440">
        <f t="shared" si="30"/>
        <v>0</v>
      </c>
      <c r="Q90" s="440">
        <f t="shared" si="30"/>
        <v>0</v>
      </c>
      <c r="R90" s="667">
        <f t="shared" si="30"/>
        <v>0</v>
      </c>
      <c r="S90" s="212"/>
      <c r="U90" s="454">
        <f t="shared" si="17"/>
        <v>0</v>
      </c>
      <c r="V90" s="454">
        <f t="shared" si="41"/>
        <v>0</v>
      </c>
      <c r="W90" s="454">
        <f t="shared" si="42"/>
        <v>0</v>
      </c>
    </row>
    <row r="91" spans="1:23">
      <c r="A91" s="337"/>
      <c r="B91" s="237" t="str">
        <f t="shared" si="40"/>
        <v/>
      </c>
      <c r="C91" s="439">
        <f t="shared" si="31"/>
        <v>0</v>
      </c>
      <c r="D91" s="439">
        <f t="shared" si="32"/>
        <v>0</v>
      </c>
      <c r="E91" s="439">
        <f t="shared" si="33"/>
        <v>0</v>
      </c>
      <c r="F91" s="439">
        <f t="shared" si="34"/>
        <v>0</v>
      </c>
      <c r="G91" s="236"/>
      <c r="H91" s="441">
        <f t="shared" si="35"/>
        <v>0</v>
      </c>
      <c r="I91" s="441" t="e">
        <f t="shared" si="36"/>
        <v>#VALUE!</v>
      </c>
      <c r="J91" s="441">
        <f t="shared" si="37"/>
        <v>0</v>
      </c>
      <c r="K91" s="441">
        <f t="shared" si="38"/>
        <v>0</v>
      </c>
      <c r="L91" s="633"/>
      <c r="M91" s="668" t="str">
        <f t="shared" si="43"/>
        <v/>
      </c>
      <c r="N91" s="441">
        <f t="shared" si="39"/>
        <v>0</v>
      </c>
      <c r="O91" s="441">
        <f>N91*12*IF(AND(INT(O$5)=$M91,O$5&gt;INT(O$5)),(1-(O$5-INT(O$5))),1)</f>
        <v>0</v>
      </c>
      <c r="P91" s="441">
        <f t="shared" si="30"/>
        <v>0</v>
      </c>
      <c r="Q91" s="441">
        <f t="shared" si="30"/>
        <v>0</v>
      </c>
      <c r="R91" s="669">
        <f t="shared" si="30"/>
        <v>0</v>
      </c>
      <c r="S91" s="212"/>
      <c r="U91" s="454">
        <f t="shared" si="17"/>
        <v>0</v>
      </c>
      <c r="V91" s="454">
        <f t="shared" si="41"/>
        <v>0</v>
      </c>
      <c r="W91" s="454">
        <f t="shared" si="42"/>
        <v>0</v>
      </c>
    </row>
    <row r="92" spans="1:23">
      <c r="A92" s="337"/>
      <c r="B92" s="237" t="str">
        <f t="shared" si="40"/>
        <v/>
      </c>
      <c r="C92" s="439">
        <f t="shared" si="31"/>
        <v>0</v>
      </c>
      <c r="D92" s="439">
        <f t="shared" si="32"/>
        <v>0</v>
      </c>
      <c r="E92" s="439">
        <f t="shared" si="33"/>
        <v>0</v>
      </c>
      <c r="F92" s="439">
        <f t="shared" si="34"/>
        <v>0</v>
      </c>
      <c r="G92" s="236"/>
      <c r="H92" s="440">
        <f t="shared" si="35"/>
        <v>0</v>
      </c>
      <c r="I92" s="440" t="e">
        <f t="shared" si="36"/>
        <v>#VALUE!</v>
      </c>
      <c r="J92" s="440">
        <f t="shared" si="37"/>
        <v>0</v>
      </c>
      <c r="K92" s="440">
        <f t="shared" si="38"/>
        <v>0</v>
      </c>
      <c r="L92" s="632"/>
      <c r="M92" s="666" t="str">
        <f t="shared" si="43"/>
        <v/>
      </c>
      <c r="N92" s="440">
        <f t="shared" si="39"/>
        <v>0</v>
      </c>
      <c r="O92" s="440">
        <f>N92*12*IF(AND(INT(O$5)=$M92,O$5&gt;INT(O$5)),(1-(O$5-INT(O$5))),1)</f>
        <v>0</v>
      </c>
      <c r="P92" s="440">
        <f t="shared" si="30"/>
        <v>0</v>
      </c>
      <c r="Q92" s="440">
        <f t="shared" si="30"/>
        <v>0</v>
      </c>
      <c r="R92" s="667">
        <f t="shared" si="30"/>
        <v>0</v>
      </c>
      <c r="S92" s="212"/>
      <c r="U92" s="454">
        <f t="shared" si="17"/>
        <v>0</v>
      </c>
      <c r="V92" s="454">
        <f t="shared" si="41"/>
        <v>0</v>
      </c>
      <c r="W92" s="454">
        <f t="shared" si="42"/>
        <v>0</v>
      </c>
    </row>
    <row r="93" spans="1:23" ht="15" thickBot="1">
      <c r="A93" s="337"/>
      <c r="B93" s="253" t="str">
        <f t="shared" si="40"/>
        <v/>
      </c>
      <c r="C93" s="439">
        <f t="shared" si="31"/>
        <v>0</v>
      </c>
      <c r="D93" s="439">
        <f t="shared" si="32"/>
        <v>0</v>
      </c>
      <c r="E93" s="439">
        <f t="shared" si="33"/>
        <v>0</v>
      </c>
      <c r="F93" s="439">
        <f t="shared" si="34"/>
        <v>0</v>
      </c>
      <c r="G93" s="442"/>
      <c r="H93" s="441">
        <f t="shared" si="35"/>
        <v>0</v>
      </c>
      <c r="I93" s="441" t="e">
        <f t="shared" si="36"/>
        <v>#VALUE!</v>
      </c>
      <c r="J93" s="441">
        <f t="shared" si="37"/>
        <v>0</v>
      </c>
      <c r="K93" s="441">
        <f t="shared" si="38"/>
        <v>0</v>
      </c>
      <c r="L93" s="633"/>
      <c r="M93" s="670" t="str">
        <f t="shared" si="43"/>
        <v/>
      </c>
      <c r="N93" s="441">
        <f t="shared" si="39"/>
        <v>0</v>
      </c>
      <c r="O93" s="441">
        <f>N93*12*IF(AND(INT(O$5)=$M93,O$5&gt;INT(O$5)),(1-(O$5-INT(O$5))),1)</f>
        <v>0</v>
      </c>
      <c r="P93" s="441">
        <f t="shared" si="30"/>
        <v>0</v>
      </c>
      <c r="Q93" s="441">
        <f t="shared" si="30"/>
        <v>0</v>
      </c>
      <c r="R93" s="669">
        <f t="shared" si="30"/>
        <v>0</v>
      </c>
      <c r="S93" s="212"/>
      <c r="U93" s="454">
        <f t="shared" si="17"/>
        <v>0</v>
      </c>
      <c r="V93" s="454">
        <f t="shared" si="41"/>
        <v>0</v>
      </c>
      <c r="W93" s="454">
        <f t="shared" si="42"/>
        <v>0</v>
      </c>
    </row>
    <row r="94" spans="1:23" ht="15" thickBot="1">
      <c r="A94" s="241"/>
      <c r="B94" s="338" t="str">
        <f t="shared" si="40"/>
        <v/>
      </c>
      <c r="C94" s="339">
        <f t="shared" si="31"/>
        <v>0</v>
      </c>
      <c r="D94" s="339"/>
      <c r="E94" s="339"/>
      <c r="F94" s="339"/>
      <c r="G94" s="240"/>
      <c r="H94" s="241"/>
      <c r="I94" s="240"/>
      <c r="J94" s="240"/>
      <c r="K94" s="242"/>
      <c r="L94" s="239"/>
      <c r="M94" s="338"/>
      <c r="N94" s="240"/>
      <c r="O94" s="242"/>
      <c r="P94" s="240"/>
      <c r="Q94" s="240"/>
      <c r="R94" s="242"/>
      <c r="S94" s="212"/>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60"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6" customWidth="1"/>
    <col min="6" max="7" width="11.125" bestFit="1" customWidth="1"/>
    <col min="10" max="10" width="12.125" customWidth="1"/>
    <col min="11" max="11" width="11.125" customWidth="1"/>
  </cols>
  <sheetData>
    <row r="11" spans="1:16">
      <c r="A11" s="15" t="b">
        <v>1</v>
      </c>
    </row>
    <row r="12" spans="1:16">
      <c r="A12" s="15" t="b">
        <v>1</v>
      </c>
    </row>
    <row r="16" spans="1:16" ht="28.5">
      <c r="A16" s="1935" t="s">
        <v>1875</v>
      </c>
      <c r="B16" s="1935" t="s">
        <v>1876</v>
      </c>
      <c r="C16" s="1935"/>
      <c r="L16" s="797" t="e">
        <f>+'[8]BVerfG 1 BvL 5-18'!$D$3</f>
        <v>#REF!</v>
      </c>
      <c r="M16" s="797" t="s">
        <v>126</v>
      </c>
      <c r="N16" s="797" t="s">
        <v>287</v>
      </c>
      <c r="O16" s="797" t="s">
        <v>1877</v>
      </c>
      <c r="P16" s="797" t="s">
        <v>189</v>
      </c>
    </row>
    <row r="17" spans="1:16">
      <c r="A17" s="236"/>
      <c r="B17" s="236"/>
      <c r="C17" s="236"/>
    </row>
    <row r="18" spans="1:16">
      <c r="A18" s="1936" t="e">
        <f>IF(PflGesamt,IF(GesVersrgPfl,SUM(Tabelle2[[#This Row],[Spalte2]:[Spalte8]]),0),0)</f>
        <v>#REF!</v>
      </c>
      <c r="B18" s="1936" t="e">
        <f>IF(BerGesamt,SUM('[8]Berechnungen BVerfG'!P18:R18)+'[8]Berechnungen BVerfG'!N18,0)</f>
        <v>#REF!</v>
      </c>
      <c r="C18" s="1936">
        <f t="shared" ref="C18:C49" si="0">IF(GesVersrgPfl,P18,0)</f>
        <v>0</v>
      </c>
      <c r="D18" s="1936"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37">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37">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37">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36" t="e">
        <f>IF(PflGesamt,IF(GesVersrgPfl,SUM([8]!Tabelle2[[#This Row],[Spalte2]:[Spalte8]]),0),0)</f>
        <v>#REF!</v>
      </c>
      <c r="B19" s="1936" t="e">
        <f>IF(BerGesamt,SUM('[8]Berechnungen BVerfG'!P19:R19)+'[8]Berechnungen BVerfG'!N19,0)</f>
        <v>#REF!</v>
      </c>
      <c r="C19" s="1936">
        <f t="shared" si="0"/>
        <v>0</v>
      </c>
      <c r="D19" s="1936"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37">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37">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37">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36" t="e">
        <f>IF(PflGesamt,IF(GesVersrgPfl,SUM([8]!Tabelle2[[#This Row],[Spalte2]:[Spalte8]]),0),0)</f>
        <v>#REF!</v>
      </c>
      <c r="B20" s="1936" t="e">
        <f>IF(BerGesamt,SUM('[8]Berechnungen BVerfG'!P20:R20)+'[8]Berechnungen BVerfG'!N20,0)</f>
        <v>#REF!</v>
      </c>
      <c r="C20" s="1936">
        <f t="shared" si="0"/>
        <v>0</v>
      </c>
      <c r="D20" s="1936"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37">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37">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37">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36" t="e">
        <f>IF(PflGesamt,IF(GesVersrgPfl,SUM([8]!Tabelle2[[#This Row],[Spalte2]:[Spalte8]]),0),0)</f>
        <v>#REF!</v>
      </c>
      <c r="B21" s="1936" t="e">
        <f>IF(BerGesamt,SUM('[8]Berechnungen BVerfG'!P21:R21)+'[8]Berechnungen BVerfG'!N21,0)</f>
        <v>#REF!</v>
      </c>
      <c r="C21" s="1936">
        <f t="shared" si="0"/>
        <v>0</v>
      </c>
      <c r="D21" s="1936"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37">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37">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37">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36" t="e">
        <f>IF(PflGesamt,IF(GesVersrgPfl,SUM([8]!Tabelle2[[#This Row],[Spalte2]:[Spalte8]]),0),0)</f>
        <v>#REF!</v>
      </c>
      <c r="B22" s="1936" t="e">
        <f>IF(BerGesamt,SUM('[8]Berechnungen BVerfG'!P22:R22)+'[8]Berechnungen BVerfG'!N22,0)</f>
        <v>#REF!</v>
      </c>
      <c r="C22" s="1936">
        <f t="shared" si="0"/>
        <v>0</v>
      </c>
      <c r="D22" s="1936"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37">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37">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37">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36" t="e">
        <f>IF(PflGesamt,IF(GesVersrgPfl,SUM([8]!Tabelle2[[#This Row],[Spalte2]:[Spalte8]]),0),0)</f>
        <v>#REF!</v>
      </c>
      <c r="B23" s="1936" t="e">
        <f>IF(BerGesamt,SUM('[8]Berechnungen BVerfG'!P23:R23)+'[8]Berechnungen BVerfG'!N23,0)</f>
        <v>#REF!</v>
      </c>
      <c r="C23" s="1936">
        <f t="shared" si="0"/>
        <v>0</v>
      </c>
      <c r="D23" s="1936" t="e">
        <f>SUM('[8]Berechnungen BVerfG'!P23:R23)+'[8]Berechnungen BVerfG'!N23</f>
        <v>#REF!</v>
      </c>
      <c r="F23" s="469">
        <f>Adaequanz_errechneterKapWert</f>
        <v>0</v>
      </c>
      <c r="G23" s="469" t="e">
        <f>+'[8]BVerfG 1 BvL 5-18'!E20</f>
        <v>#REF!</v>
      </c>
      <c r="H23" s="469" t="e">
        <f>+'[8]BVerfG 1 BvL 5-18'!F20</f>
        <v>#REF!</v>
      </c>
      <c r="I23" s="469"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37">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37">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37">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36" t="e">
        <f>IF(PflGesamt,IF(GesVersrgPfl,SUM([8]!Tabelle2[[#This Row],[Spalte2]:[Spalte8]]),0),0)</f>
        <v>#REF!</v>
      </c>
      <c r="B24" s="1936" t="e">
        <f>IF(BerGesamt,SUM('[8]Berechnungen BVerfG'!P24:R24)+'[8]Berechnungen BVerfG'!N24,0)</f>
        <v>#REF!</v>
      </c>
      <c r="C24" s="1936">
        <f t="shared" si="0"/>
        <v>0</v>
      </c>
      <c r="D24" s="1936" t="e">
        <f>SUM('[8]Berechnungen BVerfG'!P24:R24)+'[8]Berechnungen BVerfG'!N24</f>
        <v>#REF!</v>
      </c>
      <c r="F24" s="469" t="e">
        <f>'[8]BVerfG 1 BvL 5-18'!I20</f>
        <v>#REF!</v>
      </c>
      <c r="G24" s="469" t="e">
        <f>+'[8]BVerfG 1 BvL 5-18'!H20</f>
        <v>#REF!</v>
      </c>
      <c r="H24" s="469" t="e">
        <f>'[8]BVerfG 1 BvL 5-18'!J20</f>
        <v>#REF!</v>
      </c>
      <c r="I24" s="469"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37">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37">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37">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36" t="e">
        <f>IF(PflGesamt,IF(GesVersrgPfl,SUM([8]!Tabelle2[[#This Row],[Spalte2]:[Spalte8]]),0),0)</f>
        <v>#REF!</v>
      </c>
      <c r="B25" s="1936" t="e">
        <f>IF(BerGesamt,SUM('[8]Berechnungen BVerfG'!P25:R25)+'[8]Berechnungen BVerfG'!N25,0)</f>
        <v>#REF!</v>
      </c>
      <c r="C25" s="1936">
        <f t="shared" si="0"/>
        <v>0</v>
      </c>
      <c r="D25" s="1936"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37">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37">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37">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36" t="e">
        <f>IF(PflGesamt,IF(GesVersrgPfl,SUM([8]!Tabelle2[[#This Row],[Spalte2]:[Spalte8]]),0),0)</f>
        <v>#REF!</v>
      </c>
      <c r="B26" s="1936" t="e">
        <f>IF(BerGesamt,SUM('[8]Berechnungen BVerfG'!P26:R26)+'[8]Berechnungen BVerfG'!N26,0)</f>
        <v>#REF!</v>
      </c>
      <c r="C26" s="1936">
        <f t="shared" si="0"/>
        <v>0</v>
      </c>
      <c r="D26" s="1936" t="e">
        <f>SUM('[8]Berechnungen BVerfG'!P26:R26)+'[8]Berechnungen BVerfG'!N26</f>
        <v>#REF!</v>
      </c>
      <c r="F26" s="469">
        <f>Adaequanz_errechneterKapWert</f>
        <v>0</v>
      </c>
      <c r="G26" s="469"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37">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37">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37">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36" t="e">
        <f>IF(PflGesamt,IF(GesVersrgPfl,SUM([8]!Tabelle2[[#This Row],[Spalte2]:[Spalte8]]),0),0)</f>
        <v>#REF!</v>
      </c>
      <c r="B27" s="1936" t="e">
        <f>IF(BerGesamt,SUM('[8]Berechnungen BVerfG'!P27:R27)+'[8]Berechnungen BVerfG'!N27,0)</f>
        <v>#REF!</v>
      </c>
      <c r="C27" s="1936">
        <f t="shared" si="0"/>
        <v>0</v>
      </c>
      <c r="D27" s="1936" t="e">
        <f>SUM('[8]Berechnungen BVerfG'!P27:R27)+'[8]Berechnungen BVerfG'!N27</f>
        <v>#REF!</v>
      </c>
      <c r="F27" s="469" t="e">
        <f>+G23</f>
        <v>#REF!</v>
      </c>
      <c r="G27" s="469"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37">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37">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37">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36" t="e">
        <f>IF(PflGesamt,IF(GesVersrgPfl,SUM([8]!Tabelle2[[#This Row],[Spalte2]:[Spalte8]]),0),0)</f>
        <v>#REF!</v>
      </c>
      <c r="B28" s="1936" t="e">
        <f>IF(BerGesamt,SUM('[8]Berechnungen BVerfG'!P28:R28)+'[8]Berechnungen BVerfG'!N28,0)</f>
        <v>#REF!</v>
      </c>
      <c r="C28" s="1936">
        <f t="shared" si="0"/>
        <v>0</v>
      </c>
      <c r="D28" s="1936" t="e">
        <f>SUM('[8]Berechnungen BVerfG'!P28:R28)+'[8]Berechnungen BVerfG'!N28</f>
        <v>#REF!</v>
      </c>
      <c r="F28" s="469" t="e">
        <f>+H23</f>
        <v>#REF!</v>
      </c>
      <c r="G28" s="469"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37">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37">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37">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36" t="e">
        <f>IF(PflGesamt,IF(GesVersrgPfl,SUM([8]!Tabelle2[[#This Row],[Spalte2]:[Spalte8]]),0),0)</f>
        <v>#REF!</v>
      </c>
      <c r="B29" s="1936" t="e">
        <f>IF(BerGesamt,SUM('[8]Berechnungen BVerfG'!P29:R29)+'[8]Berechnungen BVerfG'!N29,0)</f>
        <v>#REF!</v>
      </c>
      <c r="C29" s="1936">
        <f t="shared" si="0"/>
        <v>0</v>
      </c>
      <c r="D29" s="1936" t="e">
        <f>SUM('[8]Berechnungen BVerfG'!P29:R29)+'[8]Berechnungen BVerfG'!N29</f>
        <v>#REF!</v>
      </c>
      <c r="F29" s="469" t="e">
        <f>+I23</f>
        <v>#REF!</v>
      </c>
      <c r="G29" s="469"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37">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37">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37">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36" t="e">
        <f>IF(PflGesamt,IF(GesVersrgPfl,SUM([8]!Tabelle2[[#This Row],[Spalte2]:[Spalte8]]),0),0)</f>
        <v>#REF!</v>
      </c>
      <c r="B30" s="1936" t="e">
        <f>IF(BerGesamt,SUM('[8]Berechnungen BVerfG'!P30:R30)+'[8]Berechnungen BVerfG'!N30,0)</f>
        <v>#REF!</v>
      </c>
      <c r="C30" s="1936">
        <f t="shared" si="0"/>
        <v>0</v>
      </c>
      <c r="D30" s="1936"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37">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37">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37">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36" t="e">
        <f>IF(PflGesamt,IF(GesVersrgPfl,SUM([8]!Tabelle2[[#This Row],[Spalte2]:[Spalte8]]),0),0)</f>
        <v>#REF!</v>
      </c>
      <c r="B31" s="1936" t="e">
        <f>IF(BerGesamt,SUM('[8]Berechnungen BVerfG'!P31:R31)+'[8]Berechnungen BVerfG'!N31,0)</f>
        <v>#REF!</v>
      </c>
      <c r="C31" s="1936">
        <f t="shared" si="0"/>
        <v>0</v>
      </c>
      <c r="D31" s="1936"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37">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37">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37">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36" t="e">
        <f>IF(PflGesamt,IF(GesVersrgPfl,SUM([8]!Tabelle2[[#This Row],[Spalte2]:[Spalte8]]),0),0)</f>
        <v>#REF!</v>
      </c>
      <c r="B32" s="1936" t="e">
        <f>IF(BerGesamt,SUM('[8]Berechnungen BVerfG'!P32:R32)+'[8]Berechnungen BVerfG'!N32,0)</f>
        <v>#REF!</v>
      </c>
      <c r="C32" s="1936">
        <f t="shared" si="0"/>
        <v>0</v>
      </c>
      <c r="D32" s="1936"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37">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37">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37">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36" t="e">
        <f>IF(PflGesamt,IF(GesVersrgPfl,SUM([8]!Tabelle2[[#This Row],[Spalte2]:[Spalte8]]),0),0)</f>
        <v>#REF!</v>
      </c>
      <c r="B33" s="1936" t="e">
        <f>IF(BerGesamt,SUM('[8]Berechnungen BVerfG'!P33:R33)+'[8]Berechnungen BVerfG'!N33,0)</f>
        <v>#REF!</v>
      </c>
      <c r="C33" s="1936">
        <f t="shared" si="0"/>
        <v>0</v>
      </c>
      <c r="D33" s="1936"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37">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37">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37">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36" t="e">
        <f>IF(PflGesamt,IF(GesVersrgPfl,SUM([8]!Tabelle2[[#This Row],[Spalte2]:[Spalte8]]),0),0)</f>
        <v>#REF!</v>
      </c>
      <c r="B34" s="1936" t="e">
        <f>IF(BerGesamt,SUM('[8]Berechnungen BVerfG'!P34:R34)+'[8]Berechnungen BVerfG'!N34,0)</f>
        <v>#REF!</v>
      </c>
      <c r="C34" s="1936">
        <f t="shared" si="0"/>
        <v>0</v>
      </c>
      <c r="D34" s="1936"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37">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37">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37">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36" t="e">
        <f>IF(PflGesamt,IF(GesVersrgPfl,SUM([8]!Tabelle2[[#This Row],[Spalte2]:[Spalte8]]),0),0)</f>
        <v>#REF!</v>
      </c>
      <c r="B35" s="1936" t="e">
        <f>IF(BerGesamt,SUM('[8]Berechnungen BVerfG'!P35:R35)+'[8]Berechnungen BVerfG'!N35,0)</f>
        <v>#REF!</v>
      </c>
      <c r="C35" s="1936">
        <f t="shared" si="0"/>
        <v>0</v>
      </c>
      <c r="D35" s="1936"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37">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37">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37">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36" t="e">
        <f>IF(PflGesamt,IF(GesVersrgPfl,SUM([8]!Tabelle2[[#This Row],[Spalte2]:[Spalte8]]),0),0)</f>
        <v>#REF!</v>
      </c>
      <c r="B36" s="1936" t="e">
        <f>IF(BerGesamt,SUM('[8]Berechnungen BVerfG'!P36:R36)+'[8]Berechnungen BVerfG'!N36,0)</f>
        <v>#REF!</v>
      </c>
      <c r="C36" s="1936">
        <f t="shared" si="0"/>
        <v>0</v>
      </c>
      <c r="D36" s="1936"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37">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37">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37">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36" t="e">
        <f>IF(PflGesamt,IF(GesVersrgPfl,SUM([8]!Tabelle2[[#This Row],[Spalte2]:[Spalte8]]),0),0)</f>
        <v>#REF!</v>
      </c>
      <c r="B37" s="1936" t="e">
        <f>IF(BerGesamt,SUM('[8]Berechnungen BVerfG'!P37:R37)+'[8]Berechnungen BVerfG'!N37,0)</f>
        <v>#REF!</v>
      </c>
      <c r="C37" s="1936">
        <f t="shared" si="0"/>
        <v>0</v>
      </c>
      <c r="D37" s="1936"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37">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37">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37">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36" t="e">
        <f>IF(PflGesamt,IF(GesVersrgPfl,SUM([8]!Tabelle2[[#This Row],[Spalte2]:[Spalte8]]),0),0)</f>
        <v>#REF!</v>
      </c>
      <c r="B38" s="1936" t="e">
        <f>IF(BerGesamt,SUM('[8]Berechnungen BVerfG'!P38:R38)+'[8]Berechnungen BVerfG'!N38,0)</f>
        <v>#REF!</v>
      </c>
      <c r="C38" s="1936">
        <f t="shared" si="0"/>
        <v>0</v>
      </c>
      <c r="D38" s="1936"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37">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37">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37">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36" t="e">
        <f>IF(PflGesamt,IF(GesVersrgPfl,SUM([8]!Tabelle2[[#This Row],[Spalte2]:[Spalte8]]),0),0)</f>
        <v>#REF!</v>
      </c>
      <c r="B39" s="1936" t="e">
        <f>IF(BerGesamt,SUM('[8]Berechnungen BVerfG'!P39:R39)+'[8]Berechnungen BVerfG'!N39,0)</f>
        <v>#REF!</v>
      </c>
      <c r="C39" s="1936">
        <f t="shared" si="0"/>
        <v>0</v>
      </c>
      <c r="D39" s="1936"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37">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37">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37">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36" t="e">
        <f>IF(PflGesamt,IF(GesVersrgPfl,SUM([8]!Tabelle2[[#This Row],[Spalte2]:[Spalte8]]),0),0)</f>
        <v>#REF!</v>
      </c>
      <c r="B40" s="1936" t="e">
        <f>IF(BerGesamt,SUM('[8]Berechnungen BVerfG'!P40:R40)+'[8]Berechnungen BVerfG'!N40,0)</f>
        <v>#REF!</v>
      </c>
      <c r="C40" s="1936">
        <f t="shared" si="0"/>
        <v>0</v>
      </c>
      <c r="D40" s="1936"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37">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37">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37">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36" t="e">
        <f>IF(PflGesamt,IF(GesVersrgPfl,SUM([8]!Tabelle2[[#This Row],[Spalte2]:[Spalte8]]),0),0)</f>
        <v>#REF!</v>
      </c>
      <c r="B41" s="1936" t="e">
        <f>IF(BerGesamt,SUM('[8]Berechnungen BVerfG'!P41:R41)+'[8]Berechnungen BVerfG'!N41,0)</f>
        <v>#REF!</v>
      </c>
      <c r="C41" s="1936">
        <f t="shared" si="0"/>
        <v>0</v>
      </c>
      <c r="D41" s="1936"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37">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37">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37">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36" t="e">
        <f>IF(PflGesamt,IF(GesVersrgPfl,SUM([8]!Tabelle2[[#This Row],[Spalte2]:[Spalte8]]),0),0)</f>
        <v>#REF!</v>
      </c>
      <c r="B42" s="1936" t="e">
        <f>IF(BerGesamt,SUM('[8]Berechnungen BVerfG'!P42:R42)+'[8]Berechnungen BVerfG'!N42,0)</f>
        <v>#REF!</v>
      </c>
      <c r="C42" s="1936">
        <f t="shared" si="0"/>
        <v>0</v>
      </c>
      <c r="D42" s="1936"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37">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37">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37">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36" t="e">
        <f>IF(PflGesamt,IF(GesVersrgPfl,SUM([8]!Tabelle2[[#This Row],[Spalte2]:[Spalte8]]),0),0)</f>
        <v>#REF!</v>
      </c>
      <c r="B43" s="1936" t="e">
        <f>IF(BerGesamt,SUM('[8]Berechnungen BVerfG'!P43:R43)+'[8]Berechnungen BVerfG'!N43,0)</f>
        <v>#REF!</v>
      </c>
      <c r="C43" s="1936">
        <f t="shared" si="0"/>
        <v>0</v>
      </c>
      <c r="D43" s="1936"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37">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37">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37">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36" t="e">
        <f>IF(PflGesamt,IF(GesVersrgPfl,SUM([8]!Tabelle2[[#This Row],[Spalte2]:[Spalte8]]),0),0)</f>
        <v>#REF!</v>
      </c>
      <c r="B44" s="1936" t="e">
        <f>IF(BerGesamt,SUM('[8]Berechnungen BVerfG'!P44:R44)+'[8]Berechnungen BVerfG'!N44,0)</f>
        <v>#REF!</v>
      </c>
      <c r="C44" s="1936">
        <f t="shared" si="0"/>
        <v>0</v>
      </c>
      <c r="D44" s="1936"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37">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37">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37">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36" t="e">
        <f>IF(PflGesamt,IF(GesVersrgPfl,SUM([8]!Tabelle2[[#This Row],[Spalte2]:[Spalte8]]),0),0)</f>
        <v>#REF!</v>
      </c>
      <c r="B45" s="1936" t="e">
        <f>IF(BerGesamt,SUM('[8]Berechnungen BVerfG'!P45:R45)+'[8]Berechnungen BVerfG'!N45,0)</f>
        <v>#REF!</v>
      </c>
      <c r="C45" s="1936">
        <f t="shared" si="0"/>
        <v>0</v>
      </c>
      <c r="D45" s="1936"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37">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37">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37">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36" t="e">
        <f>IF(PflGesamt,IF(GesVersrgPfl,SUM([8]!Tabelle2[[#This Row],[Spalte2]:[Spalte8]]),0),0)</f>
        <v>#REF!</v>
      </c>
      <c r="B46" s="1936" t="e">
        <f>IF(BerGesamt,SUM('[8]Berechnungen BVerfG'!P46:R46)+'[8]Berechnungen BVerfG'!N46,0)</f>
        <v>#REF!</v>
      </c>
      <c r="C46" s="1936">
        <f t="shared" si="0"/>
        <v>0</v>
      </c>
      <c r="D46" s="1936"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37">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37">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37">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36" t="e">
        <f>IF(PflGesamt,IF(GesVersrgPfl,SUM([8]!Tabelle2[[#This Row],[Spalte2]:[Spalte8]]),0),0)</f>
        <v>#REF!</v>
      </c>
      <c r="B47" s="1936" t="e">
        <f>IF(BerGesamt,SUM('[8]Berechnungen BVerfG'!P47:R47)+'[8]Berechnungen BVerfG'!N47,0)</f>
        <v>#REF!</v>
      </c>
      <c r="C47" s="1936">
        <f t="shared" si="0"/>
        <v>0</v>
      </c>
      <c r="D47" s="1936"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37">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37">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37">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36" t="e">
        <f>IF(PflGesamt,IF(GesVersrgPfl,SUM([8]!Tabelle2[[#This Row],[Spalte2]:[Spalte8]]),0),0)</f>
        <v>#REF!</v>
      </c>
      <c r="B48" s="1936" t="e">
        <f>IF(BerGesamt,SUM('[8]Berechnungen BVerfG'!P48:R48)+'[8]Berechnungen BVerfG'!N48,0)</f>
        <v>#REF!</v>
      </c>
      <c r="C48" s="1936">
        <f t="shared" si="0"/>
        <v>0</v>
      </c>
      <c r="D48" s="1936"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37">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37">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37">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36" t="e">
        <f>IF(PflGesamt,IF(GesVersrgPfl,SUM([8]!Tabelle2[[#This Row],[Spalte2]:[Spalte8]]),0),0)</f>
        <v>#REF!</v>
      </c>
      <c r="B49" s="1936" t="e">
        <f>IF(BerGesamt,SUM('[8]Berechnungen BVerfG'!P49:R49)+'[8]Berechnungen BVerfG'!N49,0)</f>
        <v>#REF!</v>
      </c>
      <c r="C49" s="1936">
        <f t="shared" si="0"/>
        <v>0</v>
      </c>
      <c r="D49" s="1936"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37">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37">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37">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36" t="e">
        <f>IF(PflGesamt,IF(GesVersrgPfl,SUM([8]!Tabelle2[[#This Row],[Spalte2]:[Spalte8]]),0),0)</f>
        <v>#REF!</v>
      </c>
      <c r="B50" s="1936" t="e">
        <f>IF(BerGesamt,SUM('[8]Berechnungen BVerfG'!P50:R50)+'[8]Berechnungen BVerfG'!N50,0)</f>
        <v>#REF!</v>
      </c>
      <c r="C50" s="1936">
        <f t="shared" ref="C50:C70" si="2">IF(GesVersrgPfl,P50,0)</f>
        <v>0</v>
      </c>
      <c r="D50" s="1936"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37">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37">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37">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36" t="e">
        <f>IF(PflGesamt,IF(GesVersrgPfl,SUM([8]!Tabelle2[[#This Row],[Spalte2]:[Spalte8]]),0),0)</f>
        <v>#REF!</v>
      </c>
      <c r="B51" s="1936" t="e">
        <f>IF(BerGesamt,SUM('[8]Berechnungen BVerfG'!P51:R51)+'[8]Berechnungen BVerfG'!N51,0)</f>
        <v>#REF!</v>
      </c>
      <c r="C51" s="1936">
        <f t="shared" si="2"/>
        <v>0</v>
      </c>
      <c r="D51" s="1936"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37">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37">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37">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36" t="e">
        <f>IF(PflGesamt,IF(GesVersrgPfl,SUM([8]!Tabelle2[[#This Row],[Spalte2]:[Spalte8]]),0),0)</f>
        <v>#REF!</v>
      </c>
      <c r="B52" s="1936" t="e">
        <f>IF(BerGesamt,SUM('[8]Berechnungen BVerfG'!P52:R52)+'[8]Berechnungen BVerfG'!N52,0)</f>
        <v>#REF!</v>
      </c>
      <c r="C52" s="1936">
        <f t="shared" si="2"/>
        <v>0</v>
      </c>
      <c r="D52" s="1936"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37">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37">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37">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36" t="e">
        <f>IF(PflGesamt,IF(GesVersrgPfl,SUM([8]!Tabelle2[[#This Row],[Spalte2]:[Spalte8]]),0),0)</f>
        <v>#REF!</v>
      </c>
      <c r="B53" s="1936" t="e">
        <f>IF(BerGesamt,SUM('[8]Berechnungen BVerfG'!P53:R53)+'[8]Berechnungen BVerfG'!N53,0)</f>
        <v>#REF!</v>
      </c>
      <c r="C53" s="1936">
        <f t="shared" si="2"/>
        <v>0</v>
      </c>
      <c r="D53" s="1936"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37">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37">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37">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36" t="e">
        <f>IF(PflGesamt,IF(GesVersrgPfl,SUM([8]!Tabelle2[[#This Row],[Spalte2]:[Spalte8]]),0),0)</f>
        <v>#REF!</v>
      </c>
      <c r="B54" s="1936" t="e">
        <f>IF(BerGesamt,SUM('[8]Berechnungen BVerfG'!P54:R54)+'[8]Berechnungen BVerfG'!N54,0)</f>
        <v>#REF!</v>
      </c>
      <c r="C54" s="1936">
        <f t="shared" si="2"/>
        <v>0</v>
      </c>
      <c r="D54" s="1936"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37">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37">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37">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36" t="e">
        <f>IF(PflGesamt,IF(GesVersrgPfl,SUM([8]!Tabelle2[[#This Row],[Spalte2]:[Spalte8]]),0),0)</f>
        <v>#REF!</v>
      </c>
      <c r="B55" s="1936" t="e">
        <f>IF(BerGesamt,SUM('[8]Berechnungen BVerfG'!P55:R55)+'[8]Berechnungen BVerfG'!N55,0)</f>
        <v>#REF!</v>
      </c>
      <c r="C55" s="1936">
        <f t="shared" si="2"/>
        <v>0</v>
      </c>
      <c r="D55" s="1936"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37">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37">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37">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36" t="e">
        <f>IF(PflGesamt,IF(GesVersrgPfl,SUM([8]!Tabelle2[[#This Row],[Spalte2]:[Spalte8]]),0),0)</f>
        <v>#REF!</v>
      </c>
      <c r="B56" s="1936" t="e">
        <f>IF(BerGesamt,SUM('[8]Berechnungen BVerfG'!P56:R56)+'[8]Berechnungen BVerfG'!N56,0)</f>
        <v>#REF!</v>
      </c>
      <c r="C56" s="1936">
        <f t="shared" si="2"/>
        <v>0</v>
      </c>
      <c r="D56" s="1936"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37">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37">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37">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36" t="e">
        <f>IF(PflGesamt,IF(GesVersrgPfl,SUM([8]!Tabelle2[[#This Row],[Spalte2]:[Spalte8]]),0),0)</f>
        <v>#REF!</v>
      </c>
      <c r="B57" s="1936" t="e">
        <f>IF(BerGesamt,SUM('[8]Berechnungen BVerfG'!P57:R57)+'[8]Berechnungen BVerfG'!N57,0)</f>
        <v>#REF!</v>
      </c>
      <c r="C57" s="1936">
        <f t="shared" si="2"/>
        <v>0</v>
      </c>
      <c r="D57" s="1936"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37">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37">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37">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36" t="e">
        <f>IF(PflGesamt,IF(GesVersrgPfl,SUM([8]!Tabelle2[[#This Row],[Spalte2]:[Spalte8]]),0),0)</f>
        <v>#REF!</v>
      </c>
      <c r="B58" s="1936" t="e">
        <f>IF(BerGesamt,SUM('[8]Berechnungen BVerfG'!P58:R58)+'[8]Berechnungen BVerfG'!N58,0)</f>
        <v>#REF!</v>
      </c>
      <c r="C58" s="1936">
        <f t="shared" si="2"/>
        <v>0</v>
      </c>
      <c r="D58" s="1936"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37">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37">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37">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36" t="e">
        <f>IF(PflGesamt,IF(GesVersrgPfl,SUM([8]!Tabelle2[[#This Row],[Spalte2]:[Spalte8]]),0),0)</f>
        <v>#REF!</v>
      </c>
      <c r="B59" s="1936" t="e">
        <f>IF(BerGesamt,SUM('[8]Berechnungen BVerfG'!P59:R59)+'[8]Berechnungen BVerfG'!N59,0)</f>
        <v>#REF!</v>
      </c>
      <c r="C59" s="1936">
        <f t="shared" si="2"/>
        <v>0</v>
      </c>
      <c r="D59" s="1936"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37">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37">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37">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36" t="e">
        <f>IF(PflGesamt,IF(GesVersrgPfl,SUM([8]!Tabelle2[[#This Row],[Spalte2]:[Spalte8]]),0),0)</f>
        <v>#REF!</v>
      </c>
      <c r="B60" s="1936" t="e">
        <f>IF(BerGesamt,SUM('[8]Berechnungen BVerfG'!P60:R60)+'[8]Berechnungen BVerfG'!N60,0)</f>
        <v>#REF!</v>
      </c>
      <c r="C60" s="1936">
        <f t="shared" si="2"/>
        <v>0</v>
      </c>
      <c r="D60" s="1936"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37">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37">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37">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36" t="e">
        <f>IF(PflGesamt,IF(GesVersrgPfl,SUM([8]!Tabelle2[[#This Row],[Spalte2]:[Spalte8]]),0),0)</f>
        <v>#REF!</v>
      </c>
      <c r="B61" s="1936" t="e">
        <f>IF(BerGesamt,SUM('[8]Berechnungen BVerfG'!P61:R61)+'[8]Berechnungen BVerfG'!N61,0)</f>
        <v>#REF!</v>
      </c>
      <c r="C61" s="1936">
        <f t="shared" si="2"/>
        <v>0</v>
      </c>
      <c r="D61" s="1936"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37">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37">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37">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36" t="e">
        <f>IF(PflGesamt,IF(GesVersrgPfl,SUM([8]!Tabelle2[[#This Row],[Spalte2]:[Spalte8]]),0),0)</f>
        <v>#REF!</v>
      </c>
      <c r="B62" s="1936" t="e">
        <f>IF(BerGesamt,SUM('[8]Berechnungen BVerfG'!P62:R62)+'[8]Berechnungen BVerfG'!N62,0)</f>
        <v>#REF!</v>
      </c>
      <c r="C62" s="1936">
        <f t="shared" si="2"/>
        <v>0</v>
      </c>
      <c r="D62" s="1936"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37">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37">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37">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36" t="e">
        <f>IF(PflGesamt,IF(GesVersrgPfl,SUM([8]!Tabelle2[[#This Row],[Spalte2]:[Spalte8]]),0),0)</f>
        <v>#REF!</v>
      </c>
      <c r="B63" s="1936" t="e">
        <f>IF(BerGesamt,SUM('[8]Berechnungen BVerfG'!P63:R63)+'[8]Berechnungen BVerfG'!N63,0)</f>
        <v>#REF!</v>
      </c>
      <c r="C63" s="1936">
        <f t="shared" si="2"/>
        <v>0</v>
      </c>
      <c r="D63" s="1936"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37">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37">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37">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36" t="e">
        <f>IF(PflGesamt,IF(GesVersrgPfl,SUM([8]!Tabelle2[[#This Row],[Spalte2]:[Spalte8]]),0),0)</f>
        <v>#REF!</v>
      </c>
      <c r="B64" s="1936" t="e">
        <f>IF(BerGesamt,SUM('[8]Berechnungen BVerfG'!P64:R64)+'[8]Berechnungen BVerfG'!N64,0)</f>
        <v>#REF!</v>
      </c>
      <c r="C64" s="1936">
        <f t="shared" si="2"/>
        <v>0</v>
      </c>
      <c r="D64" s="1936"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37">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37">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37">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36" t="e">
        <f>IF(PflGesamt,IF(GesVersrgPfl,SUM([8]!Tabelle2[[#This Row],[Spalte2]:[Spalte8]]),0),0)</f>
        <v>#REF!</v>
      </c>
      <c r="B65" s="1936" t="e">
        <f>IF(BerGesamt,SUM('[8]Berechnungen BVerfG'!P65:R65)+'[8]Berechnungen BVerfG'!N65,0)</f>
        <v>#REF!</v>
      </c>
      <c r="C65" s="1936">
        <f t="shared" si="2"/>
        <v>0</v>
      </c>
      <c r="D65" s="1936"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37">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37">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37">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36" t="e">
        <f>IF(PflGesamt,IF(GesVersrgPfl,SUM([8]!Tabelle2[[#This Row],[Spalte2]:[Spalte8]]),0),0)</f>
        <v>#REF!</v>
      </c>
      <c r="B66" s="1936" t="e">
        <f>IF(BerGesamt,SUM('[8]Berechnungen BVerfG'!P66:R66)+'[8]Berechnungen BVerfG'!N66,0)</f>
        <v>#REF!</v>
      </c>
      <c r="C66" s="1936">
        <f t="shared" si="2"/>
        <v>0</v>
      </c>
      <c r="D66" s="1936"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37">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37">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37">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36" t="e">
        <f>IF(PflGesamt,IF(GesVersrgPfl,SUM([8]!Tabelle2[[#This Row],[Spalte2]:[Spalte8]]),0),0)</f>
        <v>#REF!</v>
      </c>
      <c r="B67" s="1936" t="e">
        <f>IF(BerGesamt,SUM('[8]Berechnungen BVerfG'!P67:R67)+'[8]Berechnungen BVerfG'!N67,0)</f>
        <v>#REF!</v>
      </c>
      <c r="C67" s="1936">
        <f t="shared" si="2"/>
        <v>0</v>
      </c>
      <c r="D67" s="1936"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37">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37">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37">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36" t="e">
        <f>IF(PflGesamt,IF(GesVersrgPfl,SUM([8]!Tabelle2[[#This Row],[Spalte2]:[Spalte8]]),0),0)</f>
        <v>#REF!</v>
      </c>
      <c r="B68" s="1936" t="e">
        <f>IF(BerGesamt,SUM('[8]Berechnungen BVerfG'!P68:R68)+'[8]Berechnungen BVerfG'!N68,0)</f>
        <v>#REF!</v>
      </c>
      <c r="C68" s="1936">
        <f t="shared" si="2"/>
        <v>0</v>
      </c>
      <c r="D68" s="1936"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37">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37">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37">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36" t="e">
        <f>IF(PflGesamt,IF(GesVersrgPfl,SUM([8]!Tabelle2[[#This Row],[Spalte2]:[Spalte8]]),0),0)</f>
        <v>#REF!</v>
      </c>
      <c r="B69" s="1936" t="e">
        <f>IF(BerGesamt,SUM('[8]Berechnungen BVerfG'!P69:R69)+'[8]Berechnungen BVerfG'!N69,0)</f>
        <v>#REF!</v>
      </c>
      <c r="C69" s="1936">
        <f t="shared" si="2"/>
        <v>0</v>
      </c>
      <c r="D69" s="1936"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37">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37">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37">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36" t="e">
        <f>IF(PflGesamt,IF(GesVersrgPfl,SUM([8]!Tabelle2[[#This Row],[Spalte2]:[Spalte8]]),0),0)</f>
        <v>#REF!</v>
      </c>
      <c r="B70" s="1936" t="e">
        <f>IF(BerGesamt,SUM('[8]Berechnungen BVerfG'!P70:R70)+'[8]Berechnungen BVerfG'!N70,0)</f>
        <v>#REF!</v>
      </c>
      <c r="C70" s="1936">
        <f t="shared" si="2"/>
        <v>0</v>
      </c>
      <c r="D70" s="1936"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37">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37">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37">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36" t="e">
        <f>IF(PflGesamt,IF(GesVersrgPfl,SUM([8]!Tabelle2[[#This Row],[Spalte2]:[Spalte8]]),0),0)</f>
        <v>#REF!</v>
      </c>
      <c r="B71" s="1936" t="e">
        <f>IF(BerGesamt,SUM('[8]Berechnungen BVerfG'!P71:R71)+'[8]Berechnungen BVerfG'!N71,0)</f>
        <v>#REF!</v>
      </c>
      <c r="C71" s="1936">
        <f>IF(GesVersrgPfl,SUM([8]!Tabelle2[[#This Row],[Spalte2]:[Spalte8]]),0)</f>
        <v>0</v>
      </c>
      <c r="D71" s="1936" t="e">
        <f>SUM('[8]Berechnungen BVerfG'!R71:T71)+'[8]Berechnungen BVerfG'!P71</f>
        <v>#REF!</v>
      </c>
    </row>
    <row r="72" spans="1:16">
      <c r="A72" s="1936" t="e">
        <f>IF(PflGesamt,IF(GesVersrgPfl,SUM([8]!Tabelle2[[#This Row],[Spalte2]:[Spalte8]]),0),0)</f>
        <v>#REF!</v>
      </c>
      <c r="B72" s="1936" t="e">
        <f>IF(BerGesamt,SUM('[8]Berechnungen BVerfG'!P72:R72)+'[8]Berechnungen BVerfG'!N72,0)</f>
        <v>#REF!</v>
      </c>
      <c r="C72" s="1936">
        <f>IF(GesVersrgPfl,SUM([8]!Tabelle2[[#This Row],[Spalte2]:[Spalte8]]),0)</f>
        <v>0</v>
      </c>
      <c r="D72" s="1936" t="e">
        <f>SUM('[8]Berechnungen BVerfG'!R72:T72)+'[8]Berechnungen BVerfG'!P72</f>
        <v>#REF!</v>
      </c>
    </row>
    <row r="73" spans="1:16">
      <c r="A73" s="1936" t="e">
        <f>IF(PflGesamt,IF(GesVersrgPfl,SUM([8]!Tabelle2[[#This Row],[Spalte2]:[Spalte8]]),0),0)</f>
        <v>#REF!</v>
      </c>
      <c r="B73" s="1936" t="e">
        <f>IF(BerGesamt,SUM('[8]Berechnungen BVerfG'!P73:R73)+'[8]Berechnungen BVerfG'!N73,0)</f>
        <v>#REF!</v>
      </c>
      <c r="C73" s="1936">
        <f>IF(GesVersrgPfl,SUM([8]!Tabelle2[[#This Row],[Spalte2]:[Spalte8]]),0)</f>
        <v>0</v>
      </c>
      <c r="D73" s="1936" t="e">
        <f>SUM('[8]Berechnungen BVerfG'!R73:T73)+'[8]Berechnungen BVerfG'!P73</f>
        <v>#REF!</v>
      </c>
    </row>
    <row r="74" spans="1:16">
      <c r="A74" s="1936" t="e">
        <f>IF(PflGesamt,IF(GesVersrgPfl,SUM([8]!Tabelle2[[#This Row],[Spalte2]:[Spalte8]]),0),0)</f>
        <v>#REF!</v>
      </c>
      <c r="B74" s="1936" t="e">
        <f>IF(BerGesamt,SUM('[8]Berechnungen BVerfG'!P74:R74)+'[8]Berechnungen BVerfG'!N74,0)</f>
        <v>#REF!</v>
      </c>
      <c r="C74" s="1936">
        <f>IF(GesVersrgPfl,SUM([8]!Tabelle2[[#This Row],[Spalte2]:[Spalte8]]),0)</f>
        <v>0</v>
      </c>
      <c r="D74" s="1936" t="e">
        <f>SUM('[8]Berechnungen BVerfG'!R74:T74)+'[8]Berechnungen BVerfG'!P74</f>
        <v>#REF!</v>
      </c>
    </row>
    <row r="75" spans="1:16">
      <c r="A75" s="1936" t="e">
        <f>IF(PflGesamt,IF(GesVersrgPfl,SUM([8]!Tabelle2[[#This Row],[Spalte2]:[Spalte8]]),0),0)</f>
        <v>#REF!</v>
      </c>
      <c r="B75" s="1936" t="e">
        <f>IF(BerGesamt,SUM('[8]Berechnungen BVerfG'!P75:R75)+'[8]Berechnungen BVerfG'!N75,0)</f>
        <v>#REF!</v>
      </c>
      <c r="C75" s="1936">
        <f>IF(GesVersrgPfl,SUM([8]!Tabelle2[[#This Row],[Spalte2]:[Spalte8]]),0)</f>
        <v>0</v>
      </c>
      <c r="D75" s="1936" t="e">
        <f>SUM('[8]Berechnungen BVerfG'!R75:T75)+'[8]Berechnungen BVerfG'!P75</f>
        <v>#REF!</v>
      </c>
    </row>
    <row r="76" spans="1:16">
      <c r="A76" s="1936" t="e">
        <f>IF(PflGesamt,IF(GesVersrgPfl,SUM([8]!Tabelle2[[#This Row],[Spalte2]:[Spalte8]]),0),0)</f>
        <v>#REF!</v>
      </c>
      <c r="B76" s="1936" t="e">
        <f>IF(BerGesamt,SUM('[8]Berechnungen BVerfG'!P76:R76)+'[8]Berechnungen BVerfG'!N76,0)</f>
        <v>#REF!</v>
      </c>
      <c r="C76" s="1936">
        <f>IF(GesVersrgPfl,SUM([8]!Tabelle2[[#This Row],[Spalte2]:[Spalte8]]),0)</f>
        <v>0</v>
      </c>
      <c r="D76" s="1936" t="e">
        <f>SUM('[8]Berechnungen BVerfG'!R76:T76)+'[8]Berechnungen BVerfG'!P76</f>
        <v>#REF!</v>
      </c>
    </row>
    <row r="77" spans="1:16">
      <c r="A77" s="1936" t="e">
        <f>IF(PflGesamt,IF(GesVersrgPfl,SUM([8]!Tabelle2[[#This Row],[Spalte2]:[Spalte8]]),0),0)</f>
        <v>#REF!</v>
      </c>
      <c r="B77" s="1936" t="e">
        <f>IF(BerGesamt,SUM('[8]Berechnungen BVerfG'!P77:R77)+'[8]Berechnungen BVerfG'!N77,0)</f>
        <v>#REF!</v>
      </c>
      <c r="C77" s="1936">
        <f>IF(GesVersrgPfl,SUM([8]!Tabelle2[[#This Row],[Spalte2]:[Spalte8]]),0)</f>
        <v>0</v>
      </c>
      <c r="D77" s="1936" t="e">
        <f>SUM('[8]Berechnungen BVerfG'!R77:T77)+'[8]Berechnungen BVerfG'!P77</f>
        <v>#REF!</v>
      </c>
    </row>
    <row r="78" spans="1:16">
      <c r="A78" s="1936" t="e">
        <f>IF(PflGesamt,IF(GesVersrgPfl,SUM([8]!Tabelle2[[#This Row],[Spalte2]:[Spalte8]]),0),0)</f>
        <v>#REF!</v>
      </c>
      <c r="B78" s="1936" t="e">
        <f>IF(BerGesamt,SUM('[8]Berechnungen BVerfG'!P78:R78)+'[8]Berechnungen BVerfG'!N78,0)</f>
        <v>#REF!</v>
      </c>
      <c r="C78" s="1936">
        <f>IF(GesVersrgPfl,SUM([8]!Tabelle2[[#This Row],[Spalte2]:[Spalte8]]),0)</f>
        <v>0</v>
      </c>
      <c r="D78" s="1936" t="e">
        <f>SUM('[8]Berechnungen BVerfG'!R78:T78)+'[8]Berechnungen BVerfG'!P78</f>
        <v>#REF!</v>
      </c>
    </row>
    <row r="79" spans="1:16">
      <c r="A79" s="1936" t="e">
        <f>IF(PflGesamt,IF(GesVersrgPfl,SUM([8]!Tabelle2[[#This Row],[Spalte2]:[Spalte8]]),0),0)</f>
        <v>#REF!</v>
      </c>
      <c r="B79" s="1936" t="e">
        <f>IF(BerGesamt,SUM('[8]Berechnungen BVerfG'!P79:R79)+'[8]Berechnungen BVerfG'!N79,0)</f>
        <v>#REF!</v>
      </c>
      <c r="C79" s="1936">
        <f>IF(GesVersrgPfl,SUM([8]!Tabelle2[[#This Row],[Spalte2]:[Spalte8]]),0)</f>
        <v>0</v>
      </c>
      <c r="D79" s="1936" t="e">
        <f>SUM('[8]Berechnungen BVerfG'!R79:T79)+'[8]Berechnungen BVerfG'!P79</f>
        <v>#REF!</v>
      </c>
    </row>
    <row r="80" spans="1:16">
      <c r="A80" s="1936" t="e">
        <f>IF(PflGesamt,IF(GesVersrgPfl,SUM([8]!Tabelle2[[#This Row],[Spalte2]:[Spalte8]]),0),0)</f>
        <v>#REF!</v>
      </c>
      <c r="B80" s="1936" t="e">
        <f>IF(BerGesamt,SUM('[8]Berechnungen BVerfG'!P80:R80)+'[8]Berechnungen BVerfG'!N80,0)</f>
        <v>#REF!</v>
      </c>
      <c r="C80" s="1936">
        <f>IF(GesVersrgPfl,SUM([8]!Tabelle2[[#This Row],[Spalte2]:[Spalte8]]),0)</f>
        <v>0</v>
      </c>
      <c r="D80" s="1936" t="e">
        <f>SUM('[8]Berechnungen BVerfG'!R80:T80)+'[8]Berechnungen BVerfG'!P80</f>
        <v>#REF!</v>
      </c>
    </row>
    <row r="81" spans="1:4">
      <c r="A81" s="1936" t="e">
        <f>IF(PflGesamt,IF(GesVersrgPfl,SUM([8]!Tabelle2[[#This Row],[Spalte2]:[Spalte8]]),0),0)</f>
        <v>#REF!</v>
      </c>
      <c r="B81" s="1936" t="e">
        <f>IF(BerGesamt,SUM('[8]Berechnungen BVerfG'!P81:R81)+'[8]Berechnungen BVerfG'!N81,0)</f>
        <v>#REF!</v>
      </c>
      <c r="C81" s="1936">
        <f>IF(GesVersrgPfl,SUM([8]!Tabelle2[[#This Row],[Spalte2]:[Spalte8]]),0)</f>
        <v>0</v>
      </c>
      <c r="D81" s="1936" t="e">
        <f>SUM('[8]Berechnungen BVerfG'!R81:T81)+'[8]Berechnungen BVerfG'!P81</f>
        <v>#REF!</v>
      </c>
    </row>
    <row r="82" spans="1:4">
      <c r="A82" s="1936" t="e">
        <f>IF(PflGesamt,IF(GesVersrgPfl,SUM([8]!Tabelle2[[#This Row],[Spalte2]:[Spalte8]]),0),0)</f>
        <v>#REF!</v>
      </c>
      <c r="B82" s="1936" t="e">
        <f>IF(BerGesamt,SUM('[8]Berechnungen BVerfG'!P82:R82)+'[8]Berechnungen BVerfG'!N82,0)</f>
        <v>#REF!</v>
      </c>
      <c r="C82" s="1936">
        <f>IF(GesVersrgPfl,SUM([8]!Tabelle2[[#This Row],[Spalte2]:[Spalte8]]),0)</f>
        <v>0</v>
      </c>
      <c r="D82" s="1936" t="e">
        <f>SUM('[8]Berechnungen BVerfG'!R82:T82)+'[8]Berechnungen BVerfG'!P82</f>
        <v>#REF!</v>
      </c>
    </row>
    <row r="83" spans="1:4">
      <c r="A83" s="1936" t="e">
        <f>IF(PflGesamt,IF(GesVersrgPfl,SUM([8]!Tabelle2[[#This Row],[Spalte2]:[Spalte8]]),0),0)</f>
        <v>#REF!</v>
      </c>
      <c r="B83" s="1936" t="e">
        <f>IF(BerGesamt,SUM('[8]Berechnungen BVerfG'!P83:R83)+'[8]Berechnungen BVerfG'!N83,0)</f>
        <v>#REF!</v>
      </c>
      <c r="C83" s="1936">
        <f>IF(GesVersrgPfl,SUM([8]!Tabelle2[[#This Row],[Spalte2]:[Spalte8]]),0)</f>
        <v>0</v>
      </c>
      <c r="D83" s="1936" t="e">
        <f>SUM('[8]Berechnungen BVerfG'!R83:T83)+'[8]Berechnungen BVerfG'!P83</f>
        <v>#REF!</v>
      </c>
    </row>
    <row r="84" spans="1:4">
      <c r="A84" s="1936" t="e">
        <f>IF(PflGesamt,IF(GesVersrgPfl,SUM([8]!Tabelle2[[#This Row],[Spalte2]:[Spalte8]]),0),0)</f>
        <v>#REF!</v>
      </c>
      <c r="B84" s="1936" t="e">
        <f>IF(BerGesamt,SUM('[8]Berechnungen BVerfG'!P84:R84)+'[8]Berechnungen BVerfG'!N84,0)</f>
        <v>#REF!</v>
      </c>
      <c r="C84" s="1936">
        <f>IF(GesVersrgPfl,SUM([8]!Tabelle2[[#This Row],[Spalte2]:[Spalte8]]),0)</f>
        <v>0</v>
      </c>
      <c r="D84" s="1936" t="e">
        <f>SUM('[8]Berechnungen BVerfG'!R84:T84)+'[8]Berechnungen BVerfG'!P84</f>
        <v>#REF!</v>
      </c>
    </row>
    <row r="85" spans="1:4">
      <c r="A85" s="1936" t="e">
        <f>IF(PflGesamt,IF(GesVersrgPfl,SUM([8]!Tabelle2[[#This Row],[Spalte2]:[Spalte8]]),0),0)</f>
        <v>#REF!</v>
      </c>
      <c r="B85" s="1936" t="e">
        <f>IF(BerGesamt,SUM('[8]Berechnungen BVerfG'!P85:R85)+'[8]Berechnungen BVerfG'!N85,0)</f>
        <v>#REF!</v>
      </c>
      <c r="C85" s="1936">
        <f>IF(GesVersrgPfl,SUM([8]!Tabelle2[[#This Row],[Spalte2]:[Spalte8]]),0)</f>
        <v>0</v>
      </c>
      <c r="D85" s="1936" t="e">
        <f>SUM('[8]Berechnungen BVerfG'!R85:T85)+'[8]Berechnungen BVerfG'!P85</f>
        <v>#REF!</v>
      </c>
    </row>
    <row r="86" spans="1:4">
      <c r="A86" s="1936" t="e">
        <f>IF(PflGesamt,IF(GesVersrgPfl,SUM([8]!Tabelle2[[#This Row],[Spalte2]:[Spalte8]]),0),0)</f>
        <v>#REF!</v>
      </c>
      <c r="B86" s="1936" t="e">
        <f>IF(BerGesamt,SUM('[8]Berechnungen BVerfG'!P86:R86)+'[8]Berechnungen BVerfG'!N86,0)</f>
        <v>#REF!</v>
      </c>
      <c r="C86" s="1936">
        <f>IF(GesVersrgPfl,SUM([8]!Tabelle2[[#This Row],[Spalte2]:[Spalte8]]),0)</f>
        <v>0</v>
      </c>
      <c r="D86" s="1936" t="e">
        <f>SUM('[8]Berechnungen BVerfG'!R86:T86)+'[8]Berechnungen BVerfG'!P86</f>
        <v>#REF!</v>
      </c>
    </row>
    <row r="87" spans="1:4">
      <c r="A87" s="1936" t="e">
        <f>IF(PflGesamt,IF(GesVersrgPfl,SUM([8]!Tabelle2[[#This Row],[Spalte2]:[Spalte8]]),0),0)</f>
        <v>#REF!</v>
      </c>
      <c r="B87" s="1936" t="e">
        <f>IF(BerGesamt,SUM('[8]Berechnungen BVerfG'!P87:R87)+'[8]Berechnungen BVerfG'!N87,0)</f>
        <v>#REF!</v>
      </c>
      <c r="C87" s="1936">
        <f>IF(GesVersrgPfl,SUM([8]!Tabelle2[[#This Row],[Spalte2]:[Spalte8]]),0)</f>
        <v>0</v>
      </c>
      <c r="D87" s="1936" t="e">
        <f>SUM('[8]Berechnungen BVerfG'!R87:T87)+'[8]Berechnungen BVerfG'!P87</f>
        <v>#REF!</v>
      </c>
    </row>
    <row r="88" spans="1:4">
      <c r="A88" s="1936" t="e">
        <f>IF(PflGesamt,IF(GesVersrgPfl,SUM([8]!Tabelle2[[#This Row],[Spalte2]:[Spalte8]]),0),0)</f>
        <v>#REF!</v>
      </c>
      <c r="B88" s="1936" t="e">
        <f>IF(BerGesamt,SUM('[8]Berechnungen BVerfG'!P88:R88)+'[8]Berechnungen BVerfG'!N88,0)</f>
        <v>#REF!</v>
      </c>
      <c r="C88" s="1936">
        <f>IF(GesVersrgPfl,SUM([8]!Tabelle2[[#This Row],[Spalte2]:[Spalte8]]),0)</f>
        <v>0</v>
      </c>
      <c r="D88" s="1936" t="e">
        <f>SUM('[8]Berechnungen BVerfG'!R88:T88)+'[8]Berechnungen BVerfG'!P88</f>
        <v>#REF!</v>
      </c>
    </row>
    <row r="89" spans="1:4">
      <c r="A89" s="1936" t="e">
        <f>IF(PflGesamt,IF(GesVersrgPfl,SUM([8]!Tabelle2[[#This Row],[Spalte2]:[Spalte8]]),0),0)</f>
        <v>#REF!</v>
      </c>
      <c r="B89" s="1936" t="e">
        <f>IF(BerGesamt,SUM('[8]Berechnungen BVerfG'!P89:R89)+'[8]Berechnungen BVerfG'!N89,0)</f>
        <v>#REF!</v>
      </c>
      <c r="C89" s="1936">
        <f>IF(GesVersrgPfl,SUM([8]!Tabelle2[[#This Row],[Spalte2]:[Spalte8]]),0)</f>
        <v>0</v>
      </c>
      <c r="D89" s="1936" t="e">
        <f>SUM('[8]Berechnungen BVerfG'!R89:T89)+'[8]Berechnungen BVerfG'!P89</f>
        <v>#REF!</v>
      </c>
    </row>
    <row r="90" spans="1:4">
      <c r="A90" s="1936" t="e">
        <f>IF(PflGesamt,IF(GesVersrgPfl,SUM([8]!Tabelle2[[#This Row],[Spalte2]:[Spalte8]]),0),0)</f>
        <v>#REF!</v>
      </c>
      <c r="B90" s="1936" t="e">
        <f>IF(BerGesamt,SUM('[8]Berechnungen BVerfG'!P90:R90)+'[8]Berechnungen BVerfG'!N90,0)</f>
        <v>#REF!</v>
      </c>
      <c r="C90" s="1936">
        <f>IF(GesVersrgPfl,SUM([8]!Tabelle2[[#This Row],[Spalte2]:[Spalte8]]),0)</f>
        <v>0</v>
      </c>
      <c r="D90" s="1936" t="e">
        <f>SUM('[8]Berechnungen BVerfG'!R90:T90)+'[8]Berechnungen BVerfG'!P90</f>
        <v>#REF!</v>
      </c>
    </row>
    <row r="91" spans="1:4">
      <c r="A91" s="1936" t="e">
        <f>IF(PflGesamt,IF(GesVersrgPfl,SUM([8]!Tabelle2[[#This Row],[Spalte2]:[Spalte8]]),0),0)</f>
        <v>#REF!</v>
      </c>
      <c r="B91" s="1936" t="e">
        <f>IF(BerGesamt,SUM('[8]Berechnungen BVerfG'!P91:R91)+'[8]Berechnungen BVerfG'!N91,0)</f>
        <v>#REF!</v>
      </c>
      <c r="C91" s="1936">
        <f>IF(GesVersrgPfl,SUM([8]!Tabelle2[[#This Row],[Spalte2]:[Spalte8]]),0)</f>
        <v>0</v>
      </c>
      <c r="D91" s="1936" t="e">
        <f>SUM('[8]Berechnungen BVerfG'!R91:T91)+'[8]Berechnungen BVerfG'!P91</f>
        <v>#REF!</v>
      </c>
    </row>
    <row r="92" spans="1:4">
      <c r="A92" s="1936" t="e">
        <f>IF(PflGesamt,IF(GesVersrgPfl,SUM([8]!Tabelle2[[#This Row],[Spalte2]:[Spalte8]]),0),0)</f>
        <v>#REF!</v>
      </c>
      <c r="B92" s="1936" t="e">
        <f>IF(BerGesamt,SUM('[8]Berechnungen BVerfG'!P92:R92)+'[8]Berechnungen BVerfG'!N92,0)</f>
        <v>#REF!</v>
      </c>
      <c r="C92" s="1936">
        <f>IF(GesVersrgPfl,SUM([8]!Tabelle2[[#This Row],[Spalte2]:[Spalte8]]),0)</f>
        <v>0</v>
      </c>
      <c r="D92" s="1936" t="e">
        <f>SUM('[8]Berechnungen BVerfG'!R92:T92)+'[8]Berechnungen BVerfG'!P92</f>
        <v>#REF!</v>
      </c>
    </row>
    <row r="93" spans="1:4">
      <c r="A93" s="1936" t="e">
        <f>IF(PflGesamt,IF(GesVersrgPfl,SUM([8]!Tabelle2[[#This Row],[Spalte2]:[Spalte8]]),0),0)</f>
        <v>#REF!</v>
      </c>
      <c r="B93" s="1936" t="e">
        <f>IF(BerGesamt,SUM('[8]Berechnungen BVerfG'!P93:R93)+'[8]Berechnungen BVerfG'!N93,0)</f>
        <v>#REF!</v>
      </c>
      <c r="C93" s="1936">
        <f>IF(GesVersrgPfl,SUM([8]!Tabelle2[[#This Row],[Spalte2]:[Spalte8]]),0)</f>
        <v>0</v>
      </c>
      <c r="D93" s="1936" t="e">
        <f>SUM('[8]Berechnungen BVerfG'!R93:T93)+'[8]Berechnungen BVerfG'!P93</f>
        <v>#REF!</v>
      </c>
    </row>
    <row r="94" spans="1:4">
      <c r="A94" s="1936" t="e">
        <f>IF(PflGesamt,IF(GesVersrgPfl,SUM([8]!Tabelle2[[#This Row],[Spalte2]:[Spalte8]]),0),0)</f>
        <v>#REF!</v>
      </c>
      <c r="B94" s="1936" t="e">
        <f>IF(BerGesamt,SUM('[8]Berechnungen BVerfG'!P94:R94)+'[8]Berechnungen BVerfG'!N94,0)</f>
        <v>#REF!</v>
      </c>
      <c r="C94" s="1936">
        <f>IF(GesVersrgPfl,SUM([8]!Tabelle2[[#This Row],[Spalte2]:[Spalte8]]),0)</f>
        <v>0</v>
      </c>
      <c r="D94" s="1936"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35" t="s">
        <v>1876</v>
      </c>
    </row>
    <row r="17" spans="2:2">
      <c r="B17" s="236"/>
    </row>
    <row r="18" spans="2:2">
      <c r="B18" s="1936" t="e">
        <f>IF(BerGesamt,SUM('[8]Berechnungen BVerfG'!P18:R18)+'[8]Berechnungen BVerfG'!N18,0)</f>
        <v>#REF!</v>
      </c>
    </row>
    <row r="19" spans="2:2">
      <c r="B19" s="1936" t="e">
        <f>IF(BerGesamt,SUM('[8]Berechnungen BVerfG'!P19:R19)+'[8]Berechnungen BVerfG'!N19,0)</f>
        <v>#REF!</v>
      </c>
    </row>
    <row r="20" spans="2:2">
      <c r="B20" s="1936" t="e">
        <f>IF(BerGesamt,SUM('[8]Berechnungen BVerfG'!P20:R20)+'[8]Berechnungen BVerfG'!N20,0)</f>
        <v>#REF!</v>
      </c>
    </row>
    <row r="21" spans="2:2">
      <c r="B21" s="1936" t="e">
        <f>IF(BerGesamt,SUM('[8]Berechnungen BVerfG'!P21:R21)+'[8]Berechnungen BVerfG'!N21,0)</f>
        <v>#REF!</v>
      </c>
    </row>
    <row r="22" spans="2:2">
      <c r="B22" s="1936" t="e">
        <f>IF(BerGesamt,SUM('[8]Berechnungen BVerfG'!P22:R22)+'[8]Berechnungen BVerfG'!N22,0)</f>
        <v>#REF!</v>
      </c>
    </row>
    <row r="23" spans="2:2">
      <c r="B23" s="1936" t="e">
        <f>IF(BerGesamt,SUM('[8]Berechnungen BVerfG'!P23:R23)+'[8]Berechnungen BVerfG'!N23,0)</f>
        <v>#REF!</v>
      </c>
    </row>
    <row r="24" spans="2:2">
      <c r="B24" s="1936" t="e">
        <f>IF(BerGesamt,SUM('[8]Berechnungen BVerfG'!P24:R24)+'[8]Berechnungen BVerfG'!N24,0)</f>
        <v>#REF!</v>
      </c>
    </row>
    <row r="25" spans="2:2">
      <c r="B25" s="1936" t="e">
        <f>IF(BerGesamt,SUM('[8]Berechnungen BVerfG'!P25:R25)+'[8]Berechnungen BVerfG'!N25,0)</f>
        <v>#REF!</v>
      </c>
    </row>
    <row r="26" spans="2:2">
      <c r="B26" s="1936" t="e">
        <f>IF(BerGesamt,SUM('[8]Berechnungen BVerfG'!P26:R26)+'[8]Berechnungen BVerfG'!N26,0)</f>
        <v>#REF!</v>
      </c>
    </row>
    <row r="27" spans="2:2">
      <c r="B27" s="1936" t="e">
        <f>IF(BerGesamt,SUM('[8]Berechnungen BVerfG'!P27:R27)+'[8]Berechnungen BVerfG'!N27,0)</f>
        <v>#REF!</v>
      </c>
    </row>
    <row r="28" spans="2:2">
      <c r="B28" s="1936" t="e">
        <f>IF(BerGesamt,SUM('[8]Berechnungen BVerfG'!P28:R28)+'[8]Berechnungen BVerfG'!N28,0)</f>
        <v>#REF!</v>
      </c>
    </row>
    <row r="29" spans="2:2">
      <c r="B29" s="1936" t="e">
        <f>IF(BerGesamt,SUM('[8]Berechnungen BVerfG'!P29:R29)+'[8]Berechnungen BVerfG'!N29,0)</f>
        <v>#REF!</v>
      </c>
    </row>
    <row r="30" spans="2:2">
      <c r="B30" s="1936" t="e">
        <f>IF(BerGesamt,SUM('[8]Berechnungen BVerfG'!P30:R30)+'[8]Berechnungen BVerfG'!N30,0)</f>
        <v>#REF!</v>
      </c>
    </row>
    <row r="31" spans="2:2">
      <c r="B31" s="1936" t="e">
        <f>IF(BerGesamt,SUM('[8]Berechnungen BVerfG'!P31:R31)+'[8]Berechnungen BVerfG'!N31,0)</f>
        <v>#REF!</v>
      </c>
    </row>
    <row r="32" spans="2:2">
      <c r="B32" s="1936" t="e">
        <f>IF(BerGesamt,SUM('[8]Berechnungen BVerfG'!P32:R32)+'[8]Berechnungen BVerfG'!N32,0)</f>
        <v>#REF!</v>
      </c>
    </row>
    <row r="33" spans="2:2">
      <c r="B33" s="1936" t="e">
        <f>IF(BerGesamt,SUM('[8]Berechnungen BVerfG'!P33:R33)+'[8]Berechnungen BVerfG'!N33,0)</f>
        <v>#REF!</v>
      </c>
    </row>
    <row r="34" spans="2:2">
      <c r="B34" s="1936" t="e">
        <f>IF(BerGesamt,SUM('[8]Berechnungen BVerfG'!P34:R34)+'[8]Berechnungen BVerfG'!N34,0)</f>
        <v>#REF!</v>
      </c>
    </row>
    <row r="35" spans="2:2">
      <c r="B35" s="1936" t="e">
        <f>IF(BerGesamt,SUM('[8]Berechnungen BVerfG'!P35:R35)+'[8]Berechnungen BVerfG'!N35,0)</f>
        <v>#REF!</v>
      </c>
    </row>
    <row r="36" spans="2:2">
      <c r="B36" s="1936" t="e">
        <f>IF(BerGesamt,SUM('[8]Berechnungen BVerfG'!P36:R36)+'[8]Berechnungen BVerfG'!N36,0)</f>
        <v>#REF!</v>
      </c>
    </row>
    <row r="37" spans="2:2">
      <c r="B37" s="1936" t="e">
        <f>IF(BerGesamt,SUM('[8]Berechnungen BVerfG'!P37:R37)+'[8]Berechnungen BVerfG'!N37,0)</f>
        <v>#REF!</v>
      </c>
    </row>
    <row r="38" spans="2:2">
      <c r="B38" s="1936" t="e">
        <f>IF(BerGesamt,SUM('[8]Berechnungen BVerfG'!P38:R38)+'[8]Berechnungen BVerfG'!N38,0)</f>
        <v>#REF!</v>
      </c>
    </row>
    <row r="39" spans="2:2">
      <c r="B39" s="1936" t="e">
        <f>IF(BerGesamt,SUM('[8]Berechnungen BVerfG'!P39:R39)+'[8]Berechnungen BVerfG'!N39,0)</f>
        <v>#REF!</v>
      </c>
    </row>
    <row r="40" spans="2:2">
      <c r="B40" s="1936" t="e">
        <f>IF(BerGesamt,SUM('[8]Berechnungen BVerfG'!P40:R40)+'[8]Berechnungen BVerfG'!N40,0)</f>
        <v>#REF!</v>
      </c>
    </row>
    <row r="41" spans="2:2">
      <c r="B41" s="1936" t="e">
        <f>IF(BerGesamt,SUM('[8]Berechnungen BVerfG'!P41:R41)+'[8]Berechnungen BVerfG'!N41,0)</f>
        <v>#REF!</v>
      </c>
    </row>
    <row r="42" spans="2:2">
      <c r="B42" s="1936" t="e">
        <f>IF(BerGesamt,SUM('[8]Berechnungen BVerfG'!P42:R42)+'[8]Berechnungen BVerfG'!N42,0)</f>
        <v>#REF!</v>
      </c>
    </row>
    <row r="43" spans="2:2">
      <c r="B43" s="1936" t="e">
        <f>IF(BerGesamt,SUM('[8]Berechnungen BVerfG'!P43:R43)+'[8]Berechnungen BVerfG'!N43,0)</f>
        <v>#REF!</v>
      </c>
    </row>
    <row r="44" spans="2:2">
      <c r="B44" s="1936" t="e">
        <f>IF(BerGesamt,SUM('[8]Berechnungen BVerfG'!P44:R44)+'[8]Berechnungen BVerfG'!N44,0)</f>
        <v>#REF!</v>
      </c>
    </row>
    <row r="45" spans="2:2">
      <c r="B45" s="1936" t="e">
        <f>IF(BerGesamt,SUM('[8]Berechnungen BVerfG'!P45:R45)+'[8]Berechnungen BVerfG'!N45,0)</f>
        <v>#REF!</v>
      </c>
    </row>
    <row r="46" spans="2:2">
      <c r="B46" s="1936" t="e">
        <f>IF(BerGesamt,SUM('[8]Berechnungen BVerfG'!P46:R46)+'[8]Berechnungen BVerfG'!N46,0)</f>
        <v>#REF!</v>
      </c>
    </row>
    <row r="47" spans="2:2">
      <c r="B47" s="1936" t="e">
        <f>IF(BerGesamt,SUM('[8]Berechnungen BVerfG'!P47:R47)+'[8]Berechnungen BVerfG'!N47,0)</f>
        <v>#REF!</v>
      </c>
    </row>
    <row r="48" spans="2:2">
      <c r="B48" s="1936" t="e">
        <f>IF(BerGesamt,SUM('[8]Berechnungen BVerfG'!P48:R48)+'[8]Berechnungen BVerfG'!N48,0)</f>
        <v>#REF!</v>
      </c>
    </row>
    <row r="49" spans="2:2">
      <c r="B49" s="1936" t="e">
        <f>IF(BerGesamt,SUM('[8]Berechnungen BVerfG'!P49:R49)+'[8]Berechnungen BVerfG'!N49,0)</f>
        <v>#REF!</v>
      </c>
    </row>
    <row r="50" spans="2:2">
      <c r="B50" s="1936" t="e">
        <f>IF(BerGesamt,SUM('[8]Berechnungen BVerfG'!P50:R50)+'[8]Berechnungen BVerfG'!N50,0)</f>
        <v>#REF!</v>
      </c>
    </row>
    <row r="51" spans="2:2">
      <c r="B51" s="1936" t="e">
        <f>IF(BerGesamt,SUM('[8]Berechnungen BVerfG'!P51:R51)+'[8]Berechnungen BVerfG'!N51,0)</f>
        <v>#REF!</v>
      </c>
    </row>
    <row r="52" spans="2:2">
      <c r="B52" s="1936" t="e">
        <f>IF(BerGesamt,SUM('[8]Berechnungen BVerfG'!P52:R52)+'[8]Berechnungen BVerfG'!N52,0)</f>
        <v>#REF!</v>
      </c>
    </row>
    <row r="53" spans="2:2">
      <c r="B53" s="1936" t="e">
        <f>IF(BerGesamt,SUM('[8]Berechnungen BVerfG'!P53:R53)+'[8]Berechnungen BVerfG'!N53,0)</f>
        <v>#REF!</v>
      </c>
    </row>
    <row r="54" spans="2:2">
      <c r="B54" s="1936" t="e">
        <f>IF(BerGesamt,SUM('[8]Berechnungen BVerfG'!P54:R54)+'[8]Berechnungen BVerfG'!N54,0)</f>
        <v>#REF!</v>
      </c>
    </row>
    <row r="55" spans="2:2">
      <c r="B55" s="1936" t="e">
        <f>IF(BerGesamt,SUM('[8]Berechnungen BVerfG'!P55:R55)+'[8]Berechnungen BVerfG'!N55,0)</f>
        <v>#REF!</v>
      </c>
    </row>
    <row r="56" spans="2:2">
      <c r="B56" s="1936" t="e">
        <f>IF(BerGesamt,SUM('[8]Berechnungen BVerfG'!P56:R56)+'[8]Berechnungen BVerfG'!N56,0)</f>
        <v>#REF!</v>
      </c>
    </row>
    <row r="57" spans="2:2">
      <c r="B57" s="1936" t="e">
        <f>IF(BerGesamt,SUM('[8]Berechnungen BVerfG'!P57:R57)+'[8]Berechnungen BVerfG'!N57,0)</f>
        <v>#REF!</v>
      </c>
    </row>
    <row r="58" spans="2:2">
      <c r="B58" s="1936" t="e">
        <f>IF(BerGesamt,SUM('[8]Berechnungen BVerfG'!P58:R58)+'[8]Berechnungen BVerfG'!N58,0)</f>
        <v>#REF!</v>
      </c>
    </row>
    <row r="59" spans="2:2">
      <c r="B59" s="1936" t="e">
        <f>IF(BerGesamt,SUM('[8]Berechnungen BVerfG'!P59:R59)+'[8]Berechnungen BVerfG'!N59,0)</f>
        <v>#REF!</v>
      </c>
    </row>
    <row r="60" spans="2:2">
      <c r="B60" s="1936" t="e">
        <f>IF(BerGesamt,SUM('[8]Berechnungen BVerfG'!P60:R60)+'[8]Berechnungen BVerfG'!N60,0)</f>
        <v>#REF!</v>
      </c>
    </row>
    <row r="61" spans="2:2">
      <c r="B61" s="1936" t="e">
        <f>IF(BerGesamt,SUM('[8]Berechnungen BVerfG'!P61:R61)+'[8]Berechnungen BVerfG'!N61,0)</f>
        <v>#REF!</v>
      </c>
    </row>
    <row r="62" spans="2:2">
      <c r="B62" s="1936" t="e">
        <f>IF(BerGesamt,SUM('[8]Berechnungen BVerfG'!P62:R62)+'[8]Berechnungen BVerfG'!N62,0)</f>
        <v>#REF!</v>
      </c>
    </row>
    <row r="63" spans="2:2">
      <c r="B63" s="1936" t="e">
        <f>IF(BerGesamt,SUM('[8]Berechnungen BVerfG'!P63:R63)+'[8]Berechnungen BVerfG'!N63,0)</f>
        <v>#REF!</v>
      </c>
    </row>
    <row r="64" spans="2:2">
      <c r="B64" s="1936" t="e">
        <f>IF(BerGesamt,SUM('[8]Berechnungen BVerfG'!P64:R64)+'[8]Berechnungen BVerfG'!N64,0)</f>
        <v>#REF!</v>
      </c>
    </row>
    <row r="65" spans="2:2">
      <c r="B65" s="1936" t="e">
        <f>IF(BerGesamt,SUM('[8]Berechnungen BVerfG'!P65:R65)+'[8]Berechnungen BVerfG'!N65,0)</f>
        <v>#REF!</v>
      </c>
    </row>
    <row r="66" spans="2:2">
      <c r="B66" s="1936" t="e">
        <f>IF(BerGesamt,SUM('[8]Berechnungen BVerfG'!P66:R66)+'[8]Berechnungen BVerfG'!N66,0)</f>
        <v>#REF!</v>
      </c>
    </row>
    <row r="67" spans="2:2">
      <c r="B67" s="1936" t="e">
        <f>IF(BerGesamt,SUM('[8]Berechnungen BVerfG'!P67:R67)+'[8]Berechnungen BVerfG'!N67,0)</f>
        <v>#REF!</v>
      </c>
    </row>
    <row r="68" spans="2:2">
      <c r="B68" s="1936" t="e">
        <f>IF(BerGesamt,SUM('[8]Berechnungen BVerfG'!P68:R68)+'[8]Berechnungen BVerfG'!N68,0)</f>
        <v>#REF!</v>
      </c>
    </row>
    <row r="69" spans="2:2">
      <c r="B69" s="1936" t="e">
        <f>IF(BerGesamt,SUM('[8]Berechnungen BVerfG'!P69:R69)+'[8]Berechnungen BVerfG'!N69,0)</f>
        <v>#REF!</v>
      </c>
    </row>
    <row r="70" spans="2:2">
      <c r="B70" s="1936" t="e">
        <f>IF(BerGesamt,SUM('[8]Berechnungen BVerfG'!P70:R70)+'[8]Berechnungen BVerfG'!N70,0)</f>
        <v>#REF!</v>
      </c>
    </row>
    <row r="71" spans="2:2">
      <c r="B71" s="1936" t="e">
        <f>IF(BerGesamt,SUM('[8]Berechnungen BVerfG'!P71:R71)+'[8]Berechnungen BVerfG'!N71,0)</f>
        <v>#REF!</v>
      </c>
    </row>
    <row r="72" spans="2:2">
      <c r="B72" s="1936" t="e">
        <f>IF(BerGesamt,SUM('[8]Berechnungen BVerfG'!P72:R72)+'[8]Berechnungen BVerfG'!N72,0)</f>
        <v>#REF!</v>
      </c>
    </row>
    <row r="73" spans="2:2">
      <c r="B73" s="1936" t="e">
        <f>IF(BerGesamt,SUM('[8]Berechnungen BVerfG'!P73:R73)+'[8]Berechnungen BVerfG'!N73,0)</f>
        <v>#REF!</v>
      </c>
    </row>
    <row r="74" spans="2:2">
      <c r="B74" s="1936" t="e">
        <f>IF(BerGesamt,SUM('[8]Berechnungen BVerfG'!P74:R74)+'[8]Berechnungen BVerfG'!N74,0)</f>
        <v>#REF!</v>
      </c>
    </row>
    <row r="75" spans="2:2">
      <c r="B75" s="1936" t="e">
        <f>IF(BerGesamt,SUM('[8]Berechnungen BVerfG'!P75:R75)+'[8]Berechnungen BVerfG'!N75,0)</f>
        <v>#REF!</v>
      </c>
    </row>
    <row r="76" spans="2:2">
      <c r="B76" s="1936" t="e">
        <f>IF(BerGesamt,SUM('[8]Berechnungen BVerfG'!P76:R76)+'[8]Berechnungen BVerfG'!N76,0)</f>
        <v>#REF!</v>
      </c>
    </row>
    <row r="77" spans="2:2">
      <c r="B77" s="1936" t="e">
        <f>IF(BerGesamt,SUM('[8]Berechnungen BVerfG'!P77:R77)+'[8]Berechnungen BVerfG'!N77,0)</f>
        <v>#REF!</v>
      </c>
    </row>
    <row r="78" spans="2:2">
      <c r="B78" s="1936" t="e">
        <f>IF(BerGesamt,SUM('[8]Berechnungen BVerfG'!P78:R78)+'[8]Berechnungen BVerfG'!N78,0)</f>
        <v>#REF!</v>
      </c>
    </row>
    <row r="79" spans="2:2">
      <c r="B79" s="1936" t="e">
        <f>IF(BerGesamt,SUM('[8]Berechnungen BVerfG'!P79:R79)+'[8]Berechnungen BVerfG'!N79,0)</f>
        <v>#REF!</v>
      </c>
    </row>
    <row r="80" spans="2:2">
      <c r="B80" s="1936" t="e">
        <f>IF(BerGesamt,SUM('[8]Berechnungen BVerfG'!P80:R80)+'[8]Berechnungen BVerfG'!N80,0)</f>
        <v>#REF!</v>
      </c>
    </row>
    <row r="81" spans="2:2">
      <c r="B81" s="1936" t="e">
        <f>IF(BerGesamt,SUM('[8]Berechnungen BVerfG'!P81:R81)+'[8]Berechnungen BVerfG'!N81,0)</f>
        <v>#REF!</v>
      </c>
    </row>
    <row r="82" spans="2:2">
      <c r="B82" s="1936" t="e">
        <f>IF(BerGesamt,SUM('[8]Berechnungen BVerfG'!P82:R82)+'[8]Berechnungen BVerfG'!N82,0)</f>
        <v>#REF!</v>
      </c>
    </row>
    <row r="83" spans="2:2">
      <c r="B83" s="1936" t="e">
        <f>IF(BerGesamt,SUM('[8]Berechnungen BVerfG'!P83:R83)+'[8]Berechnungen BVerfG'!N83,0)</f>
        <v>#REF!</v>
      </c>
    </row>
    <row r="84" spans="2:2">
      <c r="B84" s="1936" t="e">
        <f>IF(BerGesamt,SUM('[8]Berechnungen BVerfG'!P84:R84)+'[8]Berechnungen BVerfG'!N84,0)</f>
        <v>#REF!</v>
      </c>
    </row>
    <row r="85" spans="2:2">
      <c r="B85" s="1936" t="e">
        <f>IF(BerGesamt,SUM('[8]Berechnungen BVerfG'!P85:R85)+'[8]Berechnungen BVerfG'!N85,0)</f>
        <v>#REF!</v>
      </c>
    </row>
    <row r="86" spans="2:2">
      <c r="B86" s="1936" t="e">
        <f>IF(BerGesamt,SUM('[8]Berechnungen BVerfG'!P86:R86)+'[8]Berechnungen BVerfG'!N86,0)</f>
        <v>#REF!</v>
      </c>
    </row>
    <row r="87" spans="2:2">
      <c r="B87" s="1936" t="e">
        <f>IF(BerGesamt,SUM('[8]Berechnungen BVerfG'!P87:R87)+'[8]Berechnungen BVerfG'!N87,0)</f>
        <v>#REF!</v>
      </c>
    </row>
    <row r="88" spans="2:2">
      <c r="B88" s="1936" t="e">
        <f>IF(BerGesamt,SUM('[8]Berechnungen BVerfG'!P88:R88)+'[8]Berechnungen BVerfG'!N88,0)</f>
        <v>#REF!</v>
      </c>
    </row>
    <row r="89" spans="2:2">
      <c r="B89" s="1936" t="e">
        <f>IF(BerGesamt,SUM('[8]Berechnungen BVerfG'!P89:R89)+'[8]Berechnungen BVerfG'!N89,0)</f>
        <v>#REF!</v>
      </c>
    </row>
    <row r="90" spans="2:2">
      <c r="B90" s="1936" t="e">
        <f>IF(BerGesamt,SUM('[8]Berechnungen BVerfG'!P90:R90)+'[8]Berechnungen BVerfG'!N90,0)</f>
        <v>#REF!</v>
      </c>
    </row>
    <row r="91" spans="2:2">
      <c r="B91" s="1936" t="e">
        <f>IF(BerGesamt,SUM('[8]Berechnungen BVerfG'!P91:R91)+'[8]Berechnungen BVerfG'!N91,0)</f>
        <v>#REF!</v>
      </c>
    </row>
    <row r="92" spans="2:2">
      <c r="B92" s="1936" t="e">
        <f>IF(BerGesamt,SUM('[8]Berechnungen BVerfG'!P92:R92)+'[8]Berechnungen BVerfG'!N92,0)</f>
        <v>#REF!</v>
      </c>
    </row>
    <row r="93" spans="2:2">
      <c r="B93" s="1936" t="e">
        <f>IF(BerGesamt,SUM('[8]Berechnungen BVerfG'!P93:R93)+'[8]Berechnungen BVerfG'!N93,0)</f>
        <v>#REF!</v>
      </c>
    </row>
    <row r="94" spans="2:2">
      <c r="B94" s="1936"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D17" sqref="D17:D18"/>
    </sheetView>
  </sheetViews>
  <sheetFormatPr baseColWidth="10" defaultColWidth="0" defaultRowHeight="14.25" zeroHeight="1"/>
  <cols>
    <col min="1" max="1" width="2.125" style="519" customWidth="1"/>
    <col min="2" max="2" width="72.125" style="208" customWidth="1"/>
    <col min="3" max="4" width="14.625" style="208" customWidth="1"/>
    <col min="5" max="5" width="15.625" style="209"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2998"/>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row>
    <row r="2" spans="1:42" ht="38.25" customHeight="1" thickBot="1">
      <c r="A2" s="1455">
        <v>1</v>
      </c>
      <c r="B2" s="1165" t="s">
        <v>1143</v>
      </c>
      <c r="C2" s="1164" t="s">
        <v>1144</v>
      </c>
      <c r="D2" s="3016" t="str">
        <f>"Zur Anzeige der Werte bitte die Check-Boxen für die einzelnen Versorgungen aktivieren"</f>
        <v>Zur Anzeige der Werte bitte die Check-Boxen für die einzelnen Versorgungen aktivieren</v>
      </c>
      <c r="E2" s="3017"/>
      <c r="F2" s="1792"/>
      <c r="G2" s="1792"/>
      <c r="H2" s="2999" t="s">
        <v>883</v>
      </c>
      <c r="I2" s="2999"/>
      <c r="J2" s="2999"/>
      <c r="K2" s="3000"/>
      <c r="L2" s="615"/>
      <c r="M2" s="66"/>
      <c r="N2" s="66" t="s">
        <v>855</v>
      </c>
      <c r="O2" s="66" t="s">
        <v>1479</v>
      </c>
      <c r="P2" s="656"/>
      <c r="Q2" s="656"/>
      <c r="R2" s="656" t="s">
        <v>217</v>
      </c>
      <c r="T2" t="s">
        <v>21</v>
      </c>
      <c r="U2" t="s">
        <v>61</v>
      </c>
      <c r="V2" s="656"/>
      <c r="W2" s="656"/>
      <c r="X2" s="656"/>
      <c r="AA2" s="3014" t="s">
        <v>877</v>
      </c>
      <c r="AC2" s="763"/>
    </row>
    <row r="3" spans="1:42" ht="45" customHeight="1" thickBot="1">
      <c r="A3" s="1456">
        <v>2</v>
      </c>
      <c r="B3" s="1156" t="s">
        <v>1145</v>
      </c>
      <c r="C3" s="974" t="s">
        <v>382</v>
      </c>
      <c r="D3" s="504" t="s">
        <v>2036</v>
      </c>
      <c r="E3" s="688" t="str">
        <f>"DRV"&amp;CHAR(10)&amp;IF(SUM(K4:K5)&gt;0,"",IF(E6+K4+K5&gt;0,"manuell eingegeben"," aus "&amp;IF(E20&gt;0,TEXT(IF(D21&gt;0,D21,D20),"#.###.##0 €"),"")))</f>
        <v>DRV
 aus 0 €</v>
      </c>
      <c r="F3" s="704" t="str">
        <f>"VerAusglK"&amp;IF(_xlfn.ISFORMULA(Adaequanz_RentenhoeheVersAusglK),"",IF(VersAusglKJa,IF(Adaequanz_RentenhoeheVersAusglK&gt;0," aus "&amp;TEXT(IF(Adaequanz_AusglWertQuelle&gt;0,Adaequanz_AusglWertQuelle,Adaequanz_errechneterKapWert),"#.##0,00 €"),""),""))</f>
        <v>VerAusglK</v>
      </c>
      <c r="G3" s="505" t="s">
        <v>1632</v>
      </c>
      <c r="H3" s="1056" t="s">
        <v>884</v>
      </c>
      <c r="I3" s="764"/>
      <c r="J3" s="597" t="s">
        <v>583</v>
      </c>
      <c r="K3" s="598" t="s">
        <v>584</v>
      </c>
      <c r="L3" s="25"/>
      <c r="M3" s="66" t="s">
        <v>570</v>
      </c>
      <c r="N3" s="66">
        <f>YEAR(Adaequanz_GebDat)+IF(MONTH(Adaequanz_GebDat)&gt;6,1,0)</f>
        <v>1900</v>
      </c>
      <c r="O3" s="66">
        <f>+VersGebJahrgPfl-1900+2</f>
        <v>2</v>
      </c>
      <c r="R3" t="s">
        <v>263</v>
      </c>
      <c r="S3" t="s">
        <v>1017</v>
      </c>
      <c r="T3" s="149" t="e">
        <f>VLOOKUP(YEAR(B_Dat),MonatlicheBezugsgröße,4)</f>
        <v>#VALUE!</v>
      </c>
      <c r="U3" s="149" t="e">
        <f>VLOOKUP(YEAR(B_Dat),MonatlicheBezugsgröße,5)</f>
        <v>#VALUE!</v>
      </c>
      <c r="AA3" s="3015"/>
      <c r="AB3" s="2002"/>
    </row>
    <row r="4" spans="1:42" ht="17.100000000000001" customHeight="1">
      <c r="A4" s="1456">
        <v>3</v>
      </c>
      <c r="B4" s="1255" t="s">
        <v>1480</v>
      </c>
      <c r="C4" s="1254" t="str">
        <f>IF(D4&gt;0,D4,IF(Dat_EzE&gt;0,Dat_EzE,""))</f>
        <v/>
      </c>
      <c r="D4" s="1237"/>
      <c r="E4" s="2015" t="str">
        <f>IF(B_Dat="","",IF(AND(Adaequanz_Zugangsfaktor&lt;1,E9&gt;0)," § 77 SGB VI",IF(Adaequanz_DRV_Alter&gt;E9,"§ 187 IV SGB VI !","")))</f>
        <v/>
      </c>
      <c r="F4" s="3007" t="s">
        <v>387</v>
      </c>
      <c r="G4" s="3001" t="s">
        <v>315</v>
      </c>
      <c r="H4" s="801"/>
      <c r="I4" s="765" t="s">
        <v>836</v>
      </c>
      <c r="J4" s="475"/>
      <c r="K4" s="599"/>
      <c r="L4" s="25"/>
      <c r="M4" s="3" t="s">
        <v>571</v>
      </c>
      <c r="N4" s="66">
        <f>YEAR(Adaequanz_GebDatAglBer)+IF(MONTH(Adaequanz_GebDatAglBer)&gt;6,1,0)</f>
        <v>1900</v>
      </c>
      <c r="O4" s="66">
        <f>+N4-1900+2</f>
        <v>2</v>
      </c>
      <c r="P4" s="15"/>
      <c r="R4" t="s">
        <v>384</v>
      </c>
      <c r="S4" s="149"/>
      <c r="V4" s="149"/>
      <c r="AA4" s="841" t="str">
        <f>+AE10</f>
        <v xml:space="preserve">Quell-Versorgung </v>
      </c>
      <c r="AB4" s="2003"/>
      <c r="AE4" t="s">
        <v>374</v>
      </c>
    </row>
    <row r="5" spans="1:42" ht="17.25" customHeight="1" thickBot="1">
      <c r="A5" s="1456">
        <v>4</v>
      </c>
      <c r="B5" s="3019" t="s">
        <v>312</v>
      </c>
      <c r="C5" s="3020"/>
      <c r="D5" s="331"/>
      <c r="E5" s="1121" t="str">
        <f>"Rentenerwerb"&amp;Zeichen!B7</f>
        <v>Rentenerwerb↓</v>
      </c>
      <c r="F5" s="3008"/>
      <c r="G5" s="3002"/>
      <c r="H5" s="1121" t="str">
        <f>"Rentenerwerb"&amp;Zeichen!B7</f>
        <v>Rentenerwerb↓</v>
      </c>
      <c r="I5" s="766" t="s">
        <v>837</v>
      </c>
      <c r="J5" s="600"/>
      <c r="K5" s="601"/>
      <c r="L5" s="25"/>
      <c r="M5" t="s">
        <v>317</v>
      </c>
      <c r="N5" s="15">
        <v>1</v>
      </c>
      <c r="O5" s="368" t="str">
        <f>IF(BerechnetAuf=1,B_Dat,D5)</f>
        <v/>
      </c>
      <c r="P5" s="15"/>
      <c r="AA5" s="841" t="str">
        <f>+AF10</f>
        <v xml:space="preserve">DRV </v>
      </c>
      <c r="AB5" s="2003"/>
      <c r="AE5" s="25" t="e">
        <f>(VLOOKUP(B_Dat,VPI,2)/VLOOKUP(DATE(YEAR(B_Dat)-10,MONTH(B_Dat),DAY(B_Dat)),VPI,2))-1</f>
        <v>#N/A</v>
      </c>
    </row>
    <row r="6" spans="1:42" ht="17.25" customHeight="1">
      <c r="A6" s="1456">
        <v>5</v>
      </c>
      <c r="B6" s="1155" t="str">
        <f>"Geschlecht "&amp;IF(BGHXIIZB23016,"ausgleichsber.","ausgleichspfl.")&amp;" Person eingeben (m/w/d)"</f>
        <v>Geschlecht ausgleichspfl. Person eingeben (m/w/d)</v>
      </c>
      <c r="C6" s="51"/>
      <c r="D6" s="799"/>
      <c r="E6" s="798"/>
      <c r="F6" s="3008"/>
      <c r="G6" s="3003"/>
      <c r="H6" s="798"/>
      <c r="I6" s="604"/>
      <c r="J6" s="602"/>
      <c r="K6" s="603"/>
      <c r="L6" s="25"/>
      <c r="M6" t="s">
        <v>320</v>
      </c>
      <c r="N6" s="15" t="b">
        <v>0</v>
      </c>
      <c r="AA6" s="841" t="str">
        <f>+AG10</f>
        <v xml:space="preserve">VersAusglK </v>
      </c>
      <c r="AB6" s="2003"/>
      <c r="AE6" s="334" t="e">
        <f>_xlfn.RRI(YEARFRAC(DATE(YEAR(B_Dat)-10,MONTH(B_Dat),DAY(B_Dat)),B_Dat,0),VLOOKUP(DATE(YEAR(B_Dat)-10,MONTH(B_Dat),DAY(B_Dat)),VPI,2),VLOOKUP(DATE(YEAR(B_Dat),MONTH(B_Dat),DAY(B_Dat)),VPI,2))</f>
        <v>#VALUE!</v>
      </c>
      <c r="AF6" t="s">
        <v>382</v>
      </c>
      <c r="AG6" s="15" t="b">
        <v>0</v>
      </c>
    </row>
    <row r="7" spans="1:42" ht="17.25" customHeight="1">
      <c r="A7" s="1456">
        <v>6</v>
      </c>
      <c r="B7" s="1179" t="str">
        <f>"Geburtsdatum der "&amp;IF(BGHXIIZB23016,"ausgleichsberechtigten ","ausgleichspflichtigen ")&amp;"Person eingeben: (ggfls. aus Datenerfassung)"</f>
        <v>Geburtsdatum der ausgleichspflichtigen Person eingeben: (ggfls. aus Datenerfassung)</v>
      </c>
      <c r="C7" s="1256">
        <f>IF(D7&gt;0,D7,IF(D7="",IF(D6="m",Dat_GebDat_M,IF(D6="w",Dat_GebDat_F,IF(D6="d","Gebdat Eingabe!",0)))))</f>
        <v>0</v>
      </c>
      <c r="D7" s="1237"/>
      <c r="E7" s="689" t="str">
        <f>IF(Adaequanz_GebDat=0,"",Adaequanz_GebDat)</f>
        <v/>
      </c>
      <c r="F7" s="689" t="str">
        <f>+E7</f>
        <v/>
      </c>
      <c r="G7" s="1253" t="str">
        <f>+F7</f>
        <v/>
      </c>
      <c r="H7" s="743"/>
      <c r="I7" s="506">
        <f>+Adaequanz_GebDatAglBer</f>
        <v>0</v>
      </c>
      <c r="J7" s="484">
        <f>+I7</f>
        <v>0</v>
      </c>
      <c r="K7" s="485">
        <f>+J7</f>
        <v>0</v>
      </c>
      <c r="L7" s="25"/>
      <c r="M7" t="s">
        <v>690</v>
      </c>
      <c r="N7" t="e">
        <f>VLOOKUP(B_Dat,aktRW,WO_Schalter)</f>
        <v>#N/A</v>
      </c>
      <c r="AA7" s="841" t="str">
        <f>+AH10</f>
        <v xml:space="preserve">Sonstige </v>
      </c>
      <c r="AB7" s="2003"/>
    </row>
    <row r="8" spans="1:42" ht="17.25" customHeight="1">
      <c r="A8" s="1456">
        <v>7</v>
      </c>
      <c r="B8" s="3021" t="str">
        <f>IF(D5="","Alter im Ehezeitende "&amp;IF(Adaequanz_GebDat="","",TEXT(B_Dat,"TT.MM.JJJJ")),"Alter im Berechnungszeitpunkt "&amp;IF(Adaequanz_GebDat="","",TEXT(D5,"TT.MM.JJJJ")))</f>
        <v xml:space="preserve">Alter im Ehezeitende </v>
      </c>
      <c r="C8" s="3022"/>
      <c r="D8" s="202" t="str">
        <f>IFERROR(IF(D7+Adaequanz_GebDat=0,"",IFERROR(IF(AND(Adaequanz_GebDat="",Adaequanz_GebDatDRV=""),"",ROUND(YEARFRAC(Adaequanz_GebDat,IF(AND(BerechnetAuf=2,D5&gt;0),D5,B_Dat),0),2)),"")),"")</f>
        <v/>
      </c>
      <c r="E8" s="1257" t="str">
        <f>IFERROR(IF(E7="","",ROUND(YEARFRAC(E7,IF(AND(BerechnetAuf=2,D5&gt;0),$D5,B_Dat),0),2)),"")</f>
        <v/>
      </c>
      <c r="F8" s="1257" t="str">
        <f>IFERROR(IF(F7="","",ROUND(YEARFRAC(F7,IF(AND(BerechnetAuf=2,E5&gt;0),$D5,B_Dat),0),2)),"")</f>
        <v/>
      </c>
      <c r="G8" s="1258" t="str">
        <f>IFERROR(IF(G7="","",ROUND(YEARFRAC(G7,IF(AND(BerechnetAuf=2,F5&gt;0),$D5,B_Dat),0),2)),"")</f>
        <v/>
      </c>
      <c r="H8" s="1259" t="str">
        <f>IFERROR(IF(AND(Adaequanz_GebDat="",H7=""),"",ROUND(YEARFRAC(H7,IF(AND(BerechnetAuf=2,$D5&gt;0),$D5,B_Dat),0),2)),"")</f>
        <v/>
      </c>
      <c r="I8" s="1260" t="str">
        <f>IFERROR(IF(AND(Adaequanz_GebDat="",I7=""),"",ROUND(YEARFRAC(I7,IF(AND(BerechnetAuf=2,$D5&gt;0),$D5,B_Dat),0),2)),"")</f>
        <v/>
      </c>
      <c r="J8" s="1261" t="str">
        <f>IFERROR(IF(AND(Adaequanz_GebDat="",J7=""),"",ROUND(YEARFRAC(J7,IF(AND(BerechnetAuf=2,$D5&gt;0),$D5,B_Dat),0),2)),"")</f>
        <v/>
      </c>
      <c r="K8" s="1262" t="str">
        <f>IFERROR(IF(AND(Adaequanz_GebDat="",K7=""),"",ROUND(YEARFRAC(K7,IF(AND(BerechnetAuf=2,$D5&gt;0),$D5,B_Dat),0),2)),"")</f>
        <v/>
      </c>
      <c r="L8" s="25"/>
      <c r="M8" t="s">
        <v>383</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1" t="str">
        <f>+AI10</f>
        <v xml:space="preserve">∑ Versorg. </v>
      </c>
      <c r="AB8" s="2003"/>
      <c r="AE8" t="s">
        <v>385</v>
      </c>
      <c r="AF8" t="s">
        <v>386</v>
      </c>
      <c r="AO8" t="s">
        <v>880</v>
      </c>
      <c r="AP8" t="s">
        <v>881</v>
      </c>
    </row>
    <row r="9" spans="1:42" ht="17.25" customHeight="1">
      <c r="A9" s="1456">
        <v>8</v>
      </c>
      <c r="B9" s="687"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2"/>
      <c r="D9" s="332"/>
      <c r="E9" s="690" t="str">
        <f>IFERROR(IF(E7="","",IF(Invaliditätsrente,Adaequanz_ReEintrittPfl,Adaequanz_Renteneintritt)),"")</f>
        <v/>
      </c>
      <c r="F9" s="259"/>
      <c r="G9" s="538"/>
      <c r="H9" s="713" t="str">
        <f>IF(H7="","",VLOOKUP(YEAR(Adaequanz_GebDatAglBer),Renteneintrittstabelle,3))</f>
        <v/>
      </c>
      <c r="I9" s="507"/>
      <c r="J9" s="470"/>
      <c r="K9" s="477"/>
      <c r="L9" s="25"/>
      <c r="O9" s="15"/>
      <c r="AA9" s="841" t="str">
        <f>+AJ10</f>
        <v>DRV-Ber.</v>
      </c>
      <c r="AB9" s="2003"/>
      <c r="AE9" s="15" t="b">
        <v>1</v>
      </c>
      <c r="AF9" s="15" t="b">
        <v>1</v>
      </c>
      <c r="AG9" s="15" t="b">
        <v>1</v>
      </c>
      <c r="AH9" s="15" t="b">
        <v>1</v>
      </c>
      <c r="AI9" s="15" t="b">
        <v>0</v>
      </c>
      <c r="AJ9" s="15" t="b">
        <v>0</v>
      </c>
      <c r="AO9" s="15" t="b">
        <v>0</v>
      </c>
      <c r="AP9" s="15" t="b">
        <v>0</v>
      </c>
    </row>
    <row r="10" spans="1:42" ht="17.25" customHeight="1">
      <c r="A10" s="1456">
        <v>9</v>
      </c>
      <c r="B10" s="1155" t="s">
        <v>256</v>
      </c>
      <c r="C10" s="681"/>
      <c r="D10" s="202">
        <f>IFERROR(+P11,"")</f>
        <v>0</v>
      </c>
      <c r="E10" s="2175">
        <f>IFERROR(Q11,"")</f>
        <v>0</v>
      </c>
      <c r="F10" s="2176">
        <f>IFERROR(R11,"")</f>
        <v>0</v>
      </c>
      <c r="G10" s="2177">
        <f>IFERROR(+S11,"")</f>
        <v>0</v>
      </c>
      <c r="H10" s="713">
        <f>+T11</f>
        <v>0</v>
      </c>
      <c r="I10" s="767">
        <f>+U11</f>
        <v>0</v>
      </c>
      <c r="J10" s="739">
        <f>+V11</f>
        <v>0</v>
      </c>
      <c r="K10" s="738">
        <f>+W11</f>
        <v>0</v>
      </c>
      <c r="L10" s="25"/>
      <c r="M10" t="s">
        <v>295</v>
      </c>
      <c r="N10" s="15" t="b">
        <v>0</v>
      </c>
      <c r="O10" s="3"/>
      <c r="P10" s="66" t="s">
        <v>286</v>
      </c>
      <c r="Q10" s="66" t="s">
        <v>126</v>
      </c>
      <c r="R10" s="66" t="s">
        <v>287</v>
      </c>
      <c r="S10" s="66" t="s">
        <v>307</v>
      </c>
      <c r="T10" s="66" t="s">
        <v>329</v>
      </c>
      <c r="U10" s="66" t="s">
        <v>565</v>
      </c>
      <c r="V10" s="66" t="s">
        <v>566</v>
      </c>
      <c r="W10" s="66" t="s">
        <v>566</v>
      </c>
      <c r="X10" s="3"/>
      <c r="AA10" s="617"/>
      <c r="AE10" s="4" t="str">
        <f>D3&amp;" "&amp;IF(D6&lt;&gt;"",CHOOSE(Sexwahl,männlich,weiblich,"AusglPfl. "),"")</f>
        <v xml:space="preserve">Quell-Versorgung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56">
        <v>10</v>
      </c>
      <c r="B11" s="1155" t="s">
        <v>257</v>
      </c>
      <c r="C11" s="681"/>
      <c r="D11" s="202" t="str">
        <f>IF(D8="","",IF(D9&gt;D8,D9-D8,0))</f>
        <v/>
      </c>
      <c r="E11" s="2175" t="str">
        <f>IF(E8="","",IF(E9&gt;E8,E9-E8,0))</f>
        <v/>
      </c>
      <c r="F11" s="2175" t="str">
        <f>IF(F8="","",IF(F9&gt;F8,F9-F8,0))</f>
        <v/>
      </c>
      <c r="G11" s="2175" t="str">
        <f>IF(G8="","",IF(G9&gt;G8,G9-G8,0))</f>
        <v/>
      </c>
      <c r="H11" s="713" t="str">
        <f>IFERROR(IF(H8="","",IF(H9&gt;H8,H9-H8,0)),"")</f>
        <v/>
      </c>
      <c r="I11" s="508" t="str">
        <f>IF(I8="","",IF(I9&gt;I8,I9-I8,0))</f>
        <v/>
      </c>
      <c r="J11" s="309" t="str">
        <f>IF(J8="","",IF(J9&gt;J8,J9-J8,0))</f>
        <v/>
      </c>
      <c r="K11" s="476" t="str">
        <f>IF(K8="","",IF(K9&gt;K8,K9-K8,0))</f>
        <v/>
      </c>
      <c r="L11" s="25"/>
      <c r="N11" s="15"/>
      <c r="O11" s="3" t="s">
        <v>854</v>
      </c>
      <c r="P11" s="1043">
        <f>IF(Adaequanz_ReEintrittPfl="",0,IFERROR(VLOOKUP(IF(Adaequanz_ReEintrittPfl&lt;Adaequanz_QV_Alter,Adaequanz_QV_Alter,Adaequanz_ReEintrittPfl),CHOOSE(Sexwahl,Lebenserwartung_M_V2,Lebenserwartung_F_V2,Lebenserwartung_N_V2),YEAR(Adaequanz_GebDat)+IF(MONTH(Adaequanz_GebDat)&gt;6,1,0)-1900+2),0))</f>
        <v>0</v>
      </c>
      <c r="Q11" s="1043">
        <f>IF(E9="",0,IFERROR(VLOOKUP(IF(E9&lt;Adaequanz_DRV_Alter,Adaequanz_DRV_Alter,E9),CHOOSE(Sexwahl,Lebenserwartung_M_V2,Lebenserwartung_F_V2,Lebenserwartung_N_V2),YEAR(Adaequanz_GebDat)+IF(MONTH(Adaequanz_GebDat)&gt;6,1,0)-1900+2),0))</f>
        <v>0</v>
      </c>
      <c r="R11" s="1043">
        <f>IF(Adaequanz_RenteneintrittVersAusglK="",0,IFERROR(VLOOKUP(IF(F9&lt;F8,F8,F9),CHOOSE(Sexwahl,Lebenserwartung_M_V2,Lebenserwartung_F_V2,Lebenserwartung_N_V2),YEAR(Adaequanz_GebDat)+IF(MONTH(Adaequanz_GebDat)&gt;6,1,0)-1900+2),0))</f>
        <v>0</v>
      </c>
      <c r="S11" s="1043">
        <f>IF(Adaequanz_Reintritt="",0,IFERROR(VLOOKUP(IF(G9&lt;G8,G8,G9),CHOOSE(Sexwahl,Lebenserwartung_M_V2,Lebenserwartung_F_V2,Lebenserwartung_N_V2),YEAR(Adaequanz_GebDat)+IF(MONTH(Adaequanz_GebDat)&gt;6,1,0)-1900+2),0))</f>
        <v>0</v>
      </c>
      <c r="T11" s="1043">
        <f>IF(H9="",0,IFERROR(VLOOKUP(IF(H9&lt;H8,H8,H9),CHOOSE(IF(Sexwahl=1,2,IF(Sexwahl=2,1,3)),Lebenserwartung_M_V2,Lebenserwartung_F_V2,Lebenserwartung_N_V2),YEAR(Adaequanz_GebDatAglBer)+IF(MONTH(Adaequanz_GebDatAglBer)&gt;6,1,0)-1900+2),0))</f>
        <v>0</v>
      </c>
      <c r="U11" s="1043">
        <f>IF(I9="",0,IFERROR(VLOOKUP(IF(I9&lt;I8,I8,I9),CHOOSE(IF(Sexwahl=1,2,IF(Sexwahl=2,1,3)),Lebenserwartung_M_V2,Lebenserwartung_F_V2,Lebenserwartung_N_V2),YEAR(Adaequanz_GebDatAglBer)+IF(MONTH(Adaequanz_GebDatAglBer)&gt;6,1,0)-1900+2),0))</f>
        <v>0</v>
      </c>
      <c r="V11" s="1043">
        <f>IF(J9="",0,IFERROR(VLOOKUP(IF(J9&lt;J8,J8,J9),CHOOSE(IF(Sexwahl=1,2,IF(Sexwahl=2,1,3)),Lebenserwartung_M_V2,Lebenserwartung_F_V2,Lebenserwartung_N_V2),YEAR(Adaequanz_GebDatAglBer)+IF(MONTH(Adaequanz_GebDatAglBer)&gt;6,1,0)-1900+2),0))</f>
        <v>0</v>
      </c>
      <c r="W11" s="1043">
        <f>IF(K9="",0,IFERROR(VLOOKUP(IF(K9&lt;K8,K8,K9),CHOOSE(IF(Sexwahl=1,2,IF(Sexwahl=2,1,3)),Lebenserwartung_M_V2,Lebenserwartung_F_V2,Lebenserwartung_N_V2),YEAR(Adaequanz_GebDatAglBer)+IF(MONTH(Adaequanz_GebDatAglBer)&gt;6,1,0)-1900+2),0))</f>
        <v>0</v>
      </c>
      <c r="X11" s="1053"/>
      <c r="AA11" s="617"/>
    </row>
    <row r="12" spans="1:42" ht="17.25" customHeight="1" thickBot="1">
      <c r="A12" s="1456">
        <v>11</v>
      </c>
      <c r="B12" s="1135" t="str">
        <f>"hälftiger ehezeitl. Versorgungserwerb (Ausgleichswert) am "&amp;IF(D5="",IF(B_Dat&gt;0,TEXT(B_Dat,"T.M.JJ"),""),IF(BerechnetAuf=2,TEXT(D5,"TT.MM.JJJJ"),TEXT(C4,"TT.MM.JJJJ"))&amp;":")</f>
        <v xml:space="preserve">hälftiger ehezeitl. Versorgungserwerb (Ausgleichswert) am </v>
      </c>
      <c r="C12" s="1138" t="str">
        <f>IFERROR(IF(D12&gt;0,IF(AND(Adaequanz_RentePfl&lt;BagatellgrenzeRente,Adaequanz_RentePfl&gt;0),"Bagatellwert!",""),""),"")</f>
        <v/>
      </c>
      <c r="D12" s="1972"/>
      <c r="E12" s="691"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63"/>
      <c r="G12" s="1062"/>
      <c r="H12" s="750"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68"/>
      <c r="J12" s="471"/>
      <c r="K12" s="478"/>
      <c r="L12" s="261"/>
      <c r="M12" t="s">
        <v>260</v>
      </c>
      <c r="N12" s="91">
        <f>VLOOKUP(YEAR(Adaequanz_GebDat),Renteneintrittstabelle,3)</f>
        <v>65</v>
      </c>
      <c r="O12" s="210" t="s">
        <v>1221</v>
      </c>
      <c r="P12" s="614" t="e">
        <f>IF(Invaliditätsrente,0,VLOOKUP(D8,CHOOSE(IF(D9&lt;60,60,IF(D9&gt;67,67,D9))-59,HRIR60,HRIR61,HRIR62,HRIR63,HRIR64,HRIR,HRIR66,HRIR67),CHOOSE(Sexwahl,7,16,25))*Adaequanz_IRPfl)</f>
        <v>#N/A</v>
      </c>
      <c r="Q12" s="885">
        <f>IFERROR(ROUND(VLOOKUP(E8,CHOOSE(IF(E9&lt;60,60,IF(E9&gt;67,67,E9))-59,HRIR60,HRIR61,HRIR62,HRIR63,HRIR64,HRIR,HRIR66,HRIR67),CHOOSE(Sexwahl,7,16,25)),4)*E17,0)</f>
        <v>0</v>
      </c>
      <c r="R12" s="885">
        <v>0</v>
      </c>
      <c r="S12" s="885">
        <f>IFERROR(ROUND(VLOOKUP(G8,CHOOSE(IF(G9&lt;60,60,IF(G9&gt;67,67,G9))-59,HRIR60,HRIR61,HRIR62,HRIR63,HRIR64,HRIR,HRIR66,HRIR67),CHOOSE(Sexwahl,7,16,25)),4)*G17,0)</f>
        <v>0</v>
      </c>
      <c r="T12" s="262">
        <f>IFERROR(ROUND(VLOOKUP(H8,CHOOSE(IF(H9&lt;60,60,IF(H9&gt;67,67,H9))-59,HRIR60,HRIR61,HRIR62,HRIR63,HRIR64,HRIR,HRIR66,HRIR67),CHOOSE(Sexwahl,16,7,25)),4)*H17,0)</f>
        <v>0</v>
      </c>
      <c r="U12" s="262">
        <f>IFERROR(ROUND(VLOOKUP(I8,CHOOSE(IF(I9&lt;60,60,IF(I9&gt;67,67,I9))-59,HRIR60,HRIR61,HRIR62,HRIR63,HRIR64,HRIR,HRIR66,HRIR67),CHOOSE(Sexwahl,16,7,25)),4)*I17,0)</f>
        <v>0</v>
      </c>
      <c r="V12" s="262">
        <f>IFERROR(ROUND(VLOOKUP(J8,CHOOSE(IF(J9&lt;60,60,IF(J9&gt;67,67,J9))-59,HRIR60,HRIR61,HRIR62,HRIR63,HRIR64,HRIR,HRIR66,HRIR67),CHOOSE(Sexwahl,16,7,25)),4)*J17,0)</f>
        <v>0</v>
      </c>
      <c r="W12" s="262">
        <f>IFERROR(ROUND(VLOOKUP(K8,CHOOSE(IF(K9&lt;60,60,IF(K9&gt;67,67,K9))-59,HRIR60,HRIR61,HRIR62,HRIR63,HRIR64,HRIR,HRIR66,HRIR67),CHOOSE(Sexwahl,16,7,25)),4)*K17,0)</f>
        <v>0</v>
      </c>
      <c r="X12" s="3"/>
      <c r="AA12" s="617"/>
      <c r="AE12" t="s">
        <v>388</v>
      </c>
      <c r="AF12" t="str">
        <f>IF(BGHXIIZB23016,"Alter AusglBer.","AlterAusglPfl.")</f>
        <v>AlterAusglPfl.</v>
      </c>
      <c r="AG12" t="str">
        <f>IF(AF12="AlterAusglPfl.","AlterAusglBer.","AlterAusglPfl.")</f>
        <v>AlterAusglBer.</v>
      </c>
    </row>
    <row r="13" spans="1:42" ht="17.25" customHeight="1">
      <c r="A13" s="1456">
        <v>12</v>
      </c>
      <c r="B13" s="683" t="s">
        <v>258</v>
      </c>
      <c r="C13" s="684"/>
      <c r="D13" s="333"/>
      <c r="E13" s="692">
        <f>+RententrendDRV</f>
        <v>2.5999999999999999E-2</v>
      </c>
      <c r="F13" s="692">
        <f>+AW_DynamikVersAusglK</f>
        <v>0.01</v>
      </c>
      <c r="G13" s="1064"/>
      <c r="H13" s="715">
        <f>+E13</f>
        <v>2.5999999999999999E-2</v>
      </c>
      <c r="I13" s="509"/>
      <c r="J13" s="472"/>
      <c r="K13" s="479"/>
      <c r="L13" s="261"/>
      <c r="M13" t="s">
        <v>1686</v>
      </c>
      <c r="O13" s="210" t="s">
        <v>1222</v>
      </c>
      <c r="P13" s="1044">
        <f>IFERROR(ROUND(VLOOKUP(D8,CHOOSE(IF(D9&lt;60,60,IF(D9&gt;67,67,D9))-59,HRIR60,HRIR61,HRIR62,HRIR63,HRIR64,HRIR,HRIR66,HRIR67),CHOOSE(Sexwahl,8,17,26)),4)*Adaequanz_HRPfl,0)</f>
        <v>0</v>
      </c>
      <c r="Q13" s="614">
        <f>IFERROR(ROUND(VLOOKUP(E8,CHOOSE(IF(E9&lt;60,60,IF(E9&gt;67,67,E9))-59,HRIR60,HRIR61,HRIR62,HRIR63,HRIR64,HRIR,HRIR66,HRIR67),CHOOSE(Sexwahl,8,17,26)),4)*E18,0)</f>
        <v>0</v>
      </c>
      <c r="R13" s="614">
        <v>0</v>
      </c>
      <c r="S13" s="614">
        <f>IFERROR(ROUND(VLOOKUP(G8,CHOOSE(IF(G9&lt;60,60,IF(G9&gt;67,67,G9))-59,HRIR60,HRIR61,HRIR62,HRIR63,HRIR64,HRIR,HRIR66,HRIR67),CHOOSE(Sexwahl,8,17,26)),4)*G18,0)</f>
        <v>0</v>
      </c>
      <c r="T13" s="614">
        <f>IFERROR(ROUND(VLOOKUP(H8,CHOOSE(IF(H9&lt;60,60,IF(H9&gt;67,67,H9))-59,HRIR60,HRIR61,HRIR62,HRIR63,HRIR64,HRIR,HRIR66,HRIR67),CHOOSE(Sexwahl,17,8,26)),4)*H18,0)</f>
        <v>0</v>
      </c>
      <c r="U13" s="614">
        <f>IFERROR(ROUND(VLOOKUP(I8,CHOOSE(IF(I9&lt;60,60,IF(I9&gt;67,67,I9))-59,HRIR60,HRIR61,HRIR62,HRIR63,HRIR64,HRIR,HRIR66,HRIR67),CHOOSE(Sexwahl,17,8,26)),4)*I18,0)</f>
        <v>0</v>
      </c>
      <c r="V13" s="614">
        <f>IFERROR(ROUND(VLOOKUP(J8,CHOOSE(IF(J9&lt;60,60,IF(J9&gt;67,67,J9))-59,HRIR60,HRIR61,HRIR62,HRIR63,HRIR64,HRIR,HRIR66,HRIR67),CHOOSE(Sexwahl,17,8,26)),4)*J18,0)</f>
        <v>0</v>
      </c>
      <c r="W13" s="614">
        <f>IFERROR(ROUND(VLOOKUP(K8,CHOOSE(IF(K9&lt;60,60,IF(K9&gt;67,67,K9))-59,HRIR60,HRIR61,HRIR62,HRIR63,HRIR64,HRIR,HRIR66,HRIR67),CHOOSE(Sexwahl,17,8,26)),4)*K18,0)</f>
        <v>0</v>
      </c>
      <c r="X13" s="3"/>
      <c r="AA13" s="617"/>
      <c r="AL13" s="411">
        <f>E31-(E29-E33)</f>
        <v>0</v>
      </c>
    </row>
    <row r="14" spans="1:42" ht="17.25" customHeight="1">
      <c r="A14" s="1456">
        <v>13</v>
      </c>
      <c r="B14" s="1243" t="s">
        <v>316</v>
      </c>
      <c r="C14" s="1244"/>
      <c r="D14" s="333"/>
      <c r="E14" s="692">
        <f>+RententrendDRV</f>
        <v>2.5999999999999999E-2</v>
      </c>
      <c r="F14" s="692">
        <f>+L_DynamikVersAusglK</f>
        <v>0.01</v>
      </c>
      <c r="G14" s="1064"/>
      <c r="H14" s="716">
        <f>+E13</f>
        <v>2.5999999999999999E-2</v>
      </c>
      <c r="I14" s="509"/>
      <c r="J14" s="472"/>
      <c r="K14" s="479"/>
      <c r="L14" s="261"/>
      <c r="M14" s="68"/>
      <c r="O14" s="3" t="s">
        <v>308</v>
      </c>
      <c r="P14" s="1227">
        <f>IFERROR(ROUND(P13+P12,4),0)</f>
        <v>0</v>
      </c>
      <c r="Q14" s="1227">
        <f>ROUND(Q13+Q12,4)</f>
        <v>0</v>
      </c>
      <c r="R14" s="262">
        <v>0</v>
      </c>
      <c r="S14" s="262">
        <f>+S13+S12</f>
        <v>0</v>
      </c>
      <c r="T14" s="262">
        <f>+T13+T12</f>
        <v>0</v>
      </c>
      <c r="U14" s="262">
        <f>+U13+U12</f>
        <v>0</v>
      </c>
      <c r="V14" s="262">
        <f>+V13+V12</f>
        <v>0</v>
      </c>
      <c r="W14" s="262">
        <f>+W13+W12</f>
        <v>0</v>
      </c>
      <c r="X14" s="3"/>
      <c r="AA14" s="617"/>
      <c r="AL14" s="59">
        <f>((IF(C20&gt;0,C20,P15/100)-AJ29)/0.25)*100</f>
        <v>7.9999999999999991</v>
      </c>
    </row>
    <row r="15" spans="1:42" ht="17.25" customHeight="1">
      <c r="A15" s="1456">
        <v>14</v>
      </c>
      <c r="B15" s="1155" t="str">
        <f>"Rente bei Renteneintritt bzw im Ehezeitende: "&amp;IF(AND(Adaequanz_ReEintrittPfl&gt;D8,D13&gt;0),TEXT(E12,"#.##0,00")&amp;" x (1 + "&amp;TEXT(Adaequanz_ADynPfl,"0,00%")&amp;")^"&amp;TEXT(Adaequanz_ReEintrittPfl-D8,"0,00"),"")</f>
        <v xml:space="preserve">Rente bei Renteneintritt bzw im Ehezeitende: </v>
      </c>
      <c r="C15" s="681"/>
      <c r="D15" s="203" t="str">
        <f>IFERROR(ROUND(D12*(1+(D13))^(D11),2),"")</f>
        <v/>
      </c>
      <c r="E15" s="693" t="str">
        <f>IFERROR(ROUND(E12*(1+E13)^E11,2),"")</f>
        <v/>
      </c>
      <c r="F15" s="1061" t="str">
        <f>IFERROR(ROUND(F12*(1+(F13))^F11,2),"")</f>
        <v/>
      </c>
      <c r="G15" s="1123" t="str">
        <f>IFERROR(ROUND(G12*(1+(G13))^G11,2),"")</f>
        <v/>
      </c>
      <c r="H15" s="714" t="str">
        <f>IFERROR(H12*(1+(H13))^H11,"")</f>
        <v/>
      </c>
      <c r="I15" s="510" t="str">
        <f>IFERROR(I12*(1+I13)^I11,"")</f>
        <v/>
      </c>
      <c r="J15" s="310" t="str">
        <f>IFERROR(J12*(1+J13)^J11,"")</f>
        <v/>
      </c>
      <c r="K15" s="480" t="str">
        <f>IFERROR(K12*(1+K13)^K11,"")</f>
        <v/>
      </c>
      <c r="L15" s="25"/>
      <c r="N15" s="146"/>
      <c r="O15" s="3" t="s">
        <v>281</v>
      </c>
      <c r="P15" s="3">
        <f>IFERROR(IF(C20&gt;0,C20*100,IF(AND(D5&gt;0,BerechnetAuf=2),VLOOKUP(D5,IF(C_BilMoG10,BilMoG10,BilmoGZins),16),VLOOKUP(B_Dat,IF(C_BilMoG10,BilMoG10,BilmoGZins),16))),6)</f>
        <v>6</v>
      </c>
      <c r="Q15" s="3" t="s">
        <v>395</v>
      </c>
      <c r="R15" s="410" t="b">
        <v>1</v>
      </c>
      <c r="S15" s="3"/>
      <c r="T15" s="3"/>
      <c r="U15" s="3"/>
      <c r="V15" s="410"/>
      <c r="W15" s="3"/>
      <c r="X15" s="3"/>
      <c r="AA15" s="617"/>
    </row>
    <row r="16" spans="1:42" s="392" customFormat="1" ht="34.35" customHeight="1">
      <c r="A16" s="1456">
        <v>15</v>
      </c>
      <c r="B16" s="3025" t="s">
        <v>1839</v>
      </c>
      <c r="C16" s="3026"/>
      <c r="D16" s="1313" t="str">
        <f>IFERROR(ROUND(IF((Adaequanz_LDynPfl)=0,D15*D10*12,-PV(-Adaequanz_LDynPfl,D10,D15*12,,1)),0),"")</f>
        <v/>
      </c>
      <c r="E16" s="694" t="str">
        <f>IFERROR(ROUND(IF(E14=0,E15*12*E10,-PV(-E14,E10,E15*12,,1)),0),"")</f>
        <v/>
      </c>
      <c r="F16" s="694" t="str">
        <f>IFERROR(ROUND(IF(F14=0,F15*12*F10,-PV(-F14,F10,F15*12,,1)),0),"")</f>
        <v/>
      </c>
      <c r="G16" s="707" t="str">
        <f>IFERROR(IF(Adaequanz_Kapitalleistung,G52,IF(G14=0,G15*12*G10,-PV(-G14,G10,G15*12,,1))),"")</f>
        <v/>
      </c>
      <c r="H16" s="717" t="str">
        <f>IFERROR(ROUND(IF(H14=0,H15*12*H10,-PV(-H14,H10,H15*12,0,1)),1),"")</f>
        <v/>
      </c>
      <c r="I16" s="511" t="str">
        <f>IFERROR(ROUND(IF(I14=0,I15*I10*12,(((1+I14)^I10-1)/I14)*I15*12),0),"")</f>
        <v/>
      </c>
      <c r="J16" s="350" t="str">
        <f>IFERROR(ROUND(IF(J14=0,J15*J10*12,(((1+J14)^J10-1)/J14)*J15*12),0),"")</f>
        <v/>
      </c>
      <c r="K16" s="481" t="str">
        <f>IFERROR(ROUND(IF(K14=0,K15*12*K10,(((1+K14)^K10-1)/K14)*K15*12),0),"")</f>
        <v/>
      </c>
      <c r="L16" s="672"/>
      <c r="N16" s="393"/>
      <c r="O16" s="751" t="s">
        <v>282</v>
      </c>
      <c r="P16" s="1249">
        <f>IFERROR(-PV($P15/100-Adaequanz_LDynPfl,D10,D15*12,,0),0)</f>
        <v>0</v>
      </c>
      <c r="Q16" s="1249">
        <f t="shared" ref="Q16:W16" si="0">IFERROR(-PV($P15/100-E14,E10,E15*12,,0),0)</f>
        <v>0</v>
      </c>
      <c r="R16" s="1249">
        <f t="shared" si="0"/>
        <v>0</v>
      </c>
      <c r="S16" s="1249">
        <f t="shared" si="0"/>
        <v>0</v>
      </c>
      <c r="T16" s="1249">
        <f t="shared" si="0"/>
        <v>0</v>
      </c>
      <c r="U16" s="1249">
        <f t="shared" si="0"/>
        <v>0</v>
      </c>
      <c r="V16" s="1249">
        <f t="shared" si="0"/>
        <v>0</v>
      </c>
      <c r="W16" s="1249">
        <f t="shared" si="0"/>
        <v>0</v>
      </c>
      <c r="X16" s="751"/>
      <c r="AA16" s="842"/>
      <c r="AB16" s="1412"/>
      <c r="AC16" s="415"/>
      <c r="AD16" s="415"/>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56">
        <v>16</v>
      </c>
      <c r="B17" s="1155" t="str">
        <f>"Invaliditätsabsicherung in Quellversorgung in %: Zuschlag "&amp;IFERROR(TEXT(P12,"0,00%"),"")</f>
        <v xml:space="preserve">Invaliditätsabsicherung in Quellversorgung in %: Zuschlag </v>
      </c>
      <c r="C17" s="681"/>
      <c r="D17" s="389"/>
      <c r="E17" s="390">
        <f>IF(KeineInvaliditätinDRV,0,100%)</f>
        <v>1</v>
      </c>
      <c r="F17" s="3023"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65"/>
      <c r="H17" s="718">
        <f>+E17</f>
        <v>1</v>
      </c>
      <c r="I17" s="512">
        <v>1</v>
      </c>
      <c r="J17" s="473">
        <v>1</v>
      </c>
      <c r="K17" s="482"/>
      <c r="L17" s="673"/>
      <c r="N17" s="197"/>
      <c r="O17" s="3" t="s">
        <v>283</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16"/>
      <c r="Z17" s="844"/>
      <c r="AA17" s="843"/>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56">
        <v>17</v>
      </c>
      <c r="B18" s="1155" t="str">
        <f>"Hinterbliebenenversorgung in Quellversorgung in %: Zuschlag: "&amp;IFERROR(TEXT(P13,"0,00%"),"")</f>
        <v>Hinterbliebenenversorgung in Quellversorgung in %: Zuschlag: 0,00%</v>
      </c>
      <c r="C18" s="681"/>
      <c r="D18" s="389"/>
      <c r="E18" s="390">
        <v>0.55000000000000004</v>
      </c>
      <c r="F18" s="3024"/>
      <c r="G18" s="1065"/>
      <c r="H18" s="718">
        <f>+E18</f>
        <v>0.55000000000000004</v>
      </c>
      <c r="I18" s="516">
        <v>0.6</v>
      </c>
      <c r="J18" s="473">
        <v>0.6</v>
      </c>
      <c r="K18" s="482"/>
      <c r="L18" s="25"/>
      <c r="M18" s="199" t="s">
        <v>313</v>
      </c>
      <c r="N18" s="15">
        <v>1</v>
      </c>
      <c r="O18" s="3" t="s">
        <v>284</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1994" t="e">
        <f>VLOOKUP(ROUND(K8,0),CHOOSE(CHOOSE(Sexwahl,2,1,3),G_Kohorte_M,G_Kohorte_F,G_Kohorte_N),TabSchritteBer)</f>
        <v>#VALUE!</v>
      </c>
      <c r="X18" s="25"/>
      <c r="Y18" s="25"/>
      <c r="Z18" s="25"/>
      <c r="AA18" s="25"/>
      <c r="AC18" s="3018"/>
      <c r="AD18" s="3018"/>
      <c r="AE18" s="198"/>
    </row>
    <row r="19" spans="1:41" ht="17.25" customHeight="1" thickBot="1">
      <c r="A19" s="1456">
        <v>18</v>
      </c>
      <c r="B19" s="685" t="s">
        <v>538</v>
      </c>
      <c r="C19" s="686" t="s">
        <v>835</v>
      </c>
      <c r="D19" s="391">
        <f>IF(Adaequanz_HRPfl+Adaequanz_IRPfl=0,,ROUND(P14,4))</f>
        <v>0</v>
      </c>
      <c r="E19" s="695">
        <f>+ROUND(Q14,4)</f>
        <v>0</v>
      </c>
      <c r="F19" s="3007"/>
      <c r="G19" s="708" t="str">
        <f>IF(SonstJa=FALSE,"",ROUND(S14,4))</f>
        <v/>
      </c>
      <c r="H19" s="716">
        <f>ROUND(T14,4)</f>
        <v>0</v>
      </c>
      <c r="I19" s="514">
        <f>ROUND(U14,4)</f>
        <v>0</v>
      </c>
      <c r="J19" s="474">
        <f>ROUND(V14,4)</f>
        <v>0</v>
      </c>
      <c r="K19" s="483">
        <f>ROUND(W14,4)</f>
        <v>0</v>
      </c>
      <c r="L19" s="672"/>
      <c r="M19" t="s">
        <v>309</v>
      </c>
      <c r="N19" t="e">
        <f>VLOOKUP(YEAR(E7),Renteneintrittstabelle,3)</f>
        <v>#VALUE!</v>
      </c>
      <c r="O19" s="3" t="s">
        <v>1216</v>
      </c>
      <c r="P19" s="1250" t="e">
        <f t="shared" ref="P19:W19" si="1">IF(P17/P18&gt;1,1,ROUND(P17/P18,4))</f>
        <v>#DIV/0!</v>
      </c>
      <c r="Q19" s="3" t="e">
        <f>IF(Q17/Q18&gt;1,1,ROUND(Q17/Q18,3))</f>
        <v>#VALUE!</v>
      </c>
      <c r="R19" s="3" t="e">
        <f t="shared" si="1"/>
        <v>#VALUE!</v>
      </c>
      <c r="S19" s="1250" t="e">
        <f t="shared" si="1"/>
        <v>#VALUE!</v>
      </c>
      <c r="T19" s="1250" t="e">
        <f t="shared" si="1"/>
        <v>#VALUE!</v>
      </c>
      <c r="U19" s="1250" t="e">
        <f t="shared" si="1"/>
        <v>#VALUE!</v>
      </c>
      <c r="V19" s="1250" t="e">
        <f t="shared" si="1"/>
        <v>#VALUE!</v>
      </c>
      <c r="W19" s="1995" t="e">
        <f t="shared" si="1"/>
        <v>#VALUE!</v>
      </c>
      <c r="X19" s="3062" t="str">
        <f>IF(Tenorschalter=0,"Tenorierungsvorschlag:"&amp;CHAR(10)&amp;"Wählen Sie eine Zielversorgung über die Checkbox aus (Zeile 2)",IF(Tenorschalter&gt;1,"Tenorierungsvorschlag nur für eine einzelne Zielversorgung möglich!","Tenorierungsvorschlag:"))</f>
        <v>Tenorierungsvorschlag:</v>
      </c>
      <c r="Y19" s="3063"/>
      <c r="Z19" s="25"/>
      <c r="AA19" s="1998"/>
      <c r="AC19" s="369"/>
      <c r="AD19" s="369"/>
      <c r="AE19" s="418"/>
    </row>
    <row r="20" spans="1:41" ht="17.25" customHeight="1" thickTop="1" thickBot="1">
      <c r="A20" s="1456">
        <v>19</v>
      </c>
      <c r="B20" s="687" t="str">
        <f>IFERROR("berechneter Barwert d. Versorg., "&amp;IF(C20&gt;0,"Rezins: "&amp;TEXT(C20,"0,00%"),IF(AND(C_BilMoG10,N26&lt;&gt;10),"BilMoG-10:",IF(AND(N24&lt;&gt;10,C_BilMoG10=FALSE),"BilMoG-7:","BilMoG NV"))&amp; " "&amp;TEXT(P15/100,"0,00%")),"")</f>
        <v>berechneter Barwert d. Versorg., BilMoG NV 6,00%</v>
      </c>
      <c r="C20" s="1166"/>
      <c r="D20" s="771">
        <f>IFERROR(P22,"")</f>
        <v>0</v>
      </c>
      <c r="E20" s="705" t="str">
        <f>IF(Q23=0,"",IF(DRVJa,Q23,""))</f>
        <v/>
      </c>
      <c r="F20" s="705" t="str">
        <f>IFERROR(IF(R23=0,"",IF(VersAusglKJa,IFERROR(IF(R23=0,"",ROUND(R23,0)),""),0)),"")</f>
        <v/>
      </c>
      <c r="G20" s="709" t="str">
        <f>IF(S23=0,"",IF(SonstJa,S23,0))</f>
        <v/>
      </c>
      <c r="H20" s="719">
        <f>IF(DRVAusglBerJa,T23,0)</f>
        <v>0</v>
      </c>
      <c r="I20" s="513">
        <f>+U23</f>
        <v>0</v>
      </c>
      <c r="J20" s="486">
        <f>+V23</f>
        <v>0</v>
      </c>
      <c r="K20" s="487">
        <f>W23</f>
        <v>0</v>
      </c>
      <c r="L20" s="25"/>
      <c r="M20" s="198" t="s">
        <v>311</v>
      </c>
      <c r="N20" s="15" t="b">
        <v>0</v>
      </c>
      <c r="O20" s="3" t="s">
        <v>285</v>
      </c>
      <c r="P20" s="1251">
        <f t="shared" ref="P20:W20" si="2">1+D19</f>
        <v>1</v>
      </c>
      <c r="Q20" s="1251">
        <f t="shared" si="2"/>
        <v>1</v>
      </c>
      <c r="R20" s="1251">
        <f t="shared" si="2"/>
        <v>1</v>
      </c>
      <c r="S20" s="1252" t="e">
        <f t="shared" si="2"/>
        <v>#VALUE!</v>
      </c>
      <c r="T20" s="1251">
        <f t="shared" si="2"/>
        <v>1</v>
      </c>
      <c r="U20" s="1251">
        <f t="shared" si="2"/>
        <v>1</v>
      </c>
      <c r="V20" s="1251">
        <f t="shared" si="2"/>
        <v>1</v>
      </c>
      <c r="W20" s="1996">
        <f t="shared" si="2"/>
        <v>1</v>
      </c>
      <c r="X20" s="3064"/>
      <c r="Y20" s="3065"/>
      <c r="Z20" s="25"/>
      <c r="AA20" s="25"/>
      <c r="AC20" s="2328"/>
      <c r="AD20" s="2328"/>
      <c r="AE20" s="149"/>
    </row>
    <row r="21" spans="1:41" ht="17.25" customHeight="1" thickTop="1" thickBot="1">
      <c r="A21" s="1456">
        <v>20</v>
      </c>
      <c r="B21" s="1136" t="str">
        <f>IFERROR("anderen Ausgleichswert als: "&amp;TEXT(D20,"#.##0 €")&amp;" hier eintragen: (bei DRV mitgeteilter Kapitalwert)","")</f>
        <v>anderen Ausgleichswert als: 0 € hier eintragen: (bei DRV mitgeteilter Kapitalwert)</v>
      </c>
      <c r="C21" s="1137" t="str">
        <f>IF(Adaequanz_errechneterKapWert+Adaequanz_AusglWertQuelle&gt;0,IF(OR(Adaequanz_errechneterKapWert&lt;BagatellgrenzeKapital,AND(Adaequanz_AusglWertQuelle&gt;0,Adaequanz_AusglWertQuelle&lt;BagatellgrenzeKapital)),"Bagatelle § 18",""),"")</f>
        <v/>
      </c>
      <c r="D21" s="428"/>
      <c r="E21" s="503" t="str">
        <f>IF(BerechnetAuf=1,IF(Adaequanz_VerzinsungAusglW&gt;1,"v. "&amp;TEXT(B_Dat,"T.M.JJ")&amp; " b. "&amp;TEXT(D5,"T.M.JJ")&amp;" mit "&amp;TEXT(P15/100,"0,00%")&amp;CHOOSE(Adaequanz_VerzinsungAusglW,""," aufgezinst: "&amp;TEXT(P23,"0.00# €")," verzinst: "&amp;TEXT(P23,"0.00# €")),""),"")</f>
        <v/>
      </c>
      <c r="F21" s="503"/>
      <c r="G21" s="539"/>
      <c r="H21" s="608"/>
      <c r="I21" s="609" t="str">
        <f>IFERROR(I20/I12,"")</f>
        <v/>
      </c>
      <c r="J21" s="25"/>
      <c r="K21" s="674"/>
      <c r="L21" s="25"/>
      <c r="O21" s="3" t="s">
        <v>1217</v>
      </c>
      <c r="P21" s="251">
        <f>IFERROR(-PV($P$15/100,D11,,P16,0),0)</f>
        <v>0</v>
      </c>
      <c r="Q21" s="251" t="e">
        <f>-PV($P$15/100,E11,,Q16,1)</f>
        <v>#VALUE!</v>
      </c>
      <c r="R21" s="251" t="e">
        <f>-PV($P$15/100,F11,,R16,1)*R17/R18</f>
        <v>#VALUE!</v>
      </c>
      <c r="S21" s="251">
        <f>IFERROR(-PV($P$15/100,G11,,R16,1)*S17/S18,0)</f>
        <v>0</v>
      </c>
      <c r="T21" s="251">
        <f>IFERROR(-PV($P$15/100,H11,,T16,1)*T17/T18,0)</f>
        <v>0</v>
      </c>
      <c r="U21" s="251">
        <f t="shared" ref="S21:W22" si="3">IFERROR(-PV($P$15/100,I10,,U15,1)*U18*U19,0)</f>
        <v>0</v>
      </c>
      <c r="V21" s="251">
        <f t="shared" si="3"/>
        <v>0</v>
      </c>
      <c r="W21" s="1997">
        <f t="shared" si="3"/>
        <v>0</v>
      </c>
      <c r="X21" s="3066"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&lt;Quell-Versorgung, VersNr.: ...&gt; wird im Wege der externen Teilung zu Gunsten des Ehemannes in der DRV, VersNr. ..... ein Anrecht aus einem Ausgleichswert in Höhe von 0 €, bezogen auf den  begründet. </v>
      </c>
      <c r="Y21" s="3067"/>
      <c r="Z21" s="25"/>
      <c r="AA21" s="25"/>
      <c r="AC21" s="149"/>
      <c r="AD21" s="149"/>
      <c r="AE21" s="149"/>
    </row>
    <row r="22" spans="1:41" ht="17.25" customHeight="1" thickTop="1" thickBot="1">
      <c r="A22" s="1456">
        <v>21</v>
      </c>
      <c r="B22" s="3009" t="str">
        <f>IFERROR(IF(SUM(D22:G22)=0,"",IF(Adaequanz_AusglWertQuelle&gt;0,"Ausgleichswert der Quellversorgung bzw. Barwert der Versorgungen ","Barwert der Versorgung: ")),"")</f>
        <v/>
      </c>
      <c r="C22" s="3010"/>
      <c r="D22" s="387">
        <f>IF(Adaequanz_AusglWertQuelle&gt;0,Adaequanz_AusglWertQuelle,IF(Adaequanz_VerzinsungAusglW&gt;1,ROUND(P23,0),ROUND(Adaequanz_errechneterKapWert,0)))</f>
        <v>0</v>
      </c>
      <c r="E22" s="696">
        <f>IF(DRVJa,IFERROR(IF(Adaequanz_Kapitalleistung,ROUND(E60,0),ROUND(Q23,0)),""),"")</f>
        <v>0</v>
      </c>
      <c r="F22" s="696" t="str">
        <f>IFERROR(IF(R23=0,"",IF(VersAusglKJa,IFERROR(ROUND(R23,0),""),"")),"")</f>
        <v/>
      </c>
      <c r="G22" s="710" t="str">
        <f>IF(S23=0,"",IF(SonstJa,IFERROR(ROUND(S23,0),0),""))</f>
        <v/>
      </c>
      <c r="H22" s="720">
        <f>IF(DRVAusglBerJa,ROUND(T23,0),0)</f>
        <v>0</v>
      </c>
      <c r="I22" s="664" t="str">
        <f>IFERROR(Adaequanz_Ausgleichswert1/Adaequanz_RentePfl,"")</f>
        <v/>
      </c>
      <c r="J22" s="596" t="str">
        <f>"∑ Barwerte "&amp;CHOOSE(Sexwahl,Zeichen!B15,Zeichen!#REF!,"AuslgBer.")</f>
        <v>∑ Barwerte </v>
      </c>
      <c r="K22" s="488">
        <f>SUM(H20:K20)</f>
        <v>0</v>
      </c>
      <c r="L22" s="25"/>
      <c r="N22" s="15"/>
      <c r="O22" s="3" t="s">
        <v>1218</v>
      </c>
      <c r="P22" s="251">
        <f>IFERROR(-PV(P15/100,D11,,P16,0)*P19*P20,0)</f>
        <v>0</v>
      </c>
      <c r="Q22" s="251">
        <f>IFERROR(-PV($P15/100,E11,,Q16,1)*Q19*Q20,0)</f>
        <v>0</v>
      </c>
      <c r="R22" s="251" t="e">
        <f>-PV($P15/100,F11,,R16,1)*R19*R20</f>
        <v>#VALUE!</v>
      </c>
      <c r="S22" s="251">
        <f t="shared" si="3"/>
        <v>0</v>
      </c>
      <c r="T22" s="251">
        <f t="shared" si="3"/>
        <v>0</v>
      </c>
      <c r="U22" s="251">
        <f t="shared" si="3"/>
        <v>0</v>
      </c>
      <c r="V22" s="251">
        <f t="shared" si="3"/>
        <v>0</v>
      </c>
      <c r="W22" s="1997">
        <f t="shared" si="3"/>
        <v>0</v>
      </c>
      <c r="X22" s="3066"/>
      <c r="Y22" s="3067"/>
      <c r="Z22" s="25"/>
      <c r="AA22" s="25"/>
      <c r="AC22" s="417"/>
      <c r="AD22" s="417"/>
      <c r="AE22" s="197"/>
    </row>
    <row r="23" spans="1:41" ht="17.25" customHeight="1" thickTop="1">
      <c r="A23" s="1456">
        <v>22</v>
      </c>
      <c r="B23" s="3041" t="s">
        <v>834</v>
      </c>
      <c r="C23" s="3042"/>
      <c r="D23" s="3043"/>
      <c r="E23" s="697" t="str">
        <f>IF(AND(DRVJa,D20&gt;0),ROUND((E20/$D20)-1,4),"")</f>
        <v/>
      </c>
      <c r="F23" s="697" t="str">
        <f>IF(OR(Adaequanz_RentenhoeheVersAusglK=0,Adaequanz_RenteneintrittVersAusglK=0),"",IFERROR(1-ROUND(($D20/F20),4),""))</f>
        <v/>
      </c>
      <c r="G23" s="711" t="str">
        <f>IF(SonstJa,IF(Adaequanz_RenteBer=0,0,IFERROR(1-ROUND((D20/$G20),4),"")),"")</f>
        <v/>
      </c>
      <c r="H23" s="721" t="str">
        <f>IFERROR(ROUND((H22/$D20),4)-1,"")</f>
        <v/>
      </c>
      <c r="I23" s="149" t="str">
        <f>IFERROR(+Adaequanz_errechneterKapWert/Adaequanz_RentePfl,"")</f>
        <v/>
      </c>
      <c r="J23" s="596" t="e">
        <f>"∑ Barwerte "&amp;CHOOSE(Sexwahl,Zeichen!#REF!,Zeichen!B15,"AuslgPflr.")</f>
        <v>#REF!</v>
      </c>
      <c r="K23" s="490">
        <f>SUM(D20:G20)</f>
        <v>0</v>
      </c>
      <c r="L23" s="25"/>
      <c r="O23" s="3" t="s">
        <v>314</v>
      </c>
      <c r="P23" s="251">
        <f>ROUND(IF(AND(BerechnetAuf=1,Adaequanz_VerzinsungAusglW=1),P22,IF(AND(BerechnetAuf=2,D5&gt;0),CHOOSE(Adaequanz_VerzinsungAusglW,P22,P22*(1+P15/100)^YEARFRAC(B_Dat,D5,0),P22+P22*P15/100*YEARFRAC(B_Dat,D5,0)),P22)),0)</f>
        <v>0</v>
      </c>
      <c r="Q23" s="251">
        <f t="shared" ref="Q23:W23" si="4">+Q22</f>
        <v>0</v>
      </c>
      <c r="R23" s="251" t="e">
        <f t="shared" si="4"/>
        <v>#VALUE!</v>
      </c>
      <c r="S23" s="251">
        <f t="shared" si="4"/>
        <v>0</v>
      </c>
      <c r="T23" s="251">
        <f t="shared" si="4"/>
        <v>0</v>
      </c>
      <c r="U23" s="251">
        <f t="shared" si="4"/>
        <v>0</v>
      </c>
      <c r="V23" s="251">
        <f t="shared" si="4"/>
        <v>0</v>
      </c>
      <c r="W23" s="1997">
        <f t="shared" si="4"/>
        <v>0</v>
      </c>
      <c r="X23" s="3066"/>
      <c r="Y23" s="3067"/>
      <c r="Z23" s="25"/>
      <c r="AA23" s="25"/>
      <c r="AC23" s="149"/>
      <c r="AD23" s="149"/>
      <c r="AE23" s="197"/>
    </row>
    <row r="24" spans="1:41" ht="80.25" customHeight="1">
      <c r="A24" s="1456">
        <v>23</v>
      </c>
      <c r="B24" s="3056" t="s">
        <v>1026</v>
      </c>
      <c r="C24" s="3057"/>
      <c r="D24" s="3058"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59"/>
      <c r="F24" s="706"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2"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2" t="str">
        <f>IFERROR("Verhältnis Barw./Beitragsw.: "&amp;CHAR(10)&amp;TEXT(H20,"#.##0,00")&amp;" / "&amp;TEXT((H12/N7*VLOOKUP(B_Dat,Umrechnung,2)),"#.##0,00")&amp;" = "&amp;TEXT(H20/(H12/N7*VLOOKUP(B_Dat,Umrechnung,2)),"0,00"),"")</f>
        <v/>
      </c>
      <c r="I24" s="663" t="str">
        <f>IFERROR(Adaequanz_AusglWertQuelle/Adaequanz_RentePfl,"")</f>
        <v/>
      </c>
      <c r="J24" s="543" t="str">
        <f>"Barwert-Differenz "&amp;TEXT(ABS(K22-K23),"#.##0,00")&amp;" = Barwertteilung: "&amp;TEXT((K23+K22)/2,"#.##0")</f>
        <v>Barwert-Differenz 0,00 = Barwertteilung: 0</v>
      </c>
      <c r="K24" s="607">
        <f>+(K23-K22)/2</f>
        <v>0</v>
      </c>
      <c r="L24" s="25"/>
      <c r="M24" s="71" t="s">
        <v>400</v>
      </c>
      <c r="N24" s="128">
        <f>_xlfn.IFNA(N27,10)</f>
        <v>10</v>
      </c>
      <c r="Q24" s="149"/>
      <c r="X24" s="3066"/>
      <c r="Y24" s="3067"/>
      <c r="Z24" s="25"/>
      <c r="AA24" s="25"/>
      <c r="AC24" s="417"/>
      <c r="AD24" s="417"/>
      <c r="AE24" s="417"/>
      <c r="AI24" s="59"/>
    </row>
    <row r="25" spans="1:41" ht="17.25" customHeight="1" thickBot="1">
      <c r="A25" s="1456">
        <v>24</v>
      </c>
      <c r="B25" s="3011" t="s">
        <v>1228</v>
      </c>
      <c r="C25" s="3012"/>
      <c r="D25" s="3013"/>
      <c r="E25" s="698" t="str">
        <f>IF(AND(DRVJa,E23&lt;-0.1),IFERROR(IF(Adaequanz_AusglWertQuelle=0,Adaequanz_errechneterKapWert,Adaequanz_AusglWertQuelle)*Adaequanz_errechneterKapWert/E22,0),"")</f>
        <v/>
      </c>
      <c r="F25" s="699" t="str">
        <f>IF(AND(VersAusglKJa,F23&lt;-0.1),IFERROR(IF(Adaequanz_AusglWertQuelle=0,Adaequanz_errechneterKapWert,Adaequanz_AusglWertQuelle)*Adaequanz_errechneterKapWert/F22,0),"")</f>
        <v/>
      </c>
      <c r="G25" s="700" t="str">
        <f>IF(AND(SonstJa,G23&lt;-0.1),IFERROR(IF(Adaequanz_AusglWertQuelle=0,Adaequanz_errechneterKapWert,Adaequanz_AusglWertQuelle)*Adaequanz_errechneterKapWert/G22,0),"")</f>
        <v/>
      </c>
      <c r="H25" s="3044"/>
      <c r="I25" s="671" t="str">
        <f>IFERROR(+I20/I15,"")</f>
        <v/>
      </c>
      <c r="J25" s="491" t="s">
        <v>570</v>
      </c>
      <c r="K25" s="492" t="s">
        <v>571</v>
      </c>
      <c r="L25" s="25"/>
      <c r="M25" t="str">
        <f>IF(F26&gt;0,F26,"")</f>
        <v/>
      </c>
      <c r="P25" s="249" t="s">
        <v>543</v>
      </c>
      <c r="Q25" s="149">
        <f>-PV(-2.6%,20.6,51.84*12,,1)</f>
        <v>16793.42985233308</v>
      </c>
      <c r="R25" s="1110"/>
      <c r="X25" s="3068"/>
      <c r="Y25" s="3069"/>
      <c r="Z25" s="25"/>
      <c r="AA25" s="25"/>
    </row>
    <row r="26" spans="1:41" ht="30" customHeight="1" thickTop="1" thickBot="1">
      <c r="A26" s="1456">
        <v>25</v>
      </c>
      <c r="B26" s="3004" t="s">
        <v>899</v>
      </c>
      <c r="C26" s="3005"/>
      <c r="D26" s="3006"/>
      <c r="E26" s="701">
        <f>IF(DRVJa,IF(E23&gt;0,0,IFERROR(+E25*0.9,"")),"")</f>
        <v>0</v>
      </c>
      <c r="F26" s="701" t="str">
        <f>IFERROR(IF(+F25*0.9&lt;=IF(D21&gt;0,D21,Adaequanz_errechneterKapWert),0,+F25*0.9),"")</f>
        <v/>
      </c>
      <c r="G26" s="702" t="str">
        <f>IFERROR(IF(+G25*0.9&lt;=IF(D21&gt;0,D21,Adaequanz_errechneterKapWert),0,+G25*0.9),"")</f>
        <v/>
      </c>
      <c r="H26" s="3045"/>
      <c r="I26" s="675" t="str">
        <f>IFERROR(H20/(H12/N7*VLOOKUP(B_Dat,UmrechnungEP_Kap,2)),"")</f>
        <v/>
      </c>
      <c r="J26" s="489">
        <f>SUM(D16:G16)</f>
        <v>0</v>
      </c>
      <c r="K26" s="496">
        <f>SUM(H16:K16)</f>
        <v>0</v>
      </c>
      <c r="L26" s="25"/>
      <c r="M26" s="71" t="s">
        <v>399</v>
      </c>
      <c r="N26" s="128">
        <f>_xlfn.IFNA(N28,10)</f>
        <v>10</v>
      </c>
      <c r="P26" s="250" t="s">
        <v>1229</v>
      </c>
      <c r="Q26" s="149">
        <f>-PV(-2.6%,20.6,34.87*12*1.026^15.45,,1)</f>
        <v>16793.958785002207</v>
      </c>
      <c r="R26">
        <f>34.86*12*1.026^15.45/12</f>
        <v>51.826765657844788</v>
      </c>
      <c r="X26" s="25"/>
      <c r="Y26" s="25"/>
      <c r="Z26" s="25"/>
      <c r="AA26" s="25"/>
      <c r="AN26" t="s">
        <v>629</v>
      </c>
      <c r="AO26">
        <f>IF(Rentner=1,10,8)</f>
        <v>8</v>
      </c>
    </row>
    <row r="27" spans="1:41" ht="17.25" customHeight="1" thickBot="1">
      <c r="A27" s="1456">
        <v>26</v>
      </c>
      <c r="B27" s="3079" t="s">
        <v>393</v>
      </c>
      <c r="C27" s="3079"/>
      <c r="D27" s="3079"/>
      <c r="E27" s="769">
        <f>IFERROR(IF(AND(DRVJa,E26-IF(Adaequanz_AusglWertQuelle&gt;0,Adaequanz_AusglWertQuelle,Adaequanz_errechneterKapWert)&gt;0),E26-IF(Adaequanz_AusglWertQuelle&gt;0,Adaequanz_AusglWertQuelle,Adaequanz_errechneterKapWert),0),"")</f>
        <v>0</v>
      </c>
      <c r="F27" s="769">
        <f>IF(AND(VersAusglKJa,F23&lt;-0.1),IF(AND(VersAusglKJa,+F26-IF(D21&gt;0,D21,Adaequanz_errechneterKapWert)&gt;0),+F26-IF(D21&gt;0,D21,Adaequanz_errechneterKapWert),0),0)</f>
        <v>0</v>
      </c>
      <c r="G27" s="770" t="str">
        <f>IFERROR(IF(AND(SonstJa,G26-IF(D21&gt;0,D21,Adaequanz_errechneterKapWert)&gt;0),+G26-IF(D21&gt;0,D21,Adaequanz_errechneterKapWert),""),"")</f>
        <v/>
      </c>
      <c r="H27" s="3046"/>
      <c r="I27" s="25"/>
      <c r="J27" s="493"/>
      <c r="K27" s="494"/>
      <c r="L27" s="25"/>
      <c r="M27" s="71" t="s">
        <v>397</v>
      </c>
      <c r="N27" s="128" t="e">
        <f>VLOOKUP(IF(BerechnetAuf=1,B_Dat,D5),BilmoGZins,16)</f>
        <v>#N/A</v>
      </c>
      <c r="P27" s="250" t="s">
        <v>1230</v>
      </c>
      <c r="X27" s="25"/>
      <c r="Y27" s="25"/>
      <c r="Z27" s="25"/>
      <c r="AA27" s="25"/>
      <c r="AF27" s="149"/>
      <c r="AN27" t="s">
        <v>628</v>
      </c>
      <c r="AO27">
        <f>IF(Adaequanz_ReEintrittPfl&lt;Adaequanz_QV_Alter,1,0)</f>
        <v>0</v>
      </c>
    </row>
    <row r="28" spans="1:41" ht="21.6" hidden="1" customHeight="1" thickBot="1">
      <c r="A28" s="1456">
        <v>27</v>
      </c>
      <c r="B28" s="3082"/>
      <c r="C28" s="3083"/>
      <c r="D28" s="3083"/>
      <c r="E28" s="3083"/>
      <c r="F28" s="3083"/>
      <c r="G28" s="3083"/>
      <c r="H28" s="3084"/>
      <c r="I28" s="25"/>
      <c r="J28" s="25"/>
      <c r="K28" s="25"/>
      <c r="L28" s="212"/>
      <c r="M28" s="71" t="s">
        <v>398</v>
      </c>
      <c r="N28" s="128" t="e">
        <f>VLOOKUP(IF(BerechnetAuf=1,B_Dat,D5),BilMoG10,16)</f>
        <v>#N/A</v>
      </c>
      <c r="R28" s="216"/>
      <c r="S28" s="216"/>
      <c r="T28" s="216"/>
      <c r="U28" s="216"/>
      <c r="V28" s="216"/>
      <c r="W28" s="216"/>
      <c r="X28" s="25"/>
      <c r="Y28" s="25"/>
      <c r="Z28" s="1999"/>
      <c r="AA28" s="2000"/>
      <c r="AB28" s="1999"/>
      <c r="AF28" s="149"/>
      <c r="AG28" s="800" t="s">
        <v>609</v>
      </c>
      <c r="AH28" s="800"/>
      <c r="AI28" s="15" t="b">
        <v>0</v>
      </c>
      <c r="AM28" t="s">
        <v>623</v>
      </c>
      <c r="AN28" t="s">
        <v>625</v>
      </c>
      <c r="AO28" t="s">
        <v>627</v>
      </c>
    </row>
    <row r="29" spans="1:41" ht="17.25" hidden="1" customHeight="1">
      <c r="A29" s="1456">
        <v>28</v>
      </c>
      <c r="B29" s="3080"/>
      <c r="C29" s="3081"/>
      <c r="D29" s="3081"/>
      <c r="E29" s="557"/>
      <c r="F29" s="3073"/>
      <c r="G29" s="3073"/>
      <c r="H29" s="3073"/>
      <c r="I29" s="3060"/>
      <c r="J29" s="3061"/>
      <c r="K29" s="605"/>
      <c r="L29" s="337"/>
      <c r="M29" s="216" t="s">
        <v>600</v>
      </c>
      <c r="N29" s="15" t="b">
        <v>0</v>
      </c>
      <c r="Q29" s="216"/>
      <c r="R29" s="216"/>
      <c r="S29" s="216"/>
      <c r="T29" s="216"/>
      <c r="U29" s="216"/>
      <c r="V29" s="216"/>
      <c r="W29" s="216"/>
      <c r="X29" s="25"/>
      <c r="Y29" s="25"/>
      <c r="Z29" s="2001"/>
      <c r="AA29" s="2001"/>
      <c r="AB29" s="2001"/>
      <c r="AD29" t="s">
        <v>394</v>
      </c>
      <c r="AE29" t="str">
        <f>IF(AE30&lt;&gt;"",AE30,IF(AE31&lt;&gt;"",AE31,IF(AE32&lt;&gt;"",AE32,"")))</f>
        <v/>
      </c>
      <c r="AG29" s="800"/>
      <c r="AH29" s="800"/>
      <c r="AI29" t="s">
        <v>614</v>
      </c>
      <c r="AJ29" s="554">
        <f>VLOOKUP(IF(C20&gt;0,C20,P15/100),BWVergl_F_DRVIR,1,TRUE)</f>
        <v>0.04</v>
      </c>
      <c r="AK29" s="553">
        <f>ROUND(AJ29/0.025%,0)</f>
        <v>160</v>
      </c>
      <c r="AL29" s="59">
        <f>+AK29*0.25/100</f>
        <v>0.4</v>
      </c>
      <c r="AM29" s="248">
        <v>0.01</v>
      </c>
      <c r="AN29" s="4">
        <v>35</v>
      </c>
      <c r="AO29" s="556" t="e">
        <f>ROUND(VLOOKUP(AJ29,IF(D6="w",BWVergl_F_VersAusglK,BWVergl_M_VersAusglK),$AH$39,TRUE),2)</f>
        <v>#REF!</v>
      </c>
    </row>
    <row r="30" spans="1:41" ht="17.25" hidden="1" customHeight="1">
      <c r="A30" s="1456">
        <v>29</v>
      </c>
      <c r="B30" s="3080"/>
      <c r="C30" s="3081"/>
      <c r="D30" s="3081"/>
      <c r="E30" s="557"/>
      <c r="F30" s="3073"/>
      <c r="G30" s="3073"/>
      <c r="H30" s="3074"/>
      <c r="I30" s="3060"/>
      <c r="J30" s="3061"/>
      <c r="K30" s="605"/>
      <c r="L30" s="212"/>
      <c r="M30" t="s">
        <v>319</v>
      </c>
      <c r="N30">
        <f>IF(EP_Ost,3,2)</f>
        <v>2</v>
      </c>
      <c r="O30" s="216"/>
      <c r="P30" s="216"/>
      <c r="Q30" s="216"/>
      <c r="R30" s="216"/>
      <c r="S30" s="216"/>
      <c r="T30" s="216"/>
      <c r="U30" s="216"/>
      <c r="V30" s="216"/>
      <c r="W30" s="216"/>
      <c r="X30" s="25"/>
      <c r="Y30" s="25"/>
      <c r="Z30" s="2001"/>
      <c r="AA30" s="2001"/>
      <c r="AB30" s="2001"/>
      <c r="AD30">
        <v>1</v>
      </c>
      <c r="AE30" t="str">
        <f>IF(AND(E27&lt;&gt;"",E27&gt;0),IF(DRVJa," sowie zu Lasten des &lt;Trägers der Quellversorgung&gt; aus einem weiteren Betrag in Höhe von "&amp;TEXT(E27,"#.##0 €"),""),"")</f>
        <v/>
      </c>
      <c r="AG30" t="s">
        <v>610</v>
      </c>
      <c r="AH30" t="e">
        <f>IF(Adaequanz_IRPfl&gt;0,IF(D6="m","BWVergl_M_DRVIR","BWVergl_M_DRV"),IF(Adaequanz_IRPfl&gt;0,BWVergl_F_DRVIR,BWVergl_F_DRV))</f>
        <v>#VALUE!</v>
      </c>
      <c r="AM30" s="555">
        <v>1.2500000000000001E-2</v>
      </c>
      <c r="AN30" s="4">
        <v>40</v>
      </c>
      <c r="AO30" s="556" t="e">
        <f>ROUND(VLOOKUP(AJ29,IF(D6="w",BWVergl_F_VersAusglK,BWVergl_M_VersAusglK),$AI$39,TRUE),2)</f>
        <v>#REF!</v>
      </c>
    </row>
    <row r="31" spans="1:41" ht="17.25" hidden="1" customHeight="1">
      <c r="A31" s="1456">
        <v>30</v>
      </c>
      <c r="B31" s="3054"/>
      <c r="C31" s="3055"/>
      <c r="D31" s="3055"/>
      <c r="E31" s="558"/>
      <c r="F31" s="3075"/>
      <c r="G31" s="3075"/>
      <c r="H31" s="3076"/>
      <c r="I31" s="3060"/>
      <c r="J31" s="3061"/>
      <c r="K31" s="605"/>
      <c r="L31" s="559"/>
      <c r="M31" s="216"/>
      <c r="N31" s="216"/>
      <c r="O31" s="216"/>
      <c r="P31" s="216"/>
      <c r="Q31" s="216"/>
      <c r="R31" s="216"/>
      <c r="S31" s="216"/>
      <c r="T31" s="216"/>
      <c r="U31" s="216"/>
      <c r="V31" s="216"/>
      <c r="W31" s="216"/>
      <c r="X31" s="25"/>
      <c r="Y31" s="25"/>
      <c r="Z31" s="2001"/>
      <c r="AA31" s="2001"/>
      <c r="AB31" s="2001"/>
      <c r="AD31">
        <v>2</v>
      </c>
      <c r="AE31" t="str">
        <f>IF(AND(VersAusglKJa,F27&gt;0)," sowie zu Lasten d. &lt;"&amp;D3&amp;"&gt; aus einem weiteren Betrag in Höhe von "&amp;TEXT(F27,"#.##0 €"),"")</f>
        <v/>
      </c>
      <c r="AG31" t="s">
        <v>610</v>
      </c>
      <c r="AH31" t="str">
        <f>IF(Adaequanz_IRPfl&gt;0,"BWVergl_F_DRVIR","BWVerrgl_F_DRV")</f>
        <v>BWVerrgl_F_DRV</v>
      </c>
      <c r="AM31" s="248">
        <v>1.4999999999999999E-2</v>
      </c>
      <c r="AN31" s="4">
        <v>45</v>
      </c>
      <c r="AO31" s="542" t="e">
        <f>AO29-(AO29-AO30)*(AH33-INT(AH33))</f>
        <v>#REF!</v>
      </c>
    </row>
    <row r="32" spans="1:41" ht="17.25" hidden="1" customHeight="1">
      <c r="A32" s="1456">
        <v>31</v>
      </c>
      <c r="B32" s="3054"/>
      <c r="C32" s="3055"/>
      <c r="D32" s="3055"/>
      <c r="E32" s="558"/>
      <c r="F32" s="3075"/>
      <c r="G32" s="3075"/>
      <c r="H32" s="3076"/>
      <c r="I32" s="3060"/>
      <c r="J32" s="3061"/>
      <c r="K32" s="605"/>
      <c r="L32" s="432"/>
      <c r="M32" s="216"/>
      <c r="N32" s="216"/>
      <c r="O32" s="216"/>
      <c r="P32" s="454"/>
      <c r="Q32" s="216"/>
      <c r="R32" s="216"/>
      <c r="S32" s="216"/>
      <c r="T32" s="216"/>
      <c r="U32" s="216"/>
      <c r="V32" s="216"/>
      <c r="W32" s="216"/>
      <c r="X32" s="25"/>
      <c r="Y32" s="25"/>
      <c r="Z32" s="2001"/>
      <c r="AA32" s="2001"/>
      <c r="AB32" s="2001"/>
      <c r="AD32">
        <v>3</v>
      </c>
      <c r="AE32" t="str">
        <f>IF(AND(SonstJa,G27&gt;0)," sowie zu Lasten d. &lt;"&amp;G3&amp;"&gt; aus einem weiteren Betrag in Höhe von "&amp;TEXT(G27,"#.##0 €"),"")</f>
        <v/>
      </c>
      <c r="AG32" t="s">
        <v>611</v>
      </c>
      <c r="AH32" t="str">
        <f>IF(D6="M",AH30,AH31)</f>
        <v>BWVerrgl_F_DRV</v>
      </c>
      <c r="AM32" s="555">
        <v>1.7500000000000002E-2</v>
      </c>
      <c r="AN32" s="4">
        <v>50</v>
      </c>
    </row>
    <row r="33" spans="1:41" ht="17.25" hidden="1" customHeight="1">
      <c r="A33" s="1456">
        <v>27</v>
      </c>
      <c r="B33" s="3054"/>
      <c r="C33" s="3055"/>
      <c r="D33" s="3055"/>
      <c r="E33" s="558"/>
      <c r="F33" s="3075"/>
      <c r="G33" s="3075"/>
      <c r="H33" s="3076"/>
      <c r="L33" s="432"/>
      <c r="M33" s="216"/>
      <c r="N33" s="216"/>
      <c r="O33" s="216"/>
      <c r="P33" s="216"/>
      <c r="Q33" s="216"/>
      <c r="R33" s="216"/>
      <c r="S33" s="216"/>
      <c r="T33" s="216"/>
      <c r="U33" s="216"/>
      <c r="V33" s="216"/>
      <c r="W33" s="216"/>
      <c r="X33" s="25"/>
      <c r="Y33" s="25"/>
      <c r="Z33" s="2001"/>
      <c r="AA33" s="2001"/>
      <c r="AB33" s="2001"/>
      <c r="AE33" t="str">
        <f>IF(D6="M"," des Ehemannes "," der Ehefrau ")</f>
        <v xml:space="preserve"> der Ehefrau </v>
      </c>
      <c r="AG33" t="s">
        <v>612</v>
      </c>
      <c r="AH33" t="e">
        <f>IF((Adaequanz_QV_Alter-35)/5+2&gt;Spalten,Spalten,(Adaequanz_QV_Alter-35)/5+2)</f>
        <v>#VALUE!</v>
      </c>
      <c r="AI33" t="e">
        <f>IF(Adaequanz_QV_Alter&lt;Adaequanz_ReEintrittPfl,IF(AH33+1&gt;8,8,AH33+1),IF(AH33+1&gt;10,10,AH33+1))</f>
        <v>#VALUE!</v>
      </c>
      <c r="AM33" s="248">
        <v>0.02</v>
      </c>
      <c r="AN33" s="4">
        <v>55</v>
      </c>
      <c r="AO33" s="556" t="e">
        <f>ROUND(VLOOKUP(AJ29+0.25%,IF($D$6="m",BWVergl_M_VersAusglK,BWVergl_F_VersAusglK),$AH$39),2)</f>
        <v>#REF!</v>
      </c>
    </row>
    <row r="34" spans="1:41" ht="17.25" hidden="1" customHeight="1" thickBot="1">
      <c r="A34" s="1456">
        <v>28</v>
      </c>
      <c r="B34" s="3085"/>
      <c r="C34" s="3086"/>
      <c r="D34" s="3086"/>
      <c r="E34" s="703"/>
      <c r="F34" s="3077"/>
      <c r="G34" s="3077"/>
      <c r="H34" s="3078"/>
      <c r="I34" s="3060"/>
      <c r="J34" s="3061"/>
      <c r="K34" s="605"/>
      <c r="L34" s="212"/>
      <c r="M34" s="454"/>
      <c r="N34" s="454"/>
      <c r="O34" s="216"/>
      <c r="P34" s="216"/>
      <c r="Q34" s="216"/>
      <c r="R34" s="216"/>
      <c r="S34" s="216"/>
      <c r="T34" s="216"/>
      <c r="U34" s="216"/>
      <c r="V34" s="216"/>
      <c r="W34" s="216"/>
      <c r="X34" s="25"/>
      <c r="Y34" s="25"/>
      <c r="Z34" s="430"/>
      <c r="AA34" s="430"/>
      <c r="AB34" s="430"/>
      <c r="AE34" t="str">
        <f>IF(AE33=" des Ehemannes "," der Ehefrau "," des Ehemannes ")</f>
        <v xml:space="preserve"> des Ehemannes </v>
      </c>
      <c r="AG34" t="s">
        <v>624</v>
      </c>
      <c r="AH34" t="e">
        <f>VLOOKUP(Adaequanz_QV_Alter,Altersstaffel,1)</f>
        <v>#N/A</v>
      </c>
      <c r="AM34" s="555">
        <v>2.2499999999999999E-2</v>
      </c>
      <c r="AN34" s="4">
        <v>60</v>
      </c>
    </row>
    <row r="35" spans="1:41" ht="17.25" hidden="1" customHeight="1">
      <c r="A35" s="1456"/>
      <c r="B35" s="3070"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71"/>
      <c r="D35" s="3071"/>
      <c r="E35" s="3071"/>
      <c r="F35" s="3071"/>
      <c r="G35" s="3071"/>
      <c r="H35" s="3072"/>
      <c r="I35" s="455"/>
      <c r="J35" s="455"/>
      <c r="K35" s="455"/>
      <c r="L35" s="212"/>
      <c r="M35" s="216"/>
      <c r="N35" s="216" t="e">
        <f>1-N34/M34</f>
        <v>#DIV/0!</v>
      </c>
      <c r="O35" s="216"/>
      <c r="P35" s="216"/>
      <c r="Q35" s="216"/>
      <c r="R35" s="216"/>
      <c r="S35" s="216"/>
      <c r="T35" s="216"/>
      <c r="U35" s="216"/>
      <c r="V35" s="216"/>
      <c r="W35" s="216"/>
      <c r="X35" s="430"/>
      <c r="Y35" s="430"/>
      <c r="Z35" s="430"/>
      <c r="AA35" s="430"/>
      <c r="AB35" s="430"/>
      <c r="AG35" t="s">
        <v>626</v>
      </c>
      <c r="AH35" t="e">
        <f>+AH34+5</f>
        <v>#N/A</v>
      </c>
      <c r="AM35" s="248">
        <v>2.5000000000000001E-2</v>
      </c>
      <c r="AN35" s="4">
        <v>65</v>
      </c>
    </row>
    <row r="36" spans="1:41" ht="17.25" hidden="1" customHeight="1">
      <c r="A36" s="1456"/>
      <c r="B36" s="3070"/>
      <c r="C36" s="3071"/>
      <c r="D36" s="3071"/>
      <c r="E36" s="3071"/>
      <c r="F36" s="3071"/>
      <c r="G36" s="3071"/>
      <c r="H36" s="3072"/>
      <c r="I36" s="455"/>
      <c r="J36" s="455"/>
      <c r="K36" s="455"/>
      <c r="L36" s="212"/>
      <c r="M36" s="216"/>
      <c r="N36" s="216"/>
      <c r="O36" s="216"/>
      <c r="P36" s="216"/>
      <c r="Q36" s="216"/>
      <c r="R36" s="216"/>
      <c r="S36" s="216"/>
      <c r="T36" s="216"/>
      <c r="U36" s="216"/>
      <c r="V36" s="216"/>
      <c r="W36" s="216"/>
      <c r="X36" s="430"/>
      <c r="Y36" s="430"/>
      <c r="Z36" s="430"/>
      <c r="AA36" s="430"/>
      <c r="AB36" s="430"/>
      <c r="AH36" t="e">
        <f>(Adaequanz_QV_Alter/10-INT(Adaequanz_QV_Alter/10))*10</f>
        <v>#VALUE!</v>
      </c>
      <c r="AM36" s="555">
        <v>2.75E-2</v>
      </c>
      <c r="AN36" s="4">
        <v>70</v>
      </c>
    </row>
    <row r="37" spans="1:41" ht="17.25" hidden="1" customHeight="1">
      <c r="A37" s="1456"/>
      <c r="B37" s="3070"/>
      <c r="C37" s="3071"/>
      <c r="D37" s="3071"/>
      <c r="E37" s="3071"/>
      <c r="F37" s="3071"/>
      <c r="G37" s="3071"/>
      <c r="H37" s="3072"/>
      <c r="I37" s="455"/>
      <c r="J37" s="455"/>
      <c r="K37" s="455"/>
      <c r="L37" s="212"/>
      <c r="M37" s="216"/>
      <c r="N37" s="216"/>
      <c r="O37" s="216"/>
      <c r="P37" s="216"/>
      <c r="Q37" s="216"/>
      <c r="R37" s="216"/>
      <c r="S37" s="216"/>
      <c r="T37" s="216"/>
      <c r="U37" s="216"/>
      <c r="V37" s="216"/>
      <c r="W37" s="216"/>
      <c r="X37" s="430"/>
      <c r="Y37" s="430"/>
      <c r="Z37" s="430"/>
      <c r="AA37" s="430"/>
      <c r="AB37" s="430"/>
      <c r="AM37" s="248">
        <v>0.03</v>
      </c>
      <c r="AN37" s="4">
        <v>75</v>
      </c>
    </row>
    <row r="38" spans="1:41" ht="17.25" hidden="1" customHeight="1">
      <c r="A38" s="1456"/>
      <c r="B38" s="3070"/>
      <c r="C38" s="3071"/>
      <c r="D38" s="3071"/>
      <c r="E38" s="3071"/>
      <c r="F38" s="3071"/>
      <c r="G38" s="3071"/>
      <c r="H38" s="3072"/>
      <c r="I38" s="455"/>
      <c r="J38" s="455"/>
      <c r="K38" s="455"/>
      <c r="L38" s="212"/>
      <c r="M38" s="216"/>
      <c r="N38" s="216"/>
      <c r="O38" s="216"/>
      <c r="P38" s="216"/>
      <c r="Q38" s="216"/>
      <c r="R38" s="216"/>
      <c r="S38" s="216"/>
      <c r="T38" s="216"/>
      <c r="U38" s="216"/>
      <c r="V38" s="216"/>
      <c r="W38" s="216"/>
      <c r="X38" s="430"/>
      <c r="Y38" s="430"/>
      <c r="Z38" s="430"/>
      <c r="AA38" s="430"/>
      <c r="AB38" s="430"/>
      <c r="AM38" s="555">
        <v>3.2500000000000001E-2</v>
      </c>
    </row>
    <row r="39" spans="1:41">
      <c r="A39" s="1456"/>
      <c r="B39" s="25" t="s">
        <v>117</v>
      </c>
      <c r="C39" s="972" t="str">
        <f>"Version "&amp;TEXT(MONTH(Enddatum),"00")&amp;"/"&amp;TEXT(YEAR(Enddatum),"####")</f>
        <v>Version 02/2026</v>
      </c>
      <c r="D39" s="972"/>
      <c r="E39" s="973" t="s">
        <v>844</v>
      </c>
      <c r="F39" s="973"/>
      <c r="G39" s="973"/>
      <c r="H39" s="973"/>
      <c r="I39" s="456"/>
      <c r="J39" s="456"/>
      <c r="K39" s="456"/>
      <c r="L39" s="212"/>
      <c r="M39" s="216"/>
      <c r="N39" s="216"/>
      <c r="O39" s="216"/>
      <c r="P39" s="216"/>
      <c r="Q39" s="216"/>
      <c r="R39" s="216"/>
      <c r="S39" s="216"/>
      <c r="T39" s="216"/>
      <c r="U39" s="216"/>
      <c r="V39" s="216"/>
      <c r="W39" s="216"/>
      <c r="X39" s="430"/>
      <c r="Y39" s="430"/>
      <c r="Z39" s="430"/>
      <c r="AA39" s="430"/>
      <c r="AB39" s="430"/>
      <c r="AD39" t="s">
        <v>286</v>
      </c>
      <c r="AE39" t="s">
        <v>502</v>
      </c>
      <c r="AG39" t="s">
        <v>613</v>
      </c>
      <c r="AH39" t="e">
        <f>INT(AH33)</f>
        <v>#VALUE!</v>
      </c>
      <c r="AI39" t="e">
        <f>INT(AI33)</f>
        <v>#VALUE!</v>
      </c>
      <c r="AM39" s="248">
        <v>3.5000000000000003E-2</v>
      </c>
    </row>
    <row r="40" spans="1:41" ht="15" hidden="1">
      <c r="B40" s="774" t="s">
        <v>322</v>
      </c>
      <c r="C40" s="775"/>
      <c r="D40" s="776" t="str">
        <f>IFERROR(D20/D12,"")</f>
        <v/>
      </c>
      <c r="E40" s="776" t="str">
        <f t="shared" ref="E40:K40" si="5">IFERROR(E20/E12,"")</f>
        <v/>
      </c>
      <c r="F40" s="776" t="str">
        <f t="shared" si="5"/>
        <v/>
      </c>
      <c r="G40" s="776" t="str">
        <f t="shared" si="5"/>
        <v/>
      </c>
      <c r="H40" s="776" t="str">
        <f t="shared" si="5"/>
        <v/>
      </c>
      <c r="I40" s="776" t="str">
        <f t="shared" si="5"/>
        <v/>
      </c>
      <c r="J40" s="776" t="str">
        <f t="shared" si="5"/>
        <v/>
      </c>
      <c r="K40" s="776" t="str">
        <f t="shared" si="5"/>
        <v/>
      </c>
      <c r="L40" s="25"/>
      <c r="AC40" t="s">
        <v>559</v>
      </c>
      <c r="AD40" s="149">
        <v>150027</v>
      </c>
      <c r="AE40" s="149">
        <v>98164</v>
      </c>
      <c r="AM40" s="555">
        <v>3.7499999999999999E-2</v>
      </c>
    </row>
    <row r="41" spans="1:41" ht="15" hidden="1">
      <c r="B41" s="774"/>
      <c r="C41" s="775"/>
      <c r="D41" s="776" t="s">
        <v>13</v>
      </c>
      <c r="E41" s="776"/>
      <c r="F41" s="776"/>
      <c r="G41" s="776"/>
      <c r="H41" s="776"/>
      <c r="I41" s="776" t="s">
        <v>13</v>
      </c>
      <c r="J41" s="776"/>
      <c r="K41" s="776"/>
      <c r="L41" s="25"/>
      <c r="AD41" s="149"/>
      <c r="AE41" s="149"/>
      <c r="AM41" s="555"/>
    </row>
    <row r="42" spans="1:41" ht="15" hidden="1">
      <c r="B42" s="774"/>
      <c r="C42" s="775"/>
      <c r="D42" s="778"/>
      <c r="E42" s="778"/>
      <c r="F42" s="778"/>
      <c r="G42" s="778"/>
      <c r="H42" s="778"/>
      <c r="I42" s="779" t="e">
        <f>+I40/D40</f>
        <v>#VALUE!</v>
      </c>
      <c r="J42" s="778"/>
      <c r="K42" s="778"/>
      <c r="L42" s="25"/>
      <c r="AD42" s="149"/>
      <c r="AE42" s="149"/>
      <c r="AM42" s="555"/>
    </row>
    <row r="43" spans="1:41" ht="15" hidden="1">
      <c r="B43" s="3048" t="str">
        <f>"Alters-Rentenertrag / Kapitalwert: "&amp;TEXT(D16,"#.##0,00")&amp;" / "&amp;TEXT(Adaequanz_errechneterKapWert,"#.##0,00")</f>
        <v>Alters-Rentenertrag / Kapitalwert:  / 0,00</v>
      </c>
      <c r="C43" s="3049"/>
      <c r="D43" s="777" t="e">
        <f>+D16/D20</f>
        <v>#VALUE!</v>
      </c>
      <c r="E43" s="777" t="e">
        <f>+E16/E20</f>
        <v>#VALUE!</v>
      </c>
      <c r="G43">
        <v>51863</v>
      </c>
      <c r="L43" s="25"/>
      <c r="AC43" t="s">
        <v>21</v>
      </c>
      <c r="AD43" s="149">
        <v>571</v>
      </c>
      <c r="AE43" s="149">
        <v>434.37</v>
      </c>
      <c r="AM43" s="248">
        <v>0.04</v>
      </c>
    </row>
    <row r="44" spans="1:41" ht="15" hidden="1">
      <c r="B44" s="3048" t="s">
        <v>321</v>
      </c>
      <c r="C44" s="3049"/>
      <c r="D44" s="3047" t="e">
        <f>(E43/D43)</f>
        <v>#VALUE!</v>
      </c>
      <c r="E44" s="3047"/>
      <c r="F44">
        <v>150027</v>
      </c>
      <c r="G44">
        <v>229290</v>
      </c>
      <c r="H44">
        <f>+G44+F44</f>
        <v>379317</v>
      </c>
      <c r="L44" s="25"/>
      <c r="O44" s="247"/>
      <c r="P44" s="149"/>
      <c r="Q44" s="149"/>
      <c r="R44" s="149"/>
      <c r="S44" s="246"/>
      <c r="V44" s="246"/>
      <c r="AC44" t="s">
        <v>560</v>
      </c>
      <c r="AD44" s="149">
        <f>+AD40/AD43</f>
        <v>262.74430823117336</v>
      </c>
      <c r="AE44" s="149">
        <f>+AE40/AE43</f>
        <v>225.99166609112046</v>
      </c>
    </row>
    <row r="45" spans="1:41" ht="15" hidden="1">
      <c r="B45" s="3048" t="str">
        <f>"Alters- &amp; Nebenleistungs-Rentenertrag / Kapitalwert: "&amp;TEXT(D18,"#.##0,00")&amp;" / "&amp;TEXT(Adaequanz_errechneterKapWert,"#.##0,00")</f>
        <v>Alters- &amp; Nebenleistungs-Rentenertrag / Kapitalwert: 0,00 / 0,00</v>
      </c>
      <c r="C45" s="3049"/>
      <c r="D45" s="252" t="e">
        <f>+D22/D20</f>
        <v>#DIV/0!</v>
      </c>
      <c r="E45" s="252" t="e">
        <f>+E22/E20</f>
        <v>#VALUE!</v>
      </c>
      <c r="F45">
        <f>+F44/H44</f>
        <v>0.39551878771581556</v>
      </c>
      <c r="G45">
        <f>+G44/H44</f>
        <v>0.6044812122841845</v>
      </c>
      <c r="L45" s="25"/>
      <c r="O45" s="247"/>
      <c r="P45" s="149"/>
      <c r="Q45" s="149"/>
      <c r="R45" s="149"/>
      <c r="AC45" t="s">
        <v>561</v>
      </c>
      <c r="AD45" s="198">
        <f>1-AE45+1</f>
        <v>1.1398798793681819</v>
      </c>
      <c r="AE45" s="416">
        <f>+AE44/AD44</f>
        <v>0.8601201206318182</v>
      </c>
    </row>
    <row r="46" spans="1:41" ht="15" hidden="1">
      <c r="B46" s="3048" t="s">
        <v>321</v>
      </c>
      <c r="C46" s="3049"/>
      <c r="D46" s="3047" t="e">
        <f>(E45/D45)</f>
        <v>#VALUE!</v>
      </c>
      <c r="E46" s="3047"/>
      <c r="L46" s="25"/>
    </row>
    <row r="47" spans="1:41" hidden="1">
      <c r="E47" s="366" t="e">
        <f>+E61/Adaequanz_errechneterKapWert-1</f>
        <v>#VALUE!</v>
      </c>
      <c r="L47" s="25"/>
    </row>
    <row r="48" spans="1:41" hidden="1">
      <c r="B48" s="3053" t="str">
        <f>"Beitrag von "&amp;TEXT(Adaequanz_Ausgleichswert1,"#.##0 €")&amp;" führt bez. auf den "&amp;TEXT(B_Dat,"T.M.J")&amp;" zu DRV-Rentenbarwert i.H.v. "&amp;TEXT(E60,"#.##0 €")&amp;"."</f>
        <v>Beitrag von 0 € führt bez. auf den  zu DRV-Rentenbarwert i.H.v. 0 €.</v>
      </c>
      <c r="C48" s="3053"/>
      <c r="D48" s="3053"/>
      <c r="F48" t="e">
        <f>E15*12/5.19%+1/(1.0519^19.92)</f>
        <v>#VALUE!</v>
      </c>
      <c r="L48" s="25"/>
    </row>
    <row r="49" spans="2:17" hidden="1">
      <c r="E49" s="209" t="e">
        <f>(E15*12)*(1/(P15/100)-1/5.16%*(1+5.16%)^19.92)</f>
        <v>#VALUE!</v>
      </c>
      <c r="L49" s="25"/>
    </row>
    <row r="50" spans="2:17" hidden="1">
      <c r="E50" s="243">
        <f>PV(5.19%-2%,19.92,409.41*12)</f>
        <v>-71617.514554685782</v>
      </c>
      <c r="F50">
        <f>409.41*(1/5%-1/(5%*(1+5%)^19))</f>
        <v>4947.851213156262</v>
      </c>
      <c r="L50" s="25"/>
    </row>
    <row r="51" spans="2:17" ht="22.5" hidden="1">
      <c r="B51" s="208" t="s">
        <v>327</v>
      </c>
      <c r="C51" s="257" t="b">
        <v>0</v>
      </c>
      <c r="F51" t="e">
        <f>VLOOKUP(IF(AND(D5&gt;0,BerechnetAuf=2),D5,B_Dat),Umrechnungsfaktoren,WO_Schalter)</f>
        <v>#N/A</v>
      </c>
      <c r="L51" s="25"/>
    </row>
    <row r="52" spans="2:17" hidden="1">
      <c r="B52" s="139" t="s">
        <v>325</v>
      </c>
      <c r="C52" s="139"/>
      <c r="D52" s="256">
        <f>+D10</f>
        <v>0</v>
      </c>
      <c r="E52" s="255">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5"/>
    </row>
    <row r="53" spans="2:17" hidden="1">
      <c r="B53" s="139" t="s">
        <v>326</v>
      </c>
      <c r="C53" s="139"/>
      <c r="D53" s="256">
        <f>D9+D10</f>
        <v>0</v>
      </c>
      <c r="E53" s="256">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3052"/>
      <c r="C55" s="3052"/>
      <c r="D55" s="371"/>
      <c r="H55" s="263" t="e">
        <f>+H54*H53</f>
        <v>#N/A</v>
      </c>
      <c r="I55" s="457"/>
      <c r="J55" s="457"/>
      <c r="K55" s="457"/>
      <c r="L55" s="25"/>
    </row>
    <row r="56" spans="2:17" ht="20.25" hidden="1">
      <c r="B56" s="3050" t="s">
        <v>505</v>
      </c>
      <c r="C56" s="3051"/>
      <c r="D56" s="3051"/>
      <c r="E56" s="3051"/>
      <c r="F56" s="385"/>
      <c r="G56" s="385"/>
      <c r="H56" s="386"/>
      <c r="I56" s="458"/>
      <c r="J56" s="458"/>
      <c r="K56" s="458"/>
      <c r="L56" s="25"/>
      <c r="O56" s="149"/>
    </row>
    <row r="57" spans="2:17" hidden="1">
      <c r="B57" s="3029" t="s">
        <v>401</v>
      </c>
      <c r="C57" s="3030"/>
      <c r="D57" s="3030"/>
      <c r="E57" s="350">
        <f>+Q16</f>
        <v>0</v>
      </c>
      <c r="F57" s="350">
        <f>+R16</f>
        <v>0</v>
      </c>
      <c r="G57" s="372">
        <f>ROUND(S16,0)</f>
        <v>0</v>
      </c>
      <c r="H57" s="372">
        <f>ROUND(T16,0)</f>
        <v>0</v>
      </c>
      <c r="I57" s="459"/>
      <c r="J57" s="459"/>
      <c r="K57" s="459"/>
      <c r="L57" s="25"/>
      <c r="O57" s="149"/>
    </row>
    <row r="58" spans="2:17" hidden="1">
      <c r="B58" s="3029" t="s">
        <v>523</v>
      </c>
      <c r="C58" s="3030"/>
      <c r="D58" s="3030"/>
      <c r="E58" s="350" t="str">
        <f>IFERROR(IF(E11&gt;0,-PV($P$15/100,E11,,E57),E57),"")</f>
        <v/>
      </c>
      <c r="F58" s="350" t="str">
        <f>IFERROR(IF(F11&gt;0,-PV($P$15/100,F11,,F57),F57),"")</f>
        <v/>
      </c>
      <c r="G58" s="372" t="str">
        <f>IFERROR(IF(G11&gt;0,-PV($P$15/100,G11,,G57),G57),"")</f>
        <v/>
      </c>
      <c r="H58" s="372" t="str">
        <f>IFERROR(IF(H11&gt;0,-PV($P$15/100,H11,,H57),H57),"")</f>
        <v/>
      </c>
      <c r="I58" s="459"/>
      <c r="J58" s="459"/>
      <c r="K58" s="459"/>
      <c r="L58" s="25"/>
    </row>
    <row r="59" spans="2:17" hidden="1">
      <c r="B59" s="3029" t="s">
        <v>402</v>
      </c>
      <c r="C59" s="3030"/>
      <c r="D59" s="3030"/>
      <c r="E59" s="351" t="str">
        <f>IFERROR(+Q19,"")</f>
        <v/>
      </c>
      <c r="F59" s="351" t="str">
        <f>IFERROR(+R19,"")</f>
        <v/>
      </c>
      <c r="G59" s="373" t="str">
        <f>IFERROR(+S19,"")</f>
        <v/>
      </c>
      <c r="H59" s="379" t="e">
        <f>T19</f>
        <v>#VALUE!</v>
      </c>
      <c r="I59" s="460"/>
      <c r="J59" s="460"/>
      <c r="K59" s="460"/>
      <c r="L59" s="25"/>
      <c r="O59" s="247"/>
      <c r="P59" s="149"/>
      <c r="Q59" s="149"/>
    </row>
    <row r="60" spans="2:17" hidden="1">
      <c r="B60" s="3029" t="s">
        <v>403</v>
      </c>
      <c r="C60" s="3030"/>
      <c r="D60" s="3030"/>
      <c r="E60" s="352">
        <f>+IFERROR(E19,"")</f>
        <v>0</v>
      </c>
      <c r="F60" s="352">
        <f>+F19</f>
        <v>0</v>
      </c>
      <c r="G60" s="374" t="str">
        <f>+G19</f>
        <v/>
      </c>
      <c r="H60" s="380">
        <f>+H19</f>
        <v>0</v>
      </c>
      <c r="I60" s="461"/>
      <c r="J60" s="461"/>
      <c r="K60" s="461"/>
      <c r="L60" s="25"/>
    </row>
    <row r="61" spans="2:17" ht="15" hidden="1">
      <c r="B61" s="3036" t="s">
        <v>535</v>
      </c>
      <c r="C61" s="3037"/>
      <c r="D61" s="3037"/>
      <c r="E61" s="353" t="str">
        <f>IFERROR(IF(DRVJa,ROUND(E58*E59*(1+E60),0),""),"")</f>
        <v/>
      </c>
      <c r="F61" s="353" t="str">
        <f>IFERROR(IF(VersAusglKJa,ROUND(F58*F59*(1+F60),0),""),"")</f>
        <v/>
      </c>
      <c r="G61" s="375" t="str">
        <f>IFERROR(IF(SonstJa,ROUND(G58*G59*(1+G60),0),""),"")</f>
        <v/>
      </c>
      <c r="H61" s="381" t="str">
        <f>IFERROR(IF(DRVAusglBerJa,ROUND(H58*H59*(1+H60),0),"")+SUM(I20:K20),"")</f>
        <v/>
      </c>
      <c r="I61" s="462"/>
      <c r="J61" s="462"/>
      <c r="K61" s="462"/>
      <c r="L61" s="25"/>
    </row>
    <row r="62" spans="2:17" ht="15" hidden="1">
      <c r="B62" s="3038" t="s">
        <v>534</v>
      </c>
      <c r="C62" s="3039"/>
      <c r="D62" s="3040"/>
      <c r="E62" s="367" t="str">
        <f>IFERROR(IF(E61&gt;0,E61/Adaequanz_errechneterKapWert-1,""),"")</f>
        <v/>
      </c>
      <c r="F62" s="367" t="str">
        <f>IFERROR(IF(F61&gt;0,F61/Adaequanz_errechneterKapWert-1,""),"")</f>
        <v/>
      </c>
      <c r="G62" s="376" t="str">
        <f>IFERROR(IF(G61&gt;0,G61/Adaequanz_errechneterKapWert-1,""),"")</f>
        <v/>
      </c>
      <c r="H62" s="382" t="str">
        <f>IFERROR(IF(H61&gt;0,H61/Adaequanz_errechneterKapWert-1,""),"")</f>
        <v/>
      </c>
      <c r="I62" s="463"/>
      <c r="J62" s="463"/>
      <c r="K62" s="463"/>
      <c r="L62" s="25"/>
    </row>
    <row r="63" spans="2:17" hidden="1">
      <c r="B63" s="3029" t="s">
        <v>404</v>
      </c>
      <c r="C63" s="3030"/>
      <c r="D63" s="3030"/>
      <c r="E63" s="367" t="str">
        <f>IFERROR(IF(+Adaequanz_errechneterKapWert/E61&gt;1,+Adaequanz_errechneterKapWert/E61,0),"")</f>
        <v/>
      </c>
      <c r="F63" s="367" t="str">
        <f>IFERROR(IF(+Adaequanz_errechneterKapWert/F61&gt;1,+Adaequanz_errechneterKapWert/F61,0),"")</f>
        <v/>
      </c>
      <c r="G63" s="376" t="str">
        <f>IFERROR(IF(+Adaequanz_errechneterKapWert/G61&gt;1,+Adaequanz_errechneterKapWert/G61,0),"")</f>
        <v/>
      </c>
      <c r="H63" s="388" t="str">
        <f>IFERROR(IF(+Adaequanz_errechneterKapWert/H61&gt;1,+Adaequanz_errechneterKapWert/H61,0),"")</f>
        <v/>
      </c>
      <c r="I63" s="464"/>
      <c r="J63" s="464"/>
      <c r="K63" s="464"/>
      <c r="L63" s="25"/>
    </row>
    <row r="64" spans="2:17" ht="15" hidden="1" thickBot="1">
      <c r="B64" s="3034" t="str">
        <f>"Aufstockung des Ausgleichswerts von "&amp;TEXT(Adaequanz_errechneterKapWert,"#.##0")&amp;" zur Erreichung von 90% des Barwerts der Quellversorgung auf:"</f>
        <v>Aufstockung des Ausgleichswerts von 0 zur Erreichung von 90% des Barwerts der Quellversorgung auf:</v>
      </c>
      <c r="C64" s="3035"/>
      <c r="D64" s="3035"/>
      <c r="E64" s="354" t="str">
        <f>IFERROR(IF(E63&gt;1,E63*Adaequanz_errechneterKapWert*0.9,""),"")</f>
        <v/>
      </c>
      <c r="F64" s="354" t="str">
        <f>IFERROR(IF(F63&gt;1,F63*Adaequanz_errechneterKapWert*0.9,""),"")</f>
        <v/>
      </c>
      <c r="G64" s="377" t="str">
        <f>IFERROR(IF(G63&gt;1,G63*Adaequanz_errechneterKapWert*0.9,""),"")</f>
        <v/>
      </c>
      <c r="H64" s="383" t="str">
        <f>IFERROR(IF(H63&gt;1,H63*Adaequanz_errechneterKapWert*0.9,""),"")</f>
        <v/>
      </c>
      <c r="I64" s="459"/>
      <c r="J64" s="459"/>
      <c r="K64" s="459"/>
      <c r="L64" s="25"/>
    </row>
    <row r="65" spans="1:11" ht="15.75" hidden="1" thickBot="1">
      <c r="B65" s="3031" t="str">
        <f>+B27</f>
        <v>Zuschlag zum Ausgleichswert zur Erreichung einer adäquaten Versorgung in der Zielversorgung:</v>
      </c>
      <c r="C65" s="3032"/>
      <c r="D65" s="3033"/>
      <c r="E65" s="355" t="str">
        <f>IFERROR(IF(AND(DRVJa,E64-Adaequanz_errechneterKapWert&gt;0),E64-Adaequanz_errechneterKapWert,0),"")</f>
        <v/>
      </c>
      <c r="F65" s="356" t="str">
        <f>IFERROR(IF(AND(VersAusglKJa,+F64-Adaequanz_errechneterKapWert&gt;0),+F64-Adaequanz_errechneterKapWert,0),"")</f>
        <v/>
      </c>
      <c r="G65" s="378" t="str">
        <f>IFERROR(IF(AND(SonstJa,G64-Adaequanz_errechneterKapWert&gt;0),+G64-Adaequanz_errechneterKapWert,0),"")</f>
        <v/>
      </c>
      <c r="H65" s="384"/>
      <c r="I65" s="462"/>
      <c r="J65" s="462"/>
      <c r="K65" s="462"/>
    </row>
    <row r="68" spans="1:11" hidden="1">
      <c r="A68" s="1456">
        <v>28</v>
      </c>
      <c r="B68" s="3027" t="s">
        <v>562</v>
      </c>
      <c r="C68" s="3028"/>
      <c r="D68" s="447">
        <f>IFERROR(IF(E23&gt;0,(Adaequanz_Ausgleichswert1+E22)/2,""),"")</f>
        <v>0</v>
      </c>
      <c r="E68" s="447"/>
      <c r="F68" s="448"/>
      <c r="G68" s="448"/>
      <c r="H68" s="451"/>
      <c r="I68" s="465"/>
      <c r="J68" s="465"/>
      <c r="K68" s="465"/>
    </row>
    <row r="69" spans="1:11" hidden="1">
      <c r="A69" s="1456">
        <v>29</v>
      </c>
      <c r="B69" s="3027"/>
      <c r="C69" s="3028"/>
      <c r="D69" s="444" t="str">
        <f>IFERROR(IF(F23&gt;0,(Adaequanz_Ausgleichswert1+F22)/2,""),"")</f>
        <v/>
      </c>
      <c r="E69" s="444"/>
      <c r="F69" s="444"/>
      <c r="G69" s="449"/>
      <c r="H69" s="431"/>
      <c r="I69" s="466"/>
      <c r="J69" s="466"/>
      <c r="K69" s="466"/>
    </row>
    <row r="70" spans="1:11" hidden="1">
      <c r="A70" s="1456">
        <v>30</v>
      </c>
      <c r="B70" s="3027"/>
      <c r="C70" s="3028"/>
      <c r="D70" s="445" t="str">
        <f>IFERROR(IF(G23&gt;0,(Adaequanz_errechneterKapWert+G22)/2,""),"")</f>
        <v/>
      </c>
      <c r="E70" s="446"/>
      <c r="F70" s="446"/>
      <c r="G70" s="446"/>
      <c r="H70" s="431"/>
      <c r="I70" s="466"/>
      <c r="J70" s="466"/>
      <c r="K70" s="466"/>
    </row>
    <row r="71" spans="1:11" hidden="1">
      <c r="A71" s="1456">
        <v>31</v>
      </c>
      <c r="B71" s="3027"/>
      <c r="C71" s="3028"/>
      <c r="D71" s="450">
        <f>IFERROR(IF(H23&gt;0,(Adaequanz_errechneterKapWert+H22)/2,""),"")</f>
        <v>0</v>
      </c>
      <c r="E71" s="450"/>
      <c r="F71" s="450"/>
      <c r="G71" s="450"/>
      <c r="H71" s="452"/>
      <c r="I71" s="467"/>
      <c r="J71" s="467"/>
      <c r="K71" s="467"/>
    </row>
  </sheetData>
  <sheetProtection algorithmName="SHA-512" hashValue="E++IJdGffbQ2QoZ08J3Qo56r5XdXtml6WVJ27dJmlKBKCqQAjUViFV5iFpwKACU8J1dmnRvuQTVSMNgfUDTusA==" saltValue="gp06XypLij04H7Z4oN61yA==" spinCount="100000" sheet="1" objects="1" scenarios="1" selectLockedCells="1"/>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9:Y20"/>
    <mergeCell ref="I29:J29"/>
    <mergeCell ref="X21:Y25"/>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13" priority="312">
      <formula>SUM(E23:H23&lt;=0)</formula>
    </cfRule>
  </conditionalFormatting>
  <conditionalFormatting sqref="B29:B30">
    <cfRule type="expression" dxfId="312" priority="97">
      <formula>Algleichsgewinn=FALSE</formula>
    </cfRule>
  </conditionalFormatting>
  <conditionalFormatting sqref="B56">
    <cfRule type="expression" dxfId="311" priority="135">
      <formula>AND(Adaequanz_Kapitalleistung,D21=0)</formula>
    </cfRule>
  </conditionalFormatting>
  <conditionalFormatting sqref="B29:H34">
    <cfRule type="expression" dxfId="310" priority="540">
      <formula>AND(DFGT=TRUE,$C$4&gt;0,$D$6&lt;&gt;"",$C$7&gt;0,$D$9&gt;0,$D$12&gt;0)</formula>
    </cfRule>
  </conditionalFormatting>
  <conditionalFormatting sqref="B35:K38">
    <cfRule type="expression" dxfId="309" priority="98">
      <formula>Ausgleichsgewinn</formula>
    </cfRule>
  </conditionalFormatting>
  <conditionalFormatting sqref="B60:K60">
    <cfRule type="expression" dxfId="308" priority="136">
      <formula>Adaequanz_Kapitalleistung</formula>
    </cfRule>
  </conditionalFormatting>
  <conditionalFormatting sqref="B61:K61 B62 E62:K62">
    <cfRule type="expression" dxfId="307" priority="129">
      <formula>GrafikSchalter</formula>
    </cfRule>
  </conditionalFormatting>
  <conditionalFormatting sqref="C4">
    <cfRule type="expression" dxfId="306" priority="3">
      <formula>D4&lt;&gt;""</formula>
    </cfRule>
  </conditionalFormatting>
  <conditionalFormatting sqref="C7">
    <cfRule type="expression" dxfId="304" priority="5">
      <formula>AND($D$7="",$C$7&gt;0)</formula>
    </cfRule>
    <cfRule type="expression" dxfId="303" priority="8">
      <formula>OR(C7=0,C7=FALSE,D7&lt;&gt;"")</formula>
    </cfRule>
  </conditionalFormatting>
  <conditionalFormatting sqref="C12">
    <cfRule type="expression" dxfId="302" priority="12">
      <formula>AND(D12&gt;0,$D$12&lt;$T$3)</formula>
    </cfRule>
  </conditionalFormatting>
  <conditionalFormatting sqref="C21">
    <cfRule type="expression" dxfId="301" priority="11">
      <formula>AND(($D$20+$D$21)&gt;0,OR($D$20&lt;U3,AND(D21&gt;0,D21&lt;U3)))</formula>
    </cfRule>
  </conditionalFormatting>
  <conditionalFormatting sqref="C27">
    <cfRule type="expression" dxfId="300" priority="320">
      <formula>SUM(F23:K23&lt;=0)</formula>
    </cfRule>
  </conditionalFormatting>
  <conditionalFormatting sqref="D2">
    <cfRule type="expression" dxfId="299" priority="442">
      <formula>#REF!="nein"</formula>
    </cfRule>
    <cfRule type="expression" dxfId="298" priority="441">
      <formula>#REF!="Ja"</formula>
    </cfRule>
    <cfRule type="expression" dxfId="297" priority="440">
      <formula>#REF!=""</formula>
    </cfRule>
    <cfRule type="expression" dxfId="296" priority="439">
      <formula>#REF!="Jein"</formula>
    </cfRule>
  </conditionalFormatting>
  <conditionalFormatting sqref="D4">
    <cfRule type="expression" dxfId="295" priority="1">
      <formula>BerechnetAuf = 2</formula>
    </cfRule>
    <cfRule type="expression" dxfId="294" priority="2">
      <formula>AND($C$4="",$D$4=0)</formula>
    </cfRule>
  </conditionalFormatting>
  <conditionalFormatting sqref="D5">
    <cfRule type="expression" dxfId="293" priority="67">
      <formula>BerechnetAuf=1</formula>
    </cfRule>
    <cfRule type="expression" dxfId="292" priority="119">
      <formula>AND(N5=2,D5="")</formula>
    </cfRule>
  </conditionalFormatting>
  <conditionalFormatting sqref="D6">
    <cfRule type="expression" dxfId="291" priority="148">
      <formula>D6=""</formula>
    </cfRule>
  </conditionalFormatting>
  <conditionalFormatting sqref="D7">
    <cfRule type="expression" dxfId="290" priority="7">
      <formula>AND(D7="",C7=0)</formula>
    </cfRule>
  </conditionalFormatting>
  <conditionalFormatting sqref="D9">
    <cfRule type="expression" dxfId="289" priority="116">
      <formula>D9=""</formula>
    </cfRule>
    <cfRule type="expression" dxfId="288" priority="208">
      <formula>D9=""</formula>
    </cfRule>
  </conditionalFormatting>
  <conditionalFormatting sqref="D12">
    <cfRule type="expression" dxfId="287" priority="13">
      <formula>AND(D12&gt;0,$D$12&lt;$T$3)</formula>
    </cfRule>
    <cfRule type="expression" dxfId="286" priority="115">
      <formula>D12=""</formula>
    </cfRule>
  </conditionalFormatting>
  <conditionalFormatting sqref="D12:D14">
    <cfRule type="expression" dxfId="285" priority="205">
      <formula>D12=""</formula>
    </cfRule>
  </conditionalFormatting>
  <conditionalFormatting sqref="D17:D18">
    <cfRule type="expression" dxfId="284" priority="203">
      <formula>D17=""</formula>
    </cfRule>
  </conditionalFormatting>
  <conditionalFormatting sqref="D20">
    <cfRule type="expression" dxfId="283" priority="10">
      <formula>AND(D20&gt;0,$D$20&lt;BagatellgrenzeKapital)</formula>
    </cfRule>
    <cfRule type="colorScale" priority="60">
      <colorScale>
        <cfvo type="min"/>
        <cfvo type="percentile" val="50"/>
        <cfvo type="max"/>
        <color rgb="FFFF0000"/>
        <color rgb="FFFFEB84"/>
        <color rgb="FF00B050"/>
      </colorScale>
    </cfRule>
    <cfRule type="colorScale" priority="59">
      <colorScale>
        <cfvo type="min"/>
        <cfvo type="max"/>
        <color rgb="FFFF0000"/>
        <color rgb="FF92D050"/>
      </colorScale>
    </cfRule>
  </conditionalFormatting>
  <conditionalFormatting sqref="D21">
    <cfRule type="expression" dxfId="282"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281" priority="153">
      <formula>AND(E8&lt;E9,E8&lt;&gt;"",E23&lt;-0.1,DRVJa)</formula>
    </cfRule>
  </conditionalFormatting>
  <conditionalFormatting sqref="D24:E24">
    <cfRule type="expression" dxfId="280" priority="55">
      <formula>AND($E$23&gt;0.1,$E$20&gt;0,DRVJa,$D$22+$E$22&gt;0)</formula>
    </cfRule>
  </conditionalFormatting>
  <conditionalFormatting sqref="D27:E27">
    <cfRule type="expression" dxfId="279"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8" priority="454">
      <formula>E20=0</formula>
    </cfRule>
    <cfRule type="expression" dxfId="277" priority="455">
      <formula>AND(E22&gt;0,E26=#REF!)</formula>
    </cfRule>
  </conditionalFormatting>
  <conditionalFormatting sqref="E4">
    <cfRule type="expression" dxfId="276" priority="75">
      <formula>DRVJa=FALSE</formula>
    </cfRule>
    <cfRule type="expression" dxfId="275" priority="120">
      <formula>AND(E8&gt;=E9,E8&lt;&gt;"",DRVJa)</formula>
    </cfRule>
  </conditionalFormatting>
  <conditionalFormatting sqref="E6">
    <cfRule type="expression" dxfId="274" priority="46">
      <formula>OR(RentenerwerbDRV,$E$6&gt;0)</formula>
    </cfRule>
  </conditionalFormatting>
  <conditionalFormatting sqref="E7:E9 E11:E19">
    <cfRule type="expression" dxfId="273" priority="70">
      <formula>DRVJa=FALSE</formula>
    </cfRule>
  </conditionalFormatting>
  <conditionalFormatting sqref="E10">
    <cfRule type="expression" dxfId="272" priority="54">
      <formula>DRVJa=FALSE</formula>
    </cfRule>
  </conditionalFormatting>
  <conditionalFormatting sqref="E17:E18">
    <cfRule type="expression" dxfId="271" priority="191">
      <formula>E17=""</formula>
    </cfRule>
  </conditionalFormatting>
  <conditionalFormatting sqref="E20:E21">
    <cfRule type="expression" dxfId="270" priority="19">
      <formula>DRVJa=FALSE</formula>
    </cfRule>
  </conditionalFormatting>
  <conditionalFormatting sqref="E26">
    <cfRule type="expression" dxfId="269" priority="155">
      <formula>$E$22=0</formula>
    </cfRule>
  </conditionalFormatting>
  <conditionalFormatting sqref="E26:F26">
    <cfRule type="expression" dxfId="268"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7" priority="137">
      <formula>Adaequanz_Kapitalleistung</formula>
    </cfRule>
  </conditionalFormatting>
  <conditionalFormatting sqref="F4">
    <cfRule type="expression" dxfId="266" priority="78">
      <formula>VersAusglKJa=FALSE</formula>
    </cfRule>
  </conditionalFormatting>
  <conditionalFormatting sqref="F7">
    <cfRule type="expression" dxfId="265" priority="74" stopIfTrue="1">
      <formula>VersAusglKJa=FALSE</formula>
    </cfRule>
  </conditionalFormatting>
  <conditionalFormatting sqref="F8">
    <cfRule type="expression" dxfId="264" priority="33">
      <formula>VersAusglKJa=FALSE</formula>
    </cfRule>
  </conditionalFormatting>
  <conditionalFormatting sqref="F9">
    <cfRule type="expression" dxfId="263" priority="29">
      <formula>VersAusglKJa=FALSE</formula>
    </cfRule>
  </conditionalFormatting>
  <conditionalFormatting sqref="F10">
    <cfRule type="expression" dxfId="262" priority="22">
      <formula>VersAusglKJa=FALSE</formula>
    </cfRule>
  </conditionalFormatting>
  <conditionalFormatting sqref="F11">
    <cfRule type="expression" dxfId="261" priority="21">
      <formula>VersAusglKJa=FALSE</formula>
    </cfRule>
  </conditionalFormatting>
  <conditionalFormatting sqref="F12">
    <cfRule type="expression" dxfId="260" priority="23">
      <formula>VersAusglKJa=FALSE</formula>
    </cfRule>
  </conditionalFormatting>
  <conditionalFormatting sqref="F13:F21">
    <cfRule type="expression" dxfId="259" priority="34">
      <formula>VersAusglKJa=FALSE</formula>
    </cfRule>
  </conditionalFormatting>
  <conditionalFormatting sqref="F27">
    <cfRule type="expression" dxfId="258" priority="453">
      <formula>SUM(I23:N23&lt;=0)</formula>
    </cfRule>
    <cfRule type="expression" dxfId="257" priority="122">
      <formula>F27=0</formula>
    </cfRule>
  </conditionalFormatting>
  <conditionalFormatting sqref="F9:G9">
    <cfRule type="expression" dxfId="256" priority="131">
      <formula>F9=""</formula>
    </cfRule>
  </conditionalFormatting>
  <conditionalFormatting sqref="F12:G12">
    <cfRule type="expression" dxfId="255" priority="27">
      <formula>F12=""</formula>
    </cfRule>
  </conditionalFormatting>
  <conditionalFormatting sqref="G4:G8">
    <cfRule type="expression" dxfId="254" priority="31">
      <formula>SonstJa=FALSE</formula>
    </cfRule>
  </conditionalFormatting>
  <conditionalFormatting sqref="G9">
    <cfRule type="expression" dxfId="253" priority="30">
      <formula>SonstJa=FALSE</formula>
    </cfRule>
  </conditionalFormatting>
  <conditionalFormatting sqref="G10">
    <cfRule type="expression" dxfId="252" priority="49">
      <formula>SonstJa=FALSE</formula>
    </cfRule>
  </conditionalFormatting>
  <conditionalFormatting sqref="G11">
    <cfRule type="expression" dxfId="251" priority="26">
      <formula>SonstJa=FALSE</formula>
    </cfRule>
  </conditionalFormatting>
  <conditionalFormatting sqref="G12">
    <cfRule type="expression" dxfId="250" priority="24">
      <formula>SonstJa=FALSE</formula>
    </cfRule>
  </conditionalFormatting>
  <conditionalFormatting sqref="G13:G14">
    <cfRule type="expression" dxfId="249" priority="16">
      <formula>SonstJa</formula>
    </cfRule>
  </conditionalFormatting>
  <conditionalFormatting sqref="G15">
    <cfRule type="expression" dxfId="248" priority="14">
      <formula>SonstJa</formula>
    </cfRule>
  </conditionalFormatting>
  <conditionalFormatting sqref="G17:G18">
    <cfRule type="expression" dxfId="247" priority="15">
      <formula>SonstJa</formula>
    </cfRule>
  </conditionalFormatting>
  <conditionalFormatting sqref="G26">
    <cfRule type="expression" dxfId="246" priority="157">
      <formula>$G$26=0</formula>
    </cfRule>
  </conditionalFormatting>
  <conditionalFormatting sqref="G27">
    <cfRule type="expression" dxfId="245" priority="121">
      <formula>G26=0</formula>
    </cfRule>
    <cfRule type="expression" dxfId="244" priority="451">
      <formula>SUM(M23:N23&lt;=0)</formula>
    </cfRule>
  </conditionalFormatting>
  <conditionalFormatting sqref="H6">
    <cfRule type="expression" dxfId="243" priority="44">
      <formula>RentenerwerbDRVBer</formula>
    </cfRule>
  </conditionalFormatting>
  <conditionalFormatting sqref="H7">
    <cfRule type="expression" dxfId="242" priority="264">
      <formula>AND(A2=1,H7&lt;&gt;"")</formula>
    </cfRule>
    <cfRule type="expression" dxfId="241" priority="265">
      <formula>AND(A2=1,H7="")</formula>
    </cfRule>
  </conditionalFormatting>
  <conditionalFormatting sqref="H7:H23 I10:K10">
    <cfRule type="expression" dxfId="240" priority="76">
      <formula>DRVAusglBerJa=FALSE</formula>
    </cfRule>
  </conditionalFormatting>
  <conditionalFormatting sqref="H8:H20 I10:K11 H22:H25 I8:K8 I15:K15 I18:I19 J19:K20 J25:K26">
    <cfRule type="expression" dxfId="239" priority="298">
      <formula>AND($H$7&gt;0,DRVAusglBerJa)</formula>
    </cfRule>
  </conditionalFormatting>
  <conditionalFormatting sqref="I5">
    <cfRule type="expression" dxfId="238" priority="390">
      <formula>#REF!=1</formula>
    </cfRule>
  </conditionalFormatting>
  <conditionalFormatting sqref="I9:K9">
    <cfRule type="expression" dxfId="237" priority="68">
      <formula>I9=""</formula>
    </cfRule>
  </conditionalFormatting>
  <conditionalFormatting sqref="I12:K12">
    <cfRule type="expression" dxfId="236" priority="61">
      <formula>I12=""</formula>
    </cfRule>
  </conditionalFormatting>
  <conditionalFormatting sqref="J27">
    <cfRule type="expression" dxfId="235" priority="449">
      <formula>SUM(#REF!&lt;=0)</formula>
    </cfRule>
  </conditionalFormatting>
  <conditionalFormatting sqref="J6:K6">
    <cfRule type="expression" dxfId="234" priority="392">
      <formula>#REF!=1</formula>
    </cfRule>
  </conditionalFormatting>
  <conditionalFormatting sqref="K27">
    <cfRule type="expression" dxfId="233"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887">
        <v>160</v>
      </c>
      <c r="B2" s="25"/>
      <c r="C2" s="25"/>
      <c r="D2" s="25"/>
      <c r="E2" s="25"/>
    </row>
    <row r="3" spans="1:8" ht="15.75">
      <c r="A3" s="25"/>
      <c r="B3" s="3094" t="str">
        <f>IF(Gewinn,"Verteilung von Gewinnen der externen Teilung betrieblicher Versorgungen in die DRV","Berechnung des Ausgleichs des Transferverlustes bei externer Teilung in die DRV")</f>
        <v>Verteilung von Gewinnen der externen Teilung betrieblicher Versorgungen in die DRV</v>
      </c>
      <c r="C3" s="3095"/>
      <c r="D3" s="3096"/>
      <c r="E3" s="991"/>
      <c r="G3" t="s">
        <v>900</v>
      </c>
      <c r="H3" t="b">
        <f>IF('BVerfG 1 BvL 5-18'!E23&lt;0,FALSE,TRUE)</f>
        <v>1</v>
      </c>
    </row>
    <row r="4" spans="1:8" ht="16.5" customHeight="1" thickBot="1">
      <c r="A4" s="25"/>
      <c r="B4" s="3097" t="s">
        <v>840</v>
      </c>
      <c r="C4" s="3098"/>
      <c r="D4" s="3099"/>
      <c r="E4" s="211"/>
    </row>
    <row r="5" spans="1:8">
      <c r="A5" s="25"/>
      <c r="B5" s="731" t="s">
        <v>631</v>
      </c>
      <c r="C5" s="3090" t="str">
        <f>+'BVerfG 1 BvL 5-18'!C4</f>
        <v/>
      </c>
      <c r="D5" s="3091"/>
      <c r="E5" s="211"/>
    </row>
    <row r="6" spans="1:8" ht="36.75" customHeight="1">
      <c r="A6" s="25"/>
      <c r="B6" s="745" t="s">
        <v>857</v>
      </c>
      <c r="C6" s="723" t="str">
        <f>IF(BGHXIIZB23016,"AusglBer.","AusglPfl.")&amp;"("&amp;Adaequanz_QV_Alter&amp;") Quellversorgung"</f>
        <v>AusglPfl.() Quellversorgung</v>
      </c>
      <c r="D6" s="724" t="str">
        <f>IF(BGHXIIZB23016,"AusglBer.","AusglPfl.")&amp;" DRV"</f>
        <v>AusglPfl. DRV</v>
      </c>
      <c r="E6" s="992"/>
    </row>
    <row r="7" spans="1:8" ht="15">
      <c r="A7" s="25"/>
      <c r="B7" s="726" t="s">
        <v>852</v>
      </c>
      <c r="C7" s="805">
        <f>IF(Adaequanz_AusglWertQuelle=0,Adaequanz_errechneterKapWert,Adaequanz_AusglWertQuelle)</f>
        <v>0</v>
      </c>
      <c r="D7" s="3100" t="s">
        <v>841</v>
      </c>
      <c r="E7" s="993"/>
    </row>
    <row r="8" spans="1:8" ht="15">
      <c r="A8" s="25"/>
      <c r="B8" s="726" t="s">
        <v>882</v>
      </c>
      <c r="C8" s="805">
        <f>+Adaequanz_RentePfl</f>
        <v>0</v>
      </c>
      <c r="D8" s="3101"/>
      <c r="E8" s="993"/>
    </row>
    <row r="9" spans="1:8" ht="15">
      <c r="A9" s="25"/>
      <c r="B9" s="727" t="str">
        <f>"errechneter Barwert der vom Versorgungsträger mitgeteilten Rente von "&amp;TEXT(C8,"#.##0,00 €")&amp;" ReZins: "&amp;TEXT('BVerfG 1 BvL 5-18'!P15,"0,00")&amp;" %"</f>
        <v>errechneter Barwert der vom Versorgungsträger mitgeteilten Rente von 0,00 € ReZins: 6,00 %</v>
      </c>
      <c r="C9" s="834">
        <f>+Adaequanz_errechneterKapWert</f>
        <v>0</v>
      </c>
      <c r="D9" s="804" t="s">
        <v>842</v>
      </c>
      <c r="E9" s="994"/>
    </row>
    <row r="10" spans="1:8" ht="28.5">
      <c r="A10" s="25"/>
      <c r="B10" s="728" t="str">
        <f>IFERROR("DRV-Rente aus dem vom VT der Quellversorgung mitgeteilten Ausgleichswert für F:"&amp;CHAR(10)&amp;"AusglW x U-Faktor x aktRW = "&amp;TEXT(C7,"#.##0,00")&amp;" x "&amp;TEXT(VLOOKUP(C5,Umrechnungsfaktoren,2),"0,0000000000")&amp;" x "&amp;TEXT(VLOOKUP(C5,aktRW,2),"0,00 €"),"")</f>
        <v/>
      </c>
      <c r="C10" s="806"/>
      <c r="D10" s="807" t="str">
        <f>IFERROR(C7*VLOOKUP(C5,Umrechnungsfaktoren,2)*VLOOKUP(C5,aktRW,2),"")</f>
        <v/>
      </c>
      <c r="E10" s="995"/>
    </row>
    <row r="11" spans="1:8">
      <c r="A11" s="25"/>
      <c r="B11" s="727" t="str">
        <f>"Barwert einer DRV-Rente von "&amp;TEXT(D10,"#.##0,00 €")&amp;" im EzE"</f>
        <v>Barwert einer DRV-Rente von  im EzE</v>
      </c>
      <c r="C11" s="725" t="s">
        <v>842</v>
      </c>
      <c r="D11" s="833" t="str">
        <f>+'BVerfG 1 BvL 5-18'!E20</f>
        <v/>
      </c>
      <c r="E11" s="996"/>
    </row>
    <row r="12" spans="1:8" ht="28.5">
      <c r="A12" s="25"/>
      <c r="B12" s="728" t="str">
        <f>"Beitrag zur Erlangung eines Barwerts von "&amp;TEXT(C9,"#.##0,00")&amp;" in DRV: "&amp;CHAR(10)&amp;TEXT(C7,"#.##0,00")&amp;" x "&amp;TEXT(C9,"#.##0,00")&amp;" / "&amp;TEXT(D11,"#.##0,00")</f>
        <v xml:space="preserve">Beitrag zur Erlangung eines Barwerts von 0,00 in DRV: 
0,00 x 0,00 / </v>
      </c>
      <c r="C12" s="808"/>
      <c r="D12" s="833" t="str">
        <f>IFERROR(C7*C9/D11,"")</f>
        <v/>
      </c>
      <c r="E12" s="996"/>
      <c r="F12" s="149"/>
    </row>
    <row r="13" spans="1:8">
      <c r="A13" s="25"/>
      <c r="B13" s="728" t="str">
        <f>IFERROR("DRV-Rente im EzE aus Beitrag von "&amp;TEXT(D12,"#.##0,00 €")&amp;" x "&amp;TEXT(VLOOKUP(C5,Umrechnungsfaktoren,2),"0,0000000000")&amp;" x "&amp;TEXT(VLOOKUP(C5,aktRW,2),"0,00 €"),"")</f>
        <v/>
      </c>
      <c r="C13" s="808"/>
      <c r="D13" s="807" t="str">
        <f>IFERROR(+D12*VLOOKUP(C5,Umrechnungsfaktoren,2)*VLOOKUP(C5,aktRW,2),"")</f>
        <v/>
      </c>
      <c r="E13" s="995"/>
      <c r="F13" s="149"/>
    </row>
    <row r="14" spans="1:8">
      <c r="A14" s="25"/>
      <c r="B14" s="727" t="str">
        <f>"Barwert einer DRV-Rente zum EzE i.H.v. "&amp;TEXT(D13,"#.##0,00 €")&amp;", Rentenalter: "&amp;TEXT('BVerfG 1 BvL 5-18'!E9,"0,0")&amp;", ReZins: "&amp;TEXT('BVerfG 1 BvL 5-18'!P15,"0,00")&amp;" %"</f>
        <v>Barwert einer DRV-Rente zum EzE i.H.v. , Rentenalter: , ReZins: 6,00 %</v>
      </c>
      <c r="C14" s="803" t="s">
        <v>842</v>
      </c>
      <c r="D14" s="833">
        <f>+C9</f>
        <v>0</v>
      </c>
      <c r="E14" s="996"/>
      <c r="F14" s="149"/>
    </row>
    <row r="15" spans="1:8">
      <c r="A15" s="25"/>
      <c r="B15" s="727" t="str">
        <f>"die Barwertgleiche "&amp;IF(Gewinn,"überschießender ","unterschreitender ")&amp;"Ausgleichswert: "&amp;TEXT(C7,"#.##0,00")&amp;" - "&amp;TEXT(D12,"#.##0")</f>
        <v xml:space="preserve">die Barwertgleiche überschießender Ausgleichswert: 0,00 - </v>
      </c>
      <c r="C15" s="3092" t="str">
        <f>IFERROR(ROUND(+C7-D12,0),"")</f>
        <v/>
      </c>
      <c r="D15" s="3093"/>
      <c r="E15" s="995"/>
    </row>
    <row r="16" spans="1:8" ht="28.5" customHeight="1">
      <c r="A16" s="25"/>
      <c r="B16" s="835" t="str">
        <f>IF(Gewinn,"","zur Erreichung von 90% des Barwerts der Quellversorgung sind zu Lasten des Versorgungsträgers "&amp;TEXT(D12*0.9-C7,"#.##0,00")&amp;" erforderlich ("&amp;TEXT(D12,"#.##0,00")&amp;" x 90% - "&amp;TEXT(C7,"#.##0,00")&amp;"), insgesamt mithin:")</f>
        <v/>
      </c>
      <c r="C16" s="812"/>
      <c r="D16" s="813" t="e">
        <f>+D12*0.9</f>
        <v>#VALUE!</v>
      </c>
      <c r="E16" s="997"/>
    </row>
    <row r="17" spans="1:6">
      <c r="A17" s="25"/>
      <c r="B17" s="727" t="str">
        <f>"Kosten pro Euro Barwert: "&amp;TEXT(C7,"#.##0,00 €")&amp;" / "&amp;TEXT(C9,"#.##0,00")&amp;" bzw. "&amp;TEXT(D12,"#.##0,00")&amp;" / "&amp;TEXT(D14,"#.##0,00")</f>
        <v>Kosten pro Euro Barwert: 0,00 € / 0,00 bzw.  / 0,00</v>
      </c>
      <c r="C17" s="806" t="str">
        <f>IFERROR(+C7/C9,"")</f>
        <v/>
      </c>
      <c r="D17" s="807" t="str">
        <f>IFERROR(D12/D14,"")</f>
        <v/>
      </c>
      <c r="E17" s="995"/>
      <c r="F17" s="149"/>
    </row>
    <row r="18" spans="1:6">
      <c r="A18" s="25"/>
      <c r="B18" s="727" t="str">
        <f>"Anteile in % am Rest: "&amp;TEXT(C17,"0,00")&amp;" / ("&amp;TEXT(C17,"0,00")&amp;" + "&amp;TEXT(D17,"0,00")&amp;") bzw. "&amp;TEXT(D17,"0,00")&amp;" / ("&amp;TEXT(C17,"0,00")&amp;" + "&amp;TEXT(D17,"0,00")&amp;")"</f>
        <v>Anteile in % am Rest:  / ( + ) bzw.  / ( + )</v>
      </c>
      <c r="C18" s="809" t="str">
        <f>IFERROR(ROUND(C17/SUM(C17:D17),4),"")</f>
        <v/>
      </c>
      <c r="D18" s="810" t="str">
        <f>IFERROR(ROUND(D17/SUM(C17:D17),4),"")</f>
        <v/>
      </c>
      <c r="E18" s="998"/>
    </row>
    <row r="19" spans="1:6">
      <c r="A19" s="25"/>
      <c r="B19" s="727" t="str">
        <f>"Anteile in € am Rest: "&amp;TEXT(C15,"#.##0,00")&amp;" x "&amp;TEXT(C18,"0,00%")&amp;" bzw. "&amp;TEXT(C15,"#.##0,00")&amp;" x "&amp;TEXT(D18,"0,00%")</f>
        <v xml:space="preserve">Anteile in € am Rest:  x  bzw.  x </v>
      </c>
      <c r="C19" s="1315" t="str">
        <f>IFERROR(C15*C18,"")</f>
        <v/>
      </c>
      <c r="D19" s="833" t="str">
        <f>IFERROR(D18*C15,"")</f>
        <v/>
      </c>
      <c r="E19" s="995"/>
    </row>
    <row r="20" spans="1:6">
      <c r="A20" s="25"/>
      <c r="B20" s="729" t="str">
        <f>"Rentenwert des Anteils in Q-Versorgung: "&amp;TEXT(C19,"#.##0,00 €")&amp;" / ("&amp;TEXT(C7,"#.##0,00")&amp;" / "&amp;TEXT(C8,"#.##0,00 €")&amp;")"</f>
        <v>Rentenwert des Anteils in Q-Versorgung:  / (0,00 / 0,00 €)</v>
      </c>
      <c r="C20" s="806" t="str">
        <f>IFERROR(C19/(C7/C8),"")</f>
        <v/>
      </c>
      <c r="D20" s="807"/>
      <c r="E20" s="995"/>
    </row>
    <row r="21" spans="1:6" ht="15">
      <c r="A21" s="25"/>
      <c r="B21" s="727" t="str">
        <f>"Der der ausglpfl. Person verbleibende Quellversorgungsanzeil: "&amp;TEXT(C8,"#.##0,00 €")&amp;" + "&amp;TEXT(C20,"#.##0,00 €")</f>
        <v xml:space="preserve">Der der ausglpfl. Person verbleibende Quellversorgungsanzeil: 0,00 € + </v>
      </c>
      <c r="C21" s="806" t="str">
        <f>IFERROR(ROUND(C8+C20,2),"")</f>
        <v/>
      </c>
      <c r="D21" s="811"/>
      <c r="E21" s="1000"/>
      <c r="F21" s="3087" t="str">
        <f>"Tragen Sie im Blatt 'BVerfG Adäquanzprüfung' in Zeile 11 Spalte D den Wert "&amp;TEXT(C21,"#.##0,00 €")&amp;" ein."</f>
        <v>Tragen Sie im Blatt 'BVerfG Adäquanzprüfung' in Zeile 11 Spalte D den Wert  ein.</v>
      </c>
    </row>
    <row r="22" spans="1:6" ht="15">
      <c r="A22" s="25"/>
      <c r="B22" s="802" t="str">
        <f>"Der Ausgleichswert reduziert sich auf: 2 x "&amp;TEXT(C8,"#.##0,00 €")&amp;" - "&amp;TEXT(C21,"#.##0,00 €")</f>
        <v xml:space="preserve">Der Ausgleichswert reduziert sich auf: 2 x 0,00 € - </v>
      </c>
      <c r="C22" s="812" t="str">
        <f>IFERROR(2*C8-C21,"")</f>
        <v/>
      </c>
      <c r="D22" s="811"/>
      <c r="E22" s="1000"/>
      <c r="F22" s="3087"/>
    </row>
    <row r="23" spans="1:6" ht="15">
      <c r="A23" s="25"/>
      <c r="B23" s="727" t="str">
        <f>"Neuer Beitrag (AusglW) für ausglber. Person: "&amp;TEXT(D12,"#.##0,00 €")&amp;" + "&amp;TEXT(D19,"#.##0,00 €")</f>
        <v xml:space="preserve">Neuer Beitrag (AusglW) für ausglber. Person:  + </v>
      </c>
      <c r="C23" s="806"/>
      <c r="D23" s="1314" t="str">
        <f>IFERROR(ROUND(D12+D19,2),"")</f>
        <v/>
      </c>
      <c r="E23" s="997"/>
    </row>
    <row r="24" spans="1:6" ht="33.75" customHeight="1" thickBot="1">
      <c r="A24" s="25"/>
      <c r="B24" s="730" t="str">
        <f>IFERROR("aus dem Ausgleichswert in DRV resultierende Rente im EzE (Berechnungszpkt): "&amp;CHAR(10)&amp;TEXT(D23,"#.##0,00")&amp;" x "&amp;TEXT(VLOOKUP(C5,Umrechnungsfaktoren,2),"0,0000000000")&amp;" x "&amp;TEXT(VLOOKUP(C5,aktRW,2),"0,00 €"),"")</f>
        <v/>
      </c>
      <c r="C24" s="814"/>
      <c r="D24" s="815" t="str">
        <f>IFERROR(D23*VLOOKUP(C5,Umrechnungsfaktoren,2)*VLOOKUP(C5,aktRW,2),"")</f>
        <v/>
      </c>
      <c r="E24" s="995"/>
    </row>
    <row r="25" spans="1:6" ht="22.5" customHeight="1">
      <c r="A25" s="25"/>
      <c r="B25" s="3088" t="s">
        <v>843</v>
      </c>
      <c r="C25" s="3089"/>
      <c r="D25" s="3089"/>
      <c r="E25" s="999"/>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32" priority="1">
      <formula>Gewinn</formula>
    </cfRule>
  </conditionalFormatting>
  <conditionalFormatting sqref="B17:E24">
    <cfRule type="expression" dxfId="231"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45" zoomScaleNormal="145" workbookViewId="0">
      <selection activeCell="C7" sqref="C7"/>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813">
        <v>1.6</v>
      </c>
      <c r="B1" s="967"/>
      <c r="C1" s="967"/>
      <c r="D1" s="967"/>
      <c r="E1" s="967"/>
      <c r="F1" s="967"/>
      <c r="G1" s="967"/>
      <c r="H1" s="967"/>
      <c r="I1" s="967"/>
    </row>
    <row r="2" spans="1:19" ht="29.25" customHeight="1">
      <c r="A2" s="967"/>
      <c r="B2" s="3104" t="s">
        <v>1299</v>
      </c>
      <c r="C2" s="3105"/>
      <c r="D2" s="3105"/>
      <c r="E2" s="3105"/>
      <c r="F2" s="3105"/>
      <c r="G2" s="3105"/>
      <c r="H2" s="3106"/>
      <c r="I2" s="968"/>
      <c r="K2" s="15">
        <v>169</v>
      </c>
      <c r="Q2" s="58">
        <f>VLOOKUP($K$2+4,'TO Ziff.5'!$B$7:$P$425,3)</f>
        <v>40057</v>
      </c>
    </row>
    <row r="3" spans="1:19" s="71" customFormat="1" ht="19.5" customHeight="1">
      <c r="A3" s="971"/>
      <c r="B3" s="3133" t="s">
        <v>1117</v>
      </c>
      <c r="C3" s="3134"/>
      <c r="D3" s="3134"/>
      <c r="E3" s="3134"/>
      <c r="F3" s="3134"/>
      <c r="G3" s="3135"/>
      <c r="H3" s="3139" t="s">
        <v>1298</v>
      </c>
      <c r="I3" s="971"/>
      <c r="K3" s="16">
        <v>1</v>
      </c>
    </row>
    <row r="4" spans="1:19" s="71" customFormat="1" ht="19.5" customHeight="1">
      <c r="A4" s="971"/>
      <c r="B4" s="3136"/>
      <c r="C4" s="3137"/>
      <c r="D4" s="3137"/>
      <c r="E4" s="3137"/>
      <c r="F4" s="3137"/>
      <c r="G4" s="3138"/>
      <c r="H4" s="3140"/>
      <c r="I4" s="971"/>
    </row>
    <row r="5" spans="1:19" ht="29.25" customHeight="1">
      <c r="A5" s="967"/>
      <c r="B5" s="3128"/>
      <c r="C5" s="3129"/>
      <c r="D5" s="3130"/>
      <c r="E5" s="3125" t="s">
        <v>1147</v>
      </c>
      <c r="F5" s="3126"/>
      <c r="G5" s="3126"/>
      <c r="H5" s="3127"/>
      <c r="I5" s="2050"/>
      <c r="K5" s="140"/>
    </row>
    <row r="6" spans="1:19" ht="48.75" customHeight="1">
      <c r="A6" s="967"/>
      <c r="B6" s="3102" t="str">
        <f>IFERROR(VLOOKUP($K$2+4,'TO Ziff.5'!$B$7:$P$425,2),"")</f>
        <v>IBM</v>
      </c>
      <c r="C6" s="3103"/>
      <c r="D6" s="3103"/>
      <c r="E6" s="3122"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TO ermöglicht u.a.: doppelten Kostenabzug.</v>
      </c>
      <c r="F6" s="3123"/>
      <c r="G6" s="3123"/>
      <c r="H6" s="3124"/>
      <c r="I6" s="969"/>
      <c r="O6" s="128" t="s">
        <v>1044</v>
      </c>
      <c r="P6" s="140" t="s">
        <v>1045</v>
      </c>
      <c r="Q6" s="140" t="s">
        <v>1115</v>
      </c>
      <c r="R6" s="140" t="s">
        <v>1116</v>
      </c>
    </row>
    <row r="7" spans="1:19" ht="14.25" customHeight="1">
      <c r="A7" s="967"/>
      <c r="B7" s="186" t="s">
        <v>63</v>
      </c>
      <c r="C7" s="897"/>
      <c r="D7" s="1376" t="str">
        <f>IF(C7&gt;0,C7,IF(Dat_EzE="","",Dat_EzE))</f>
        <v/>
      </c>
      <c r="E7" s="3118" t="s">
        <v>1118</v>
      </c>
      <c r="F7" s="3119"/>
      <c r="G7" s="3119"/>
      <c r="H7" s="3116" t="str">
        <f>IFERROR(IF(VLOOKUP($K$2+4,'TO Ziff.5'!$B$7:$P$425,4)=0,"",VLOOKUP($K$2+4,'TO Ziff.5'!$B$7:$P$425,4)),"")</f>
        <v>5.2.</v>
      </c>
      <c r="I7" s="969"/>
      <c r="O7" s="128"/>
      <c r="P7" s="140"/>
      <c r="Q7" s="140"/>
      <c r="R7" s="140"/>
    </row>
    <row r="8" spans="1:19" ht="14.25" customHeight="1" thickBot="1">
      <c r="A8" s="967"/>
      <c r="B8" s="979" t="s">
        <v>500</v>
      </c>
      <c r="C8" s="980"/>
      <c r="D8" s="981"/>
      <c r="E8" s="3120"/>
      <c r="F8" s="3121"/>
      <c r="G8" s="3121"/>
      <c r="H8" s="3117"/>
      <c r="I8" s="969"/>
      <c r="J8" t="s">
        <v>1319</v>
      </c>
      <c r="K8" s="15">
        <v>1</v>
      </c>
      <c r="O8" s="128"/>
      <c r="P8" s="140"/>
      <c r="Q8" s="140"/>
      <c r="R8" s="140"/>
    </row>
    <row r="9" spans="1:19" ht="36.75" customHeight="1" thickBot="1">
      <c r="A9" s="967"/>
      <c r="B9" s="3144" t="s">
        <v>1159</v>
      </c>
      <c r="C9" s="3145"/>
      <c r="D9" s="1130" t="s">
        <v>1320</v>
      </c>
      <c r="E9" s="1130" t="s">
        <v>1158</v>
      </c>
      <c r="F9" s="1130" t="s">
        <v>1492</v>
      </c>
      <c r="G9" s="3142" t="s">
        <v>1322</v>
      </c>
      <c r="H9" s="3143"/>
      <c r="I9" s="967"/>
      <c r="J9">
        <f>VLOOKUP($K$2+4,'TO Ziff.5'!$B$6:$P$425,14)</f>
        <v>0</v>
      </c>
      <c r="O9" s="128"/>
      <c r="P9" s="140"/>
      <c r="Q9" s="140"/>
      <c r="R9" s="140"/>
    </row>
    <row r="10" spans="1:19" ht="30" customHeight="1" thickBot="1">
      <c r="A10" s="967"/>
      <c r="B10" s="1031" t="s">
        <v>1176</v>
      </c>
      <c r="C10" s="3131" t="str">
        <f>IFERROR(IF(VLOOKUP($K$2+4,'TO Ziff.5'!$B$6:$P$425,8)=0,"",VLOOKUP($K$2+4,'TO Ziff.5'!$B$6:$P$425,8)),"")</f>
        <v/>
      </c>
      <c r="D10" s="3131"/>
      <c r="E10" s="3131"/>
      <c r="F10" s="3131"/>
      <c r="G10" s="3131"/>
      <c r="H10" s="3132"/>
      <c r="I10" s="967"/>
      <c r="J10" t="s">
        <v>1300</v>
      </c>
      <c r="O10" s="128"/>
      <c r="P10" s="140"/>
      <c r="Q10" s="140"/>
      <c r="R10" s="140"/>
    </row>
    <row r="11" spans="1:19" ht="30.75" customHeight="1">
      <c r="A11" s="967"/>
      <c r="B11" s="1032" t="s">
        <v>686</v>
      </c>
      <c r="C11" s="1033"/>
      <c r="D11" s="1033"/>
      <c r="E11" s="1132"/>
      <c r="F11" s="1885" t="s">
        <v>1869</v>
      </c>
      <c r="G11" s="1886" t="s">
        <v>1870</v>
      </c>
      <c r="H11" s="1282" t="s">
        <v>1494</v>
      </c>
      <c r="I11" s="967"/>
      <c r="J11" s="975" t="s">
        <v>1148</v>
      </c>
      <c r="K11" s="128"/>
      <c r="O11">
        <f>VLOOKUP($K$2+4,'TO Ziff.5'!$B$7:$P$425,10)</f>
        <v>0</v>
      </c>
      <c r="P11">
        <f>VLOOKUP($K$2+4,'TO Ziff.5'!$B$7:$P$425,11)</f>
        <v>2</v>
      </c>
      <c r="Q11">
        <f>VLOOKUP($K$2+4,'TO Ziff.5'!$B$7:$P$425,12)</f>
        <v>0</v>
      </c>
      <c r="R11">
        <f>VLOOKUP($K$2+4,'TO Ziff.5'!$B$7:$P$425,13)</f>
        <v>0</v>
      </c>
      <c r="S11">
        <f>SUM(O11:R11)</f>
        <v>2</v>
      </c>
    </row>
    <row r="12" spans="1:19" s="986" customFormat="1" ht="15" customHeight="1">
      <c r="A12" s="982"/>
      <c r="B12" s="3107"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Im Wege der internen Teilung wird zu Lasten des Anrechts der &lt;ausgleichspflichtigen Person&gt; bei der IBM &lt;VersNr. ...&gt; zu Gunsten der &lt;ausgleichsberechtigten Person&gt; bezogen auf den  (Ehezeitende) eine Versorgung aus einem Ausgleichswert in Höhe von &lt;Ausgleichswert einsetzen&gt; nach Maßgabe der Teilungsordnung des Versorgungsträgers in der Fassung vom 01.09.2009 übertragen,
mit der Maßgabe, dass abweichend von &lt; 5.2. &gt; der Teilungsordnung des Versorgungsträgers,
- ein Abzug der Teilungskosten vom titulierten Ausgleichsbetrag unzulässig ist.</v>
      </c>
      <c r="C12" s="3108"/>
      <c r="D12" s="3108"/>
      <c r="E12" s="3108"/>
      <c r="F12" s="3108"/>
      <c r="G12" s="3108"/>
      <c r="H12" s="3109"/>
      <c r="I12" s="983"/>
      <c r="J12" s="984" t="s">
        <v>1149</v>
      </c>
      <c r="K12" s="985"/>
      <c r="O12" s="986" t="str">
        <f>IF(O11=1,"Tarifwechsel (BGH XII ZB 359/19)  ","")</f>
        <v/>
      </c>
      <c r="P12" s="986" t="str">
        <f>IF(P11=2,IF(O12&lt;&gt;"",", ","")&amp;"doppelten Kostenabzug","")</f>
        <v>doppelten Kostenabzug</v>
      </c>
      <c r="Q12" s="986" t="str">
        <f>IF(Q11=3,IF(P12&lt;&gt;"",", ","")&amp;"Abweichungen vom Ausgleichswert ","")</f>
        <v/>
      </c>
      <c r="R12" s="986" t="str">
        <f>IF(R11=4,IF(Q12&lt;&gt;"",", ","")&amp;"Wertteilhabe zwischen EzE und RK nicht gewährleistet","")</f>
        <v/>
      </c>
    </row>
    <row r="13" spans="1:19" s="986" customFormat="1" ht="15" customHeight="1">
      <c r="A13" s="982"/>
      <c r="B13" s="3110"/>
      <c r="C13" s="3111"/>
      <c r="D13" s="3111"/>
      <c r="E13" s="3111"/>
      <c r="F13" s="3111"/>
      <c r="G13" s="3111"/>
      <c r="H13" s="3112"/>
      <c r="I13" s="983"/>
      <c r="J13" s="984" t="s">
        <v>1150</v>
      </c>
      <c r="K13" s="987"/>
      <c r="O13" s="986" t="str">
        <f>IF(S11&gt;0,"Die TO ermöglicht "&amp;O12&amp;P12&amp;Q12&amp;R12,"Die TO hat bei Prüfung auf Tarifwechsel, Kostenabzug, Ausgleichswertabweichung und Wertteilhabe zwischen EzE und RK keine Auffälligkeiten ergeben.")</f>
        <v>Die TO ermöglicht doppelten Kostenabzug</v>
      </c>
    </row>
    <row r="14" spans="1:19" s="986" customFormat="1" ht="15" customHeight="1">
      <c r="A14" s="982"/>
      <c r="B14" s="3110"/>
      <c r="C14" s="3111"/>
      <c r="D14" s="3111"/>
      <c r="E14" s="3111"/>
      <c r="F14" s="3111"/>
      <c r="G14" s="3111"/>
      <c r="H14" s="3112"/>
      <c r="I14" s="983"/>
      <c r="J14" s="3141" t="s">
        <v>1153</v>
      </c>
      <c r="K14" s="986" t="s">
        <v>1154</v>
      </c>
    </row>
    <row r="15" spans="1:19" s="986" customFormat="1" ht="15" customHeight="1">
      <c r="A15" s="982"/>
      <c r="B15" s="3110"/>
      <c r="C15" s="3111"/>
      <c r="D15" s="3111"/>
      <c r="E15" s="3111"/>
      <c r="F15" s="3111"/>
      <c r="G15" s="3111"/>
      <c r="H15" s="3112"/>
      <c r="I15" s="983"/>
      <c r="J15" s="3141"/>
    </row>
    <row r="16" spans="1:19" s="986" customFormat="1" ht="15" customHeight="1">
      <c r="A16" s="982"/>
      <c r="B16" s="3110"/>
      <c r="C16" s="3111"/>
      <c r="D16" s="3111"/>
      <c r="E16" s="3111"/>
      <c r="F16" s="3111"/>
      <c r="G16" s="3111"/>
      <c r="H16" s="3112"/>
      <c r="I16" s="983"/>
      <c r="J16" s="986" t="s">
        <v>1155</v>
      </c>
    </row>
    <row r="17" spans="1:10" s="986" customFormat="1" ht="15" customHeight="1">
      <c r="A17" s="982"/>
      <c r="B17" s="3110"/>
      <c r="C17" s="3111"/>
      <c r="D17" s="3111"/>
      <c r="E17" s="3111"/>
      <c r="F17" s="3111"/>
      <c r="G17" s="3111"/>
      <c r="H17" s="3112"/>
      <c r="I17" s="983"/>
      <c r="J17" s="984" t="s">
        <v>1151</v>
      </c>
    </row>
    <row r="18" spans="1:10" s="986" customFormat="1" ht="15" customHeight="1">
      <c r="A18" s="982"/>
      <c r="B18" s="3110"/>
      <c r="C18" s="3111"/>
      <c r="D18" s="3111"/>
      <c r="E18" s="3111"/>
      <c r="F18" s="3111"/>
      <c r="G18" s="3111"/>
      <c r="H18" s="3112"/>
      <c r="I18" s="983"/>
      <c r="J18" s="984" t="s">
        <v>1156</v>
      </c>
    </row>
    <row r="19" spans="1:10" s="986" customFormat="1" ht="15" customHeight="1">
      <c r="A19" s="982"/>
      <c r="B19" s="3110"/>
      <c r="C19" s="3111"/>
      <c r="D19" s="3111"/>
      <c r="E19" s="3111"/>
      <c r="F19" s="3111"/>
      <c r="G19" s="3111"/>
      <c r="H19" s="3112"/>
      <c r="I19" s="983"/>
      <c r="J19" s="984" t="s">
        <v>1157</v>
      </c>
    </row>
    <row r="20" spans="1:10" s="986" customFormat="1" ht="15" customHeight="1">
      <c r="A20" s="982"/>
      <c r="B20" s="3110"/>
      <c r="C20" s="3111"/>
      <c r="D20" s="3111"/>
      <c r="E20" s="3111"/>
      <c r="F20" s="3111"/>
      <c r="G20" s="3111"/>
      <c r="H20" s="3112"/>
      <c r="I20" s="983"/>
      <c r="J20" s="984" t="s">
        <v>1152</v>
      </c>
    </row>
    <row r="21" spans="1:10" s="986" customFormat="1" ht="15" customHeight="1" thickBot="1">
      <c r="A21" s="982"/>
      <c r="B21" s="3113"/>
      <c r="C21" s="3114"/>
      <c r="D21" s="3114"/>
      <c r="E21" s="3114"/>
      <c r="F21" s="3114"/>
      <c r="G21" s="3114"/>
      <c r="H21" s="3115"/>
      <c r="I21" s="983"/>
    </row>
    <row r="22" spans="1:10">
      <c r="A22" s="967"/>
      <c r="B22" s="3146" t="s">
        <v>1146</v>
      </c>
      <c r="C22" s="3146"/>
      <c r="D22" s="3146"/>
      <c r="E22" s="3146"/>
      <c r="F22" s="3146"/>
      <c r="G22" s="3146"/>
      <c r="H22" s="3146"/>
      <c r="I22" s="970"/>
    </row>
    <row r="23" spans="1:10" ht="14.25" hidden="1" customHeight="1">
      <c r="B23" s="3147" t="str">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 xml:space="preserve">
mit der Maßgabe, dass abweichend von &lt; 5.2. &gt; der Teilungsordnung des Versorgungsträgers,
- ein Abzug der Teilungskosten vom titulierten Ausgleichsbetrag unzulässig ist.</v>
      </c>
      <c r="C23" s="3147"/>
      <c r="D23" s="3147"/>
      <c r="E23" s="3147"/>
      <c r="F23" s="3147"/>
      <c r="G23" s="3147"/>
      <c r="H23" s="966"/>
      <c r="I23" s="966"/>
    </row>
    <row r="24" spans="1:10" hidden="1">
      <c r="B24" s="3147"/>
      <c r="C24" s="3147"/>
      <c r="D24" s="3147"/>
      <c r="E24" s="3147"/>
      <c r="F24" s="3147"/>
      <c r="G24" s="3147"/>
      <c r="H24" s="966"/>
      <c r="I24" s="966"/>
    </row>
    <row r="25" spans="1:10" hidden="1">
      <c r="B25" s="3147"/>
      <c r="C25" s="3147"/>
      <c r="D25" s="3147"/>
      <c r="E25" s="3147"/>
      <c r="F25" s="3147"/>
      <c r="G25" s="3147"/>
      <c r="H25" s="966"/>
      <c r="I25" s="966"/>
    </row>
    <row r="26" spans="1:10" hidden="1">
      <c r="B26" s="3147"/>
      <c r="C26" s="3147"/>
      <c r="D26" s="3147"/>
      <c r="E26" s="3147"/>
      <c r="F26" s="3147"/>
      <c r="G26" s="3147"/>
      <c r="H26" s="966"/>
      <c r="I26" s="966"/>
    </row>
    <row r="27" spans="1:10" hidden="1">
      <c r="B27" s="3147"/>
      <c r="C27" s="3147"/>
      <c r="D27" s="3147"/>
      <c r="E27" s="3147"/>
      <c r="F27" s="3147"/>
      <c r="G27" s="3147"/>
    </row>
    <row r="28" spans="1:10" hidden="1">
      <c r="B28" s="3147"/>
      <c r="C28" s="3147"/>
      <c r="D28" s="3147"/>
      <c r="E28" s="3147"/>
      <c r="F28" s="3147"/>
      <c r="G28" s="3147"/>
    </row>
    <row r="29" spans="1:10" hidden="1">
      <c r="B29" s="3147"/>
      <c r="C29" s="3147"/>
      <c r="D29" s="3147"/>
      <c r="E29" s="3147"/>
      <c r="F29" s="3147"/>
      <c r="G29" s="3147"/>
    </row>
  </sheetData>
  <sheetProtection algorithmName="SHA-512" hashValue="gnkdjTDojqzgrtQaStSP7AQi6CeDna+7gl5abhInS+TpaDHo5OZU2hT9+0v/4VpHkDtQd6gPATbAceP55HwhyQ==" saltValue="7N78oi+boWVyG3HhgETd4w==" spinCount="100000" sheet="1" objects="1" scenarios="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30" priority="465">
      <formula>K2&gt;1</formula>
    </cfRule>
  </conditionalFormatting>
  <conditionalFormatting sqref="C5:D5">
    <cfRule type="expression" dxfId="229" priority="4">
      <formula>P2&gt;1</formula>
    </cfRule>
  </conditionalFormatting>
  <conditionalFormatting sqref="C10:H10">
    <cfRule type="expression" dxfId="228" priority="3">
      <formula>$C$10&lt;&gt;""</formula>
    </cfRule>
  </conditionalFormatting>
  <conditionalFormatting sqref="D7">
    <cfRule type="expression" dxfId="227" priority="1">
      <formula>AND(Dat_EzE&gt;0,C7="")</formula>
    </cfRule>
  </conditionalFormatting>
  <conditionalFormatting sqref="D9">
    <cfRule type="expression" dxfId="226" priority="8">
      <formula>$O$11=1</formula>
    </cfRule>
  </conditionalFormatting>
  <conditionalFormatting sqref="E9">
    <cfRule type="expression" dxfId="225" priority="7">
      <formula>$P$11=2</formula>
    </cfRule>
  </conditionalFormatting>
  <conditionalFormatting sqref="E6:H6">
    <cfRule type="expression" dxfId="224" priority="413">
      <formula>$O$11=1</formula>
    </cfRule>
  </conditionalFormatting>
  <conditionalFormatting sqref="F9">
    <cfRule type="expression" dxfId="223" priority="6">
      <formula>$Q$11=3</formula>
    </cfRule>
  </conditionalFormatting>
  <conditionalFormatting sqref="G9:H9">
    <cfRule type="expression" dxfId="222"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topLeftCell="B11" zoomScaleNormal="100" workbookViewId="0">
      <selection activeCell="C20" sqref="C20:D20"/>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4.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889">
        <v>1.05</v>
      </c>
      <c r="C1" s="1911"/>
      <c r="D1" s="1876"/>
      <c r="E1" s="1876"/>
      <c r="F1" s="1909"/>
      <c r="G1" s="1876"/>
      <c r="H1" s="967"/>
      <c r="I1" s="967"/>
      <c r="J1" s="967"/>
      <c r="K1" s="25"/>
      <c r="L1" s="25"/>
      <c r="X1" s="25"/>
    </row>
    <row r="2" spans="1:27" ht="30.75" customHeight="1" thickTop="1">
      <c r="B2" s="1874">
        <v>2</v>
      </c>
      <c r="C2" s="3150" t="s">
        <v>1599</v>
      </c>
      <c r="D2" s="3151"/>
      <c r="E2" s="3151"/>
      <c r="F2" s="1912" t="s">
        <v>1872</v>
      </c>
      <c r="G2" s="3148" t="s">
        <v>531</v>
      </c>
      <c r="H2" s="3148"/>
      <c r="I2" s="3149"/>
      <c r="J2" s="1875"/>
      <c r="S2" s="1785"/>
      <c r="T2" s="1785"/>
      <c r="U2" s="1785"/>
      <c r="V2" s="1785"/>
      <c r="W2" s="1785"/>
      <c r="X2" s="25"/>
    </row>
    <row r="3" spans="1:27" ht="25.5" customHeight="1">
      <c r="B3" s="1874">
        <v>3</v>
      </c>
      <c r="C3" s="3172" t="s">
        <v>1871</v>
      </c>
      <c r="D3" s="3173"/>
      <c r="E3" s="3173"/>
      <c r="F3" s="3174"/>
      <c r="G3" s="3175"/>
      <c r="H3" s="3176"/>
      <c r="I3" s="3177"/>
      <c r="J3" s="1884"/>
      <c r="S3" s="1785"/>
      <c r="T3" s="1785"/>
      <c r="U3" s="1785"/>
      <c r="V3" s="1785"/>
      <c r="W3" s="1785"/>
      <c r="X3" s="25"/>
    </row>
    <row r="4" spans="1:27" s="71" customFormat="1" ht="18" customHeight="1" thickBot="1">
      <c r="B4" s="1874">
        <v>4</v>
      </c>
      <c r="C4" s="1840" t="s">
        <v>556</v>
      </c>
      <c r="D4" s="1841"/>
      <c r="E4" s="1842" t="str">
        <f>IF(D4&gt;0,D4,IF(Dat_EzE&gt;0,Dat_EzE,""))</f>
        <v/>
      </c>
      <c r="F4" s="3152" t="s">
        <v>1858</v>
      </c>
      <c r="G4" s="3153"/>
      <c r="H4" s="2051">
        <f ca="1">TODAY()</f>
        <v>46090</v>
      </c>
      <c r="I4" s="1871">
        <f ca="1">IF(H4="",TODAY(),H4)</f>
        <v>46090</v>
      </c>
      <c r="J4" s="1884"/>
      <c r="S4" s="1785"/>
      <c r="T4" s="1785"/>
      <c r="U4" s="1785"/>
      <c r="V4" s="1785"/>
      <c r="W4" s="1785"/>
      <c r="X4" s="64"/>
    </row>
    <row r="5" spans="1:27" s="71" customFormat="1" ht="18" customHeight="1">
      <c r="B5" s="1874">
        <v>5</v>
      </c>
      <c r="C5" s="1913" t="s">
        <v>1855</v>
      </c>
      <c r="D5" s="1891"/>
      <c r="E5" s="1891"/>
      <c r="F5" s="1892"/>
      <c r="G5" s="1892"/>
      <c r="H5" s="2291" t="s">
        <v>2037</v>
      </c>
      <c r="I5" s="1914"/>
      <c r="J5" s="1884"/>
      <c r="S5" s="1785"/>
      <c r="T5" s="1785"/>
      <c r="U5" s="1785"/>
      <c r="V5" s="1785"/>
      <c r="W5" s="1785"/>
      <c r="X5" s="64"/>
      <c r="Z5" s="71" t="s">
        <v>1611</v>
      </c>
      <c r="AA5" s="154" t="e">
        <f>VLOOKUP(YEAR(D4),MonatlicheBezugsgroesse,4)*2</f>
        <v>#N/A</v>
      </c>
    </row>
    <row r="6" spans="1:27" s="71" customFormat="1" ht="18" customHeight="1">
      <c r="B6" s="1874">
        <v>6</v>
      </c>
      <c r="C6" s="3166" t="s">
        <v>1864</v>
      </c>
      <c r="D6" s="3167"/>
      <c r="E6" s="3168"/>
      <c r="F6" s="1408" t="s">
        <v>551</v>
      </c>
      <c r="G6" s="1408" t="s">
        <v>552</v>
      </c>
      <c r="H6" s="1408" t="s">
        <v>555</v>
      </c>
      <c r="I6" s="1915" t="str">
        <f>Summenzeichen&amp;" SV-Abzug: "</f>
        <v xml:space="preserve">∑ SV-Abzug: </v>
      </c>
      <c r="J6" s="1884"/>
      <c r="M6" s="1622"/>
      <c r="N6" s="1622"/>
      <c r="O6" s="1622"/>
      <c r="P6" s="1622"/>
      <c r="Q6" s="1622"/>
      <c r="R6" s="1635"/>
      <c r="S6" s="209"/>
      <c r="T6" s="209"/>
      <c r="U6" s="209"/>
      <c r="V6" s="209"/>
      <c r="W6" s="209"/>
      <c r="X6" s="64"/>
      <c r="AA6" s="154"/>
    </row>
    <row r="7" spans="1:27" s="71" customFormat="1" ht="18" customHeight="1">
      <c r="B7" s="1874">
        <v>7</v>
      </c>
      <c r="C7" s="3169"/>
      <c r="D7" s="3170"/>
      <c r="E7" s="3171"/>
      <c r="F7" s="1838"/>
      <c r="G7" s="1838"/>
      <c r="H7" s="1839">
        <v>2.9000000000000001E-2</v>
      </c>
      <c r="I7" s="1916">
        <f>+H7+G7+F7</f>
        <v>2.9000000000000001E-2</v>
      </c>
      <c r="J7" s="1884"/>
      <c r="M7" s="1622"/>
      <c r="N7" s="1622"/>
      <c r="O7" s="1622"/>
      <c r="P7" s="1622"/>
      <c r="Q7" s="1622"/>
      <c r="R7" s="1635"/>
      <c r="S7" s="209"/>
      <c r="T7" s="209"/>
      <c r="U7" s="209"/>
      <c r="V7" s="209"/>
      <c r="W7" s="209"/>
      <c r="X7" s="64"/>
      <c r="AA7" s="154"/>
    </row>
    <row r="8" spans="1:27" s="71" customFormat="1" ht="18" customHeight="1">
      <c r="B8" s="1874">
        <v>8</v>
      </c>
      <c r="C8" s="3162" t="str">
        <f ca="1">"Beitragsbemessungsgrenze der gesetzlichen KV- und PV-Vers. am "&amp;TEXT(I4,"TT.MM.JJJJ")&amp;":"</f>
        <v>Beitragsbemessungsgrenze der gesetzlichen KV- und PV-Vers. am 09.03.2026:</v>
      </c>
      <c r="D8" s="3162"/>
      <c r="E8" s="3162"/>
      <c r="F8" s="3162"/>
      <c r="G8" s="3162"/>
      <c r="H8" s="3162"/>
      <c r="I8" s="1853">
        <f ca="1">IFERROR(VLOOKUP(I4,KVundPV,2),"")</f>
        <v>5512.5</v>
      </c>
      <c r="J8" s="1884"/>
      <c r="M8" s="1622"/>
      <c r="N8" s="1622"/>
      <c r="O8" s="1622"/>
      <c r="P8" s="1622"/>
      <c r="Q8" s="1622"/>
      <c r="R8" s="1635"/>
      <c r="S8" s="209"/>
      <c r="T8" s="209"/>
      <c r="U8" s="209"/>
      <c r="V8" s="209"/>
      <c r="W8" s="209"/>
      <c r="X8" s="64"/>
      <c r="AA8" s="154"/>
    </row>
    <row r="9" spans="1:27" s="71" customFormat="1" ht="18" customHeight="1" thickBot="1">
      <c r="B9" s="1874">
        <v>9</v>
      </c>
      <c r="C9" s="3163" t="str">
        <f>IF(sVA_Privat,"kein KV-Freibetrag, da ausglpfl. Person privatversicht ist. Ggfls C-Box in Zeile 23 deaktivieren","Krankenversicherungs-Freigrenze für Betriebsrenten (§ 226 II SGB V) "&amp;YEAR(I4)&amp;":")</f>
        <v>kein KV-Freibetrag, da ausglpfl. Person privatversicht ist. Ggfls C-Box in Zeile 23 deaktivieren</v>
      </c>
      <c r="D9" s="3164"/>
      <c r="E9" s="3164"/>
      <c r="F9" s="3164"/>
      <c r="G9" s="3164"/>
      <c r="H9" s="3165"/>
      <c r="I9" s="1917">
        <f>IF(sVA_Privat,0,IF(FB_Aktiv,IF(YEAR(I4)&lt;2020,0,VLOOKUP(YEAR(I4),MonatlicheBezugsgroesse,2)/20),0))</f>
        <v>0</v>
      </c>
      <c r="J9" s="1884"/>
      <c r="M9" s="1622"/>
      <c r="N9" s="1622"/>
      <c r="O9" s="1622"/>
      <c r="P9" s="1622"/>
      <c r="Q9" s="1622"/>
      <c r="R9" s="1635"/>
      <c r="S9" s="209"/>
      <c r="T9" s="209"/>
      <c r="U9" s="209"/>
      <c r="V9" s="209"/>
      <c r="W9" s="209"/>
      <c r="X9" s="64"/>
      <c r="AA9" s="154"/>
    </row>
    <row r="10" spans="1:27" s="71" customFormat="1" ht="18" customHeight="1">
      <c r="B10" s="1874">
        <v>10</v>
      </c>
      <c r="C10" s="3178" t="s">
        <v>1856</v>
      </c>
      <c r="D10" s="3179"/>
      <c r="E10" s="3179"/>
      <c r="F10" s="3179"/>
      <c r="G10" s="3179"/>
      <c r="H10" s="3179"/>
      <c r="I10" s="3180"/>
      <c r="J10" s="1884"/>
      <c r="N10" s="2027"/>
      <c r="O10" s="2027"/>
      <c r="P10" s="2027"/>
      <c r="Q10" s="1622"/>
      <c r="R10" s="1635"/>
      <c r="S10" s="209"/>
      <c r="T10" s="209"/>
      <c r="U10" s="209"/>
      <c r="V10" s="209"/>
      <c r="W10" s="209"/>
      <c r="X10" s="64"/>
      <c r="AA10" s="154"/>
    </row>
    <row r="11" spans="1:27" s="71" customFormat="1" ht="18" customHeight="1">
      <c r="B11" s="1874">
        <v>11</v>
      </c>
      <c r="C11" s="3181" t="s">
        <v>1859</v>
      </c>
      <c r="D11" s="3182"/>
      <c r="E11" s="3182"/>
      <c r="F11" s="3182"/>
      <c r="G11" s="3182"/>
      <c r="H11" s="3182"/>
      <c r="I11" s="3183"/>
      <c r="J11" s="1884"/>
      <c r="M11" s="2027"/>
      <c r="N11" s="2027"/>
      <c r="O11" s="2027"/>
      <c r="P11" s="2027"/>
      <c r="Q11" s="1622"/>
      <c r="R11" s="1635"/>
      <c r="S11" s="209"/>
      <c r="T11" s="209"/>
      <c r="U11" s="209"/>
      <c r="V11" s="209"/>
      <c r="W11" s="209"/>
      <c r="X11" s="64"/>
      <c r="AA11" s="154"/>
    </row>
    <row r="12" spans="1:27" s="71" customFormat="1" ht="18" customHeight="1" thickBot="1">
      <c r="B12" s="1874">
        <v>12</v>
      </c>
      <c r="C12" s="3184"/>
      <c r="D12" s="3185"/>
      <c r="E12" s="3185"/>
      <c r="F12" s="3185"/>
      <c r="G12" s="3185"/>
      <c r="H12" s="3185"/>
      <c r="I12" s="3186"/>
      <c r="J12" s="1884"/>
      <c r="M12" s="2027"/>
      <c r="N12" s="2027"/>
      <c r="O12" s="2027"/>
      <c r="P12" s="2027"/>
      <c r="Q12" s="1622"/>
      <c r="R12" s="1635"/>
      <c r="S12" s="209"/>
      <c r="T12" s="209"/>
      <c r="U12" s="209"/>
      <c r="V12" s="209"/>
      <c r="W12" s="209"/>
      <c r="X12" s="64"/>
      <c r="AA12" s="154"/>
    </row>
    <row r="13" spans="1:27" s="71" customFormat="1" ht="18" customHeight="1">
      <c r="B13" s="1874">
        <v>13</v>
      </c>
      <c r="C13" s="3201" t="s">
        <v>1609</v>
      </c>
      <c r="D13" s="3202"/>
      <c r="E13" s="3203"/>
      <c r="F13" s="1910"/>
      <c r="G13" s="3187" t="str">
        <f ca="1">IF(AND(E20&gt;I8,sVA_Privat=FALSE),Summenzeichen&amp;" der Alterseinkünfte &gt; BBG "&amp;YEAR(I4)&amp;" daher:","")</f>
        <v/>
      </c>
      <c r="H13" s="3188"/>
      <c r="I13" s="3198" t="str">
        <f>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Einkommen</v>
      </c>
      <c r="J13" s="1884"/>
      <c r="M13" s="2027"/>
      <c r="N13" s="2027"/>
      <c r="O13" s="2027"/>
      <c r="P13" s="2027"/>
      <c r="Q13" s="1622"/>
      <c r="R13" s="1635"/>
      <c r="S13" s="209"/>
      <c r="T13" s="209"/>
      <c r="U13" s="209"/>
      <c r="V13" s="209"/>
      <c r="W13" s="209"/>
      <c r="X13" s="64"/>
      <c r="AA13" s="154"/>
    </row>
    <row r="14" spans="1:27" s="71" customFormat="1" ht="18" customHeight="1">
      <c r="B14" s="1874">
        <v>14</v>
      </c>
      <c r="C14" s="3158" t="s">
        <v>1608</v>
      </c>
      <c r="D14" s="3159"/>
      <c r="E14" s="3189" t="s">
        <v>1606</v>
      </c>
      <c r="F14" s="3189" t="s">
        <v>1607</v>
      </c>
      <c r="G14" s="3189" t="s">
        <v>1612</v>
      </c>
      <c r="H14" s="3191" t="s">
        <v>1927</v>
      </c>
      <c r="I14" s="3199"/>
      <c r="J14" s="1884"/>
      <c r="M14" s="2027"/>
      <c r="N14" s="2027"/>
      <c r="O14" s="2027"/>
      <c r="P14" s="2027"/>
      <c r="Q14" s="1622"/>
      <c r="R14" s="1635"/>
      <c r="S14" s="209"/>
      <c r="T14" s="209"/>
      <c r="U14" s="209"/>
      <c r="V14" s="209"/>
      <c r="W14" s="209"/>
      <c r="X14" s="64"/>
      <c r="AA14" s="154"/>
    </row>
    <row r="15" spans="1:27" s="71" customFormat="1" ht="18" customHeight="1">
      <c r="B15" s="1874">
        <v>15</v>
      </c>
      <c r="C15" s="3160"/>
      <c r="D15" s="3161"/>
      <c r="E15" s="3190"/>
      <c r="F15" s="3190"/>
      <c r="G15" s="3190"/>
      <c r="H15" s="3192"/>
      <c r="I15" s="3200"/>
      <c r="J15" s="1884"/>
      <c r="M15" s="2027"/>
      <c r="N15" s="2027"/>
      <c r="O15" s="2027"/>
      <c r="P15" s="2027"/>
      <c r="Q15" s="1622"/>
      <c r="R15" s="1635"/>
      <c r="S15" s="209"/>
      <c r="T15" s="209"/>
      <c r="U15" s="209"/>
      <c r="V15" s="209"/>
      <c r="W15" s="209"/>
      <c r="X15" s="64"/>
      <c r="AA15" s="154"/>
    </row>
    <row r="16" spans="1:27" s="71" customFormat="1" ht="18" customHeight="1">
      <c r="B16" s="1874">
        <v>16</v>
      </c>
      <c r="C16" s="3154"/>
      <c r="D16" s="3155"/>
      <c r="E16" s="1819"/>
      <c r="F16" s="1820">
        <v>1</v>
      </c>
      <c r="G16" s="1821">
        <f>IF(sVA_Privat,0,IFERROR(+E16/SUM(E$16:E$19),""))</f>
        <v>0</v>
      </c>
      <c r="H16" s="1822">
        <f>IFERROR(IF(I$9*G16&gt;E16,-E16,-I$9*G16),"")</f>
        <v>0</v>
      </c>
      <c r="I16" s="2019">
        <f>IF(sVA_Privat,E16,IFERROR((E16+H16)*IF(E$20&gt;I$8,(I$8+H$20)/(E$20+H$20),1),""))</f>
        <v>0</v>
      </c>
      <c r="J16" s="1884"/>
      <c r="M16" s="2028"/>
      <c r="N16" s="2028"/>
      <c r="O16" s="2028"/>
      <c r="P16" s="2028"/>
      <c r="Q16" s="2028"/>
      <c r="R16" s="1635"/>
      <c r="S16" s="209"/>
      <c r="T16" s="209"/>
      <c r="U16" s="209"/>
      <c r="V16" s="209"/>
      <c r="W16" s="209"/>
      <c r="X16" s="64"/>
      <c r="AA16" s="154"/>
    </row>
    <row r="17" spans="2:29" s="71" customFormat="1" ht="18" customHeight="1">
      <c r="B17" s="1874">
        <v>17</v>
      </c>
      <c r="C17" s="3156"/>
      <c r="D17" s="3157"/>
      <c r="E17" s="1819"/>
      <c r="F17" s="1820">
        <v>1</v>
      </c>
      <c r="G17" s="1821">
        <f>IF(sVA_Privat,0,IFERROR(+E17/SUM(E$16:E$19),""))</f>
        <v>0</v>
      </c>
      <c r="H17" s="1822">
        <f>IFERROR(IF(I$9*G17&gt;E17,E17,-I$9*G17),"")</f>
        <v>0</v>
      </c>
      <c r="I17" s="2019">
        <f>IF(sVA_Privat,E17,IFERROR((E17+H17)*IF(E$20&gt;I$8,(I$8+H$20)/(E$20+H$20),1),""))</f>
        <v>0</v>
      </c>
      <c r="J17" s="1884"/>
      <c r="M17" s="2028"/>
      <c r="N17" s="2028"/>
      <c r="O17" s="2028"/>
      <c r="P17" s="2028"/>
      <c r="Q17" s="2028"/>
      <c r="R17" s="1635"/>
      <c r="S17" s="209"/>
      <c r="T17" s="209"/>
      <c r="U17" s="209"/>
      <c r="V17" s="209"/>
      <c r="W17" s="209"/>
      <c r="X17" s="64"/>
      <c r="AA17" s="154"/>
    </row>
    <row r="18" spans="2:29" s="71" customFormat="1" ht="18" customHeight="1">
      <c r="B18" s="1874">
        <v>18</v>
      </c>
      <c r="C18" s="3208"/>
      <c r="D18" s="3157"/>
      <c r="E18" s="1819"/>
      <c r="F18" s="1820">
        <v>1</v>
      </c>
      <c r="G18" s="1821">
        <f>IF(sVA_Privat,0,IFERROR(+E18/SUM(E$16:E$19),""))</f>
        <v>0</v>
      </c>
      <c r="H18" s="1822">
        <f>IFERROR(IF(I$9*G18&gt;E18,E18,-I$9*G18),"")</f>
        <v>0</v>
      </c>
      <c r="I18" s="2019">
        <f>IF(sVA_Privat,E18,IFERROR((E18+H18)*IF(E$20&gt;I$8,(I$8+H$20)/(E$20+H$20),1),""))</f>
        <v>0</v>
      </c>
      <c r="J18" s="1884"/>
      <c r="M18" s="2028"/>
      <c r="N18" s="2028"/>
      <c r="O18" s="2028"/>
      <c r="P18" s="2028"/>
      <c r="Q18" s="2028"/>
      <c r="R18" s="1635"/>
      <c r="S18" s="209"/>
      <c r="T18" s="209"/>
      <c r="U18" s="209"/>
      <c r="V18" s="209"/>
      <c r="W18" s="209"/>
      <c r="X18" s="64"/>
      <c r="AA18" s="154"/>
    </row>
    <row r="19" spans="2:29" s="71" customFormat="1" ht="18" customHeight="1">
      <c r="B19" s="1874">
        <v>19</v>
      </c>
      <c r="C19" s="3209"/>
      <c r="D19" s="3157"/>
      <c r="E19" s="1819"/>
      <c r="F19" s="1820">
        <v>1</v>
      </c>
      <c r="G19" s="1821">
        <f>IF(sVA_Privat,0,IFERROR(+E19/SUM(E$16:E$19),""))</f>
        <v>0</v>
      </c>
      <c r="H19" s="1822">
        <f>IFERROR(IF(I$9*G19&gt;E19,E19,-I$9*G19),"")</f>
        <v>0</v>
      </c>
      <c r="I19" s="2019">
        <f>IF(sVA_Privat,E19,IFERROR((E19+H19)*IF(E$20&gt;I$8,(I$8+H$20)/(E$20+H$20),1),""))</f>
        <v>0</v>
      </c>
      <c r="J19" s="1884"/>
      <c r="M19" s="2028"/>
      <c r="N19" s="2028"/>
      <c r="O19" s="2028"/>
      <c r="P19" s="2028"/>
      <c r="Q19" s="2028"/>
      <c r="R19" s="1635"/>
      <c r="S19" s="209"/>
      <c r="T19" s="209"/>
      <c r="U19" s="209"/>
      <c r="V19" s="209"/>
      <c r="W19" s="209"/>
      <c r="X19" s="64"/>
      <c r="AA19" s="154"/>
    </row>
    <row r="20" spans="2:29" s="71" customFormat="1" ht="18" customHeight="1" thickBot="1">
      <c r="B20" s="1874">
        <v>20</v>
      </c>
      <c r="C20" s="3210" t="s">
        <v>143</v>
      </c>
      <c r="D20" s="3211"/>
      <c r="E20" s="1922">
        <f>IF(SUM(E16:E19)=0,F13+H21,SUM(E16:E19)+F13)</f>
        <v>0</v>
      </c>
      <c r="F20" s="1923"/>
      <c r="G20" s="1924"/>
      <c r="H20" s="1925">
        <f>SUM(H16:H19)</f>
        <v>0</v>
      </c>
      <c r="I20" s="2020">
        <f>SUM(I16:I19)</f>
        <v>0</v>
      </c>
      <c r="J20" s="1884"/>
      <c r="M20" s="2212"/>
      <c r="N20" s="2212"/>
      <c r="O20" s="2212"/>
      <c r="P20" s="2212"/>
      <c r="Q20" s="2212"/>
      <c r="R20" s="1635"/>
      <c r="S20" s="209"/>
      <c r="T20" s="209"/>
      <c r="U20" s="209"/>
      <c r="V20" s="209"/>
      <c r="W20" s="209"/>
      <c r="X20" s="64"/>
      <c r="AA20" s="154"/>
    </row>
    <row r="21" spans="2:29" s="71" customFormat="1" ht="18" customHeight="1" thickTop="1">
      <c r="B21" s="1874">
        <v>21</v>
      </c>
      <c r="C21" s="2016" t="s">
        <v>1867</v>
      </c>
      <c r="D21" s="2017"/>
      <c r="E21" s="2017"/>
      <c r="F21" s="3212" t="s">
        <v>1926</v>
      </c>
      <c r="G21" s="3213"/>
      <c r="H21" s="2018"/>
      <c r="I21" s="2021">
        <f>CHOOSE(sVA_Einkommensauswahl,IF(Z28,E16,0),IF(Z29,E17,0),IF(Z30,E18,0),IF(Z31,E19,0))</f>
        <v>0</v>
      </c>
      <c r="J21" s="1884"/>
      <c r="M21" s="2212"/>
      <c r="N21" s="2212"/>
      <c r="O21" s="2212"/>
      <c r="P21" s="2212"/>
      <c r="Q21" s="2212"/>
      <c r="X21" s="64"/>
      <c r="Y21" s="71" t="e">
        <f>CHOOSE(12,I16,I17,I18,I19)</f>
        <v>#VALUE!</v>
      </c>
    </row>
    <row r="22" spans="2:29" s="71" customFormat="1" ht="18" customHeight="1" thickBot="1">
      <c r="B22" s="1874">
        <v>22</v>
      </c>
      <c r="C22" s="3204" t="s">
        <v>1865</v>
      </c>
      <c r="D22" s="3205"/>
      <c r="E22" s="3205"/>
      <c r="F22" s="1880" t="s">
        <v>1866</v>
      </c>
      <c r="G22" s="1921" t="str">
        <f>TEXT(CHOOSE(Y30,E16,E17,E18,E19),"#.##0,00")&amp;" / "&amp;TEXT(E23,"#.##0,00")</f>
        <v>0,00 / 2.500,00</v>
      </c>
      <c r="H22" s="3196" t="str">
        <f>"Sozialabgaben "&amp;IF(sVA_Privat,"(pKV + pPV)","(gKV + gPV)")</f>
        <v>Sozialabgaben (pKV + pPV)</v>
      </c>
      <c r="I22" s="3197"/>
      <c r="J22" s="1884"/>
      <c r="X22" s="64"/>
      <c r="Y22" s="16" t="b">
        <v>1</v>
      </c>
    </row>
    <row r="23" spans="2:29" s="71" customFormat="1" ht="18" customHeight="1" thickBot="1">
      <c r="B23" s="1874">
        <v>23</v>
      </c>
      <c r="C23" s="1918"/>
      <c r="D23" s="1843" t="s">
        <v>1854</v>
      </c>
      <c r="E23" s="1844">
        <v>2500</v>
      </c>
      <c r="F23" s="1845" t="s">
        <v>1853</v>
      </c>
      <c r="G23" s="1846">
        <v>800</v>
      </c>
      <c r="H23" s="1847">
        <f>IF(E23=0,G23/E20,CHOOSE(Y30,E16,E17,E18,E19)/E23)</f>
        <v>0</v>
      </c>
      <c r="I23" s="1919">
        <f>+IF(sVA_Privat=FALSE,0,H23*-G23)</f>
        <v>0</v>
      </c>
      <c r="J23" s="1884"/>
      <c r="X23" s="64"/>
      <c r="Y23" s="16"/>
    </row>
    <row r="24" spans="2:29" s="71" customFormat="1" ht="18" customHeight="1">
      <c r="B24" s="1874">
        <v>24</v>
      </c>
      <c r="C24" s="3216" t="str">
        <f>IF(sVA_Privat,"","./. KV "&amp;IF(H20=0,"auf "&amp;TEXT(I21,"#.##0,00")&amp;" - "&amp;TEXT(I9,"#.#0,00"),"auf "&amp;IF(I8&gt;E20,TEXT(I21,"#.##,00")&amp;" "&amp;TEXT(CHOOSE(Y30,H16,H17,H18,H19),"#.##0,00")&amp;" = "&amp;TEXT(CHOOSE(Y30,I16,I17,I18,I19),"#.##0,00"),"wg. Einkommen &gt; BBMG reduziert  "&amp;TEXT(CHOOSE(Y30,I16,I17,I18,I19),"#.##0,00"))))</f>
        <v/>
      </c>
      <c r="D24" s="3217"/>
      <c r="E24" s="3217"/>
      <c r="F24" s="3217"/>
      <c r="G24" s="1894"/>
      <c r="H24" s="1823">
        <f ca="1">IFERROR(IF(F7&gt;0,F7,IF(SVAbgaben,"",VLOOKUP(I4,KVundPV,4))),"")</f>
        <v>0.14599999999999999</v>
      </c>
      <c r="I24" s="2022">
        <f>IFERROR(ROUND(IF(sVA_Privat,0,IF(H27&lt;&gt;0,0,IF(SVAbgaben,0,IF(AND(H21&gt;0,E20-F13-H21=0),IF(-H21+I9&gt;0,0,-H21+I9),-CHOOSE(Y30,I16,I17,I18,I19))*H24))),2),"")</f>
        <v>0</v>
      </c>
      <c r="J24" s="1884"/>
      <c r="M24" s="1872"/>
      <c r="N24" s="1872"/>
      <c r="O24" s="1872"/>
      <c r="P24" s="1872"/>
      <c r="Q24" s="1872"/>
      <c r="R24" s="1872"/>
      <c r="X24" s="64"/>
    </row>
    <row r="25" spans="2:29" s="71" customFormat="1" ht="18" customHeight="1">
      <c r="B25" s="1874">
        <v>25</v>
      </c>
      <c r="C25" s="3214" t="str">
        <f>IF(sVA_Privat,"","./. PV-Beiträge § 55 III SGB XI aus "&amp;TEXT(CHOOSE(Y30,E16,E17,E18,E19)*IF(E$20&gt;I$8,I$8/E$20,1),"#.##0,00 €"))</f>
        <v/>
      </c>
      <c r="D25" s="3215"/>
      <c r="E25" s="1920" t="s">
        <v>1851</v>
      </c>
      <c r="F25" s="1816"/>
      <c r="G25" s="1817"/>
      <c r="H25" s="1814">
        <f ca="1">IFERROR(IF(G7&lt;&gt;"",G7,IF(SVAbgaben,"",VLOOKUP(I4,KVundPV,5)+IF(Y37=1,VLOOKUP(I4,KVundPV,6),0)-IF(I4&gt;'KV&amp;PV'!C40-1,IF(Y37&gt;2,(Y37-2)*0.25%,0),0))),"")</f>
        <v>4.1999999999999996E-2</v>
      </c>
      <c r="I25" s="1853">
        <f>IFERROR(ROUND(IF(sVA_Privat,0,IF(H27&lt;&gt;0,0,IF(SVAbgaben,0,IFERROR(-CHOOSE(Y30,E16,E17,E18,E19)*IF(E$20&gt;I$8,I$8/E$20,1)*H25,"")))),2),"")</f>
        <v>0</v>
      </c>
      <c r="J25" s="1884"/>
      <c r="M25" s="2029"/>
      <c r="N25" s="2029"/>
      <c r="O25" s="2029"/>
      <c r="P25" s="2029"/>
      <c r="Q25" s="2029"/>
      <c r="R25" s="1824"/>
      <c r="X25" s="64"/>
      <c r="Y25" s="16" t="b">
        <v>1</v>
      </c>
    </row>
    <row r="26" spans="2:29" s="71" customFormat="1" ht="18" customHeight="1">
      <c r="B26" s="1874">
        <v>26</v>
      </c>
      <c r="C26" s="3206" t="str">
        <f>IF(sVA_Privat,"","./. Krankenversicherungszusatzbeitrag;  242a II SGB V")</f>
        <v/>
      </c>
      <c r="D26" s="3207"/>
      <c r="E26" s="3207"/>
      <c r="F26" s="3207"/>
      <c r="G26" s="1893"/>
      <c r="H26" s="1814">
        <f>IF(SVAbgaben,"",IF(H7="",VLOOKUP(I4,KVundPV,7),H7))</f>
        <v>2.9000000000000001E-2</v>
      </c>
      <c r="I26" s="1853">
        <f>IFERROR(ROUND(IF(sVA_Privat,0,IF(H27&lt;&gt;0,0,IF(SVAbgaben,0,-CHOOSE(Y30,I16,I17,I18,I19)*H26))),2),"")</f>
        <v>0</v>
      </c>
      <c r="J26" s="1884"/>
      <c r="M26" s="2030"/>
      <c r="N26" s="2030"/>
      <c r="O26" s="2030"/>
      <c r="P26" s="2030"/>
      <c r="Q26" s="2030"/>
      <c r="R26" s="1825"/>
      <c r="X26" s="64"/>
      <c r="Y26" s="969"/>
      <c r="Z26" s="969"/>
      <c r="AA26" s="969"/>
      <c r="AB26" s="969"/>
      <c r="AC26" s="969"/>
    </row>
    <row r="27" spans="2:29" s="71" customFormat="1" ht="18" customHeight="1">
      <c r="B27" s="1874">
        <v>27</v>
      </c>
      <c r="C27" s="3193" t="str">
        <f>"./. SozVersBeiträge auf Versorgung  i.H.v. "&amp;IF(H27&gt;0,"manuell eingegeben: ",IF(sVA_Privat,TEXT(R27,"#.##0,00"),TEXT(SUM(H24:H26),"0,00%"))&amp;" x "&amp;IF(sVA_Privat,TEXT(IF(H21&gt;0,H21,CHOOSE(Y30,E16,E17,E18,E19)),"#.##0,00")&amp;" / "&amp;TEXT(R25,"#.##0,00"),TEXT(CHOOSE(sVA_Einkommensauswahl,I16,I17,I18,I19),"#.##0,00")))</f>
        <v>./. SozVersBeiträge auf Versorgung  i.H.v. 0,00 x 0,00 / 0,00</v>
      </c>
      <c r="D27" s="3194"/>
      <c r="E27" s="3194"/>
      <c r="F27" s="3194"/>
      <c r="G27" s="3195"/>
      <c r="H27" s="1818"/>
      <c r="I27" s="2023">
        <f>IF(H27&gt;0,-H27,IF(sVA_Privat,IF(H27&gt;0,-H27,I23),SUM(I24:I26)))</f>
        <v>0</v>
      </c>
      <c r="J27" s="1884"/>
      <c r="M27" s="2031"/>
      <c r="N27" s="2031"/>
      <c r="O27" s="2031"/>
      <c r="P27" s="2031"/>
      <c r="Q27" s="2031"/>
      <c r="R27" s="749"/>
      <c r="X27" s="1412"/>
      <c r="Y27" s="969"/>
      <c r="Z27" s="969"/>
      <c r="AA27" s="969"/>
      <c r="AB27" s="969"/>
      <c r="AC27" s="969"/>
    </row>
    <row r="28" spans="2:29" s="71" customFormat="1" ht="18" customHeight="1">
      <c r="B28" s="1874">
        <v>28</v>
      </c>
      <c r="C28" s="3220" t="s">
        <v>1857</v>
      </c>
      <c r="D28" s="3221"/>
      <c r="E28" s="3221"/>
      <c r="F28" s="3221"/>
      <c r="G28" s="3221"/>
      <c r="H28" s="3222"/>
      <c r="I28" s="2024">
        <f>IF(+I21+I27&lt;0,0,I21+I27)</f>
        <v>0</v>
      </c>
      <c r="J28" s="1884"/>
      <c r="M28" s="2031"/>
      <c r="N28" s="2031"/>
      <c r="O28" s="2031"/>
      <c r="P28" s="2031"/>
      <c r="Q28" s="2031"/>
      <c r="R28" s="1826"/>
      <c r="X28" s="1412"/>
      <c r="Y28" s="71" t="s">
        <v>1598</v>
      </c>
      <c r="Z28" s="16" t="b">
        <v>1</v>
      </c>
      <c r="AA28" s="154">
        <f>IF(Z28,E16*F16,0)</f>
        <v>0</v>
      </c>
      <c r="AB28" s="1418" t="e">
        <f>+AA28/AA$32</f>
        <v>#DIV/0!</v>
      </c>
      <c r="AC28" s="71">
        <f>IF(AND(Z28=TRUE,AA28&gt;0),1,0)</f>
        <v>0</v>
      </c>
    </row>
    <row r="29" spans="2:29" s="71" customFormat="1" ht="18" customHeight="1">
      <c r="B29" s="1874">
        <v>29</v>
      </c>
      <c r="C29" s="3223" t="s">
        <v>1610</v>
      </c>
      <c r="D29" s="3224"/>
      <c r="E29" s="3224"/>
      <c r="F29" s="3224"/>
      <c r="G29" s="3224"/>
      <c r="H29" s="3225"/>
      <c r="I29" s="2025">
        <f>CHOOSE(Y30,F16,F17,F18,F19)</f>
        <v>1</v>
      </c>
      <c r="J29" s="1884"/>
      <c r="M29" s="1873"/>
      <c r="N29" s="1873"/>
      <c r="O29" s="1873"/>
      <c r="P29" s="1873"/>
      <c r="Q29" s="1873"/>
      <c r="R29" s="1873"/>
      <c r="X29" s="64"/>
      <c r="Z29" s="16" t="b">
        <v>0</v>
      </c>
      <c r="AA29" s="154">
        <f>IF(Z29,E17*F17,0)</f>
        <v>0</v>
      </c>
      <c r="AB29" s="1418" t="e">
        <f>+AA29/AA$32</f>
        <v>#DIV/0!</v>
      </c>
      <c r="AC29" s="71">
        <f>IF(AND(Z29=TRUE,AA29&gt;0),1,0)</f>
        <v>0</v>
      </c>
    </row>
    <row r="30" spans="2:29" s="71" customFormat="1" ht="18" customHeight="1">
      <c r="B30" s="1874">
        <v>30</v>
      </c>
      <c r="C30" s="3223" t="str">
        <f>"ehezeitliche Versorgungshöhe: "&amp;TEXT(I28,"#.##0,00")&amp;" x "&amp;TEXT(I29,"#.##0,00%")</f>
        <v>ehezeitliche Versorgungshöhe: 0,00 x 100,00%</v>
      </c>
      <c r="D30" s="3224"/>
      <c r="E30" s="3224"/>
      <c r="F30" s="3224"/>
      <c r="G30" s="3224"/>
      <c r="H30" s="3225"/>
      <c r="I30" s="1853">
        <f>+I28*IF(H29&gt;0,H29,I29)</f>
        <v>0</v>
      </c>
      <c r="J30" s="1884"/>
      <c r="M30" s="2032"/>
      <c r="N30" s="2032"/>
      <c r="O30" s="2032"/>
      <c r="P30" s="2032"/>
      <c r="Q30" s="2032"/>
      <c r="R30" s="797"/>
      <c r="X30" s="64"/>
      <c r="Y30" s="16">
        <v>1</v>
      </c>
      <c r="Z30" s="16" t="b">
        <v>0</v>
      </c>
      <c r="AA30" s="154">
        <f>IF(Z30,E18*F18,0)</f>
        <v>0</v>
      </c>
      <c r="AB30" s="1418" t="e">
        <f>+AA30/AA$32</f>
        <v>#DIV/0!</v>
      </c>
      <c r="AC30" s="71">
        <f>IF(AND(Z30=TRUE,AA30&gt;0),1,0)</f>
        <v>0</v>
      </c>
    </row>
    <row r="31" spans="2:29" s="71" customFormat="1" ht="18" customHeight="1">
      <c r="B31" s="1874">
        <v>31</v>
      </c>
      <c r="C31" s="3223" t="s">
        <v>553</v>
      </c>
      <c r="D31" s="3224"/>
      <c r="E31" s="3224"/>
      <c r="F31" s="3224"/>
      <c r="G31" s="3224"/>
      <c r="H31" s="3225"/>
      <c r="I31" s="1853">
        <f>+I30/2</f>
        <v>0</v>
      </c>
      <c r="J31" s="1884"/>
      <c r="M31" s="2033"/>
      <c r="N31" s="2033"/>
      <c r="O31" s="2034"/>
      <c r="P31" s="2034"/>
      <c r="Q31" s="2034"/>
      <c r="R31" s="1827"/>
      <c r="X31" s="64"/>
      <c r="Y31" s="71">
        <v>0</v>
      </c>
      <c r="Z31" s="16" t="b">
        <v>0</v>
      </c>
      <c r="AA31" s="154">
        <f>IF(Z31,E19*F19,0)</f>
        <v>0</v>
      </c>
      <c r="AB31" s="1418" t="e">
        <f>+AA31/AA$32</f>
        <v>#DIV/0!</v>
      </c>
      <c r="AC31" s="71">
        <f>IF(AND(Z31=TRUE,AA31&gt;0),1,0)</f>
        <v>0</v>
      </c>
    </row>
    <row r="32" spans="2:29" s="71" customFormat="1" ht="18" customHeight="1">
      <c r="B32" s="1874">
        <v>32</v>
      </c>
      <c r="C32" s="3220"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221"/>
      <c r="E32" s="3221"/>
      <c r="F32" s="3221"/>
      <c r="G32" s="3222"/>
      <c r="H32" s="1276"/>
      <c r="I32" s="1848" t="str">
        <f>IFERROR(ROUND(H32*CHOOSE(Y30,AB28,AB29,AB30,AB31),2),"")</f>
        <v/>
      </c>
      <c r="J32" s="1884"/>
      <c r="M32" s="2033"/>
      <c r="N32" s="2033"/>
      <c r="O32" s="2034"/>
      <c r="P32" s="2034"/>
      <c r="Q32" s="2034"/>
      <c r="R32" s="1827"/>
      <c r="X32" s="64"/>
      <c r="Y32" s="71">
        <v>1</v>
      </c>
      <c r="AA32" s="154">
        <f>SUM(AA28:AA31)</f>
        <v>0</v>
      </c>
      <c r="AB32" s="1409" t="e">
        <f>SUM(AB28:AB31)</f>
        <v>#DIV/0!</v>
      </c>
      <c r="AC32" s="71">
        <f>SUM(AC28:AC31)</f>
        <v>0</v>
      </c>
    </row>
    <row r="33" spans="2:28" s="71" customFormat="1" ht="18" customHeight="1">
      <c r="B33" s="1874">
        <v>33</v>
      </c>
      <c r="C33" s="3223" t="str">
        <f>"aktueller Rentenwert zum Ehezeitende "&amp;IF(E4="","...Ehezeitende eingeben!(Zeile 2)",TEXT(E4,"TT.MM.JJJ"))</f>
        <v>aktueller Rentenwert zum Ehezeitende ...Ehezeitende eingeben!(Zeile 2)</v>
      </c>
      <c r="D33" s="3224"/>
      <c r="E33" s="3224"/>
      <c r="F33" s="3224"/>
      <c r="G33" s="3225"/>
      <c r="H33" s="1849" t="str">
        <f>IFERROR(VLOOKUP(E4,aktRW,IF(sVA_EPOst,3,2)),"")</f>
        <v/>
      </c>
      <c r="I33" s="1850"/>
      <c r="J33" s="1884"/>
      <c r="M33" s="2033"/>
      <c r="N33" s="2033"/>
      <c r="O33" s="2034"/>
      <c r="P33" s="2034"/>
      <c r="Q33" s="2034"/>
      <c r="R33" s="1827"/>
      <c r="X33" s="64"/>
      <c r="Y33" s="71">
        <v>2</v>
      </c>
    </row>
    <row r="34" spans="2:28" s="71" customFormat="1" ht="18" customHeight="1">
      <c r="B34" s="1874">
        <v>34</v>
      </c>
      <c r="C34" s="3223" t="str">
        <f ca="1">"aktueller Rentenwert zum "&amp;IF(I4="","………Berechnungsdatum eingeben! (Zeile 3)",TEXT(I4,"TT.MM.JJJJ"))</f>
        <v>aktueller Rentenwert zum 09.03.2026</v>
      </c>
      <c r="D34" s="3224"/>
      <c r="E34" s="3224"/>
      <c r="F34" s="3224"/>
      <c r="G34" s="3225"/>
      <c r="H34" s="1849">
        <f ca="1">IFERROR(VLOOKUP(I4,aktRW,IF(sVA_EPOst,3,2)),"")</f>
        <v>40.79</v>
      </c>
      <c r="I34" s="1851"/>
      <c r="J34" s="1884"/>
      <c r="M34" s="2033"/>
      <c r="N34" s="2033"/>
      <c r="O34" s="2034"/>
      <c r="P34" s="2034"/>
      <c r="Q34" s="2034"/>
      <c r="R34" s="1827"/>
      <c r="X34" s="64"/>
      <c r="Y34" s="71">
        <v>3</v>
      </c>
    </row>
    <row r="35" spans="2:28" s="71" customFormat="1" ht="18" customHeight="1">
      <c r="B35" s="1874">
        <v>35</v>
      </c>
      <c r="C35" s="3223" t="str">
        <f ca="1">IFERROR("aktual. ausgegl. Betrag (§ 51 III S. 3 VersAusglG): "&amp;TEXT(IF(H32&gt;I32,I32,H32),"0,00")&amp;" x "&amp;TEXT(H34,"0,00")&amp;" / "&amp;TEXT(H33,"0,00"),"")</f>
        <v xml:space="preserve">aktual. ausgegl. Betrag (§ 51 III S. 3 VersAusglG): 0,00 x 40,79 / </v>
      </c>
      <c r="D35" s="3224"/>
      <c r="E35" s="3224"/>
      <c r="F35" s="3224"/>
      <c r="G35" s="3225"/>
      <c r="H35" s="1852" t="s">
        <v>1860</v>
      </c>
      <c r="I35" s="1853">
        <f ca="1">IFERROR(IF(I32&gt;0,-I32,-H32)*H34/H33,0)</f>
        <v>0</v>
      </c>
      <c r="J35" s="1884"/>
      <c r="M35" s="2033"/>
      <c r="N35" s="2033"/>
      <c r="O35" s="2034"/>
      <c r="P35" s="2034"/>
      <c r="Q35" s="2034"/>
      <c r="R35" s="1827"/>
      <c r="X35" s="64"/>
      <c r="Y35" s="71">
        <v>4</v>
      </c>
    </row>
    <row r="36" spans="2:28" s="71" customFormat="1" ht="18" customHeight="1">
      <c r="B36" s="1874">
        <v>36</v>
      </c>
      <c r="C36" s="3230" t="str">
        <f ca="1">"schuldrechtlicher Ausgleichsbetrag: "&amp;IF(H36&gt;0,"selbst berechnet",TEXT(I31,"#.##0,00 €")&amp;" - "&amp;TEXT(ABS(I35),"#.##0,00"))</f>
        <v>schuldrechtlicher Ausgleichsbetrag: 0,00 € - 0,00</v>
      </c>
      <c r="D36" s="3231"/>
      <c r="E36" s="3231"/>
      <c r="F36" s="3231"/>
      <c r="G36" s="3232"/>
      <c r="H36" s="1854"/>
      <c r="I36" s="2026">
        <f ca="1">IF(H36&gt;0,H36,IF(I31+I35&lt;0,0,I31+I35))</f>
        <v>0</v>
      </c>
      <c r="J36" s="1884"/>
      <c r="M36" s="749"/>
      <c r="N36" s="749"/>
      <c r="O36" s="2034"/>
      <c r="P36" s="2034"/>
      <c r="Q36" s="2034"/>
      <c r="R36" s="1827"/>
      <c r="X36" s="64"/>
      <c r="Y36" s="71">
        <v>5</v>
      </c>
    </row>
    <row r="37" spans="2:28" s="71" customFormat="1" ht="18" customHeight="1">
      <c r="B37" s="1874">
        <v>37</v>
      </c>
      <c r="C37" s="3227" t="str">
        <f ca="1">"Bagatellgrenze (1% der mon. Bezugsgröße § 18 I SGB VI) "&amp;IF(I36&gt;I37,"überschritten","nicht überschritten")</f>
        <v>Bagatellgrenze (1% der mon. Bezugsgröße § 18 I SGB VI) nicht überschritten</v>
      </c>
      <c r="D37" s="3228"/>
      <c r="E37" s="3228"/>
      <c r="F37" s="3228"/>
      <c r="G37" s="3228"/>
      <c r="H37" s="3229"/>
      <c r="I37" s="1815">
        <f ca="1">IFERROR(VLOOKUP(YEAR(I4),MonatlicheBezugsgroesse,IF(sVA_EPOst,3,2))*0.01,"")</f>
        <v>39.550000000000004</v>
      </c>
      <c r="J37" s="1884"/>
      <c r="M37" s="154"/>
      <c r="N37" s="154"/>
      <c r="O37" s="1482"/>
      <c r="P37" s="1730"/>
      <c r="Q37" s="1730"/>
      <c r="X37" s="64"/>
      <c r="Y37" s="16">
        <v>1</v>
      </c>
    </row>
    <row r="38" spans="2:28" s="71" customFormat="1" ht="18" customHeight="1" thickBot="1">
      <c r="B38" s="1874">
        <v>38</v>
      </c>
      <c r="C38" s="3233" t="str">
        <f ca="1">IF(OR(E4=0,I4=0,+I21=0),"Gelb markierte Felder sind auszufüllen",IF(I36&lt;=I37,"Die Wesentlichkeitsgrenze von §§ 20 III S. 3;  18 VersAusglG wird nicht überschritten!","Die Wesentlichkeitsgrenze von § 18 VersAusglG wird überschritten."))</f>
        <v>Gelb markierte Felder sind auszufüllen</v>
      </c>
      <c r="D38" s="3234"/>
      <c r="E38" s="3234"/>
      <c r="F38" s="3234"/>
      <c r="G38" s="3234"/>
      <c r="H38" s="3234"/>
      <c r="I38" s="3235"/>
      <c r="J38" s="1884"/>
      <c r="M38" s="154"/>
      <c r="N38" s="154"/>
      <c r="O38" s="1482"/>
      <c r="P38" s="1730"/>
      <c r="Q38" s="1730"/>
      <c r="X38" s="64"/>
    </row>
    <row r="39" spans="2:28" s="71" customFormat="1" ht="16.350000000000001" customHeight="1" thickTop="1">
      <c r="B39" s="1874"/>
      <c r="C39" s="971"/>
      <c r="D39" s="971"/>
      <c r="E39" s="971"/>
      <c r="F39" s="971"/>
      <c r="G39" s="971"/>
      <c r="H39" s="971"/>
      <c r="I39" s="971"/>
      <c r="J39" s="1884"/>
      <c r="M39" s="154"/>
      <c r="N39" s="154"/>
      <c r="O39" s="1482"/>
      <c r="P39" s="1730"/>
      <c r="Q39" s="1730"/>
      <c r="X39" s="64"/>
    </row>
    <row r="40" spans="2:28" s="71" customFormat="1" ht="16.350000000000001" customHeight="1">
      <c r="B40" s="1877"/>
      <c r="C40" s="1878"/>
      <c r="D40" s="1878"/>
      <c r="E40" s="1878"/>
      <c r="F40" s="1878"/>
      <c r="G40" s="1878"/>
      <c r="H40" s="1878"/>
      <c r="I40" s="1878"/>
      <c r="J40" s="348"/>
      <c r="M40" s="1890"/>
      <c r="N40" s="1890"/>
      <c r="O40" s="797"/>
      <c r="P40" s="2035"/>
      <c r="Q40" s="2035"/>
      <c r="X40" s="64"/>
    </row>
    <row r="41" spans="2:28" s="71" customFormat="1" ht="16.350000000000001" customHeight="1">
      <c r="B41" s="1879"/>
      <c r="C41" s="1878"/>
      <c r="D41" s="1878"/>
      <c r="E41" s="1878"/>
      <c r="F41" s="1878"/>
      <c r="G41" s="1878"/>
      <c r="H41" s="1878"/>
      <c r="I41" s="1878"/>
      <c r="J41" s="348"/>
      <c r="K41" s="16"/>
      <c r="X41" s="64"/>
      <c r="Z41" s="3" t="s">
        <v>557</v>
      </c>
      <c r="AA41" s="410" t="b">
        <v>0</v>
      </c>
      <c r="AB41" s="3"/>
    </row>
    <row r="42" spans="2:28" ht="15" customHeight="1">
      <c r="B42" s="1879"/>
      <c r="C42" s="1828"/>
      <c r="D42" s="1828"/>
      <c r="E42" s="1828"/>
      <c r="F42" s="1828"/>
      <c r="G42" s="1828"/>
      <c r="H42" s="1828"/>
      <c r="I42" s="1828"/>
      <c r="J42" s="1828"/>
      <c r="K42" s="1640"/>
      <c r="L42" s="1640"/>
      <c r="M42" s="1828"/>
      <c r="N42" s="1828"/>
      <c r="O42" s="1828"/>
      <c r="P42" s="1828"/>
      <c r="Q42" s="1828"/>
      <c r="R42" s="1828"/>
      <c r="X42" s="25"/>
      <c r="Z42" s="616" t="s">
        <v>554</v>
      </c>
      <c r="AA42" s="1621" t="b">
        <v>0</v>
      </c>
      <c r="AB42" s="616"/>
    </row>
    <row r="43" spans="2:28">
      <c r="B43" s="4"/>
      <c r="C43" s="363"/>
      <c r="D43" s="363"/>
      <c r="E43" s="363"/>
      <c r="F43" s="363"/>
      <c r="G43" s="363"/>
      <c r="H43" s="363"/>
      <c r="I43" s="363"/>
      <c r="J43" s="363"/>
      <c r="K43" s="363"/>
      <c r="L43" s="363"/>
      <c r="M43" s="363"/>
      <c r="N43" s="363"/>
      <c r="O43" s="363"/>
      <c r="P43" s="363"/>
      <c r="Q43" s="363"/>
      <c r="R43" s="363"/>
      <c r="Z43" s="3226"/>
      <c r="AA43" s="71"/>
    </row>
    <row r="44" spans="2:28" ht="14.25" customHeight="1">
      <c r="C44" s="1620"/>
      <c r="D44" s="1620"/>
      <c r="E44" s="1620"/>
      <c r="F44" s="1620"/>
      <c r="G44" s="1620"/>
      <c r="H44" s="1620"/>
      <c r="I44" s="1620"/>
      <c r="J44" s="1620"/>
      <c r="K44" s="1620"/>
      <c r="L44" s="1620"/>
      <c r="M44" s="1620"/>
      <c r="N44" s="1620"/>
      <c r="O44" s="1620"/>
      <c r="P44" s="1620"/>
      <c r="Q44" s="1620"/>
      <c r="R44" s="1620"/>
      <c r="S44" s="1620"/>
      <c r="Z44" s="3226"/>
      <c r="AA44" s="71"/>
      <c r="AB44" s="71"/>
    </row>
    <row r="45" spans="2:28" ht="15" customHeight="1">
      <c r="C45" s="1620"/>
      <c r="D45" s="1620"/>
      <c r="E45" s="1620"/>
      <c r="F45" s="1620"/>
      <c r="G45" s="1620"/>
      <c r="H45" s="1620"/>
      <c r="I45" s="1620"/>
      <c r="J45" s="1620"/>
      <c r="K45" s="1620"/>
      <c r="L45" s="1620"/>
      <c r="M45" s="1620"/>
      <c r="N45" s="1620"/>
      <c r="O45" s="1620"/>
      <c r="P45" s="1620"/>
      <c r="Q45" s="1620"/>
      <c r="R45" s="1620"/>
      <c r="S45" s="1620"/>
      <c r="Z45" s="3226"/>
      <c r="AA45" s="71"/>
      <c r="AB45" s="71"/>
    </row>
    <row r="46" spans="2:28" ht="32.25" customHeight="1">
      <c r="C46" s="228"/>
      <c r="D46" s="228"/>
      <c r="E46" s="228"/>
      <c r="F46" s="228"/>
      <c r="G46" s="228"/>
      <c r="H46" s="228"/>
      <c r="I46" s="228"/>
      <c r="J46" s="1620"/>
      <c r="K46" s="1829"/>
      <c r="L46" s="1829"/>
      <c r="M46" s="1899"/>
      <c r="N46" s="1899"/>
      <c r="O46" s="1899"/>
      <c r="P46" s="1899"/>
      <c r="Q46" s="1899"/>
      <c r="R46" s="1899"/>
      <c r="S46" s="1829"/>
      <c r="T46" s="149"/>
      <c r="Z46" s="71"/>
      <c r="AA46" s="71"/>
      <c r="AB46" s="71"/>
    </row>
    <row r="47" spans="2:28" s="71" customFormat="1" ht="18" customHeight="1">
      <c r="B47"/>
      <c r="C47" s="1882"/>
      <c r="D47" s="1882"/>
      <c r="E47" s="1882"/>
      <c r="F47" s="1882"/>
      <c r="G47" s="1882"/>
      <c r="H47" s="1622"/>
      <c r="I47" s="1623"/>
      <c r="J47" s="1620"/>
      <c r="M47" s="1631"/>
      <c r="N47" s="1631"/>
      <c r="O47" s="1631"/>
      <c r="P47" s="1631"/>
      <c r="Q47" s="1631"/>
      <c r="R47" s="1624"/>
    </row>
    <row r="48" spans="2:28" s="71" customFormat="1" ht="18" customHeight="1">
      <c r="B48"/>
      <c r="C48" s="1882"/>
      <c r="D48" s="1882"/>
      <c r="E48" s="1882"/>
      <c r="F48" s="1882"/>
      <c r="G48" s="1882"/>
      <c r="H48" s="897"/>
      <c r="I48" s="1622"/>
      <c r="J48" s="1620"/>
      <c r="M48" s="1631"/>
      <c r="N48" s="1631"/>
      <c r="O48" s="1631"/>
      <c r="P48" s="1631"/>
      <c r="Q48" s="1623"/>
      <c r="R48" s="1623"/>
      <c r="AA48" s="16"/>
    </row>
    <row r="49" spans="2:28" s="71" customFormat="1" ht="18" customHeight="1">
      <c r="B49"/>
      <c r="C49" s="1882"/>
      <c r="D49" s="1882"/>
      <c r="E49" s="1882"/>
      <c r="F49" s="1882"/>
      <c r="G49" s="1882"/>
      <c r="H49" s="748"/>
      <c r="I49" s="1624"/>
      <c r="J49" s="1620"/>
      <c r="M49" s="1631"/>
      <c r="N49" s="1631"/>
      <c r="O49" s="1631"/>
      <c r="P49" s="1631"/>
      <c r="Q49" s="1830"/>
      <c r="R49" s="1830"/>
    </row>
    <row r="50" spans="2:28" s="71" customFormat="1" ht="18" customHeight="1">
      <c r="B50"/>
      <c r="C50" s="1882"/>
      <c r="D50" s="1882"/>
      <c r="E50" s="1882"/>
      <c r="F50" s="1882"/>
      <c r="G50" s="1882"/>
      <c r="H50" s="952"/>
      <c r="I50" s="1897"/>
      <c r="J50" s="1620"/>
      <c r="K50" s="128"/>
      <c r="L50" s="128"/>
      <c r="M50" s="1631"/>
      <c r="N50" s="1631"/>
      <c r="O50" s="1631"/>
      <c r="P50" s="1631"/>
      <c r="Q50" s="1631"/>
      <c r="R50" s="1625"/>
      <c r="Z50" s="3218"/>
      <c r="AA50" s="3218"/>
      <c r="AB50" s="3218"/>
    </row>
    <row r="51" spans="2:28" s="71" customFormat="1" ht="18" customHeight="1">
      <c r="B51"/>
      <c r="C51" s="1882"/>
      <c r="D51" s="1882"/>
      <c r="E51" s="1882"/>
      <c r="F51" s="1882"/>
      <c r="G51" s="1882"/>
      <c r="H51" s="1626"/>
      <c r="I51" s="1898"/>
      <c r="J51" s="1620"/>
      <c r="K51" s="787"/>
      <c r="L51" s="787"/>
      <c r="M51" s="1631"/>
      <c r="N51" s="1631"/>
      <c r="O51" s="1631"/>
      <c r="P51" s="1631"/>
      <c r="Q51" s="1631"/>
      <c r="R51" s="1625"/>
      <c r="AA51" s="128"/>
      <c r="AB51" s="128"/>
    </row>
    <row r="52" spans="2:28" s="71" customFormat="1" ht="18" customHeight="1">
      <c r="B52"/>
      <c r="C52" s="1631"/>
      <c r="D52" s="1882"/>
      <c r="E52" s="1882"/>
      <c r="F52" s="1882"/>
      <c r="G52" s="1882"/>
      <c r="H52" s="128"/>
      <c r="I52" s="1623"/>
      <c r="J52" s="1620"/>
      <c r="M52" s="1631"/>
      <c r="N52" s="1631"/>
      <c r="O52" s="1631"/>
      <c r="P52" s="1631"/>
      <c r="Q52" s="1631"/>
      <c r="R52" s="1625"/>
      <c r="Z52" s="348"/>
      <c r="AA52" s="1394"/>
      <c r="AB52" s="1394"/>
    </row>
    <row r="53" spans="2:28" s="71" customFormat="1" ht="18" customHeight="1">
      <c r="B53"/>
      <c r="C53" s="1631"/>
      <c r="D53" s="1882"/>
      <c r="E53" s="1882"/>
      <c r="F53" s="1882"/>
      <c r="G53" s="1882"/>
      <c r="H53" s="1627"/>
      <c r="I53" s="1627"/>
      <c r="J53" s="1620"/>
      <c r="M53" s="1631"/>
      <c r="N53" s="1631"/>
      <c r="O53" s="1631"/>
      <c r="P53" s="1631"/>
      <c r="Q53" s="1631"/>
      <c r="R53" s="1628"/>
      <c r="Z53" s="348"/>
      <c r="AA53" s="3219"/>
      <c r="AB53" s="3219"/>
    </row>
    <row r="54" spans="2:28" s="71" customFormat="1" ht="18" customHeight="1">
      <c r="B54"/>
      <c r="C54" s="1882"/>
      <c r="D54" s="1882"/>
      <c r="E54" s="1882"/>
      <c r="F54" s="1882"/>
      <c r="G54" s="1882"/>
      <c r="H54" s="1628"/>
      <c r="I54" s="1625"/>
      <c r="J54" s="1620"/>
      <c r="K54" s="1394"/>
      <c r="L54" s="1394"/>
      <c r="M54" s="1631"/>
      <c r="N54" s="1631"/>
      <c r="O54" s="1631"/>
      <c r="P54" s="1631"/>
      <c r="Q54" s="1631"/>
      <c r="R54" s="1629"/>
      <c r="Z54" s="348"/>
      <c r="AA54" s="1394"/>
      <c r="AB54" s="1630"/>
    </row>
    <row r="55" spans="2:28" s="71" customFormat="1" ht="18" customHeight="1">
      <c r="B55"/>
      <c r="C55" s="1882"/>
      <c r="D55" s="1882"/>
      <c r="E55" s="1882"/>
      <c r="F55" s="1882"/>
      <c r="G55" s="1882"/>
      <c r="H55" s="1628"/>
      <c r="I55" s="1625"/>
      <c r="J55" s="1620"/>
      <c r="K55" s="1394"/>
      <c r="L55" s="1394"/>
      <c r="M55" s="1631"/>
      <c r="N55" s="1631"/>
      <c r="O55" s="1631"/>
      <c r="P55" s="1631"/>
      <c r="Q55" s="2036"/>
      <c r="R55" s="1831"/>
      <c r="Z55" s="348"/>
      <c r="AA55" s="3219"/>
      <c r="AB55" s="3219"/>
    </row>
    <row r="56" spans="2:28" s="71" customFormat="1" ht="18" customHeight="1">
      <c r="B56"/>
      <c r="C56" s="1631"/>
      <c r="D56" s="1631"/>
      <c r="E56" s="1631"/>
      <c r="F56" s="1631"/>
      <c r="G56" s="1631"/>
      <c r="H56" s="1628"/>
      <c r="I56" s="1632"/>
      <c r="J56" s="1620"/>
      <c r="R56" s="1832"/>
      <c r="Z56" s="3218"/>
      <c r="AA56" s="3218"/>
      <c r="AB56" s="3218"/>
    </row>
    <row r="57" spans="2:28" s="71" customFormat="1" ht="18" customHeight="1">
      <c r="B57"/>
      <c r="C57" s="1882"/>
      <c r="D57" s="1882"/>
      <c r="E57" s="1882"/>
      <c r="F57" s="1882"/>
      <c r="G57" s="1882"/>
      <c r="H57" s="1624"/>
      <c r="I57" s="1901"/>
      <c r="J57" s="1620"/>
      <c r="M57" s="1471"/>
      <c r="N57" s="1471"/>
      <c r="O57" s="1471"/>
      <c r="P57" s="1471"/>
      <c r="Q57" s="2037"/>
      <c r="R57" s="1833"/>
      <c r="Z57" s="797"/>
      <c r="AA57" s="797"/>
      <c r="AB57" s="797"/>
    </row>
    <row r="58" spans="2:28" s="71" customFormat="1" ht="18" customHeight="1">
      <c r="B58"/>
      <c r="C58" s="1882"/>
      <c r="D58" s="1882"/>
      <c r="E58" s="1882"/>
      <c r="F58" s="1882"/>
      <c r="G58" s="1882"/>
      <c r="H58" s="1623"/>
      <c r="I58" s="1901"/>
      <c r="J58" s="1620"/>
      <c r="M58" s="2031"/>
      <c r="N58" s="2031"/>
      <c r="O58" s="2031"/>
      <c r="P58" s="2031"/>
      <c r="Q58" s="2031"/>
      <c r="R58" s="1834"/>
      <c r="AA58" s="1633"/>
      <c r="AB58" s="1633"/>
    </row>
    <row r="59" spans="2:28" s="71" customFormat="1" ht="18" customHeight="1">
      <c r="B59"/>
      <c r="C59" s="1634"/>
      <c r="D59" s="1634"/>
      <c r="E59" s="1634"/>
      <c r="F59" s="1634"/>
      <c r="G59" s="1634"/>
      <c r="H59" s="1635"/>
      <c r="I59" s="1901"/>
      <c r="J59" s="1636"/>
      <c r="M59" s="2038"/>
      <c r="N59" s="2038"/>
      <c r="O59" s="2038"/>
      <c r="P59" s="2038"/>
      <c r="Q59" s="2038"/>
      <c r="R59" s="1835"/>
      <c r="X59" s="620"/>
      <c r="AA59" s="1633"/>
      <c r="AB59" s="1633"/>
    </row>
    <row r="60" spans="2:28" s="71" customFormat="1" ht="18" customHeight="1">
      <c r="B60"/>
      <c r="C60" s="1904"/>
      <c r="D60" s="1883"/>
      <c r="E60" s="1883"/>
      <c r="F60" s="1883"/>
      <c r="G60" s="1883"/>
      <c r="H60" s="1905"/>
      <c r="I60" s="1908"/>
      <c r="J60" s="1636"/>
      <c r="M60" s="2039"/>
      <c r="N60" s="2039"/>
      <c r="O60" s="2039"/>
      <c r="P60" s="2039"/>
      <c r="Q60" s="2039"/>
      <c r="R60" s="1881"/>
      <c r="X60" s="620"/>
    </row>
    <row r="61" spans="2:28" s="71" customFormat="1" ht="18" customHeight="1">
      <c r="B61"/>
      <c r="C61" s="1904"/>
      <c r="D61" s="1883"/>
      <c r="E61" s="1883"/>
      <c r="F61" s="1883"/>
      <c r="G61" s="1883"/>
      <c r="H61" s="1905"/>
      <c r="I61" s="1908"/>
      <c r="J61" s="1471"/>
      <c r="M61" s="2039"/>
      <c r="N61" s="2039"/>
      <c r="O61" s="2039"/>
      <c r="P61" s="2039"/>
      <c r="Q61" s="2039"/>
      <c r="R61" s="1900"/>
      <c r="X61" s="620"/>
      <c r="Z61"/>
      <c r="AA61"/>
      <c r="AB61" s="91"/>
    </row>
    <row r="62" spans="2:28" s="71" customFormat="1" ht="27.75" customHeight="1">
      <c r="B62" s="154"/>
      <c r="C62" s="1896"/>
      <c r="D62" s="1896"/>
      <c r="E62" s="1896"/>
      <c r="F62" s="1896"/>
      <c r="G62" s="1896"/>
      <c r="H62" s="1896"/>
      <c r="I62" s="1896"/>
      <c r="J62" s="1471"/>
      <c r="M62" s="2039"/>
      <c r="N62" s="2039"/>
      <c r="O62" s="2039"/>
      <c r="P62" s="2039"/>
      <c r="Q62" s="2039"/>
      <c r="R62" s="1900"/>
      <c r="X62" s="620"/>
      <c r="Z62"/>
      <c r="AA62"/>
      <c r="AB62"/>
    </row>
    <row r="63" spans="2:28" s="71" customFormat="1" ht="18" customHeight="1">
      <c r="B63" s="154"/>
      <c r="C63" s="1895"/>
      <c r="D63" s="1895"/>
      <c r="E63" s="1895"/>
      <c r="F63" s="1895"/>
      <c r="G63" s="1895"/>
      <c r="H63" s="1895"/>
      <c r="I63" s="1637"/>
      <c r="J63" s="1471"/>
      <c r="M63" s="1896"/>
      <c r="N63" s="1896"/>
      <c r="O63" s="1896"/>
      <c r="P63" s="1896"/>
      <c r="Q63" s="1896"/>
      <c r="R63" s="1907"/>
      <c r="X63" s="620"/>
      <c r="AA63" s="154"/>
    </row>
    <row r="64" spans="2:28" s="71" customFormat="1" ht="18" customHeight="1">
      <c r="C64" s="1895"/>
      <c r="D64" s="1895"/>
      <c r="E64" s="1895"/>
      <c r="F64" s="1895"/>
      <c r="G64" s="1895"/>
      <c r="H64" s="1895"/>
      <c r="I64" s="1638"/>
      <c r="J64" s="1471"/>
      <c r="M64" s="1896"/>
      <c r="N64" s="1896"/>
      <c r="O64" s="1896"/>
      <c r="P64" s="1896"/>
      <c r="Q64" s="1896"/>
      <c r="R64" s="1907"/>
      <c r="X64" s="620"/>
      <c r="Y64" s="154"/>
      <c r="Z64" s="790"/>
      <c r="AA64" s="154"/>
    </row>
    <row r="65" spans="3:27" ht="18" customHeight="1">
      <c r="C65" s="1895"/>
      <c r="D65" s="1895"/>
      <c r="E65" s="1895"/>
      <c r="F65" s="1895"/>
      <c r="G65" s="1895"/>
      <c r="H65" s="1895"/>
      <c r="I65" s="1638"/>
      <c r="J65" s="1620"/>
      <c r="M65" s="1906"/>
      <c r="N65" s="1906"/>
      <c r="O65" s="1906"/>
      <c r="P65" s="1906"/>
      <c r="Q65" s="1906"/>
      <c r="R65" s="1906"/>
      <c r="T65" s="149"/>
      <c r="Y65" s="149"/>
      <c r="AA65" s="149"/>
    </row>
    <row r="66" spans="3:27" ht="18" customHeight="1">
      <c r="C66" s="1903"/>
      <c r="D66" s="1903"/>
      <c r="E66" s="1903"/>
      <c r="F66" s="1903"/>
      <c r="G66" s="1903"/>
      <c r="H66" s="1903"/>
      <c r="I66" s="1639"/>
      <c r="J66" s="1620"/>
      <c r="M66" s="1906"/>
      <c r="N66" s="1906"/>
      <c r="O66" s="1906"/>
      <c r="P66" s="1906"/>
      <c r="Q66" s="1906"/>
      <c r="R66" s="1906"/>
      <c r="T66" s="149"/>
      <c r="AA66" s="149"/>
    </row>
    <row r="67" spans="3:27" ht="14.25" customHeight="1">
      <c r="C67" s="97"/>
      <c r="D67" s="97"/>
      <c r="E67" s="97"/>
      <c r="F67" s="97"/>
      <c r="G67" s="97"/>
      <c r="H67" s="97"/>
      <c r="I67" s="97"/>
      <c r="J67" s="97"/>
      <c r="K67" s="97"/>
      <c r="L67" s="97"/>
      <c r="M67" s="1902"/>
      <c r="N67" s="1902"/>
      <c r="O67" s="1902"/>
      <c r="P67" s="1902"/>
      <c r="Q67" s="1902"/>
      <c r="R67" s="1902"/>
    </row>
    <row r="68" spans="3:27" ht="14.25" customHeight="1">
      <c r="C68" s="1617"/>
      <c r="D68" s="1617"/>
      <c r="E68" s="1617"/>
      <c r="F68" s="1617"/>
      <c r="G68" s="1617"/>
      <c r="H68" s="1618"/>
      <c r="I68" s="1619"/>
      <c r="J68" s="1620"/>
      <c r="M68" s="1836"/>
      <c r="N68" s="1836"/>
      <c r="O68" s="2040"/>
      <c r="P68" s="2040"/>
      <c r="Q68" s="2040"/>
      <c r="R68" s="1836"/>
    </row>
    <row r="69" spans="3:27" ht="14.25" customHeight="1">
      <c r="C69" s="249"/>
      <c r="D69" s="249"/>
      <c r="E69" s="249"/>
      <c r="F69" s="249"/>
      <c r="G69" s="249"/>
      <c r="H69" s="1619"/>
      <c r="I69" s="1619"/>
      <c r="P69" s="149"/>
      <c r="T69" s="1837"/>
    </row>
    <row r="70" spans="3:27" ht="14.25" customHeight="1">
      <c r="C70" s="1617"/>
      <c r="D70" s="1617"/>
      <c r="E70" s="1617"/>
      <c r="F70" s="1617"/>
      <c r="G70" s="1617"/>
      <c r="H70" s="1617"/>
      <c r="I70" s="1617"/>
      <c r="T70" s="149"/>
    </row>
    <row r="72" spans="3:27" ht="14.25" customHeight="1">
      <c r="T72" s="149"/>
    </row>
    <row r="74" spans="3:27" ht="14.25" customHeight="1">
      <c r="O74" s="149"/>
    </row>
  </sheetData>
  <sheetProtection sheet="1" objects="1" scenarios="1"/>
  <dataConsolidate/>
  <mergeCells count="46">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s>
  <conditionalFormatting sqref="B22:B23">
    <cfRule type="expression" dxfId="221" priority="2">
      <formula>sVA_Privat=FALSE</formula>
    </cfRule>
  </conditionalFormatting>
  <conditionalFormatting sqref="C16 E16:I16">
    <cfRule type="expression" dxfId="220" priority="11">
      <formula>$Y$30=1</formula>
    </cfRule>
  </conditionalFormatting>
  <conditionalFormatting sqref="C17 E17:I17 X30">
    <cfRule type="expression" dxfId="219" priority="1634">
      <formula>$Y$30=2</formula>
    </cfRule>
  </conditionalFormatting>
  <conditionalFormatting sqref="C18 E18:I18 Y30:AC30 X31">
    <cfRule type="expression" dxfId="218" priority="1640">
      <formula>$Y$30=3</formula>
    </cfRule>
  </conditionalFormatting>
  <conditionalFormatting sqref="C19 E19:I19 Y31:AC31 X32">
    <cfRule type="expression" dxfId="217" priority="1643">
      <formula>$Y$30=4</formula>
    </cfRule>
  </conditionalFormatting>
  <conditionalFormatting sqref="C21">
    <cfRule type="expression" dxfId="216" priority="2323">
      <formula>AND(H21&gt;0,COUNT($E$16:$E$19&gt;1))</formula>
    </cfRule>
  </conditionalFormatting>
  <conditionalFormatting sqref="C22 F22:H22 C23:I23">
    <cfRule type="expression" dxfId="215" priority="3">
      <formula>sVA_Privat=FALSE</formula>
    </cfRule>
  </conditionalFormatting>
  <conditionalFormatting sqref="C38">
    <cfRule type="expression" dxfId="214" priority="2329">
      <formula>AND($E$4+$I$21+$H$29&gt;0,$I$36&gt;$I$37)</formula>
    </cfRule>
    <cfRule type="expression" dxfId="213" priority="2330">
      <formula>AND($E$4+$I$21+$H$29&gt;0,$I$36&lt;=$I$37)</formula>
    </cfRule>
  </conditionalFormatting>
  <conditionalFormatting sqref="C42:R42">
    <cfRule type="expression" dxfId="212" priority="2281">
      <formula>AND(FB_Aktiv,COUNT($E$16:$E$19)&gt;1)</formula>
    </cfRule>
  </conditionalFormatting>
  <conditionalFormatting sqref="D4">
    <cfRule type="expression" dxfId="211" priority="57">
      <formula>AND(D4="",E4="")</formula>
    </cfRule>
  </conditionalFormatting>
  <conditionalFormatting sqref="E16:E19">
    <cfRule type="expression" dxfId="209" priority="32">
      <formula>E16=0</formula>
    </cfRule>
  </conditionalFormatting>
  <conditionalFormatting sqref="E20">
    <cfRule type="expression" dxfId="208" priority="2378">
      <formula>E20&gt;I8</formula>
    </cfRule>
  </conditionalFormatting>
  <conditionalFormatting sqref="E23">
    <cfRule type="expression" dxfId="207" priority="5">
      <formula>AND(sVA_Privat,$E$23="")</formula>
    </cfRule>
  </conditionalFormatting>
  <conditionalFormatting sqref="F16:F19">
    <cfRule type="expression" dxfId="206" priority="1646">
      <formula>Z28</formula>
    </cfRule>
  </conditionalFormatting>
  <conditionalFormatting sqref="G13">
    <cfRule type="expression" dxfId="205" priority="2379">
      <formula>$E$20&lt;=$I$8</formula>
    </cfRule>
  </conditionalFormatting>
  <conditionalFormatting sqref="G23">
    <cfRule type="expression" dxfId="204" priority="4">
      <formula>AND(sVA_Privat,$E$23&gt;0,$G$23=0)</formula>
    </cfRule>
  </conditionalFormatting>
  <conditionalFormatting sqref="H24:H26">
    <cfRule type="expression" dxfId="203" priority="42">
      <formula>sVA_Privat</formula>
    </cfRule>
  </conditionalFormatting>
  <conditionalFormatting sqref="I8">
    <cfRule type="expression" dxfId="202" priority="7">
      <formula>$E$20&gt;$I$8</formula>
    </cfRule>
  </conditionalFormatting>
  <conditionalFormatting sqref="I21">
    <cfRule type="expression" dxfId="201" priority="2282">
      <formula>E20=0</formula>
    </cfRule>
  </conditionalFormatting>
  <conditionalFormatting sqref="J22:J23">
    <cfRule type="expression" dxfId="200" priority="1">
      <formula>sVA_Privat=FALSE</formula>
    </cfRule>
  </conditionalFormatting>
  <conditionalFormatting sqref="Y29:AC29">
    <cfRule type="expression" dxfId="199"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25:D25" r:id="rId4" display="https://www.gesetze-im-internet.de/sgb_11/__55.html" xr:uid="{8C65136F-0A2A-4C5B-9AF7-AE9CB9423B51}"/>
    <hyperlink ref="H5" r:id="rId5" location="krankenkassen" xr:uid="{63849478-1DFC-44C2-86AD-C43F05AB41D0}"/>
    <hyperlink ref="C8:H8" r:id="rId6" display="https://www.aok.de/fk/tools/weitere-inhalte/beitraege-und-rechengroessen-der-sozialversicherung/alle-zahlen-zum-download/?utm_source=copilot.com" xr:uid="{084B28DD-F2DD-4D1F-AF46-44E62CAD4CFE}"/>
  </hyperlinks>
  <printOptions horizontalCentered="1"/>
  <pageMargins left="0.11811023622047245" right="0.11811023622047245" top="0.78740157480314965" bottom="0.78740157480314965" header="0.31496062992125984" footer="0.31496062992125984"/>
  <pageSetup paperSize="9" scale="62"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886209" r:id="rId10"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1"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2"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3"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4"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5"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6"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7"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8"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9"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20"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1"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2"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Zeros="0" zoomScale="85" zoomScaleNormal="85" workbookViewId="0">
      <selection activeCell="J7" sqref="J7:M7"/>
    </sheetView>
  </sheetViews>
  <sheetFormatPr baseColWidth="10" defaultColWidth="0" defaultRowHeight="14.25" zeroHeight="1"/>
  <cols>
    <col min="1" max="1" width="2.5" style="1663"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59"/>
      <c r="B1" s="971"/>
      <c r="C1" s="971"/>
      <c r="D1" s="971"/>
      <c r="E1" s="971"/>
      <c r="F1" s="971"/>
      <c r="G1" s="971"/>
      <c r="H1" s="971"/>
      <c r="I1" s="971"/>
      <c r="J1" s="971"/>
      <c r="K1" s="971"/>
      <c r="L1" s="971"/>
      <c r="M1" s="971"/>
      <c r="N1" s="971"/>
      <c r="O1" s="971"/>
      <c r="P1" s="971"/>
      <c r="Q1" s="971"/>
      <c r="R1" s="971"/>
    </row>
    <row r="2" spans="1:36" s="128" customFormat="1" ht="18.75" customHeight="1" thickTop="1">
      <c r="A2" s="1658">
        <v>2</v>
      </c>
      <c r="B2" s="3361" t="s">
        <v>1777</v>
      </c>
      <c r="C2" s="3362"/>
      <c r="D2" s="3362"/>
      <c r="E2" s="3362"/>
      <c r="F2" s="3362"/>
      <c r="G2" s="3362"/>
      <c r="H2" s="3362"/>
      <c r="I2" s="3363"/>
      <c r="J2" s="3351" t="s">
        <v>531</v>
      </c>
      <c r="K2" s="3352"/>
      <c r="L2" s="3352"/>
      <c r="M2" s="3353"/>
      <c r="N2" s="971"/>
      <c r="O2" s="3327" t="str">
        <f>"D. Versorgungsertrag der ausgleichsberechtigten Person"&amp;CHAR(10)&amp;"bei Begründung der Versorgung in "&amp;IF(ZVAusglBerAlternativ=1,"ges. RV (DRV) ",J28)</f>
        <v xml:space="preserve">D. Versorgungsertrag der ausgleichsberechtigten Person
bei Begründung der Versorgung in ges. RV (DRV) </v>
      </c>
      <c r="P2" s="3328"/>
      <c r="Q2" s="3329"/>
      <c r="R2" s="1475">
        <v>2</v>
      </c>
      <c r="U2" s="128" t="s">
        <v>1730</v>
      </c>
    </row>
    <row r="3" spans="1:36" s="128" customFormat="1" ht="31.5" customHeight="1">
      <c r="A3" s="1475">
        <f>+A2+1</f>
        <v>3</v>
      </c>
      <c r="B3" s="3364"/>
      <c r="C3" s="3365"/>
      <c r="D3" s="3365"/>
      <c r="E3" s="3365"/>
      <c r="F3" s="3365"/>
      <c r="G3" s="3365"/>
      <c r="H3" s="3365"/>
      <c r="I3" s="3366"/>
      <c r="J3" s="3260" t="str">
        <f>IF(J4="d",IF(X6&gt;0,X6,"")&amp;IF(X5&gt;0,"    "&amp;X5,""),"")</f>
        <v/>
      </c>
      <c r="K3" s="3261"/>
      <c r="L3" s="3261"/>
      <c r="M3" s="3262"/>
      <c r="N3" s="971"/>
      <c r="O3" s="3330"/>
      <c r="P3" s="3331"/>
      <c r="Q3" s="3332"/>
      <c r="R3" s="1475">
        <f>+R2+1</f>
        <v>3</v>
      </c>
    </row>
    <row r="4" spans="1:36" s="128" customFormat="1" ht="16.350000000000001" customHeight="1">
      <c r="A4" s="1475">
        <f t="shared" ref="A4:A44" si="0">+A3+1</f>
        <v>4</v>
      </c>
      <c r="B4" s="3354" t="s">
        <v>1640</v>
      </c>
      <c r="C4" s="2486"/>
      <c r="D4" s="2486"/>
      <c r="E4" s="2486"/>
      <c r="F4" s="2486"/>
      <c r="G4" s="2486"/>
      <c r="H4" s="2486"/>
      <c r="I4" s="2486"/>
      <c r="J4" s="3344" t="s">
        <v>217</v>
      </c>
      <c r="K4" s="3345"/>
      <c r="L4" s="3345"/>
      <c r="M4" s="3355"/>
      <c r="N4" s="971"/>
      <c r="O4" s="1669" t="s">
        <v>1720</v>
      </c>
      <c r="P4" s="1665" t="s">
        <v>384</v>
      </c>
      <c r="Q4" s="1670"/>
      <c r="R4" s="1475">
        <f t="shared" ref="R4:R44" si="1">+R3+1</f>
        <v>4</v>
      </c>
      <c r="U4" s="128" t="e">
        <f ca="1">"{[(1 + "&amp;TEXT(J13,"0,00%")&amp;")^"&amp;TEXT(V36,"0,0")&amp;" - 1] / "&amp;TEXT(J13,"0,00%")&amp;"}"&amp;" x "&amp;TEXT(I7,"0,00")&amp;IF(J12=0,""," x (1 + "&amp;TEXT(J12,"0,00%")&amp;")^"&amp;TEXT(W36,"0,0"))&amp;" x 12  ="</f>
        <v>#VALUE!</v>
      </c>
    </row>
    <row r="5" spans="1:36" s="128" customFormat="1" ht="16.350000000000001" customHeight="1">
      <c r="A5" s="1475">
        <f t="shared" si="0"/>
        <v>5</v>
      </c>
      <c r="B5" s="3356" t="str">
        <f>IF(AND(J5="",I5&gt;0),"Geburtstag der ausglpfl. Person aus 'Fallerfassung' übernommen","Geburtstag der ausgleichspflichtigen Person eingeben:")</f>
        <v>Geburtstag der ausglpfl. Person aus 'Fallerfassung' übernommen</v>
      </c>
      <c r="C5" s="3357"/>
      <c r="D5" s="3357"/>
      <c r="E5" s="3357"/>
      <c r="F5" s="3357"/>
      <c r="G5" s="3357"/>
      <c r="H5" s="3357"/>
      <c r="I5" s="1641" t="str">
        <f>IFERROR(IF(J5&gt;0,J5,CHOOSE(Y10,Dat_GebDat_M,Dat_GebDatF)),"")</f>
        <v/>
      </c>
      <c r="J5" s="3344"/>
      <c r="K5" s="3345"/>
      <c r="L5" s="3345"/>
      <c r="M5" s="3355"/>
      <c r="N5" s="971"/>
      <c r="O5" s="1669" t="s">
        <v>1689</v>
      </c>
      <c r="P5" s="1666"/>
      <c r="Q5" s="1407" t="str">
        <f>IFERROR(IF(P5&gt;0,P5,CHOOSE(Y11,Dat_GebDat_M,Dat_GebDat_F,"")),"")</f>
        <v/>
      </c>
      <c r="R5" s="1475">
        <f t="shared" si="1"/>
        <v>5</v>
      </c>
      <c r="X5" s="1626" t="str">
        <f>TEXT(Dat_GebDat_F,"TT.MM.JJJJ")&amp;IF(Dat_GebDat_F&lt;&gt;""," "&amp;weiblich&amp;"(w)","")</f>
        <v/>
      </c>
    </row>
    <row r="6" spans="1:36" s="128" customFormat="1" ht="16.350000000000001" customHeight="1">
      <c r="A6" s="1475">
        <f t="shared" si="0"/>
        <v>6</v>
      </c>
      <c r="B6" s="1928" t="s">
        <v>1874</v>
      </c>
      <c r="C6" s="1929"/>
      <c r="D6" s="1929"/>
      <c r="E6" s="1929"/>
      <c r="F6" s="3344"/>
      <c r="G6" s="3345"/>
      <c r="H6" s="3367" t="str">
        <f>IF(F6&gt;0,F6,IF(Dat_EzE&gt;0,Dat_EzE,""))</f>
        <v/>
      </c>
      <c r="I6" s="3368"/>
      <c r="J6" s="1930"/>
      <c r="K6" s="1931"/>
      <c r="L6" s="1932" t="s">
        <v>1709</v>
      </c>
      <c r="M6" s="1733" t="str">
        <f>V6</f>
        <v/>
      </c>
      <c r="N6" s="971"/>
      <c r="O6" s="3346" t="str">
        <f>IFERROR("Alter im EzE: "&amp;TEXT(IFERROR(IF(H6="","",ROUND(YEARFRAC(Q5,H6,0),2)),""),"0,00")&amp;" und im Abfindungszeitpunkt:","")</f>
        <v>Alter im EzE:  und im Abfindungszeitpunkt:</v>
      </c>
      <c r="P6" s="3347"/>
      <c r="Q6" s="1671" t="str">
        <f>IFERROR(IF(J14="","",ROUND(YEARFRAC(Q5,J14,0),2)),"")</f>
        <v/>
      </c>
      <c r="R6" s="1475">
        <f t="shared" si="1"/>
        <v>6</v>
      </c>
      <c r="U6" s="1768" t="s">
        <v>298</v>
      </c>
      <c r="V6" s="1769" t="str">
        <f>IFERROR(IF(H6="","",ROUND(YEARFRAC(I5,H6,0),2)),"")</f>
        <v/>
      </c>
      <c r="X6" s="1626" t="str">
        <f>TEXT(Dat_GebDat_M,"TT.MM.JJJJ")&amp;IF(Dat_GebDat_M&lt;&gt;""," "&amp;männlich&amp;"(m)","")</f>
        <v/>
      </c>
    </row>
    <row r="7" spans="1:36" s="128" customFormat="1" ht="22.35" customHeight="1" thickBot="1">
      <c r="A7" s="1475">
        <f t="shared" si="0"/>
        <v>7</v>
      </c>
      <c r="B7" s="3248" t="s">
        <v>1704</v>
      </c>
      <c r="C7" s="3249"/>
      <c r="D7" s="3249"/>
      <c r="E7" s="3249"/>
      <c r="F7" s="3249"/>
      <c r="G7" s="3249"/>
      <c r="H7" s="3250"/>
      <c r="I7" s="2211">
        <f ca="1">IF(J7&gt;0,J7,+'sVA § 20'!I36)</f>
        <v>0</v>
      </c>
      <c r="J7" s="3348"/>
      <c r="K7" s="3349"/>
      <c r="L7" s="3349"/>
      <c r="M7" s="3350"/>
      <c r="N7" s="971"/>
      <c r="O7" s="1672" t="s">
        <v>1670</v>
      </c>
      <c r="P7" s="1667"/>
      <c r="Q7" s="1673" t="str">
        <f ca="1">IFERROR(IF(P7=0,L32,P7),"")</f>
        <v/>
      </c>
      <c r="R7" s="1475">
        <f t="shared" si="1"/>
        <v>7</v>
      </c>
      <c r="X7" s="1626"/>
    </row>
    <row r="8" spans="1:36" s="128" customFormat="1" ht="20.100000000000001" customHeight="1">
      <c r="A8" s="1475">
        <f t="shared" si="0"/>
        <v>8</v>
      </c>
      <c r="B8" s="3338" t="s">
        <v>1696</v>
      </c>
      <c r="C8" s="3339"/>
      <c r="D8" s="3339"/>
      <c r="E8" s="3339"/>
      <c r="F8" s="3339"/>
      <c r="G8" s="3339"/>
      <c r="H8" s="3339"/>
      <c r="I8" s="3339"/>
      <c r="J8" s="3339"/>
      <c r="K8" s="3339"/>
      <c r="L8" s="3339"/>
      <c r="M8" s="3340"/>
      <c r="N8" s="971"/>
      <c r="O8" s="1669" t="s">
        <v>1729</v>
      </c>
      <c r="P8" s="1686"/>
      <c r="Q8" s="1674" t="str">
        <f ca="1">IFERROR(IF(P8&gt;0,P8,IF(L28&gt;0,L28,L26)),"")</f>
        <v/>
      </c>
      <c r="R8" s="1475">
        <f t="shared" si="1"/>
        <v>8</v>
      </c>
    </row>
    <row r="9" spans="1:36" s="128" customFormat="1" ht="16.350000000000001" customHeight="1">
      <c r="A9" s="1475">
        <f t="shared" si="0"/>
        <v>9</v>
      </c>
      <c r="B9" s="3288" t="s">
        <v>1700</v>
      </c>
      <c r="C9" s="3274"/>
      <c r="D9" s="3274"/>
      <c r="E9" s="3274"/>
      <c r="F9" s="3274"/>
      <c r="G9" s="3274"/>
      <c r="H9" s="3274"/>
      <c r="I9" s="1648" t="str">
        <f>IFERROR(ROUND(IFERROR(IF(J9="",AbF_ReEintritt,J9),""),2),"")</f>
        <v/>
      </c>
      <c r="J9" s="3358"/>
      <c r="K9" s="3359"/>
      <c r="L9" s="3359"/>
      <c r="M9" s="3360"/>
      <c r="N9" s="971"/>
      <c r="O9" s="1669" t="s">
        <v>1690</v>
      </c>
      <c r="P9" s="362"/>
      <c r="Q9" s="1675" t="str">
        <f>IFERROR(ROUND(IF(P9&gt;0,P9,V22),2),"")</f>
        <v/>
      </c>
      <c r="R9" s="1475">
        <f t="shared" si="1"/>
        <v>9</v>
      </c>
      <c r="U9" s="66"/>
      <c r="V9" s="66" t="s">
        <v>1683</v>
      </c>
      <c r="W9" s="66" t="s">
        <v>318</v>
      </c>
      <c r="X9" s="66"/>
      <c r="Y9" s="66"/>
      <c r="Z9" s="66" t="s">
        <v>1680</v>
      </c>
    </row>
    <row r="10" spans="1:36" s="128" customFormat="1" ht="16.350000000000001" customHeight="1">
      <c r="A10" s="1475">
        <f t="shared" si="0"/>
        <v>10</v>
      </c>
      <c r="B10" s="3288" t="s">
        <v>1701</v>
      </c>
      <c r="C10" s="3274"/>
      <c r="D10" s="3274"/>
      <c r="E10" s="3274"/>
      <c r="F10" s="3274"/>
      <c r="G10" s="3274"/>
      <c r="H10" s="3274"/>
      <c r="I10" s="3275"/>
      <c r="J10" s="3289">
        <v>1</v>
      </c>
      <c r="K10" s="3290"/>
      <c r="L10" s="3290"/>
      <c r="M10" s="3291"/>
      <c r="N10" s="971"/>
      <c r="O10" s="3279" t="s">
        <v>257</v>
      </c>
      <c r="P10" s="3280"/>
      <c r="Q10" s="1676" t="str">
        <f>IFERROR(IF(Q9&lt;Q6,0,Q9-Q6),"")</f>
        <v/>
      </c>
      <c r="R10" s="1475">
        <f t="shared" si="1"/>
        <v>10</v>
      </c>
      <c r="U10" s="66" t="s">
        <v>193</v>
      </c>
      <c r="V10" s="614" t="e">
        <f>VLOOKUP(J14,BilMoG10,16)/100</f>
        <v>#N/A</v>
      </c>
      <c r="W10" s="614" t="e">
        <f>VLOOKUP(F6,BilMoG10,16)/100</f>
        <v>#N/A</v>
      </c>
      <c r="X10" s="66" t="s">
        <v>1678</v>
      </c>
      <c r="Y10" s="66">
        <f>IF(J4="m",1,IF(J4="w",2,3))</f>
        <v>1</v>
      </c>
      <c r="Z10" s="66" t="s">
        <v>217</v>
      </c>
    </row>
    <row r="11" spans="1:36" s="128" customFormat="1" ht="16.350000000000001" customHeight="1">
      <c r="A11" s="1475">
        <f t="shared" si="0"/>
        <v>11</v>
      </c>
      <c r="B11" s="3288" t="s">
        <v>1702</v>
      </c>
      <c r="C11" s="3274"/>
      <c r="D11" s="3274"/>
      <c r="E11" s="3274"/>
      <c r="F11" s="3274"/>
      <c r="G11" s="3274"/>
      <c r="H11" s="3274"/>
      <c r="I11" s="3275"/>
      <c r="J11" s="3289"/>
      <c r="K11" s="3290"/>
      <c r="L11" s="3290"/>
      <c r="M11" s="3291"/>
      <c r="N11" s="971"/>
      <c r="O11" s="3279" t="s">
        <v>256</v>
      </c>
      <c r="P11" s="3280"/>
      <c r="Q11" s="1675" t="str">
        <f>IFERROR(ROUND(VLOOKUP(ROUND(IF(Q6&lt;Q9,Q9,Q6),0),CHOOSE(Y11,Lebenserwartung_M_V2,Lebenserwartung_F_V2,Lebenserwartung_N_V2),YEAR(Q5)+IF(MONTH(Q5)&gt;6,1,0)-1900+2),2),"")</f>
        <v/>
      </c>
      <c r="R11" s="1475">
        <f t="shared" si="1"/>
        <v>11</v>
      </c>
      <c r="U11" s="66" t="s">
        <v>192</v>
      </c>
      <c r="V11" s="614" t="e">
        <f>VLOOKUP(J14,BilmoGZins,16)/100</f>
        <v>#N/A</v>
      </c>
      <c r="W11" s="614" t="e">
        <f>VLOOKUP(F6,BilmoGZins,16)/100</f>
        <v>#N/A</v>
      </c>
      <c r="X11" s="66" t="s">
        <v>1679</v>
      </c>
      <c r="Y11" s="66">
        <f>IF(P4="m",1,IF(P4="w",2,3))</f>
        <v>3</v>
      </c>
      <c r="Z11" s="66" t="s">
        <v>263</v>
      </c>
    </row>
    <row r="12" spans="1:36" s="128" customFormat="1" ht="16.350000000000001" customHeight="1">
      <c r="A12" s="1475">
        <f t="shared" si="0"/>
        <v>12</v>
      </c>
      <c r="B12" s="3273" t="s">
        <v>258</v>
      </c>
      <c r="C12" s="3274"/>
      <c r="D12" s="3274"/>
      <c r="E12" s="3274"/>
      <c r="F12" s="3274"/>
      <c r="G12" s="3274"/>
      <c r="H12" s="3274"/>
      <c r="I12" s="3275"/>
      <c r="J12" s="3276"/>
      <c r="K12" s="3277"/>
      <c r="L12" s="3277"/>
      <c r="M12" s="3278"/>
      <c r="N12" s="971"/>
      <c r="O12" s="3279" t="s">
        <v>1668</v>
      </c>
      <c r="P12" s="3280"/>
      <c r="Q12" s="1677" t="str">
        <f ca="1">IFERROR(-FV(IF(Abf_VollDyn&gt;0,Abf_VollDyn,Abf_AwDyn),Q10,,Q7),"")</f>
        <v/>
      </c>
      <c r="R12" s="1475">
        <f t="shared" si="1"/>
        <v>12</v>
      </c>
      <c r="S12" s="1730"/>
      <c r="U12" s="66"/>
      <c r="V12" s="614"/>
      <c r="W12" s="66"/>
      <c r="X12" s="66"/>
      <c r="Y12" s="66"/>
      <c r="Z12" s="66" t="s">
        <v>384</v>
      </c>
    </row>
    <row r="13" spans="1:36" s="128" customFormat="1" ht="16.350000000000001" customHeight="1" thickBot="1">
      <c r="A13" s="1475">
        <f t="shared" si="0"/>
        <v>13</v>
      </c>
      <c r="B13" s="3281" t="s">
        <v>1703</v>
      </c>
      <c r="C13" s="3119"/>
      <c r="D13" s="3119"/>
      <c r="E13" s="3119"/>
      <c r="F13" s="3119"/>
      <c r="G13" s="3119"/>
      <c r="H13" s="3119"/>
      <c r="I13" s="3282"/>
      <c r="J13" s="3283"/>
      <c r="K13" s="3284"/>
      <c r="L13" s="3284"/>
      <c r="M13" s="3285"/>
      <c r="N13" s="971"/>
      <c r="O13" s="3286" t="str">
        <f ca="1">IFERROR("Barwert der Zielversorgung "&amp;IF(Q13&gt;Q8,TEXT(Q13/Q8-1,"0,00%")&amp;" &gt; ",IF(Q13&lt;Q8,TEXT(ABS(Q13/Q8-1),"0,00%")&amp;" &lt; ",""))&amp;"als Abfindungsbetrag","")</f>
        <v>Barwert der Zielversorgung als Abfindungsbetrag</v>
      </c>
      <c r="P13" s="3287"/>
      <c r="Q13" s="1678" t="str">
        <f ca="1">IFERROR(ROUND(AE39,0),"")</f>
        <v/>
      </c>
      <c r="R13" s="1475">
        <f t="shared" si="1"/>
        <v>13</v>
      </c>
      <c r="U13" s="66" t="s">
        <v>1682</v>
      </c>
      <c r="V13" s="1131" t="e">
        <f ca="1">+Q8/J30*M30</f>
        <v>#VALUE!</v>
      </c>
      <c r="W13" s="66"/>
      <c r="X13" s="66"/>
      <c r="Y13" s="66"/>
      <c r="Z13" s="66"/>
    </row>
    <row r="14" spans="1:36" s="128" customFormat="1" ht="29.25" customHeight="1" thickTop="1" thickBot="1">
      <c r="A14" s="1475">
        <f t="shared" si="0"/>
        <v>14</v>
      </c>
      <c r="B14" s="3341" t="str">
        <f>"Datum der Abfindungsberechnung eingeben: "&amp;"(Daten bis "&amp;TEXT(Enddatum,"TT.MM.JJJJ")&amp;" verfügbar)"</f>
        <v>Datum der Abfindungsberechnung eingeben: (Daten bis 28.02.2026 verfügbar)</v>
      </c>
      <c r="C14" s="3342"/>
      <c r="D14" s="3342"/>
      <c r="E14" s="3342"/>
      <c r="F14" s="3342"/>
      <c r="G14" s="3342"/>
      <c r="H14" s="3342"/>
      <c r="I14" s="3343"/>
      <c r="J14" s="3335"/>
      <c r="K14" s="3336"/>
      <c r="L14" s="3336"/>
      <c r="M14" s="3337"/>
      <c r="N14" s="971"/>
      <c r="O14" s="3333" t="str">
        <f>IFERROR("∑ der über "&amp;TEXT(V39,"0,00")&amp;" Jahre erwartbaren Renten der ausglber. Person in Zielversorgung:","")</f>
        <v/>
      </c>
      <c r="P14" s="3334"/>
      <c r="Q14" s="1737" t="str">
        <f ca="1">IFERROR(+AF39,"")</f>
        <v/>
      </c>
      <c r="R14" s="1475">
        <f t="shared" si="1"/>
        <v>14</v>
      </c>
      <c r="U14" s="66" t="s">
        <v>1715</v>
      </c>
      <c r="V14" s="614">
        <f>_xlfn.IFNA(_xlfn.IFNA(VLOOKUP(F6,BilMoG10,16)/100,VLOOKUP(F6,BilmoGZins,16)/100),6%)</f>
        <v>0.06</v>
      </c>
      <c r="W14" s="66"/>
      <c r="X14" s="66"/>
      <c r="Y14" s="66"/>
      <c r="Z14" s="66"/>
    </row>
    <row r="15" spans="1:36" s="128" customFormat="1" ht="32.1" customHeight="1" thickTop="1" thickBot="1">
      <c r="A15" s="1475">
        <f t="shared" si="0"/>
        <v>15</v>
      </c>
      <c r="B15" s="3268" t="str">
        <f>IFERROR("ReZins zum Abfindungszeitpunkt ("&amp;TEXT(J14,"TT.MM.JJJJ")&amp;") eingeben:"&amp;CHAR(10)&amp;"BilMoG-10: "&amp;TEXT(V10,"0,00%")&amp;" / BilMoG-7: "&amp;TEXT(V11,"0,00%")&amp;" / "&amp;AA15&amp;"10-Jahres-Inflation: "&amp;TEXT(Z21,"0,00%"),"Geben Sie den zur Berechnung gewünschten Rechnungszins ein:")</f>
        <v>Geben Sie den zur Berechnung gewünschten Rechnungszins ein:</v>
      </c>
      <c r="C15" s="3269"/>
      <c r="D15" s="3269"/>
      <c r="E15" s="3269"/>
      <c r="F15" s="3269"/>
      <c r="G15" s="3269"/>
      <c r="H15" s="3269"/>
      <c r="I15" s="3269"/>
      <c r="J15" s="3270"/>
      <c r="K15" s="3271"/>
      <c r="L15" s="3271"/>
      <c r="M15" s="3272"/>
      <c r="N15" s="969"/>
      <c r="O15" s="3265" t="s">
        <v>1789</v>
      </c>
      <c r="P15" s="3266"/>
      <c r="Q15" s="3267"/>
      <c r="R15" s="1475">
        <f t="shared" si="1"/>
        <v>15</v>
      </c>
      <c r="U15" s="128" t="s">
        <v>1861</v>
      </c>
      <c r="V15" s="1734" t="str">
        <f>IFERROR(IF(J14="","",ROUND(YEARFRAC(I5,J14,0),2)),"")</f>
        <v/>
      </c>
      <c r="AA15" s="128" t="s">
        <v>827</v>
      </c>
      <c r="AH15" s="1767" t="s">
        <v>1798</v>
      </c>
      <c r="AI15" s="969"/>
      <c r="AJ15" s="969"/>
    </row>
    <row r="16" spans="1:36" s="128" customFormat="1" ht="32.1" customHeight="1" thickTop="1">
      <c r="A16" s="1475">
        <f t="shared" si="0"/>
        <v>16</v>
      </c>
      <c r="B16" s="3429" t="str">
        <f>"ehezeitl. Ausgleichswert unter Beachtung der Dynamik errechnet "&amp;CHAR(10)&amp;" Alternative Eingabe:"</f>
        <v>ehezeitl. Ausgleichswert unter Beachtung der Dynamik errechnet 
 Alternative Eingabe:</v>
      </c>
      <c r="C16" s="3430"/>
      <c r="D16" s="3430"/>
      <c r="E16" s="3430"/>
      <c r="F16" s="3430"/>
      <c r="G16" s="3430"/>
      <c r="H16" s="3431"/>
      <c r="I16" s="1781"/>
      <c r="J16" s="3432" t="str">
        <f ca="1">IFERROR(IF(I16&gt;0,I16,AA22),"")</f>
        <v/>
      </c>
      <c r="K16" s="3433"/>
      <c r="L16" s="3433"/>
      <c r="M16" s="3434"/>
      <c r="N16" s="1660"/>
      <c r="O16" s="3458" t="s">
        <v>1784</v>
      </c>
      <c r="P16" s="3405"/>
      <c r="Q16" s="3459"/>
      <c r="R16" s="1475">
        <f t="shared" si="1"/>
        <v>16</v>
      </c>
      <c r="T16" s="797"/>
      <c r="U16" s="1657"/>
      <c r="V16" s="1657" t="s">
        <v>1714</v>
      </c>
      <c r="W16" s="1657" t="s">
        <v>1716</v>
      </c>
      <c r="X16" s="1657" t="s">
        <v>62</v>
      </c>
      <c r="Y16" s="1657" t="s">
        <v>21</v>
      </c>
      <c r="Z16" s="797"/>
      <c r="AA16" s="797"/>
      <c r="AB16" s="797"/>
      <c r="AC16" s="797"/>
      <c r="AD16" s="797"/>
      <c r="AE16" s="797"/>
      <c r="AH16" s="3404" t="s">
        <v>1796</v>
      </c>
      <c r="AI16" s="3404"/>
      <c r="AJ16" s="3404"/>
    </row>
    <row r="17" spans="1:36" s="128" customFormat="1" ht="16.350000000000001" customHeight="1">
      <c r="A17" s="1475">
        <f t="shared" si="0"/>
        <v>17</v>
      </c>
      <c r="B17" s="3435" t="s">
        <v>1688</v>
      </c>
      <c r="C17" s="3436"/>
      <c r="D17" s="3437"/>
      <c r="E17" s="3438" t="s">
        <v>1862</v>
      </c>
      <c r="F17" s="3437"/>
      <c r="G17" s="397"/>
      <c r="H17" s="1681" t="s">
        <v>1863</v>
      </c>
      <c r="I17" s="1124"/>
      <c r="J17" s="3419">
        <f>IF(AND(G17&gt;0,I17&gt;0),"entw. E oder %!",IFERROR(IF(I17&gt;0,-J16*I17,-G17),""))</f>
        <v>0</v>
      </c>
      <c r="K17" s="3420"/>
      <c r="L17" s="3420"/>
      <c r="M17" s="3421"/>
      <c r="N17" s="971"/>
      <c r="O17" s="3458"/>
      <c r="P17" s="3405"/>
      <c r="Q17" s="3459"/>
      <c r="R17" s="1475">
        <f t="shared" si="1"/>
        <v>17</v>
      </c>
      <c r="T17" s="1626">
        <v>45260</v>
      </c>
      <c r="U17" s="66" t="s">
        <v>1713</v>
      </c>
      <c r="V17" s="1131" t="e">
        <f ca="1">-FV(V14,YEARFRAC(F6,T17,0),,L26)</f>
        <v>#VALUE!</v>
      </c>
      <c r="W17" s="1770" t="e">
        <f>VLOOKUP(F6,Umrechnungsfaktoren_BeitraginEP,2)</f>
        <v>#N/A</v>
      </c>
      <c r="X17" s="1771" t="e">
        <f ca="1">+V17*W17</f>
        <v>#VALUE!</v>
      </c>
      <c r="Y17" s="1131" t="e">
        <f ca="1">X17*M30</f>
        <v>#VALUE!</v>
      </c>
      <c r="AH17" s="3404"/>
      <c r="AI17" s="3404"/>
      <c r="AJ17" s="3404"/>
    </row>
    <row r="18" spans="1:36" s="128" customFormat="1" ht="16.350000000000001" customHeight="1">
      <c r="A18" s="1475">
        <f t="shared" si="0"/>
        <v>18</v>
      </c>
      <c r="B18" s="3354" t="str">
        <f>"./. Steuern pauschal in %: "&amp;TEXT(I18,"0,00%")</f>
        <v>./. Steuern pauschal in %: 0,00%</v>
      </c>
      <c r="C18" s="2486"/>
      <c r="D18" s="2486"/>
      <c r="E18" s="2486"/>
      <c r="F18" s="2486"/>
      <c r="G18" s="2486"/>
      <c r="H18" s="2486"/>
      <c r="I18" s="1124"/>
      <c r="J18" s="3419" t="str">
        <f ca="1">IFERROR(-J16*I18,"")</f>
        <v/>
      </c>
      <c r="K18" s="3420"/>
      <c r="L18" s="3420"/>
      <c r="M18" s="3421"/>
      <c r="N18" s="971"/>
      <c r="O18" s="3458"/>
      <c r="P18" s="3405"/>
      <c r="Q18" s="3459"/>
      <c r="R18" s="1475">
        <f t="shared" si="1"/>
        <v>18</v>
      </c>
      <c r="U18" s="66"/>
      <c r="V18" s="66"/>
      <c r="W18" s="66"/>
      <c r="X18" s="66"/>
      <c r="Y18" s="66"/>
      <c r="AA18" s="3412" t="s">
        <v>1657</v>
      </c>
      <c r="AB18" s="3412" t="s">
        <v>1799</v>
      </c>
      <c r="AH18" s="3404"/>
      <c r="AI18" s="3404"/>
      <c r="AJ18" s="3404"/>
    </row>
    <row r="19" spans="1:36" s="128" customFormat="1" ht="16.350000000000001" customHeight="1" thickBot="1">
      <c r="A19" s="1475">
        <f t="shared" si="0"/>
        <v>19</v>
      </c>
      <c r="B19" s="3453" t="s">
        <v>1775</v>
      </c>
      <c r="C19" s="3454"/>
      <c r="D19" s="3454"/>
      <c r="E19" s="3454"/>
      <c r="F19" s="3454"/>
      <c r="G19" s="3454"/>
      <c r="H19" s="3455"/>
      <c r="I19" s="1736"/>
      <c r="J19" s="3408" t="str">
        <f ca="1">IFERROR(IF(I19&gt;0,I19,+J16+J18+J17),"")</f>
        <v/>
      </c>
      <c r="K19" s="3409"/>
      <c r="L19" s="3409"/>
      <c r="M19" s="3410"/>
      <c r="N19" s="971"/>
      <c r="O19" s="3458"/>
      <c r="P19" s="3405"/>
      <c r="Q19" s="3459"/>
      <c r="R19" s="1475">
        <f t="shared" si="1"/>
        <v>19</v>
      </c>
      <c r="U19" s="66"/>
      <c r="V19" s="66" t="s">
        <v>618</v>
      </c>
      <c r="W19" s="66" t="s">
        <v>1677</v>
      </c>
      <c r="X19" s="66" t="s">
        <v>1653</v>
      </c>
      <c r="Y19" s="66" t="s">
        <v>1654</v>
      </c>
      <c r="Z19" s="66" t="s">
        <v>1655</v>
      </c>
      <c r="AA19" s="3439"/>
      <c r="AB19" s="3439"/>
      <c r="AC19" s="66"/>
      <c r="AH19" s="3405" t="s">
        <v>1795</v>
      </c>
      <c r="AI19" s="3405"/>
      <c r="AJ19" s="3405"/>
    </row>
    <row r="20" spans="1:36" s="128" customFormat="1" ht="15.75" customHeight="1" thickTop="1">
      <c r="A20" s="1475">
        <f t="shared" si="0"/>
        <v>20</v>
      </c>
      <c r="B20" s="3447" t="s">
        <v>1776</v>
      </c>
      <c r="C20" s="3448"/>
      <c r="D20" s="3448"/>
      <c r="E20" s="3448"/>
      <c r="F20" s="3448"/>
      <c r="G20" s="3448"/>
      <c r="H20" s="3448"/>
      <c r="I20" s="3449"/>
      <c r="J20" s="3236" t="str">
        <f>"Barwertberechnung zum "&amp;TEXT(J14,"TT.MM.JJJJ")</f>
        <v>Barwertberechnung zum 00.01.1900</v>
      </c>
      <c r="K20" s="3237"/>
      <c r="L20" s="3237"/>
      <c r="M20" s="3238"/>
      <c r="N20" s="971"/>
      <c r="O20" s="3242" t="s">
        <v>1928</v>
      </c>
      <c r="P20" s="3243"/>
      <c r="Q20" s="3244"/>
      <c r="R20" s="1475">
        <f t="shared" si="1"/>
        <v>20</v>
      </c>
      <c r="U20" s="66"/>
      <c r="V20" s="66"/>
      <c r="W20" s="66"/>
      <c r="X20" s="66"/>
      <c r="Y20" s="66"/>
      <c r="Z20" s="66"/>
      <c r="AA20" s="66"/>
      <c r="AB20" s="66"/>
      <c r="AC20" s="66"/>
      <c r="AH20" s="3405"/>
      <c r="AI20" s="3405"/>
      <c r="AJ20" s="3405"/>
    </row>
    <row r="21" spans="1:36" s="128" customFormat="1" ht="15.75" customHeight="1">
      <c r="A21" s="1475">
        <f t="shared" si="0"/>
        <v>21</v>
      </c>
      <c r="B21" s="3450"/>
      <c r="C21" s="3451"/>
      <c r="D21" s="3451"/>
      <c r="E21" s="3451"/>
      <c r="F21" s="3451"/>
      <c r="G21" s="3451"/>
      <c r="H21" s="3451"/>
      <c r="I21" s="3452"/>
      <c r="J21" s="3239"/>
      <c r="K21" s="3240"/>
      <c r="L21" s="3240"/>
      <c r="M21" s="3241"/>
      <c r="N21" s="971"/>
      <c r="O21" s="3242"/>
      <c r="P21" s="3243"/>
      <c r="Q21" s="3244"/>
      <c r="R21" s="1475">
        <f t="shared" si="1"/>
        <v>21</v>
      </c>
      <c r="U21" s="66" t="s">
        <v>1667</v>
      </c>
      <c r="V21" s="1772" t="e">
        <f>IF(J9="",VLOOKUP(YEAR(I5),Renteneintrittstabelle,2)/12+65,J9)</f>
        <v>#VALUE!</v>
      </c>
      <c r="W21" s="66" t="e">
        <f>VLOOKUP(J14,VPI,2)</f>
        <v>#N/A</v>
      </c>
      <c r="X21" s="773">
        <f>DATE(YEAR(J14)-10,MONTH(J14),DAY(J14))</f>
        <v>690310</v>
      </c>
      <c r="Y21" s="66">
        <f>VLOOKUP(X21,VPI,2)</f>
        <v>0</v>
      </c>
      <c r="Z21" s="614" t="e">
        <f>_xlfn.RRI(10,Y21,W21)</f>
        <v>#N/A</v>
      </c>
      <c r="AA21" s="1773" t="e">
        <f>ROUND(IF(V15&lt;I9,0,ABS(I9-V15)),2)</f>
        <v>#VALUE!</v>
      </c>
      <c r="AB21" s="1773">
        <f>ROUND(IF(AND(V15&gt;M6,I9&gt;M6),V15-M6,0),2)</f>
        <v>0</v>
      </c>
      <c r="AC21" s="66"/>
      <c r="AH21" s="3405"/>
      <c r="AI21" s="3405"/>
      <c r="AJ21" s="3405"/>
    </row>
    <row r="22" spans="1:36" s="128" customFormat="1" ht="16.350000000000001" hidden="1" customHeight="1">
      <c r="A22" s="1475">
        <f t="shared" si="0"/>
        <v>22</v>
      </c>
      <c r="B22" s="1735" t="s">
        <v>1647</v>
      </c>
      <c r="C22" s="3280" t="s">
        <v>1717</v>
      </c>
      <c r="D22" s="3280"/>
      <c r="E22" s="1685" t="s">
        <v>1649</v>
      </c>
      <c r="F22" s="1643">
        <v>14</v>
      </c>
      <c r="G22" s="3280" t="s">
        <v>1648</v>
      </c>
      <c r="H22" s="3280"/>
      <c r="I22" s="362" t="s">
        <v>14</v>
      </c>
      <c r="J22" s="3417"/>
      <c r="K22" s="3418"/>
      <c r="L22" s="1855" t="s">
        <v>1663</v>
      </c>
      <c r="M22" s="1856" t="str">
        <f ca="1">IFERROR(+V26,"")</f>
        <v/>
      </c>
      <c r="N22" s="971"/>
      <c r="O22" s="3242"/>
      <c r="P22" s="3243"/>
      <c r="Q22" s="3244"/>
      <c r="R22" s="1475">
        <f t="shared" si="1"/>
        <v>22</v>
      </c>
      <c r="U22" s="1106" t="s">
        <v>1666</v>
      </c>
      <c r="V22" s="1774" t="e">
        <f>IF(P9&gt;0,P9,65+VLOOKUP(YEAR(Q5),Renteneintrittstabelle,2)/12)</f>
        <v>#VALUE!</v>
      </c>
      <c r="W22" s="1106"/>
      <c r="X22" s="1775"/>
      <c r="Y22" s="1106"/>
      <c r="Z22" s="1609"/>
      <c r="AA22" s="1106" t="e">
        <f ca="1">ROUND(AB22*(1+J13)^Abfindung_L_Zeit,2)</f>
        <v>#VALUE!</v>
      </c>
      <c r="AB22" s="1776">
        <f ca="1">ROUND(I7*(1+J12)^Abfindung_A_Zeit,2)</f>
        <v>0</v>
      </c>
      <c r="AC22" s="1106"/>
      <c r="AD22" s="140"/>
      <c r="AE22" s="140"/>
    </row>
    <row r="23" spans="1:36" s="128" customFormat="1" ht="16.350000000000001" hidden="1" customHeight="1">
      <c r="A23" s="1475">
        <f t="shared" si="0"/>
        <v>23</v>
      </c>
      <c r="B23" s="1735" t="s">
        <v>1669</v>
      </c>
      <c r="C23" s="3280" t="s">
        <v>1651</v>
      </c>
      <c r="D23" s="3280"/>
      <c r="E23" s="1685" t="s">
        <v>1649</v>
      </c>
      <c r="F23" s="1643">
        <v>21</v>
      </c>
      <c r="G23" s="3280" t="s">
        <v>1648</v>
      </c>
      <c r="H23" s="3280"/>
      <c r="I23" s="362" t="s">
        <v>15</v>
      </c>
      <c r="J23" s="3417"/>
      <c r="K23" s="3418"/>
      <c r="L23" s="1855" t="s">
        <v>1664</v>
      </c>
      <c r="M23" s="1856" t="str">
        <f ca="1">IFERROR(+V28,"")</f>
        <v/>
      </c>
      <c r="N23" s="1485"/>
      <c r="O23" s="3242"/>
      <c r="P23" s="3243"/>
      <c r="Q23" s="3244"/>
      <c r="R23" s="1475">
        <f t="shared" si="1"/>
        <v>23</v>
      </c>
      <c r="U23" s="66" t="s">
        <v>1676</v>
      </c>
      <c r="V23" s="1773" t="e">
        <f>65+VLOOKUP(YEAR(I5),Renteneintrittstabelle,2)/12</f>
        <v>#VALUE!</v>
      </c>
      <c r="W23" s="66"/>
      <c r="X23" s="66"/>
      <c r="Y23" s="66"/>
      <c r="Z23" s="66"/>
      <c r="AA23" s="66"/>
      <c r="AB23" s="66"/>
      <c r="AC23" s="66"/>
    </row>
    <row r="24" spans="1:36" s="128" customFormat="1" ht="16.350000000000001" hidden="1" customHeight="1">
      <c r="A24" s="1475">
        <f t="shared" si="0"/>
        <v>24</v>
      </c>
      <c r="B24" s="1735" t="s">
        <v>1647</v>
      </c>
      <c r="C24" s="3280" t="s">
        <v>1652</v>
      </c>
      <c r="D24" s="3280"/>
      <c r="E24" s="1685" t="s">
        <v>1649</v>
      </c>
      <c r="F24" s="1643">
        <v>29</v>
      </c>
      <c r="G24" s="3280" t="s">
        <v>1648</v>
      </c>
      <c r="H24" s="3280"/>
      <c r="I24" s="362" t="s">
        <v>1650</v>
      </c>
      <c r="J24" s="3417"/>
      <c r="K24" s="3418"/>
      <c r="L24" s="1855" t="s">
        <v>1665</v>
      </c>
      <c r="M24" s="1856" t="str">
        <f ca="1">IFERROR(+V29,"")</f>
        <v/>
      </c>
      <c r="N24" s="971"/>
      <c r="O24" s="3242"/>
      <c r="P24" s="3243"/>
      <c r="Q24" s="3244"/>
      <c r="R24" s="1475">
        <f t="shared" si="1"/>
        <v>24</v>
      </c>
      <c r="U24" s="3413" t="s">
        <v>1681</v>
      </c>
      <c r="V24" s="3414"/>
      <c r="X24" s="3440" t="s">
        <v>1726</v>
      </c>
      <c r="Y24" s="3440"/>
    </row>
    <row r="25" spans="1:36" s="128" customFormat="1" ht="21.75" customHeight="1" thickBot="1">
      <c r="A25" s="1475">
        <f t="shared" si="0"/>
        <v>25</v>
      </c>
      <c r="B25" s="3460" t="s">
        <v>1642</v>
      </c>
      <c r="C25" s="3461"/>
      <c r="D25" s="3461"/>
      <c r="E25" s="3461"/>
      <c r="F25" s="3461"/>
      <c r="G25" s="3461"/>
      <c r="H25" s="3461"/>
      <c r="I25" s="3461"/>
      <c r="J25" s="3398">
        <f>14.986</f>
        <v>14.986000000000001</v>
      </c>
      <c r="K25" s="3399"/>
      <c r="L25" s="1857" t="s">
        <v>1659</v>
      </c>
      <c r="M25" s="1858">
        <f ca="1">IFERROR(ROUND(SUM(M22:M24),3),"")</f>
        <v>0</v>
      </c>
      <c r="N25" s="971"/>
      <c r="O25" s="3245"/>
      <c r="P25" s="3246"/>
      <c r="Q25" s="3247"/>
      <c r="R25" s="1475">
        <f t="shared" si="1"/>
        <v>25</v>
      </c>
      <c r="V25" s="128" t="s">
        <v>1684</v>
      </c>
      <c r="W25" s="140" t="s">
        <v>318</v>
      </c>
      <c r="X25" s="66" t="s">
        <v>171</v>
      </c>
      <c r="Y25" s="66" t="s">
        <v>1727</v>
      </c>
      <c r="Z25" s="140"/>
      <c r="AA25" s="140"/>
      <c r="AB25" s="140"/>
      <c r="AC25" s="140"/>
      <c r="AD25" s="140"/>
      <c r="AE25" s="140"/>
    </row>
    <row r="26" spans="1:36" s="128" customFormat="1" ht="26.1" customHeight="1" thickTop="1" thickBot="1">
      <c r="A26" s="1475">
        <f t="shared" si="0"/>
        <v>26</v>
      </c>
      <c r="B26" s="3444" t="str">
        <f ca="1">"Abfindungsbetrag (BW):"&amp;IF(J26&lt;&gt;"","(1) "&amp;TEXT(J19,"#.##0,00")&amp;" x 12 x "&amp;TEXT(J25,"0,000"),"")&amp;"   "&amp;IF(L26&gt;0,"(2) "&amp;TEXT(J19,"#.##0,00")&amp;" x 12 x "&amp;TEXT(M25,"0,000"),"")&amp;": "</f>
        <v xml:space="preserve">Abfindungsbetrag (BW):   (2)  x 12 x 0,000: </v>
      </c>
      <c r="C26" s="3445"/>
      <c r="D26" s="3445"/>
      <c r="E26" s="3445"/>
      <c r="F26" s="3445"/>
      <c r="G26" s="3445"/>
      <c r="H26" s="3445"/>
      <c r="I26" s="3446"/>
      <c r="J26" s="3415" t="str">
        <f ca="1">IFERROR(ROUND(+J25*J19*12,0),"")</f>
        <v/>
      </c>
      <c r="K26" s="3416"/>
      <c r="L26" s="3422" t="str">
        <f ca="1">IFERROR(ROUND(SUM(V26:V29)*J19*12,0),"")</f>
        <v/>
      </c>
      <c r="M26" s="3423"/>
      <c r="N26" s="1486"/>
      <c r="O26" s="3369" t="s">
        <v>1783</v>
      </c>
      <c r="P26" s="3370"/>
      <c r="Q26" s="3371"/>
      <c r="R26" s="1475">
        <f t="shared" si="1"/>
        <v>26</v>
      </c>
      <c r="U26" s="66" t="s">
        <v>1656</v>
      </c>
      <c r="V26" s="1777" t="e">
        <f ca="1">ROUND(Y36/(J19*12)*AD36,3)</f>
        <v>#VALUE!</v>
      </c>
      <c r="W26" s="140"/>
      <c r="X26" s="1106" t="str">
        <f ca="1">IF(J28&gt;0,J28,J26)</f>
        <v/>
      </c>
      <c r="Y26" s="1106" t="str">
        <f ca="1">IF(L28&gt;0,L28,L26)</f>
        <v/>
      </c>
      <c r="Z26" s="140"/>
      <c r="AA26" s="140"/>
      <c r="AB26" s="3411" t="e">
        <f ca="1">-PV(J15-2.6%,V37,L36*12)</f>
        <v>#VALUE!</v>
      </c>
      <c r="AC26" s="3412"/>
      <c r="AD26" s="140"/>
      <c r="AE26" s="140"/>
    </row>
    <row r="27" spans="1:36" s="128" customFormat="1" ht="16.350000000000001" customHeight="1" thickTop="1" thickBot="1">
      <c r="A27" s="1475">
        <f t="shared" si="0"/>
        <v>27</v>
      </c>
      <c r="B27" s="3255" t="str">
        <f ca="1">IFERROR("∑ erwartbarer Renten  in Quellversrg. über "&amp;TEXT(V36,"0,00")&amp;"Jahre:"&amp;U4&amp;" "&amp;TEXT(ROUND(V31,0),"#.##0")&amp;" oder pro Monat:"&amp;TEXT(S27/V36/12,"#.##0,00 €"),"")</f>
        <v/>
      </c>
      <c r="C27" s="3256"/>
      <c r="D27" s="3256"/>
      <c r="E27" s="3256"/>
      <c r="F27" s="3256"/>
      <c r="G27" s="3256"/>
      <c r="H27" s="3256"/>
      <c r="I27" s="3256"/>
      <c r="J27" s="3256"/>
      <c r="K27" s="3256"/>
      <c r="L27" s="3256"/>
      <c r="M27" s="3257"/>
      <c r="N27" s="1486"/>
      <c r="O27" s="3372"/>
      <c r="P27" s="3373"/>
      <c r="Q27" s="3374"/>
      <c r="R27" s="1475">
        <f t="shared" si="1"/>
        <v>27</v>
      </c>
      <c r="S27" s="3424" t="str">
        <f ca="1">IFERROR(ROUND(V31,0),"")</f>
        <v/>
      </c>
      <c r="T27" s="3425"/>
      <c r="U27" s="66"/>
      <c r="V27" s="1777"/>
      <c r="W27" s="140"/>
      <c r="X27" s="140"/>
      <c r="Y27" s="140"/>
      <c r="Z27" s="140"/>
      <c r="AA27" s="140"/>
      <c r="AB27" s="1778"/>
      <c r="AC27" s="140"/>
      <c r="AD27" s="140"/>
      <c r="AE27" s="140"/>
    </row>
    <row r="28" spans="1:36" s="128" customFormat="1" ht="21" customHeight="1" thickTop="1" thickBot="1">
      <c r="A28" s="1475">
        <f t="shared" si="0"/>
        <v>28</v>
      </c>
      <c r="B28" s="3400" t="s">
        <v>1778</v>
      </c>
      <c r="C28" s="3401"/>
      <c r="D28" s="3401"/>
      <c r="E28" s="3263"/>
      <c r="F28" s="3263"/>
      <c r="G28" s="3121" t="s">
        <v>1797</v>
      </c>
      <c r="H28" s="3121"/>
      <c r="I28" s="3264"/>
      <c r="J28" s="3426"/>
      <c r="K28" s="3427"/>
      <c r="L28" s="3427"/>
      <c r="M28" s="3428"/>
      <c r="N28" s="971"/>
      <c r="O28" s="3258" t="str">
        <f>"ehezeitl. Barwert der Versorgung im EzE bei Rechnungszins "&amp;TEXT(V14,"0,00%")&amp;":"</f>
        <v>ehezeitl. Barwert der Versorgung im EzE bei Rechnungszins 6,00%:</v>
      </c>
      <c r="P28" s="3259"/>
      <c r="Q28" s="1859" t="str">
        <f ca="1">IFERROR(AE43,"")</f>
        <v/>
      </c>
      <c r="R28" s="1475">
        <f t="shared" si="1"/>
        <v>28</v>
      </c>
      <c r="U28" s="66" t="s">
        <v>280</v>
      </c>
      <c r="V28" s="1777" t="e">
        <f ca="1">ROUND(V26*Z36,3)</f>
        <v>#VALUE!</v>
      </c>
      <c r="X28" s="128" t="s">
        <v>1722</v>
      </c>
    </row>
    <row r="29" spans="1:36" s="128" customFormat="1" ht="16.350000000000001" customHeight="1">
      <c r="A29" s="1475">
        <f t="shared" si="0"/>
        <v>29</v>
      </c>
      <c r="B29" s="1644" t="s">
        <v>1721</v>
      </c>
      <c r="C29" s="1664">
        <v>2.5999999999999999E-2</v>
      </c>
      <c r="D29" s="3443" t="s">
        <v>1691</v>
      </c>
      <c r="E29" s="3443"/>
      <c r="F29" s="3443"/>
      <c r="G29" s="1664">
        <v>2.5999999999999999E-2</v>
      </c>
      <c r="H29" s="3443" t="s">
        <v>1695</v>
      </c>
      <c r="I29" s="3443"/>
      <c r="J29" s="3402"/>
      <c r="K29" s="3402"/>
      <c r="L29" s="3402"/>
      <c r="M29" s="3403"/>
      <c r="N29" s="971"/>
      <c r="O29" s="3258" t="str">
        <f>"mit "&amp;TEXT(V14,"0,00%")&amp;" aufgezinster ehezeitlicher Barwert zum "&amp;TEXT(J14,"TT.MM.JJJ")&amp;": "</f>
        <v xml:space="preserve">mit 6,00% aufgezinster ehezeitlicher Barwert zum 00.01.1900: </v>
      </c>
      <c r="P29" s="3259"/>
      <c r="Q29" s="1859" t="str">
        <f ca="1">IFERROR(ROUND(+AI43/AH43,0),"")</f>
        <v/>
      </c>
      <c r="R29" s="1475">
        <f t="shared" si="1"/>
        <v>29</v>
      </c>
      <c r="U29" s="1424" t="s">
        <v>279</v>
      </c>
      <c r="V29" s="1779" t="e">
        <f ca="1">ROUND(V26*AA36,3)</f>
        <v>#VALUE!</v>
      </c>
      <c r="X29" s="1730"/>
      <c r="AC29" s="128">
        <f>20.36*12*500</f>
        <v>122160</v>
      </c>
    </row>
    <row r="30" spans="1:36" s="128" customFormat="1" ht="16.350000000000001" customHeight="1">
      <c r="A30" s="1475">
        <f t="shared" si="0"/>
        <v>30</v>
      </c>
      <c r="B30" s="1654" t="s">
        <v>1692</v>
      </c>
      <c r="C30" s="1645">
        <v>1</v>
      </c>
      <c r="D30" s="3456" t="s">
        <v>1694</v>
      </c>
      <c r="E30" s="3456"/>
      <c r="F30" s="3456"/>
      <c r="G30" s="1646">
        <v>0.55000000000000004</v>
      </c>
      <c r="H30" s="2944" t="s">
        <v>1693</v>
      </c>
      <c r="I30" s="2944"/>
      <c r="J30" s="3457" t="str">
        <f>IFERROR(VLOOKUP(J14,UmrechnungEP_Kap,2),"")</f>
        <v/>
      </c>
      <c r="K30" s="3457"/>
      <c r="L30" s="1655" t="s">
        <v>1718</v>
      </c>
      <c r="M30" s="1656" t="str">
        <f>IFERROR(VLOOKUP(J14,aktRW,2),"")</f>
        <v/>
      </c>
      <c r="N30" s="971"/>
      <c r="O30" s="3258" t="s">
        <v>1779</v>
      </c>
      <c r="P30" s="3259"/>
      <c r="Q30" s="1860" t="str">
        <f>IFERROR(AH43,"")</f>
        <v/>
      </c>
      <c r="R30" s="1475">
        <f t="shared" si="1"/>
        <v>30</v>
      </c>
      <c r="U30" s="66"/>
      <c r="V30" s="66" t="s">
        <v>1723</v>
      </c>
      <c r="W30" s="66"/>
      <c r="X30" s="66" t="s">
        <v>1724</v>
      </c>
      <c r="Y30" s="66"/>
      <c r="Z30" s="128" t="s">
        <v>1725</v>
      </c>
      <c r="AA30" s="748" t="b">
        <v>0</v>
      </c>
    </row>
    <row r="31" spans="1:36" s="128" customFormat="1" ht="16.350000000000001" customHeight="1">
      <c r="A31" s="1475">
        <f t="shared" si="0"/>
        <v>31</v>
      </c>
      <c r="B31" s="3303" t="str">
        <f ca="1">"Versorgungserwerb in DRVin Entgeltpunkten(EP): "&amp;IF(X26&lt;&gt;"","(1) "&amp;TEXT(X26,"#.##0,00 €"),"")&amp;IF(AND(X26&gt;0,Y26&gt;0)," bzw. ","")&amp;IF(Y26&lt;&gt;0,"(2) "&amp;TEXT(Y26,"#.00,00"),"")&amp;" / "&amp;TEXT(J30,"#.##0,00 €")</f>
        <v xml:space="preserve">Versorgungserwerb in DRVin Entgeltpunkten(EP):  bzw. (2)  / </v>
      </c>
      <c r="C31" s="2486"/>
      <c r="D31" s="2486"/>
      <c r="E31" s="2486"/>
      <c r="F31" s="2486"/>
      <c r="G31" s="2486"/>
      <c r="H31" s="2486"/>
      <c r="I31" s="2486"/>
      <c r="J31" s="3251" t="str">
        <f ca="1">IFERROR(ROUND(IF(J28&gt;0,J28,J26)/J30,4),"")</f>
        <v/>
      </c>
      <c r="K31" s="3252"/>
      <c r="L31" s="3253" t="str">
        <f ca="1">IFERROR(ROUND(IF(L28&gt;0,L28,L26)/J30,4),"")</f>
        <v/>
      </c>
      <c r="M31" s="3254"/>
      <c r="N31" s="971"/>
      <c r="O31" s="3406" t="s">
        <v>1781</v>
      </c>
      <c r="P31" s="1861" t="s">
        <v>1782</v>
      </c>
      <c r="Q31" s="1862" t="s">
        <v>1780</v>
      </c>
      <c r="R31" s="1475">
        <f t="shared" si="1"/>
        <v>31</v>
      </c>
      <c r="U31" s="66" t="s">
        <v>1707</v>
      </c>
      <c r="V31" s="1131" t="e">
        <f ca="1">IF(J13=0,J16*V36*(1+J12)^W36*12,(((1+J13)^V36-1)/J13)*J16*(1+J12)^W36*12)/IF(Abf_HRIR_Ja,(1+Z36+AA36),1)</f>
        <v>#VALUE!</v>
      </c>
      <c r="W31" s="1668" t="e">
        <f ca="1">+V32/V31-1</f>
        <v>#VALUE!</v>
      </c>
      <c r="X31" s="1131" t="e">
        <f ca="1">+V31</f>
        <v>#VALUE!</v>
      </c>
      <c r="Y31" s="1668" t="e">
        <f ca="1">+X32/X31-1</f>
        <v>#VALUE!</v>
      </c>
    </row>
    <row r="32" spans="1:36" s="128" customFormat="1" ht="16.350000000000001" customHeight="1">
      <c r="A32" s="1475">
        <f t="shared" si="0"/>
        <v>32</v>
      </c>
      <c r="B32" s="3387" t="str">
        <f ca="1">IF(ZVAusglBerAlternativ=2,"Geben Sie den in der ZV erwartbaren Versorgungserwerb zum "&amp;TEXT(J14,"TT.MM.JJJJ")&amp;" ein:","Rentenerwerb im Berechnungszeitpunkt: "&amp;IF(J31&lt;&gt;"","(1) "&amp;TEXT(J31,"0,0000")&amp;"EP x "&amp;TEXT(M30,"0,00 €"),"")&amp;IF(L31&gt;0," // (2) "&amp;TEXT(L31,"0,0000")&amp;"EP x "&amp;TEXT(M30,"0,00 €"),""))</f>
        <v xml:space="preserve">Rentenerwerb im Berechnungszeitpunkt:  // (2) EP x </v>
      </c>
      <c r="C32" s="3388"/>
      <c r="D32" s="3388"/>
      <c r="E32" s="3388"/>
      <c r="F32" s="3388"/>
      <c r="G32" s="3388"/>
      <c r="H32" s="3389"/>
      <c r="I32" s="1642"/>
      <c r="J32" s="3385" t="str">
        <f ca="1">IFERROR(ROUND(IF(I32&gt;0,I32,+M30*J31),2),"")</f>
        <v/>
      </c>
      <c r="K32" s="3386"/>
      <c r="L32" s="3375" t="str">
        <f ca="1">IFERROR(ROUND(IF(I32&gt;0,I32,IF(L28&gt;0,L28/J30*M30,M30*L31)),2),"")</f>
        <v/>
      </c>
      <c r="M32" s="3376"/>
      <c r="N32" s="971"/>
      <c r="O32" s="3407"/>
      <c r="P32" s="1863"/>
      <c r="Q32" s="1864" t="str">
        <f ca="1">IFERROR(IF(P32&gt;0,P32,AI43),"")</f>
        <v/>
      </c>
      <c r="R32" s="1475">
        <f t="shared" si="1"/>
        <v>32</v>
      </c>
      <c r="U32" s="66" t="s">
        <v>1719</v>
      </c>
      <c r="V32" s="1131" t="e">
        <f ca="1">(((1+IF(Abf_VollDyn&gt;0,Abf_VollDyn,G29))^V37-1)/IF(Abf_VollDyn&gt;0,Abf_VollDyn,G29)*L36*(1+IF(Abf_VollDyn&gt;0,Abf_VollDyn,Abf_AwDyn))^W37*12)/IF(Abf_HRIR_Ja,(1+Z37+AA37),1)</f>
        <v>#VALUE!</v>
      </c>
      <c r="W32" s="1668"/>
      <c r="X32" s="1131" t="e">
        <f ca="1">(((1+IF(Abf_VollDyn&gt;0,Abf_VollDyn,G29))^V37-1)/IF(Abf_VollDyn&gt;0,Abf_VollDyn,G29))*J36*(1+IF(Abf_VollDyn&gt;0,Abf_VollDyn,Abf_AwDyn))^W37*12</f>
        <v>#VALUE!</v>
      </c>
      <c r="Y32" s="1668"/>
    </row>
    <row r="33" spans="1:38" s="128" customFormat="1" ht="16.350000000000001" customHeight="1">
      <c r="A33" s="1475">
        <f t="shared" si="0"/>
        <v>33</v>
      </c>
      <c r="B33" s="3303" t="s">
        <v>1728</v>
      </c>
      <c r="C33" s="2486"/>
      <c r="D33" s="2486"/>
      <c r="E33" s="2486"/>
      <c r="F33" s="2486"/>
      <c r="G33" s="2486"/>
      <c r="H33" s="2486"/>
      <c r="I33" s="1647"/>
      <c r="J33" s="3394" t="str">
        <f>IFERROR(ROUND(IF(I33&gt;0,I33,V23),2),"")</f>
        <v/>
      </c>
      <c r="K33" s="3395"/>
      <c r="L33" s="3383" t="str">
        <f>+J33</f>
        <v/>
      </c>
      <c r="M33" s="3384"/>
      <c r="N33" s="971"/>
      <c r="O33" s="3258" t="str">
        <f ca="1">"Versorgungserwerb aus Abfindung: "&amp;TEXT(Q32,"#.##0,00")&amp;" / "&amp;TEXT(J30,"#.##0,0000")&amp;":"</f>
        <v>Versorgungserwerb aus Abfindung:  / :</v>
      </c>
      <c r="P33" s="3259"/>
      <c r="Q33" s="1865" t="str">
        <f ca="1">IFERROR(AJ43,"")</f>
        <v/>
      </c>
      <c r="R33" s="1475">
        <f t="shared" si="1"/>
        <v>33</v>
      </c>
      <c r="U33" s="128" t="s">
        <v>1706</v>
      </c>
      <c r="V33" s="748">
        <v>1</v>
      </c>
      <c r="W33" s="1482"/>
      <c r="Z33" s="1626"/>
    </row>
    <row r="34" spans="1:38" s="128" customFormat="1" ht="16.350000000000001" customHeight="1">
      <c r="A34" s="1475">
        <f t="shared" si="0"/>
        <v>34</v>
      </c>
      <c r="B34" s="3303" t="str">
        <f>"./. Kranken- und Pflegeversicherung in %: "&amp;TEXT(I34,"0,00%")</f>
        <v>./. Kranken- und Pflegeversicherung in %: 0,00%</v>
      </c>
      <c r="C34" s="2486"/>
      <c r="D34" s="2486"/>
      <c r="E34" s="2486"/>
      <c r="F34" s="2486"/>
      <c r="G34" s="2486"/>
      <c r="H34" s="2486"/>
      <c r="I34" s="427"/>
      <c r="J34" s="3385" t="str">
        <f ca="1">IFERROR(-I34*J32,"")</f>
        <v/>
      </c>
      <c r="K34" s="3386"/>
      <c r="L34" s="3375" t="str">
        <f ca="1">IFERROR(-I34*L32,"")</f>
        <v/>
      </c>
      <c r="M34" s="3376"/>
      <c r="N34" s="971"/>
      <c r="O34" s="3258" t="str">
        <f ca="1">"Rentenerwerb aus Abfindung in Zielversorgung: "&amp;TEXT(Q33,"0,0000")&amp;" x "&amp;TEXT(M30,"0,00")&amp;":"</f>
        <v>Rentenerwerb aus Abfindung in Zielversorgung:  x :</v>
      </c>
      <c r="P34" s="3259"/>
      <c r="Q34" s="1866" t="str">
        <f ca="1">IFERROR(AK43,"")</f>
        <v/>
      </c>
      <c r="R34" s="1475">
        <f t="shared" si="1"/>
        <v>34</v>
      </c>
    </row>
    <row r="35" spans="1:38" s="128" customFormat="1" ht="16.350000000000001" customHeight="1">
      <c r="A35" s="1475">
        <f t="shared" si="0"/>
        <v>35</v>
      </c>
      <c r="B35" s="3303" t="str">
        <f>"./. Steuern pauschal in %: "&amp;TEXT(I35,"0,00%")</f>
        <v>./. Steuern pauschal in %: 0,00%</v>
      </c>
      <c r="C35" s="2486"/>
      <c r="D35" s="2486"/>
      <c r="E35" s="2486"/>
      <c r="F35" s="2486"/>
      <c r="G35" s="2486"/>
      <c r="H35" s="2486"/>
      <c r="I35" s="1124"/>
      <c r="J35" s="3385" t="str">
        <f ca="1">IFERROR(-I35*J32,"")</f>
        <v/>
      </c>
      <c r="K35" s="3386"/>
      <c r="L35" s="3375" t="str">
        <f ca="1">IFERROR(-I35*L32,"")</f>
        <v/>
      </c>
      <c r="M35" s="3376"/>
      <c r="N35" s="971"/>
      <c r="O35" s="3390" t="str">
        <f>"Barwert des Rentenerwerbs in Zielversorgung bei ReZins "&amp;TEXT(J15,"0,00%")&amp;":"</f>
        <v>Barwert des Rentenerwerbs in Zielversorgung bei ReZins 0,00%:</v>
      </c>
      <c r="P35" s="3391"/>
      <c r="Q35" s="1867" t="str">
        <f ca="1">IFERROR(L41*Q34/L32,"")</f>
        <v/>
      </c>
      <c r="R35" s="1475">
        <f t="shared" si="1"/>
        <v>35</v>
      </c>
      <c r="U35" s="66"/>
      <c r="V35" s="1106" t="s">
        <v>256</v>
      </c>
      <c r="W35" s="1106" t="s">
        <v>1643</v>
      </c>
      <c r="X35" s="1106" t="s">
        <v>1464</v>
      </c>
      <c r="Y35" s="1106" t="s">
        <v>1764</v>
      </c>
      <c r="Z35" s="1106" t="s">
        <v>280</v>
      </c>
      <c r="AA35" s="1106" t="s">
        <v>279</v>
      </c>
      <c r="AB35" s="1106" t="s">
        <v>1644</v>
      </c>
      <c r="AC35" s="1106" t="s">
        <v>1645</v>
      </c>
      <c r="AD35" s="1106" t="s">
        <v>1361</v>
      </c>
      <c r="AE35" s="1106" t="s">
        <v>1646</v>
      </c>
    </row>
    <row r="36" spans="1:38" s="128" customFormat="1" ht="16.350000000000001" customHeight="1" thickBot="1">
      <c r="A36" s="1475">
        <f t="shared" si="0"/>
        <v>36</v>
      </c>
      <c r="B36" s="3441" t="s">
        <v>1641</v>
      </c>
      <c r="C36" s="3442"/>
      <c r="D36" s="3442"/>
      <c r="E36" s="3442"/>
      <c r="F36" s="3442"/>
      <c r="G36" s="3442"/>
      <c r="H36" s="3442"/>
      <c r="I36" s="3442"/>
      <c r="J36" s="3385" t="str">
        <f ca="1">IFERROR(ROUND(+J35+J34+J32,2),"")</f>
        <v/>
      </c>
      <c r="K36" s="3386"/>
      <c r="L36" s="3375" t="str">
        <f ca="1">IFERROR(ROUND(L35+L34+L32,2),"")</f>
        <v/>
      </c>
      <c r="M36" s="3376"/>
      <c r="N36" s="971"/>
      <c r="O36" s="3392" t="str">
        <f>IF(P32&gt;0,"","Zur Erreichung der Barwertgleiche mit der Quellversorgung zu zahlende Abfindung:")</f>
        <v>Zur Erreichung der Barwertgleiche mit der Quellversorgung zu zahlende Abfindung:</v>
      </c>
      <c r="P36" s="3393"/>
      <c r="Q36" s="1868" t="str">
        <f ca="1">IFERROR(IF(P32&gt;0,"",Q32*L26/Q35),"")</f>
        <v/>
      </c>
      <c r="R36" s="1475">
        <f t="shared" si="1"/>
        <v>36</v>
      </c>
      <c r="U36" s="66" t="s">
        <v>1685</v>
      </c>
      <c r="V36" s="1773" t="e">
        <f>ROUND(VLOOKUP(ROUND(IF(V15&gt;V21,V15,V21),0),CHOOSE(Y10,Lebenserwartung_M_V2,Lebenserwartung_F_V2,Lebenserwartung_N_V2),YEAR(I5)+IF(MONTH(I5)&gt;6,1,0)-1900+2),2)</f>
        <v>#VALUE!</v>
      </c>
      <c r="W36" s="1773" t="e">
        <f>ROUND(IF(V21&gt;V15,V21-V15,0),2)</f>
        <v>#VALUE!</v>
      </c>
      <c r="X36" s="1773" t="e">
        <f ca="1">-PV(J15-J13,V36,J19*(1+J12)^W36*12)</f>
        <v>#VALUE!</v>
      </c>
      <c r="Y36" s="1773" t="e">
        <f ca="1">-PV(J15,W36,,X36)</f>
        <v>#VALUE!</v>
      </c>
      <c r="Z36" s="614" t="e">
        <f>ROUND(VLOOKUP(V15,CHOOSE(68-IF(V21&lt;60,60,IF(V21&gt;67,67,V21)),HRIR67,HRIR66,HRIR,HRIR64,HRIR63,HRIR62,HRIR61,HRIR60),CHOOSE(Y10,7,16,25)),4)*J10</f>
        <v>#VALUE!</v>
      </c>
      <c r="AA36" s="1680" t="e">
        <f>ROUND(VLOOKUP(V15,CHOOSE(68-IF(V21&lt;60,60,IF(V21&gt;67,67,V21)),HRIR67,HRIR66,HRIR,HRIR64,HRIR63,HRIR62,HRIR61,HRIR60),CHOOSE(Y10,8,17,26)),4)*J11</f>
        <v>#VALUE!</v>
      </c>
      <c r="AB36" s="1773">
        <f>IFERROR(VLOOKUP(ROUND(V15,0),CHOOSE(Y10,G_Kohorte_M,G_Kohorte_F,G_Kohorte_N),YEAR(I5)+IF(MONTH(I5)&gt;6,1,0)-1900+2),0)</f>
        <v>0</v>
      </c>
      <c r="AC36" s="1773">
        <f>IFERROR(VLOOKUP(ROUND(V21,0),CHOOSE(Y10,G_Kohorte_M,G_Kohorte_F,G_Kohorte_N),YEAR(I5)+IF(MONTH(I5)&gt;6,1,0)-1900+2),0)</f>
        <v>0</v>
      </c>
      <c r="AD36" s="1679" t="e">
        <f>ROUND(IF(+AC36/AB36&gt;1,1,+AC36/AB36),3)</f>
        <v>#DIV/0!</v>
      </c>
      <c r="AE36" s="1773" t="e">
        <f ca="1">ROUND(+Y36*(1+AA36+Z36)*AD36,0)</f>
        <v>#VALUE!</v>
      </c>
    </row>
    <row r="37" spans="1:38" s="128" customFormat="1" ht="16.350000000000001" customHeight="1" thickTop="1">
      <c r="A37" s="1475">
        <f t="shared" si="0"/>
        <v>37</v>
      </c>
      <c r="B37" s="3303" t="s">
        <v>1661</v>
      </c>
      <c r="C37" s="2486"/>
      <c r="D37" s="2486"/>
      <c r="E37" s="2486"/>
      <c r="F37" s="2486"/>
      <c r="G37" s="2486"/>
      <c r="H37" s="2486"/>
      <c r="I37" s="2486"/>
      <c r="J37" s="3301"/>
      <c r="K37" s="3302"/>
      <c r="L37" s="3377" t="str">
        <f ca="1">IFERROR(IF(ABS(V46)&gt;10%,"Abweichung d. Ertrags in der DRV &gt;10%. Anpassung des AusglW möglich (BvL 5/18)",IF(AND(ABS(V46)&gt;5%,ABS(V46)&lt;=10%),"Abweichung d. Rentenertrags in DRV kritisch!","")),"")</f>
        <v/>
      </c>
      <c r="M37" s="3378"/>
      <c r="N37" s="971"/>
      <c r="O37" s="3396" t="str">
        <f>IFERROR(Summenzeichen&amp;" der erwartbaren  Rentenzahlungen über "&amp;TEXT(V37,"0,00")&amp;" Jahre: ","")</f>
        <v/>
      </c>
      <c r="P37" s="3397"/>
      <c r="Q37" s="1869" t="str">
        <f ca="1">IFERROR(ROUND((((1+IF(Abf_VollDyn&gt;0,Abf_VollDyn,G29))^V37-1)/IF(Abf_VollDyn&gt;0,Abf_VollDyn,G29))*Q34*(1+IF(Abf_VollDyn&gt;0,Abf_VollDyn,Abf_AwDyn))^W37*12/IF(Abf_HRIR_Ja,(1+Z37+AA37),1),0),"")</f>
        <v/>
      </c>
      <c r="R37" s="1475">
        <f t="shared" si="1"/>
        <v>37</v>
      </c>
      <c r="U37" s="66" t="s">
        <v>1675</v>
      </c>
      <c r="V37" s="1773" t="e">
        <f>VLOOKUP(IF(J33&gt;V15,J33,V15),CHOOSE(Y10,Lebenserwartung_M_V2,Lebenserwartung_F_V2,Lebenserwartung_N_V2),YEAR(I5)+IF(MONTH(I5)&gt;6,1,0)-1900+2)</f>
        <v>#VALUE!</v>
      </c>
      <c r="W37" s="1773">
        <f>ROUND(IF(J33&gt;V15,J33-V15,0),2)</f>
        <v>0</v>
      </c>
      <c r="X37" s="1773" t="e">
        <f ca="1">+-PV(J15-IF(J29&gt;0,J29,G29),V37,L36*(1+IF(J29&gt;0,J29,C29))^W37*12)</f>
        <v>#VALUE!</v>
      </c>
      <c r="Y37" s="1773" t="e">
        <f ca="1">-PV(J15,W37,,X37)</f>
        <v>#VALUE!</v>
      </c>
      <c r="Z37" s="614" t="e">
        <f>ROUND(VLOOKUP(V15,CHOOSE(IF(68-L33&lt;1,1,68-IF(L33&lt;60,60,L33)),HRIR67,HRIR66,HRIR,HRIR64,HRIR63,HRIR62,HRIR61,HRIR60),CHOOSE(Y10,7,16,25))*C30,4)</f>
        <v>#VALUE!</v>
      </c>
      <c r="AA37" s="1680">
        <f>IFERROR(ROUND(VLOOKUP(V15,CHOOSE(IF(68-V21&lt;1,1,68-L33),HRIR67,HRIR66,HRIR,HRIR64,HRIR63,HRIR62,HRIR61,HRIR60),CHOOSE(Y10,8,17,26)),4)*G30,0)</f>
        <v>0</v>
      </c>
      <c r="AB37" s="1773">
        <f>+AB36</f>
        <v>0</v>
      </c>
      <c r="AC37" s="1773">
        <f>IFERROR(VLOOKUP(ROUND(V23,0),CHOOSE(Y10,G_Kohorte_M,G_Kohorte_F,G_Kohorte_N),YEAR(I5)+IF(MONTH(I5)&gt;6,1,0)-1900+2),0)</f>
        <v>0</v>
      </c>
      <c r="AD37" s="1777" t="e">
        <f>ROUND(IF(+AC37/AB37&gt;1,1,+AC37/AB37),3)</f>
        <v>#DIV/0!</v>
      </c>
      <c r="AE37" s="1773" t="e">
        <f ca="1">ROUND(Y37*(1+AA37+Z37)*AD37,0)</f>
        <v>#VALUE!</v>
      </c>
      <c r="AF37" s="1731"/>
      <c r="AH37" s="128" t="e">
        <f>20383*1.06^AF43</f>
        <v>#VALUE!</v>
      </c>
    </row>
    <row r="38" spans="1:38" s="128" customFormat="1" ht="16.350000000000001" customHeight="1" thickBot="1">
      <c r="A38" s="1475">
        <f t="shared" si="0"/>
        <v>38</v>
      </c>
      <c r="B38" s="3303" t="s">
        <v>1660</v>
      </c>
      <c r="C38" s="2486"/>
      <c r="D38" s="2486"/>
      <c r="E38" s="2486"/>
      <c r="F38" s="2486"/>
      <c r="G38" s="2486"/>
      <c r="H38" s="2486"/>
      <c r="I38" s="2486"/>
      <c r="J38" s="3301"/>
      <c r="K38" s="3302"/>
      <c r="L38" s="3379"/>
      <c r="M38" s="3380"/>
      <c r="N38" s="971"/>
      <c r="O38" s="3325" t="s">
        <v>1790</v>
      </c>
      <c r="P38" s="3326"/>
      <c r="Q38" s="1870" t="str">
        <f ca="1">+L44</f>
        <v/>
      </c>
      <c r="R38" s="1475">
        <f t="shared" si="1"/>
        <v>38</v>
      </c>
      <c r="U38" s="1131" t="s">
        <v>1705</v>
      </c>
      <c r="V38" s="1773"/>
      <c r="W38" s="1773" t="e">
        <f ca="1">-FV(J15-IF(J29&gt;0,J29,Abf_AwDyn),W37,,-PMT(J15-IF(J29&gt;0,J29,G29),V37,L26)/12)/AD37/(1+Z37+AA37)</f>
        <v>#VALUE!</v>
      </c>
      <c r="X38" s="1773" t="e">
        <f ca="1">+-PV(J15-IF(Abf_VollDyn&gt;0,Abf_VollDyn,G29),V37,L36*(1+IF(Abf_VollDyn&gt;0,Abf_VollDyn,C29))^W37*12)</f>
        <v>#VALUE!</v>
      </c>
      <c r="Y38" s="1773" t="e">
        <f ca="1">-PV(J15,W37,,X38)</f>
        <v>#VALUE!</v>
      </c>
      <c r="Z38" s="614" t="e">
        <f>+Z37</f>
        <v>#VALUE!</v>
      </c>
      <c r="AA38" s="1680">
        <f>+AA37</f>
        <v>0</v>
      </c>
      <c r="AB38" s="1773"/>
      <c r="AC38" s="1773"/>
      <c r="AD38" s="1777" t="e">
        <f>+AD37</f>
        <v>#DIV/0!</v>
      </c>
      <c r="AE38" s="1773" t="e">
        <f ca="1">ROUND(+Y38*(1+AA38+Z38)*AD38,0)</f>
        <v>#VALUE!</v>
      </c>
      <c r="AH38" s="128" t="e">
        <f>+AH37*AH43</f>
        <v>#VALUE!</v>
      </c>
    </row>
    <row r="39" spans="1:38" s="128" customFormat="1" ht="16.350000000000001" customHeight="1" thickTop="1">
      <c r="A39" s="1475">
        <f t="shared" si="0"/>
        <v>39</v>
      </c>
      <c r="B39" s="3303" t="s">
        <v>1662</v>
      </c>
      <c r="C39" s="2486"/>
      <c r="D39" s="2486"/>
      <c r="E39" s="2486"/>
      <c r="F39" s="2486"/>
      <c r="G39" s="2486"/>
      <c r="H39" s="2486"/>
      <c r="I39" s="2486"/>
      <c r="J39" s="3301"/>
      <c r="K39" s="3302"/>
      <c r="L39" s="3381"/>
      <c r="M39" s="3382"/>
      <c r="N39" s="971"/>
      <c r="O39" s="969"/>
      <c r="P39" s="969"/>
      <c r="Q39" s="969"/>
      <c r="R39" s="1475">
        <f t="shared" si="1"/>
        <v>39</v>
      </c>
      <c r="U39" s="1131" t="s">
        <v>1674</v>
      </c>
      <c r="V39" s="1773" t="e">
        <f>ROUND(VLOOKUP(ROUND(IF(Q6&gt;V22,Q6,V22),0),CHOOSE(Y11,Lebenserwartung_M_V2,Lebenserwartung_F_V2,Lebenserwartung_N_V2),YEAR(Q5)+IF(MONTH(Q5)&gt;6,1,0)-1900+2),2)</f>
        <v>#VALUE!</v>
      </c>
      <c r="W39" s="1773" t="e">
        <f>ROUND(IF(V22&gt;Q6,V22-Q6,0),2)</f>
        <v>#VALUE!</v>
      </c>
      <c r="X39" s="1773" t="e">
        <f ca="1">-PV(J15-IF(Abf_VollDyn=0,G29,Abf_VollDyn),Q11,Q12*12,)</f>
        <v>#VALUE!</v>
      </c>
      <c r="Y39" s="1773" t="e">
        <f ca="1">-PV(J15,W39,,X39)</f>
        <v>#VALUE!</v>
      </c>
      <c r="Z39" s="614" t="e">
        <f>ROUND(VLOOKUP(Q6,CHOOSE(IF(68-V22&lt;1,1,IF(68-V22&gt;8,8,68-V22)),HRIR67,HRIR66,HRIR,HRIR64,HRIR63,HRIR62,HRIR61,HRIR60),CHOOSE(Y11,7,16,25))*C30,4)</f>
        <v>#VALUE!</v>
      </c>
      <c r="AA39" s="1680" t="e">
        <f>ROUND(VLOOKUP(Q6,CHOOSE(IF(68-V22&lt;1,1,IF(68-V22&gt;8,8,68-V22)),HRIR67,HRIR66,HRIR,HRIR64,HRIR63,HRIR62,HRIR61,HRIR60),CHOOSE(Y11,8,17,26))*G30,4)</f>
        <v>#VALUE!</v>
      </c>
      <c r="AB39" s="1773">
        <f>IFERROR(VLOOKUP(ROUND(Q6,0),CHOOSE(Y11,G_Kohorte_M,G_Kohorte_F,G_Kohorte_N),YEAR(Q5)+IF(MONTH(Q5)&gt;6,1,0)-1900+2),0)</f>
        <v>0</v>
      </c>
      <c r="AC39" s="1773">
        <f>IFERROR(VLOOKUP(ROUND(V22,0),CHOOSE(Y11,G_Kohorte_M,G_Kohorte_F,G_Kohorte_N),YEAR(Q5)+IF(MONTH(Q5)&gt;6,1,0)-1900+2),0)</f>
        <v>0</v>
      </c>
      <c r="AD39" s="1773" t="e">
        <f>ROUND(IF(+AC39/AB39&gt;1,1,+AC39/AB39),3)</f>
        <v>#DIV/0!</v>
      </c>
      <c r="AE39" s="1773" t="e">
        <f ca="1">ROUND(Y39*(1+AA39+Z39)*AD39,0)</f>
        <v>#VALUE!</v>
      </c>
      <c r="AF39" s="1730" t="e">
        <f ca="1">(((1+IF(Abf_VollDyn&gt;0,Abf_VollDyn,G29))^V39-1)/IF(Abf_VollDyn&gt;0,Abf_VollDyn,G29))*Q7*(1+IF(Abf_VollDyn&gt;0,Abf_VollDyn,Abf_AwDyn))^W39*12</f>
        <v>#VALUE!</v>
      </c>
    </row>
    <row r="40" spans="1:38" s="128" customFormat="1" ht="16.350000000000001" customHeight="1" thickBot="1">
      <c r="A40" s="1475">
        <f t="shared" si="0"/>
        <v>40</v>
      </c>
      <c r="B40" s="3304" t="str">
        <f>+B25&amp;" bei Rechnungszins "&amp;TEXT(J15,"0,00%")</f>
        <v>∑ Barwertfaktoren bei Rechnungszins 0,00%</v>
      </c>
      <c r="C40" s="3305"/>
      <c r="D40" s="3305"/>
      <c r="E40" s="3305"/>
      <c r="F40" s="3305"/>
      <c r="G40" s="3305"/>
      <c r="H40" s="3305"/>
      <c r="I40" s="3305"/>
      <c r="J40" s="3306">
        <f>ROUND(IF(+J39+J37+J38&gt;0,+J39+J37+J38,0),3)</f>
        <v>0</v>
      </c>
      <c r="K40" s="3307"/>
      <c r="L40" s="3293" t="str">
        <f ca="1">IFERROR(ROUND(L41/(L32*12),3),"")</f>
        <v/>
      </c>
      <c r="M40" s="3294"/>
      <c r="N40" s="1512"/>
      <c r="O40" s="969"/>
      <c r="P40" s="969"/>
      <c r="Q40" s="969"/>
      <c r="R40" s="1475">
        <f t="shared" si="1"/>
        <v>40</v>
      </c>
    </row>
    <row r="41" spans="1:38" s="128" customFormat="1" ht="36" customHeight="1" thickTop="1" thickBot="1">
      <c r="A41" s="1475">
        <f t="shared" si="0"/>
        <v>41</v>
      </c>
      <c r="B41" s="3295" t="str">
        <f ca="1">"Versorgungsertrag (Barwert): "&amp;IF(J40&gt;0,"(1) "&amp;TEXT(J36,"#.##0,00")&amp;" x 12 x "&amp;TEXT(J40,"0,000")&amp;" ("&amp;U47&amp;")"&amp;CHAR(10),"")&amp;IF(L41&lt;&gt;"","(2) "&amp;TEXT(L36,"#.##0,00")&amp;" x 12 x "&amp;TEXT(L40,"0,000")&amp;" ("&amp;V47&amp;")","")</f>
        <v xml:space="preserve">Versorgungsertrag (Barwert): </v>
      </c>
      <c r="C41" s="3296"/>
      <c r="D41" s="3296"/>
      <c r="E41" s="3296"/>
      <c r="F41" s="3296"/>
      <c r="G41" s="3296"/>
      <c r="H41" s="3296"/>
      <c r="I41" s="3296"/>
      <c r="J41" s="3297" t="str">
        <f ca="1">IFERROR(+J40*J36*12,"")</f>
        <v/>
      </c>
      <c r="K41" s="3298"/>
      <c r="L41" s="3299" t="str">
        <f ca="1">IFERROR(ROUND(IF(ZVAusglBerAlternativ=1,AE37,AE38),0),"")</f>
        <v/>
      </c>
      <c r="M41" s="3300"/>
      <c r="N41" s="1615"/>
      <c r="O41" s="969"/>
      <c r="P41" s="969"/>
      <c r="Q41" s="969"/>
      <c r="R41" s="1658">
        <f t="shared" si="1"/>
        <v>41</v>
      </c>
      <c r="U41" s="139"/>
      <c r="V41" s="139"/>
      <c r="W41" s="139" t="s">
        <v>1765</v>
      </c>
      <c r="X41" s="139" t="s">
        <v>1464</v>
      </c>
      <c r="Y41" s="139" t="s">
        <v>1766</v>
      </c>
      <c r="Z41" s="139" t="s">
        <v>280</v>
      </c>
      <c r="AA41" s="139" t="s">
        <v>279</v>
      </c>
      <c r="AB41" s="139" t="s">
        <v>1767</v>
      </c>
      <c r="AC41" s="139" t="s">
        <v>1769</v>
      </c>
      <c r="AD41" s="139" t="s">
        <v>1770</v>
      </c>
      <c r="AE41" s="139" t="s">
        <v>1766</v>
      </c>
      <c r="AF41" s="139" t="s">
        <v>1768</v>
      </c>
      <c r="AG41" s="139" t="s">
        <v>1772</v>
      </c>
      <c r="AH41" s="139" t="s">
        <v>1770</v>
      </c>
      <c r="AI41" s="139" t="s">
        <v>1771</v>
      </c>
      <c r="AJ41" s="140" t="s">
        <v>1773</v>
      </c>
      <c r="AK41" s="140" t="s">
        <v>1774</v>
      </c>
      <c r="AL41" s="140"/>
    </row>
    <row r="42" spans="1:38" s="128" customFormat="1" ht="25.5" customHeight="1" thickTop="1" thickBot="1">
      <c r="A42" s="1475">
        <f t="shared" si="0"/>
        <v>42</v>
      </c>
      <c r="B42" s="3311"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312"/>
      <c r="D42" s="3312"/>
      <c r="E42" s="3312"/>
      <c r="F42" s="3312"/>
      <c r="G42" s="3312"/>
      <c r="H42" s="3312"/>
      <c r="I42" s="3312"/>
      <c r="J42" s="3308" t="str">
        <f ca="1">IFERROR(IF(J28&gt;0,"",IF(X26&gt;0,+X26*X26/J41,"")),"Eingaben prüfen!")</f>
        <v>Eingaben prüfen!</v>
      </c>
      <c r="K42" s="3308"/>
      <c r="L42" s="3309" t="str">
        <f ca="1">IFERROR(IF(L28&gt;0,"",IF(Y26&gt;0,Y26*Y26/L41,"")),"Eingaben Prüfen")</f>
        <v>Eingaben Prüfen</v>
      </c>
      <c r="M42" s="3310"/>
      <c r="N42" s="1615"/>
      <c r="O42" s="969"/>
      <c r="P42" s="969"/>
      <c r="Q42" s="969"/>
      <c r="R42" s="1658">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475">
        <f t="shared" si="0"/>
        <v>43</v>
      </c>
      <c r="B43" s="3318" t="str">
        <f>IFERROR("∑ der über "&amp;TEXT(V37,"0,00")&amp;" Jahre erwartbaren Rentenbezüge der ausglpfl. Person in Zielversorgung (siehe Z. 27): ","")</f>
        <v/>
      </c>
      <c r="C43" s="3319"/>
      <c r="D43" s="3319"/>
      <c r="E43" s="3319"/>
      <c r="F43" s="3319"/>
      <c r="G43" s="3319"/>
      <c r="H43" s="3319"/>
      <c r="I43" s="3319"/>
      <c r="J43" s="3320" t="str">
        <f ca="1">IFERROR(X32,"")</f>
        <v/>
      </c>
      <c r="K43" s="3320"/>
      <c r="L43" s="3321" t="str">
        <f ca="1">IFERROR(ROUND(V32,0),"")</f>
        <v/>
      </c>
      <c r="M43" s="3322"/>
      <c r="N43" s="971"/>
      <c r="O43" s="1738"/>
      <c r="P43" s="1738"/>
      <c r="Q43" s="1738"/>
      <c r="R43" s="1658">
        <f t="shared" si="1"/>
        <v>43</v>
      </c>
      <c r="U43" s="140" t="str">
        <f>"Aufzinsungsmethode: EzE ReZins: "&amp;TEXT(V14,"0,00%")</f>
        <v>Aufzinsungsmethode: EzE ReZins: 6,00%</v>
      </c>
      <c r="V43" s="1629" t="e">
        <f>ROUND(VLOOKUP(ROUND(IF(M6&gt;I9,M6,I9),0),CHOOSE(Y10,Lebenserwartung_M_V2,Lebenserwartung_F_V2,Lebenserwartung_N_V2),YEAR(I5)+IF(MONTH(I5)&gt;6,1,0)-1900+2),2)</f>
        <v>#VALUE!</v>
      </c>
      <c r="W43" s="128">
        <f>ROUND(IF(I9&gt;M6,I9-M6,0),2)</f>
        <v>0</v>
      </c>
      <c r="X43" s="1730" t="e">
        <f ca="1">-PV(V14-J13,V43,I7*12)</f>
        <v>#VALUE!</v>
      </c>
      <c r="Y43" s="1730" t="e">
        <f ca="1">-PV(V14-J12,W43,,X43)</f>
        <v>#VALUE!</v>
      </c>
      <c r="Z43" s="614" t="e">
        <f>ROUND(VLOOKUP(M6,CHOOSE(68-IF(V21&lt;60,60,IF(V21&gt;67,67,V21)),HRIR67,HRIR66,HRIR,HRIR64,HRIR63,HRIR62,HRIR61,HRIR60),CHOOSE(Y10,7,16,25)),4)*J10</f>
        <v>#VALUE!</v>
      </c>
      <c r="AA43" s="1389" t="e">
        <f>ROUND(VLOOKUP(M6,CHOOSE(68-IF(V21&lt;60,60,IF(V21&gt;67,67,V21)),HRIR67,HRIR66,HRIR,HRIR64,HRIR63,HRIR62,HRIR61,HRIR60),CHOOSE(Y10,8,17,26)),4)*J11</f>
        <v>#VALUE!</v>
      </c>
      <c r="AB43" s="1629">
        <f>IFERROR(VLOOKUP(ROUND(M6,0),CHOOSE(Y10,G_Kohorte_M,G_Kohorte_F,G_Kohorte_N),YEAR(I5)+IF(MONTH(I5)&gt;6,1,0)-1900+2),0)</f>
        <v>0</v>
      </c>
      <c r="AC43" s="1629">
        <f>+AC36</f>
        <v>0</v>
      </c>
      <c r="AD43" s="1679">
        <v>1</v>
      </c>
      <c r="AE43" s="1739" t="e">
        <f ca="1">ROUND(+Y43*(1+AA43+Z43)*AD43,0)</f>
        <v>#VALUE!</v>
      </c>
      <c r="AF43" s="1629" t="e">
        <f>IF(V15-M6&lt;0,0,V15-M6)</f>
        <v>#VALUE!</v>
      </c>
      <c r="AG43" s="1629">
        <f>+AB36</f>
        <v>0</v>
      </c>
      <c r="AH43" s="1731" t="e">
        <f>ROUND(AG43/AB43,3)</f>
        <v>#DIV/0!</v>
      </c>
      <c r="AI43" s="1730" t="e">
        <f ca="1">IF(P32&gt;0,P32,AE43*(1+V14)^AF43*AH43)</f>
        <v>#VALUE!</v>
      </c>
      <c r="AJ43" s="1732" t="e">
        <f ca="1">+AI43/J30</f>
        <v>#VALUE!</v>
      </c>
      <c r="AK43" s="1730" t="e">
        <f ca="1">+AJ43*M30</f>
        <v>#VALUE!</v>
      </c>
      <c r="AL43" s="1730"/>
    </row>
    <row r="44" spans="1:38" s="128" customFormat="1" ht="16.350000000000001" customHeight="1" thickBot="1">
      <c r="A44" s="1475">
        <f t="shared" si="0"/>
        <v>44</v>
      </c>
      <c r="B44" s="3313" t="s">
        <v>1787</v>
      </c>
      <c r="C44" s="3314"/>
      <c r="D44" s="3314"/>
      <c r="E44" s="3314"/>
      <c r="F44" s="3314"/>
      <c r="G44" s="3314"/>
      <c r="H44" s="3314"/>
      <c r="I44" s="3314"/>
      <c r="J44" s="3315" t="str">
        <f ca="1">IFERROR(IF(J28&gt;0,"",J26*S27/J43),"")</f>
        <v/>
      </c>
      <c r="K44" s="3317"/>
      <c r="L44" s="3315" t="str">
        <f ca="1">IFERROR(IF(L28&gt;0,"",+L26*S27/L43),"")</f>
        <v/>
      </c>
      <c r="M44" s="3316"/>
      <c r="N44" s="971"/>
      <c r="O44" s="3324" t="s">
        <v>1788</v>
      </c>
      <c r="P44" s="3324"/>
      <c r="Q44" s="3324"/>
      <c r="R44" s="1658">
        <f t="shared" si="1"/>
        <v>44</v>
      </c>
      <c r="U44" s="140"/>
      <c r="V44" s="1629"/>
      <c r="X44" s="1730"/>
      <c r="Y44" s="1730"/>
      <c r="Z44" s="1389"/>
      <c r="AA44" s="1389"/>
      <c r="AB44" s="1629"/>
      <c r="AC44" s="1629"/>
      <c r="AD44" s="1742"/>
      <c r="AE44" s="1743"/>
      <c r="AF44" s="1629"/>
      <c r="AG44" s="1629"/>
      <c r="AH44" s="1731"/>
      <c r="AI44" s="1730"/>
      <c r="AJ44" s="1732"/>
      <c r="AK44" s="1730"/>
      <c r="AL44" s="1730"/>
    </row>
    <row r="45" spans="1:38" s="128" customFormat="1" ht="15.75" thickTop="1">
      <c r="A45" s="1658"/>
      <c r="B45" s="3323" t="s">
        <v>1672</v>
      </c>
      <c r="C45" s="3323"/>
      <c r="D45" s="3323"/>
      <c r="E45" s="3323"/>
      <c r="F45" s="3323"/>
      <c r="G45" s="3323"/>
      <c r="H45" s="3323"/>
      <c r="I45" s="3323"/>
      <c r="J45" s="3323"/>
      <c r="K45" s="3323"/>
      <c r="L45" s="3323"/>
      <c r="M45" s="3323"/>
      <c r="N45" s="3323"/>
      <c r="O45" s="3323"/>
      <c r="P45" s="3323"/>
      <c r="Q45" s="3323"/>
      <c r="R45" s="1658"/>
      <c r="AD45" s="128" t="e">
        <f>ROUND(IF(+AC43/AB43&gt;1,1,+AC43/AB43),3)</f>
        <v>#DIV/0!</v>
      </c>
    </row>
    <row r="46" spans="1:38" ht="15">
      <c r="A46" s="1658"/>
      <c r="B46" s="3292" t="s">
        <v>1673</v>
      </c>
      <c r="C46" s="3292"/>
      <c r="D46" s="3292"/>
      <c r="E46" s="3292"/>
      <c r="F46" s="3292"/>
      <c r="G46" s="3292"/>
      <c r="H46" s="3292"/>
      <c r="I46" s="3292"/>
      <c r="J46" s="3292"/>
      <c r="K46" s="3292"/>
      <c r="L46" s="3292"/>
      <c r="M46" s="3292"/>
      <c r="N46" s="1661"/>
      <c r="O46" s="1662" t="s">
        <v>1671</v>
      </c>
      <c r="P46" s="1661"/>
      <c r="Q46" s="1661"/>
      <c r="R46" s="971"/>
      <c r="T46" s="71">
        <v>525</v>
      </c>
      <c r="U46" s="555" t="str">
        <f ca="1">IFERROR(ROUND(J41/J26-1,2),"")</f>
        <v/>
      </c>
      <c r="V46" s="1630" t="str">
        <f ca="1">IFERROR(ABS(ROUND(+L41/L26-1,2)),"")</f>
        <v/>
      </c>
    </row>
    <row r="47" spans="1:38">
      <c r="A47" s="1658"/>
      <c r="B47" s="1616"/>
      <c r="C47" s="1616"/>
      <c r="D47" s="1616"/>
      <c r="E47" s="1616"/>
      <c r="F47" s="1616"/>
      <c r="G47" s="1616"/>
      <c r="H47" s="1616"/>
      <c r="I47" s="1616"/>
      <c r="J47" s="1616"/>
      <c r="K47" s="1616"/>
      <c r="L47" s="1616"/>
      <c r="M47" s="1616"/>
      <c r="N47" s="1616"/>
      <c r="O47" s="1616"/>
      <c r="P47" s="1616"/>
      <c r="Q47" s="1616"/>
      <c r="R47" s="971"/>
      <c r="U47" s="1629" t="str">
        <f ca="1">+IF(J41&lt;J26,"-","+")&amp;TEXT(U46,"0%")</f>
        <v>+</v>
      </c>
      <c r="V47" s="1629" t="str">
        <f ca="1">+IF(L41&lt;L26,"-","+")&amp;TEXT(V46,"0%")</f>
        <v>+</v>
      </c>
    </row>
  </sheetData>
  <sheetProtection algorithmName="SHA-512" hashValue="cf2wWxon5kHWuBS5dBPVmFRJ/SizI7gB5ssvpi9xFWn8dgodNXcfYVLXarEaAuFY08tPmzomJ3J5SIWPCsiRJg==" saltValue="cNdqqY2HG36H7tRa0wbifQ==" spinCount="100000" sheet="1" selectLockedCells="1"/>
  <mergeCells count="135">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s>
  <conditionalFormatting sqref="C29">
    <cfRule type="expression" dxfId="198" priority="33">
      <formula>J29&gt;0</formula>
    </cfRule>
  </conditionalFormatting>
  <conditionalFormatting sqref="F6:G6">
    <cfRule type="expression" dxfId="197" priority="1">
      <formula>H6=""</formula>
    </cfRule>
  </conditionalFormatting>
  <conditionalFormatting sqref="G29">
    <cfRule type="expression" dxfId="196" priority="34">
      <formula>J29&gt;0</formula>
    </cfRule>
  </conditionalFormatting>
  <conditionalFormatting sqref="H30:M30 B31:M31">
    <cfRule type="expression" dxfId="195" priority="43">
      <formula>$V$33=2</formula>
    </cfRule>
  </conditionalFormatting>
  <conditionalFormatting sqref="I5">
    <cfRule type="expression" dxfId="194" priority="41">
      <formula>J4="m"</formula>
    </cfRule>
    <cfRule type="expression" dxfId="193" priority="40">
      <formula>J4="w"</formula>
    </cfRule>
    <cfRule type="expression" dxfId="192" priority="26">
      <formula>J4="d"</formula>
    </cfRule>
  </conditionalFormatting>
  <conditionalFormatting sqref="J5">
    <cfRule type="expression" dxfId="191" priority="39">
      <formula>I5=""</formula>
    </cfRule>
  </conditionalFormatting>
  <conditionalFormatting sqref="J7">
    <cfRule type="expression" dxfId="190" priority="36">
      <formula>J7=""</formula>
    </cfRule>
  </conditionalFormatting>
  <conditionalFormatting sqref="J14:J15">
    <cfRule type="expression" dxfId="189"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8" priority="35">
      <formula>J4=""</formula>
    </cfRule>
    <cfRule type="expression" dxfId="187" priority="23">
      <formula>$J$4:$M$4="d"</formula>
    </cfRule>
    <cfRule type="expression" dxfId="186" priority="24">
      <formula>$J$4:$M$4="w"</formula>
    </cfRule>
    <cfRule type="expression" dxfId="185" priority="25">
      <formula>$J$4:$M$4="m"</formula>
    </cfRule>
  </conditionalFormatting>
  <conditionalFormatting sqref="J29:M29">
    <cfRule type="expression" dxfId="184" priority="42">
      <formula>AND(C29+G29&gt;0,J29=0)</formula>
    </cfRule>
    <cfRule type="expression" dxfId="183"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2" priority="11">
      <formula>P4="w"</formula>
    </cfRule>
    <cfRule type="expression" dxfId="181" priority="10">
      <formula>P4="M"</formula>
    </cfRule>
    <cfRule type="expression" dxfId="180" priority="9">
      <formula>P4="d"</formula>
    </cfRule>
  </conditionalFormatting>
  <conditionalFormatting sqref="P7">
    <cfRule type="expression" dxfId="179" priority="15">
      <formula>P8&gt;0</formula>
    </cfRule>
    <cfRule type="expression" dxfId="178" priority="14">
      <formula>AND(P7&gt;0,P8&gt;0)</formula>
    </cfRule>
  </conditionalFormatting>
  <conditionalFormatting sqref="P8">
    <cfRule type="expression" dxfId="177" priority="17">
      <formula>P7&gt;0</formula>
    </cfRule>
    <cfRule type="expression" dxfId="176" priority="16">
      <formula>AND(P8&gt;0,P7&gt;0)</formula>
    </cfRule>
  </conditionalFormatting>
  <conditionalFormatting sqref="Q5">
    <cfRule type="expression" dxfId="175" priority="19">
      <formula>P4="m"</formula>
    </cfRule>
    <cfRule type="expression" dxfId="174" priority="18">
      <formula>P4="w"</formula>
    </cfRule>
    <cfRule type="expression" dxfId="173"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115" zoomScaleNormal="115" workbookViewId="0">
      <selection activeCell="H24" sqref="H24"/>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67"/>
      <c r="B1" s="967"/>
      <c r="C1" s="967"/>
      <c r="D1" s="967"/>
      <c r="E1" s="967"/>
      <c r="F1" s="967"/>
      <c r="G1" s="967"/>
      <c r="H1" s="967"/>
    </row>
    <row r="2" spans="1:16" ht="21.75" customHeight="1">
      <c r="A2" s="967"/>
      <c r="B2" s="3473" t="s">
        <v>1731</v>
      </c>
      <c r="C2" s="3474"/>
      <c r="D2" s="3474"/>
      <c r="E2" s="3474"/>
      <c r="F2" s="3474"/>
      <c r="G2" s="3475"/>
      <c r="H2" s="967"/>
    </row>
    <row r="3" spans="1:16" ht="21.75" customHeight="1" thickBot="1">
      <c r="A3" s="967"/>
      <c r="B3" s="3476" t="str">
        <f>IF(D8=0,"für gesetzlich KV- und PV-Versicherte Personen","für privatversicherte Personen")</f>
        <v>für gesetzlich KV- und PV-Versicherte Personen</v>
      </c>
      <c r="C3" s="3477"/>
      <c r="D3" s="3477"/>
      <c r="E3" s="3477"/>
      <c r="F3" s="3477"/>
      <c r="G3" s="3478"/>
      <c r="H3" s="967"/>
    </row>
    <row r="4" spans="1:16" ht="17.100000000000001" customHeight="1">
      <c r="A4" s="967"/>
      <c r="B4" s="3479" t="s">
        <v>1732</v>
      </c>
      <c r="C4" s="3480"/>
      <c r="D4" s="1687">
        <f ca="1">Heute</f>
        <v>46090</v>
      </c>
      <c r="E4" s="1688" t="s">
        <v>1733</v>
      </c>
      <c r="F4" s="1689"/>
      <c r="G4" s="3481" t="s">
        <v>1734</v>
      </c>
      <c r="H4" s="967"/>
    </row>
    <row r="5" spans="1:16" s="71" customFormat="1" ht="17.100000000000001" customHeight="1">
      <c r="A5" s="971"/>
      <c r="B5" s="3482" t="s">
        <v>1743</v>
      </c>
      <c r="C5" s="3483"/>
      <c r="D5" s="1690"/>
      <c r="E5" s="1682" t="str">
        <f>" Pro Monat: "&amp;TEXT(F4,"#.##0,00")&amp;" / 120 ="</f>
        <v xml:space="preserve"> Pro Monat: 0,00 / 120 =</v>
      </c>
      <c r="F5" s="1683">
        <f>+F4/120</f>
        <v>0</v>
      </c>
      <c r="G5" s="3481"/>
      <c r="H5" s="971"/>
    </row>
    <row r="6" spans="1:16" s="71" customFormat="1" ht="17.100000000000001" customHeight="1">
      <c r="A6" s="971"/>
      <c r="B6" s="3387" t="s">
        <v>1744</v>
      </c>
      <c r="C6" s="3389"/>
      <c r="D6" s="1647"/>
      <c r="E6" s="1681" t="s">
        <v>1735</v>
      </c>
      <c r="F6" s="1684">
        <f ca="1">IFERROR(VLOOKUP(D4,KVundPV,2),"")</f>
        <v>5512.5</v>
      </c>
      <c r="G6" s="3481"/>
      <c r="H6" s="971"/>
      <c r="O6" s="71" t="s">
        <v>1736</v>
      </c>
      <c r="P6" s="71">
        <f>IF(D6="m",1,IF(D6="w",2,3))</f>
        <v>3</v>
      </c>
    </row>
    <row r="7" spans="1:16" s="71" customFormat="1" ht="17.100000000000001" customHeight="1">
      <c r="A7" s="971"/>
      <c r="B7" s="3303" t="str">
        <f>IF(D8&gt;0,"Beitragssatz deaktiviert","Sozialabgabensatz in %: ")</f>
        <v xml:space="preserve">Sozialabgabensatz in %: </v>
      </c>
      <c r="C7" s="2486"/>
      <c r="D7" s="1691">
        <v>0.185</v>
      </c>
      <c r="E7" s="1692" t="str">
        <f>IF(D8&gt;0,"sonst. monatl. Einkommen:","sozverspfl. mon. Gesamteink.:")</f>
        <v>sozverspfl. mon. Gesamteink.:</v>
      </c>
      <c r="F7" s="1693"/>
      <c r="G7" s="3481"/>
      <c r="H7" s="971"/>
      <c r="P7" s="71" t="s">
        <v>217</v>
      </c>
    </row>
    <row r="8" spans="1:16" s="71" customFormat="1" ht="17.100000000000001" customHeight="1">
      <c r="A8" s="971"/>
      <c r="B8" s="3469" t="s">
        <v>1745</v>
      </c>
      <c r="C8" s="3437"/>
      <c r="D8" s="317"/>
      <c r="E8" s="1694" t="s">
        <v>1737</v>
      </c>
      <c r="F8" s="1683">
        <f>+D8*12</f>
        <v>0</v>
      </c>
      <c r="G8" s="3484" t="str">
        <f>Summenzeichen&amp;" der sonstigen monatl. betrieblichen AV  "&amp;P12</f>
        <v>∑ der sonstigen monatl. betrieblichen AV  ↓</v>
      </c>
      <c r="H8" s="971"/>
    </row>
    <row r="9" spans="1:16" s="71" customFormat="1" ht="17.100000000000001" customHeight="1">
      <c r="A9" s="971"/>
      <c r="B9" s="3303" t="str">
        <f>IF(D8&gt;0,"","monatl. Freibetrag nach § 226 II SGB V ("&amp;TEXT(B14,"####")&amp;"):")</f>
        <v>monatl. Freibetrag nach § 226 II SGB V (2018):</v>
      </c>
      <c r="C9" s="2486"/>
      <c r="D9" s="2486"/>
      <c r="E9" s="2486"/>
      <c r="F9" s="1684">
        <f>IFERROR(IF(D8&gt;0,"",VLOOKUP(B14,MonatlicheBezugsgroesse,2)/20),"")</f>
        <v>152.25</v>
      </c>
      <c r="G9" s="3485"/>
      <c r="H9" s="971"/>
      <c r="P9" s="71" t="s">
        <v>263</v>
      </c>
    </row>
    <row r="10" spans="1:16" s="71" customFormat="1" ht="17.100000000000001" customHeight="1" thickBot="1">
      <c r="A10" s="971"/>
      <c r="B10" s="3303" t="str">
        <f>IF(D8&gt;0,"","Anteil des sozversrechtl. Freibetrags auf "&amp;TEXT(F5,"#.##0,00")&amp;": "&amp;TEXT(F9,"#.##0,00")&amp;" x "&amp;TEXT(F5,"#.##,00")&amp;" / "&amp;IF(G10&gt;0,"("&amp;TEXT(F5,"#.##,00")&amp;" + "&amp;TEXT(G10,"#.##0,00")&amp;")",TEXT(F5,"#.##0,00")))</f>
        <v>Anteil des sozversrechtl. Freibetrags auf 0,00: 152,25 x ,00 / 0,00</v>
      </c>
      <c r="C10" s="2486"/>
      <c r="D10" s="2486"/>
      <c r="E10" s="2486"/>
      <c r="F10" s="1683" t="str">
        <f>IFERROR(F9*F5/(F5+G10),"")</f>
        <v/>
      </c>
      <c r="G10" s="1695"/>
      <c r="H10" s="971"/>
      <c r="P10" s="71" t="s">
        <v>384</v>
      </c>
    </row>
    <row r="11" spans="1:16" s="71" customFormat="1" ht="17.100000000000001" customHeight="1">
      <c r="A11" s="971"/>
      <c r="B11" s="3303" t="str">
        <f ca="1">IF(D8&gt;0,"","zu verbeitragen: ("&amp;TEXT(F5,"#.##0,00")&amp;" - "&amp;TEXT(F10,"#.##0,00")&amp;")"&amp;IF(F7&gt;F6," x "&amp;TEXT(F6,"#.##0,00")&amp;" /  "&amp;TEXT(F7,"#.##0,00"),""))</f>
        <v>zu verbeitragen: (0,00 - )</v>
      </c>
      <c r="C11" s="2486"/>
      <c r="D11" s="2486"/>
      <c r="E11" s="2486"/>
      <c r="F11" s="1696">
        <f>IF(D8&gt;0,"",IF(F9&gt;F5,0,IFERROR(+(F5-F10)*IF(F6&lt;F7,F6/F7,1),"")))</f>
        <v>0</v>
      </c>
      <c r="G11" s="1697" t="str">
        <f>"Abzinsungszins: "&amp;P12</f>
        <v>Abzinsungszins: ↓</v>
      </c>
      <c r="H11" s="971"/>
    </row>
    <row r="12" spans="1:16" s="71" customFormat="1" ht="17.100000000000001" customHeight="1">
      <c r="A12" s="971"/>
      <c r="B12" s="3303" t="str">
        <f>"anteilige jährl. Sozialabgab.: "&amp;IF(D8=0,TEXT(F11,"#.##0,00")&amp;" x 12 x "&amp;TEXT(D7,"0,00%"),TEXT(F8,"#.##0,00")&amp;" x "&amp;TEXT(F5,"#.##0,00")&amp;" /( "&amp;TEXT(F7,"#.##0,00")&amp;" + "&amp;TEXT(F5,"#.##0,00"))&amp;") = "</f>
        <v xml:space="preserve">anteilige jährl. Sozialabgab.: 0,00 x 12 x 18,50%) = </v>
      </c>
      <c r="C12" s="2486"/>
      <c r="D12" s="2486"/>
      <c r="E12" s="2486"/>
      <c r="F12" s="1698">
        <f>IFERROR(IF(D8&gt;0,IF(F8*F5/(F7+F5)&gt;F5*12,F5*12,F8*F5/(F7+F5)),F11*D7*12),"Einkommen?")</f>
        <v>0</v>
      </c>
      <c r="G12" s="1699"/>
      <c r="H12" s="971"/>
      <c r="P12" s="1700" t="s">
        <v>879</v>
      </c>
    </row>
    <row r="13" spans="1:16" s="140" customFormat="1" ht="48.75" customHeight="1">
      <c r="A13" s="1701"/>
      <c r="B13" s="1702" t="s">
        <v>59</v>
      </c>
      <c r="C13" s="1648" t="s">
        <v>7</v>
      </c>
      <c r="D13" s="1648" t="s">
        <v>1738</v>
      </c>
      <c r="E13" s="1648" t="str">
        <f>"Versterbensrisiko VVR:"&amp;CHAR(10)&amp;"Überlebende im Alter ... / "&amp;TEXT(D14,"#.##0")</f>
        <v xml:space="preserve">Versterbensrisiko VVR:
Überlebende im Alter ... / </v>
      </c>
      <c r="F13" s="1648" t="str">
        <f>"SozBeitrag unter Berücksichtigung des VVR"&amp;IF(D6="m",männlich,IF(D6="w",weiblich,IF(D6="d",divers,"")))</f>
        <v>SozBeitrag unter Berücksichtigung des VVR</v>
      </c>
      <c r="G13" s="1703" t="s">
        <v>1739</v>
      </c>
      <c r="H13" s="1701"/>
      <c r="I13" s="1704"/>
    </row>
    <row r="14" spans="1:16" ht="17.100000000000001" customHeight="1">
      <c r="A14" s="967"/>
      <c r="B14" s="1705">
        <v>2018</v>
      </c>
      <c r="C14" s="180">
        <f>IF(B14="","",+B14-$D$5)</f>
        <v>2018</v>
      </c>
      <c r="D14" s="1706" t="str">
        <f t="shared" ref="D14:D23" si="0">IFERROR(VLOOKUP(C14,CHOOSE(sVA_Geschlecht,G_Kohorte_M,G_Kohorte_F,G_Kohorte_N),D$5-1900+2),"")</f>
        <v/>
      </c>
      <c r="E14" s="1707" t="str">
        <f>IFERROR(D14/D$14,"")</f>
        <v/>
      </c>
      <c r="F14" s="1708" t="str">
        <f t="shared" ref="F14:F23" si="1">IFERROR(+F$12*E14,"")</f>
        <v/>
      </c>
      <c r="G14" s="1709">
        <f>IFERROR(+F12,"")</f>
        <v>0</v>
      </c>
      <c r="H14" s="967"/>
    </row>
    <row r="15" spans="1:16" ht="17.100000000000001" customHeight="1">
      <c r="A15" s="967"/>
      <c r="B15" s="1710">
        <f>IF(B$14="","",+B14+1)</f>
        <v>2019</v>
      </c>
      <c r="C15" s="1711">
        <f>IFERROR(+B15-$D$5,"")</f>
        <v>2019</v>
      </c>
      <c r="D15" s="1712" t="str">
        <f t="shared" si="0"/>
        <v/>
      </c>
      <c r="E15" s="1707" t="str">
        <f t="shared" ref="E15:E23" si="2">IFERROR(D15/D$14,"")</f>
        <v/>
      </c>
      <c r="F15" s="1708" t="str">
        <f t="shared" si="1"/>
        <v/>
      </c>
      <c r="G15" s="1709" t="str">
        <f>IFERROR(-PV(G$12,B15-B$14,,F15),"")</f>
        <v/>
      </c>
      <c r="H15" s="967"/>
    </row>
    <row r="16" spans="1:16" ht="17.100000000000001" customHeight="1">
      <c r="A16" s="967"/>
      <c r="B16" s="1710">
        <f t="shared" ref="B16:B23" si="3">IF(B$14="","",+B15+1)</f>
        <v>2020</v>
      </c>
      <c r="C16" s="1711">
        <f t="shared" ref="C16:C23" si="4">IFERROR(+B16-$D$5,"")</f>
        <v>2020</v>
      </c>
      <c r="D16" s="1712" t="str">
        <f t="shared" si="0"/>
        <v/>
      </c>
      <c r="E16" s="1707" t="str">
        <f t="shared" si="2"/>
        <v/>
      </c>
      <c r="F16" s="1708" t="str">
        <f t="shared" si="1"/>
        <v/>
      </c>
      <c r="G16" s="1709" t="str">
        <f t="shared" ref="G16:G23" si="5">IFERROR(-PV(G$12,B16-B$14,,F16),"")</f>
        <v/>
      </c>
      <c r="H16" s="967"/>
      <c r="J16" s="149"/>
      <c r="K16" s="149"/>
    </row>
    <row r="17" spans="1:16" ht="17.100000000000001" customHeight="1">
      <c r="A17" s="967"/>
      <c r="B17" s="1710">
        <f t="shared" si="3"/>
        <v>2021</v>
      </c>
      <c r="C17" s="1711">
        <f t="shared" si="4"/>
        <v>2021</v>
      </c>
      <c r="D17" s="1712" t="str">
        <f t="shared" si="0"/>
        <v/>
      </c>
      <c r="E17" s="1707" t="str">
        <f t="shared" si="2"/>
        <v/>
      </c>
      <c r="F17" s="1708" t="str">
        <f t="shared" si="1"/>
        <v/>
      </c>
      <c r="G17" s="1709" t="str">
        <f t="shared" si="5"/>
        <v/>
      </c>
      <c r="H17" s="967"/>
    </row>
    <row r="18" spans="1:16" ht="17.100000000000001" customHeight="1">
      <c r="A18" s="967"/>
      <c r="B18" s="1710">
        <f t="shared" si="3"/>
        <v>2022</v>
      </c>
      <c r="C18" s="1711">
        <f t="shared" si="4"/>
        <v>2022</v>
      </c>
      <c r="D18" s="1712" t="str">
        <f t="shared" si="0"/>
        <v/>
      </c>
      <c r="E18" s="1707" t="str">
        <f t="shared" si="2"/>
        <v/>
      </c>
      <c r="F18" s="1708" t="str">
        <f t="shared" si="1"/>
        <v/>
      </c>
      <c r="G18" s="1709" t="str">
        <f t="shared" si="5"/>
        <v/>
      </c>
      <c r="H18" s="967"/>
    </row>
    <row r="19" spans="1:16" ht="17.100000000000001" customHeight="1">
      <c r="A19" s="967"/>
      <c r="B19" s="1710">
        <f t="shared" si="3"/>
        <v>2023</v>
      </c>
      <c r="C19" s="1711">
        <f t="shared" si="4"/>
        <v>2023</v>
      </c>
      <c r="D19" s="1712" t="str">
        <f t="shared" si="0"/>
        <v/>
      </c>
      <c r="E19" s="1707" t="str">
        <f t="shared" si="2"/>
        <v/>
      </c>
      <c r="F19" s="1708" t="str">
        <f t="shared" si="1"/>
        <v/>
      </c>
      <c r="G19" s="1709" t="str">
        <f t="shared" si="5"/>
        <v/>
      </c>
      <c r="H19" s="967"/>
    </row>
    <row r="20" spans="1:16" ht="17.100000000000001" customHeight="1">
      <c r="A20" s="967"/>
      <c r="B20" s="1710">
        <f t="shared" si="3"/>
        <v>2024</v>
      </c>
      <c r="C20" s="1711">
        <f t="shared" si="4"/>
        <v>2024</v>
      </c>
      <c r="D20" s="1712" t="str">
        <f t="shared" si="0"/>
        <v/>
      </c>
      <c r="E20" s="1707" t="str">
        <f t="shared" si="2"/>
        <v/>
      </c>
      <c r="F20" s="1708" t="str">
        <f t="shared" si="1"/>
        <v/>
      </c>
      <c r="G20" s="1709" t="str">
        <f t="shared" si="5"/>
        <v/>
      </c>
      <c r="H20" s="967"/>
    </row>
    <row r="21" spans="1:16" ht="17.100000000000001" customHeight="1">
      <c r="A21" s="967"/>
      <c r="B21" s="1710">
        <f t="shared" si="3"/>
        <v>2025</v>
      </c>
      <c r="C21" s="1711">
        <f t="shared" si="4"/>
        <v>2025</v>
      </c>
      <c r="D21" s="1712" t="str">
        <f t="shared" si="0"/>
        <v/>
      </c>
      <c r="E21" s="1707" t="str">
        <f t="shared" si="2"/>
        <v/>
      </c>
      <c r="F21" s="1708" t="str">
        <f t="shared" si="1"/>
        <v/>
      </c>
      <c r="G21" s="1709" t="str">
        <f t="shared" si="5"/>
        <v/>
      </c>
      <c r="H21" s="967"/>
    </row>
    <row r="22" spans="1:16" ht="17.100000000000001" customHeight="1">
      <c r="A22" s="967"/>
      <c r="B22" s="1710">
        <f t="shared" si="3"/>
        <v>2026</v>
      </c>
      <c r="C22" s="1711">
        <f t="shared" si="4"/>
        <v>2026</v>
      </c>
      <c r="D22" s="1712" t="str">
        <f t="shared" si="0"/>
        <v/>
      </c>
      <c r="E22" s="1707" t="str">
        <f t="shared" si="2"/>
        <v/>
      </c>
      <c r="F22" s="1708" t="str">
        <f t="shared" si="1"/>
        <v/>
      </c>
      <c r="G22" s="1709" t="str">
        <f t="shared" si="5"/>
        <v/>
      </c>
      <c r="H22" s="967"/>
    </row>
    <row r="23" spans="1:16" ht="17.100000000000001" customHeight="1">
      <c r="A23" s="967"/>
      <c r="B23" s="1710">
        <f t="shared" si="3"/>
        <v>2027</v>
      </c>
      <c r="C23" s="1711">
        <f t="shared" si="4"/>
        <v>2027</v>
      </c>
      <c r="D23" s="1712" t="str">
        <f t="shared" si="0"/>
        <v/>
      </c>
      <c r="E23" s="1707" t="str">
        <f t="shared" si="2"/>
        <v/>
      </c>
      <c r="F23" s="1708" t="str">
        <f t="shared" si="1"/>
        <v/>
      </c>
      <c r="G23" s="1709" t="str">
        <f t="shared" si="5"/>
        <v/>
      </c>
      <c r="H23" s="967"/>
    </row>
    <row r="24" spans="1:16" ht="36" customHeight="1">
      <c r="A24" s="967"/>
      <c r="B24" s="3463" t="s">
        <v>1740</v>
      </c>
      <c r="C24" s="3464"/>
      <c r="D24" s="3464"/>
      <c r="E24" s="3464"/>
      <c r="F24" s="3465"/>
      <c r="G24" s="1713">
        <f>SUM(G14:G23)</f>
        <v>0</v>
      </c>
      <c r="H24" s="967"/>
    </row>
    <row r="25" spans="1:16" ht="17.100000000000001" customHeight="1">
      <c r="A25" s="967"/>
      <c r="B25" s="3466" t="str">
        <f>"Barwert nach Tabelle 9a zu § 13 BewG: "&amp;TEXT(F12,"#.##0,00")&amp;" x 7,745 ="</f>
        <v>Barwert nach Tabelle 9a zu § 13 BewG: 0,00 x 7,745 =</v>
      </c>
      <c r="C25" s="3467"/>
      <c r="D25" s="3467"/>
      <c r="E25" s="3467"/>
      <c r="F25" s="3468"/>
      <c r="G25" s="1713">
        <f>IFERROR(F12*7.745,"")</f>
        <v>0</v>
      </c>
      <c r="H25" s="967"/>
      <c r="O25" t="s">
        <v>1741</v>
      </c>
      <c r="P25" s="15">
        <v>1</v>
      </c>
    </row>
    <row r="26" spans="1:16" ht="17.100000000000001" customHeight="1">
      <c r="A26" s="967"/>
      <c r="B26" s="3387" t="str">
        <f>IFERROR("Ehezeitanteil in % der Kapitalzahlung i.H.v. "&amp;TEXT(F4,"#.##0,00")&amp;" - "&amp;TEXT(CHOOSE(O_BewG,G24,G25),"#.##0,00")&amp;" =  "&amp;TEXT(F4-CHOOSE(O_BewG,G24,G25),"#.##0,00")&amp;": ","")</f>
        <v xml:space="preserve">Ehezeitanteil in % der Kapitalzahlung i.H.v. 0,00 - 0,00 =  0,00: </v>
      </c>
      <c r="C26" s="3388"/>
      <c r="D26" s="3388"/>
      <c r="E26" s="3388"/>
      <c r="F26" s="3389"/>
      <c r="G26" s="88">
        <v>1</v>
      </c>
      <c r="H26" s="967"/>
    </row>
    <row r="27" spans="1:16" ht="17.100000000000001" customHeight="1">
      <c r="A27" s="967"/>
      <c r="B27" s="3469" t="str">
        <f>IFERROR("Ehezeitanteil der Kapitalzahlung: "&amp;TEXT(F4-CHOOSE(O_BewG,G24,G25),"#.##0,00")&amp;" x "&amp;TEXT(G26,"0,00%")&amp;": ","")</f>
        <v xml:space="preserve">Ehezeitanteil der Kapitalzahlung: 0,00 x 100,00%: </v>
      </c>
      <c r="C27" s="3436"/>
      <c r="D27" s="3436"/>
      <c r="E27" s="3436"/>
      <c r="F27" s="3437"/>
      <c r="G27" s="1714">
        <f>IFERROR(+G26*(F4-CHOOSE(O_BewG,G24,G25)),"")</f>
        <v>0</v>
      </c>
      <c r="H27" s="967"/>
    </row>
    <row r="28" spans="1:16" ht="23.25" customHeight="1" thickBot="1">
      <c r="A28" s="967"/>
      <c r="B28" s="3470" t="str">
        <f>"schuldrechtlich auszugleichender Anteil: "&amp;TEXT(G27,"#.##0,00")&amp;" / 2 = "</f>
        <v xml:space="preserve">schuldrechtlich auszugleichender Anteil: 0,00 / 2 = </v>
      </c>
      <c r="C28" s="3471"/>
      <c r="D28" s="3471"/>
      <c r="E28" s="3471"/>
      <c r="F28" s="3472"/>
      <c r="G28" s="1715">
        <f>IFERROR(G27/2,"")</f>
        <v>0</v>
      </c>
      <c r="H28" s="967"/>
    </row>
    <row r="29" spans="1:16" ht="19.5" customHeight="1">
      <c r="A29" s="3462" t="s">
        <v>1746</v>
      </c>
      <c r="B29" s="3462"/>
      <c r="C29" s="3462"/>
      <c r="D29" s="3462"/>
      <c r="E29" s="3462"/>
      <c r="F29" s="3462"/>
      <c r="G29" s="3462"/>
      <c r="H29" s="3462"/>
    </row>
    <row r="129" spans="2:3" hidden="1"/>
    <row r="132" spans="2:3" hidden="1">
      <c r="B132" s="1402" t="s">
        <v>1742</v>
      </c>
      <c r="C132" s="1403">
        <v>18.600000000000001</v>
      </c>
    </row>
  </sheetData>
  <sheetProtection algorithmName="SHA-512" hashValue="nG+Q7gDT1ILp/t4U6tAqyEyZMFPeI7CRl23dk90KktztKK9fixCWi5tMiCEfnPLi0bh9rTmMMUlKvdiqnFjRnQ==" saltValue="q76NV4zqWQctHMUPEK+iDA=="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172" priority="13">
      <formula>B14=""</formula>
    </cfRule>
  </conditionalFormatting>
  <conditionalFormatting sqref="B24 G24">
    <cfRule type="expression" dxfId="171" priority="19">
      <formula>O_BewG=1</formula>
    </cfRule>
  </conditionalFormatting>
  <conditionalFormatting sqref="B25 G25">
    <cfRule type="expression" dxfId="170" priority="18">
      <formula>O_BewG=2</formula>
    </cfRule>
  </conditionalFormatting>
  <conditionalFormatting sqref="D4:D6">
    <cfRule type="expression" dxfId="169" priority="4">
      <formula>D4=""</formula>
    </cfRule>
  </conditionalFormatting>
  <conditionalFormatting sqref="D6">
    <cfRule type="expression" dxfId="168" priority="1">
      <formula>D6="d"</formula>
    </cfRule>
    <cfRule type="expression" dxfId="167" priority="2">
      <formula>D6="w"</formula>
    </cfRule>
    <cfRule type="expression" dxfId="166" priority="3">
      <formula>D6="m"</formula>
    </cfRule>
  </conditionalFormatting>
  <conditionalFormatting sqref="D7">
    <cfRule type="expression" dxfId="165" priority="12">
      <formula>D8&gt;0</formula>
    </cfRule>
    <cfRule type="expression" dxfId="164" priority="21">
      <formula>D7=""</formula>
    </cfRule>
  </conditionalFormatting>
  <conditionalFormatting sqref="D8">
    <cfRule type="expression" dxfId="163" priority="11">
      <formula>AND(D8="",D7="")</formula>
    </cfRule>
  </conditionalFormatting>
  <conditionalFormatting sqref="E8">
    <cfRule type="expression" dxfId="162" priority="16">
      <formula>D8=""</formula>
    </cfRule>
  </conditionalFormatting>
  <conditionalFormatting sqref="F4">
    <cfRule type="expression" dxfId="161" priority="7">
      <formula>F4=""</formula>
    </cfRule>
  </conditionalFormatting>
  <conditionalFormatting sqref="F7">
    <cfRule type="expression" dxfId="160" priority="14">
      <formula>AND(D8&gt;0,F7=0)</formula>
    </cfRule>
  </conditionalFormatting>
  <conditionalFormatting sqref="F8">
    <cfRule type="expression" dxfId="159" priority="15">
      <formula>D8=""</formula>
    </cfRule>
  </conditionalFormatting>
  <conditionalFormatting sqref="F12">
    <cfRule type="expression" dxfId="158" priority="10">
      <formula>F12="Einkommen?"</formula>
    </cfRule>
  </conditionalFormatting>
  <conditionalFormatting sqref="G8">
    <cfRule type="expression" dxfId="157" priority="22">
      <formula>D12&gt;0</formula>
    </cfRule>
    <cfRule type="expression" dxfId="156" priority="23">
      <formula>D8&gt;0</formula>
    </cfRule>
  </conditionalFormatting>
  <conditionalFormatting sqref="G10 G4">
    <cfRule type="expression" dxfId="155" priority="9">
      <formula>D8&gt;0</formula>
    </cfRule>
  </conditionalFormatting>
  <conditionalFormatting sqref="G10">
    <cfRule type="expression" dxfId="154" priority="8">
      <formula>D8=""</formula>
    </cfRule>
  </conditionalFormatting>
  <conditionalFormatting sqref="G12">
    <cfRule type="expression" dxfId="153" priority="17">
      <formula>G12=""</formula>
    </cfRule>
  </conditionalFormatting>
  <conditionalFormatting sqref="G26">
    <cfRule type="expression" dxfId="152"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887">
        <v>140</v>
      </c>
      <c r="C1" s="25"/>
      <c r="D1" s="25"/>
      <c r="E1" s="25"/>
      <c r="F1" s="25"/>
      <c r="G1" s="25"/>
      <c r="J1" s="25"/>
      <c r="K1" s="25"/>
      <c r="L1" s="25"/>
      <c r="M1" s="25"/>
      <c r="N1" s="25"/>
      <c r="O1" s="25"/>
    </row>
    <row r="2" spans="2:17" ht="33.75" customHeight="1">
      <c r="B2" s="25"/>
      <c r="C2" s="902" t="s">
        <v>1019</v>
      </c>
      <c r="D2" s="3486" t="s">
        <v>1018</v>
      </c>
      <c r="E2" s="3487"/>
      <c r="F2" s="3488"/>
      <c r="G2" s="2049" t="e" vm="2">
        <v>#VALUE!</v>
      </c>
      <c r="J2" s="3512" t="s">
        <v>358</v>
      </c>
      <c r="K2" s="3513"/>
      <c r="L2" s="3513"/>
      <c r="M2" s="3513"/>
      <c r="N2" s="3514"/>
      <c r="O2" s="25"/>
    </row>
    <row r="3" spans="2:17" ht="14.25" customHeight="1">
      <c r="B3" s="318">
        <v>5</v>
      </c>
      <c r="C3" s="3521" t="s">
        <v>349</v>
      </c>
      <c r="D3" s="3522"/>
      <c r="E3" s="3523"/>
      <c r="F3" s="3524"/>
      <c r="G3" s="318">
        <v>5</v>
      </c>
      <c r="J3" s="3506" t="s">
        <v>354</v>
      </c>
      <c r="K3" s="3507"/>
      <c r="L3" s="3507"/>
      <c r="M3" s="3508"/>
      <c r="N3" s="734"/>
      <c r="O3" s="25"/>
    </row>
    <row r="4" spans="2:17">
      <c r="B4" s="318">
        <v>6</v>
      </c>
      <c r="C4" s="3521" t="str">
        <f>IF(AND(E4="",F4=""),"Ehezeitende eingeben:",IF(AND(E4="",F4&gt;0),"Ehezeitende aus Fallerfassung übernommen","Ehezeitende"))</f>
        <v>Ehezeitende eingeben:</v>
      </c>
      <c r="D4" s="3522"/>
      <c r="E4" s="897"/>
      <c r="F4" s="2133" t="str">
        <f>IF(E4&gt;0,E4,IF(Dat_EzE&gt;0,Dat_EzE,""))</f>
        <v/>
      </c>
      <c r="G4" s="318">
        <v>6</v>
      </c>
      <c r="J4" s="3506" t="s">
        <v>277</v>
      </c>
      <c r="K4" s="3507"/>
      <c r="L4" s="3507"/>
      <c r="M4" s="3508"/>
      <c r="N4" s="1111" t="str">
        <f>IF(N3="","",DATE(YEAR(N3)+65,MONTH(N3)+VLOOKUP(YEAR(N3),Regelaltersgrenze,2),DAY(N3)))</f>
        <v/>
      </c>
      <c r="O4" s="25"/>
    </row>
    <row r="5" spans="2:17">
      <c r="B5" s="318">
        <v>7</v>
      </c>
      <c r="C5" s="3521" t="s">
        <v>351</v>
      </c>
      <c r="D5" s="3522"/>
      <c r="E5" s="3529"/>
      <c r="F5" s="3530"/>
      <c r="G5" s="318">
        <v>7</v>
      </c>
      <c r="J5" s="3506" t="s">
        <v>355</v>
      </c>
      <c r="K5" s="3507"/>
      <c r="L5" s="3507"/>
      <c r="M5" s="3508"/>
      <c r="N5" s="1112" t="str">
        <f>IFERROR(YEARFRAC(F4,N4,0),"")</f>
        <v/>
      </c>
      <c r="O5" s="25"/>
    </row>
    <row r="6" spans="2:17">
      <c r="B6" s="318">
        <v>8</v>
      </c>
      <c r="C6" s="3521" t="str">
        <f>"Datum der Anpassungsberechnung (Daten bis "&amp;TEXT(Enddatum,"TT.MM.JJ")&amp;" vorhanden:"</f>
        <v>Datum der Anpassungsberechnung (Daten bis 28.02.26 vorhanden:</v>
      </c>
      <c r="D6" s="3522"/>
      <c r="E6" s="3525"/>
      <c r="F6" s="3526"/>
      <c r="G6" s="318">
        <v>8</v>
      </c>
      <c r="J6" s="3506" t="s">
        <v>356</v>
      </c>
      <c r="K6" s="3507"/>
      <c r="L6" s="3507"/>
      <c r="M6" s="3508"/>
      <c r="N6" s="1112" t="str">
        <f>IFERROR(YEARFRAC(E6,N4,0),"")</f>
        <v/>
      </c>
      <c r="O6" s="25"/>
    </row>
    <row r="7" spans="2:17">
      <c r="B7" s="318">
        <v>9</v>
      </c>
      <c r="C7" s="3494" t="s">
        <v>1202</v>
      </c>
      <c r="D7" s="3495"/>
      <c r="E7" s="3500" t="s">
        <v>850</v>
      </c>
      <c r="F7" s="3503" t="s">
        <v>851</v>
      </c>
      <c r="G7" s="318">
        <v>9</v>
      </c>
      <c r="J7" s="3506" t="s">
        <v>370</v>
      </c>
      <c r="K7" s="3507"/>
      <c r="L7" s="3507"/>
      <c r="M7" s="3508"/>
      <c r="N7" s="320"/>
      <c r="O7" s="25"/>
    </row>
    <row r="8" spans="2:17">
      <c r="B8" s="318">
        <v>10</v>
      </c>
      <c r="C8" s="3496"/>
      <c r="D8" s="3497"/>
      <c r="E8" s="3501"/>
      <c r="F8" s="3504"/>
      <c r="G8" s="318">
        <v>10</v>
      </c>
      <c r="J8" s="3506" t="s">
        <v>357</v>
      </c>
      <c r="K8" s="3507"/>
      <c r="L8" s="3507"/>
      <c r="M8" s="3508"/>
      <c r="N8" s="1051"/>
      <c r="O8" s="25"/>
    </row>
    <row r="9" spans="2:17" ht="14.25" customHeight="1">
      <c r="B9" s="318">
        <v>11</v>
      </c>
      <c r="C9" s="3498"/>
      <c r="D9" s="3499"/>
      <c r="E9" s="3502"/>
      <c r="F9" s="3505"/>
      <c r="G9" s="318">
        <v>11</v>
      </c>
      <c r="J9" s="3506" t="str">
        <f>IFERROR("Rechnungszins: BilMoG-7 im EzE: "&amp;TEXT(VLOOKUP(F4,BilmoGZins,16)/100,"0,00%")&amp;" / "&amp;"am "&amp;TEXT(E6,"tt.MM.JJJJ")&amp;": "&amp;TEXT(VLOOKUP(E6,BilmoGZins,16)/100,"0,00%"),"")</f>
        <v/>
      </c>
      <c r="K9" s="3507"/>
      <c r="L9" s="3507"/>
      <c r="M9" s="3508"/>
      <c r="N9" s="737"/>
      <c r="O9" s="2823"/>
    </row>
    <row r="10" spans="2:17" ht="14.25" customHeight="1">
      <c r="B10" s="318">
        <v>12</v>
      </c>
      <c r="C10" s="3521" t="s">
        <v>371</v>
      </c>
      <c r="D10" s="3522"/>
      <c r="E10" s="397"/>
      <c r="F10" s="2134"/>
      <c r="G10" s="318">
        <v>12</v>
      </c>
      <c r="J10" s="3506" t="str">
        <f>"Unterhalt mon. Verrentung des Kapitals über "&amp;TEXT(N7,"0,0")&amp;" Jahre bei "&amp;TEXT(N9,"0,00%")</f>
        <v>Unterhalt mon. Verrentung des Kapitals über 0,0 Jahre bei 0,00%</v>
      </c>
      <c r="K10" s="3507"/>
      <c r="L10" s="3507"/>
      <c r="M10" s="3508"/>
      <c r="N10" s="221" t="str">
        <f>IFERROR(-PMT(N9,N7,N8)/12,"")</f>
        <v/>
      </c>
      <c r="O10" s="2823"/>
    </row>
    <row r="11" spans="2:17" ht="15" thickBot="1">
      <c r="B11" s="318">
        <v>13</v>
      </c>
      <c r="C11" s="3521" t="s">
        <v>372</v>
      </c>
      <c r="D11" s="3522"/>
      <c r="E11" s="397"/>
      <c r="F11" s="2135"/>
      <c r="G11" s="318">
        <v>13</v>
      </c>
      <c r="J11" s="3509" t="str">
        <f>"monatliche Unterhaltshöhe: "&amp;TEXT(N8,"#.##0,00")&amp;" / "&amp;TEXT(N7,"0,00")&amp;" / 12: "</f>
        <v xml:space="preserve">monatliche Unterhaltshöhe: 0,00 / 0,00 / 12: </v>
      </c>
      <c r="K11" s="3510"/>
      <c r="L11" s="3510"/>
      <c r="M11" s="3511"/>
      <c r="N11" s="938" t="str">
        <f>IFERROR(+N8/N7/12,"")</f>
        <v/>
      </c>
      <c r="O11" s="2823"/>
    </row>
    <row r="12" spans="2:17">
      <c r="B12" s="318">
        <v>14</v>
      </c>
      <c r="C12" s="3521" t="str">
        <f>"./. Erwerbstätigenbonus: "&amp;IF(E5=0,"",TEXT(E5,"0/#0"))</f>
        <v xml:space="preserve">./. Erwerbstätigenbonus: </v>
      </c>
      <c r="D12" s="3522"/>
      <c r="E12" s="818">
        <f>-E11*E5</f>
        <v>0</v>
      </c>
      <c r="F12" s="1003">
        <f>-F11*E5</f>
        <v>0</v>
      </c>
      <c r="G12" s="25"/>
      <c r="J12" s="3515" t="s">
        <v>359</v>
      </c>
      <c r="K12" s="3516"/>
      <c r="L12" s="3516"/>
      <c r="M12" s="3516"/>
      <c r="N12" s="3517"/>
      <c r="O12" s="2823"/>
    </row>
    <row r="13" spans="2:17" ht="15">
      <c r="B13" s="318">
        <v>15</v>
      </c>
      <c r="C13" s="3531" t="s">
        <v>352</v>
      </c>
      <c r="D13" s="3532"/>
      <c r="E13" s="550">
        <f>+E12+E11+E10</f>
        <v>0</v>
      </c>
      <c r="F13" s="2136">
        <f>+F12+F11+F10</f>
        <v>0</v>
      </c>
      <c r="G13" s="25"/>
      <c r="J13" s="3518"/>
      <c r="K13" s="3519"/>
      <c r="L13" s="3519"/>
      <c r="M13" s="3519"/>
      <c r="N13" s="3520"/>
      <c r="O13" s="2823"/>
    </row>
    <row r="14" spans="2:17">
      <c r="B14" s="318">
        <v>16</v>
      </c>
      <c r="C14" s="3521" t="s">
        <v>301</v>
      </c>
      <c r="D14" s="3522"/>
      <c r="E14" s="3527">
        <f>ABS(E13-F13)</f>
        <v>0</v>
      </c>
      <c r="F14" s="3528"/>
      <c r="G14" s="318">
        <v>16</v>
      </c>
      <c r="J14" s="3489" t="s">
        <v>354</v>
      </c>
      <c r="K14" s="3490"/>
      <c r="L14" s="3490"/>
      <c r="M14" s="3490"/>
      <c r="N14" s="734"/>
      <c r="O14" s="2823"/>
      <c r="P14" t="s">
        <v>255</v>
      </c>
      <c r="Q14" s="15">
        <v>2</v>
      </c>
    </row>
    <row r="15" spans="2:17" ht="15">
      <c r="B15" s="318">
        <v>17</v>
      </c>
      <c r="C15" s="802" t="str">
        <f>"gesetzlicher Unterhalt: "&amp;TEXT(E14,"#.##0,00")&amp;" / 2 ="</f>
        <v>gesetzlicher Unterhalt: 0,00 / 2 =</v>
      </c>
      <c r="D15" s="317"/>
      <c r="E15" s="550">
        <f>IF(VereinbarterUnterhalt,-D15,IF(E14&gt;F14,-E14/2,-F15))</f>
        <v>0</v>
      </c>
      <c r="F15" s="2136"/>
      <c r="G15" s="318">
        <v>17</v>
      </c>
      <c r="H15" t="s">
        <v>353</v>
      </c>
      <c r="I15" s="15" t="b">
        <v>0</v>
      </c>
      <c r="J15" s="3489" t="s">
        <v>360</v>
      </c>
      <c r="K15" s="3490"/>
      <c r="L15" s="3490"/>
      <c r="M15" s="3490"/>
      <c r="N15" s="734">
        <f ca="1">TODAY()</f>
        <v>46090</v>
      </c>
      <c r="O15" s="2823"/>
    </row>
    <row r="16" spans="2:17">
      <c r="B16" s="318">
        <v>18</v>
      </c>
      <c r="C16" s="1420" t="str">
        <f>"Saldo d. Versorgungskürzung am EzE in "&amp;IF(Euro_EP,"Euro: ","EP: ")</f>
        <v xml:space="preserve">Saldo d. Versorgungskürzung am EzE in Euro: </v>
      </c>
      <c r="D16" s="2137"/>
      <c r="E16" s="818">
        <f>IFERROR(-D16*IF(Euro_EP,1,VLOOKUP(F4,AktuellerRentenwert,2)),"")</f>
        <v>0</v>
      </c>
      <c r="F16" s="804" t="str">
        <f>IFERROR(IF(Euro_EP=FALSE,"Kapitalwert: "&amp;TEXT(VLOOKUP(F4,EntgeltpunkteInKapital,2)*D16,"#.000,00 €"),""),"")</f>
        <v/>
      </c>
      <c r="G16" s="318">
        <v>18</v>
      </c>
      <c r="H16" t="s">
        <v>348</v>
      </c>
      <c r="I16" s="15" t="b">
        <v>1</v>
      </c>
      <c r="J16" s="3489" t="s">
        <v>277</v>
      </c>
      <c r="K16" s="3490"/>
      <c r="L16" s="3490"/>
      <c r="M16" s="3490"/>
      <c r="N16" s="1111" t="str">
        <f>IF(N14="","",DATE(YEAR(N14)+65,MONTH(N14)+VLOOKUP(YEAR(N14),Regelaltersgrenze,2),DAY(N14)))</f>
        <v/>
      </c>
      <c r="O16" s="2823"/>
    </row>
    <row r="17" spans="2:17">
      <c r="B17" s="318">
        <v>19</v>
      </c>
      <c r="C17" s="3521" t="s">
        <v>350</v>
      </c>
      <c r="D17" s="3522"/>
      <c r="E17" s="3527" t="str">
        <f>IFERROR(-VLOOKUP(YEAR(F4),MonatlicheBezugsgroesse,2)*IF(Euro_EP,0.02,2.4),"")</f>
        <v/>
      </c>
      <c r="F17" s="3528"/>
      <c r="G17" s="318">
        <v>19</v>
      </c>
      <c r="J17" s="3489" t="s">
        <v>355</v>
      </c>
      <c r="K17" s="3490"/>
      <c r="L17" s="3490"/>
      <c r="M17" s="3490"/>
      <c r="N17" s="1112" t="str">
        <f>IFERROR(YEARFRAC(F4,N4,0),"")</f>
        <v/>
      </c>
      <c r="O17" s="2823"/>
    </row>
    <row r="18" spans="2:17" ht="15">
      <c r="B18" s="318">
        <v>20</v>
      </c>
      <c r="C18" s="3521" t="s">
        <v>347</v>
      </c>
      <c r="D18" s="3522"/>
      <c r="E18" s="550">
        <f>IF(E16&lt;0,IF(E16&gt;E17,0,MAX(E15:E16)),0)</f>
        <v>0</v>
      </c>
      <c r="F18" s="2136">
        <f>IF(F16&lt;0,IF(F15&gt;F16,-F15,F16),0)</f>
        <v>0</v>
      </c>
      <c r="G18" s="318">
        <v>20</v>
      </c>
      <c r="J18" s="3489" t="s">
        <v>356</v>
      </c>
      <c r="K18" s="3490"/>
      <c r="L18" s="3490"/>
      <c r="M18" s="3490"/>
      <c r="N18" s="1112" t="str">
        <f>IFERROR(YEARFRAC(E6,N4,0),"")</f>
        <v/>
      </c>
      <c r="O18" s="2823"/>
    </row>
    <row r="19" spans="2:17" ht="15">
      <c r="B19" s="318">
        <v>21</v>
      </c>
      <c r="C19" s="3535" t="str">
        <f>IF(E15&lt;0,IF(E18+F18&lt;=E17,"Anpassung ist möglich (§ 33 II VersAusglG)","Anpassung ist nicht möglich (§ 33 II VersAusglG)"),"")</f>
        <v/>
      </c>
      <c r="D19" s="3536"/>
      <c r="E19" s="3536"/>
      <c r="F19" s="3537"/>
      <c r="G19" s="318">
        <v>21</v>
      </c>
      <c r="J19" s="3489" t="str">
        <f ca="1">"Lebenserwartung ab Berechnungsdatum "&amp;TEXT(N15,"TT.MM.JJJJ")</f>
        <v>Lebenserwartung ab Berechnungsdatum 09.03.2026</v>
      </c>
      <c r="K19" s="3490"/>
      <c r="L19" s="3490"/>
      <c r="M19" s="3490"/>
      <c r="N19" s="1112" t="str">
        <f>IF(N14="","",ROUND(VLOOKUP(YEARFRAC(N14,N15,0),CHOOSE(Geschlecht,Lebenserwartung_M_V2,Lebenserwartung_F_V2),YEAR(N14)-1900+2),2))</f>
        <v/>
      </c>
      <c r="O19" s="25"/>
    </row>
    <row r="20" spans="2:17">
      <c r="B20" s="318">
        <v>22</v>
      </c>
      <c r="C20" s="3521" t="str">
        <f>IFERROR("Rente nach Anpassung: "&amp;TEXT(E10,"#.##0,00")&amp;" - "&amp;TEXT(ABS(E16),"#.##0,00")&amp;" + "&amp;TEXT(ABS(E18),"#.##0,00"),"")</f>
        <v>Rente nach Anpassung: 0,00 - 0,00 + 0,00</v>
      </c>
      <c r="D20" s="3522"/>
      <c r="E20" s="818">
        <f>IFERROR(+E10+E16-E18,"")</f>
        <v>0</v>
      </c>
      <c r="F20" s="1005"/>
      <c r="G20" s="318">
        <v>22</v>
      </c>
      <c r="J20" s="3489" t="s">
        <v>367</v>
      </c>
      <c r="K20" s="3490"/>
      <c r="L20" s="3490"/>
      <c r="M20" s="3490"/>
      <c r="N20" s="319"/>
      <c r="O20" s="25"/>
    </row>
    <row r="21" spans="2:17">
      <c r="B21" s="318">
        <v>23</v>
      </c>
      <c r="C21" s="3521" t="str">
        <f>+C11</f>
        <v xml:space="preserve">anrechenbares Erwerbseinkommen: </v>
      </c>
      <c r="D21" s="3522"/>
      <c r="E21" s="548"/>
      <c r="F21" s="1003">
        <f>+F11</f>
        <v>0</v>
      </c>
      <c r="G21" s="318">
        <v>23</v>
      </c>
      <c r="J21" s="3489" t="s">
        <v>368</v>
      </c>
      <c r="K21" s="3490"/>
      <c r="L21" s="3490"/>
      <c r="M21" s="3490"/>
      <c r="N21" s="735"/>
      <c r="O21" s="25"/>
    </row>
    <row r="22" spans="2:17">
      <c r="B22" s="318">
        <v>24</v>
      </c>
      <c r="C22" s="3521" t="str">
        <f>"./. Erwerbstätigenbonus: "&amp;IF(E5=0,"",TEXT(E5,"0/#0"))</f>
        <v xml:space="preserve">./. Erwerbstätigenbonus: </v>
      </c>
      <c r="D22" s="3522"/>
      <c r="E22" s="818">
        <f>-E21*E5</f>
        <v>0</v>
      </c>
      <c r="F22" s="1003">
        <f>-F21*E5</f>
        <v>0</v>
      </c>
      <c r="G22" s="318">
        <v>24</v>
      </c>
      <c r="J22" s="3489" t="s">
        <v>369</v>
      </c>
      <c r="K22" s="3490"/>
      <c r="L22" s="3490"/>
      <c r="M22" s="3490"/>
      <c r="N22" s="736"/>
      <c r="O22" s="25"/>
    </row>
    <row r="23" spans="2:17">
      <c r="B23" s="318">
        <v>25</v>
      </c>
      <c r="C23" s="3521" t="s">
        <v>345</v>
      </c>
      <c r="D23" s="3522"/>
      <c r="E23" s="818">
        <f>IFERROR(+E22+E21+E20,"")</f>
        <v>0</v>
      </c>
      <c r="F23" s="1003">
        <f>+F22+F21+F20</f>
        <v>0</v>
      </c>
      <c r="G23" s="318">
        <v>25</v>
      </c>
      <c r="J23" s="3489" t="str">
        <f ca="1">IFERROR("Rechnungszins: BilMoG-7 im EzE: "&amp;TEXT(VLOOKUP(N15,BilmoGZins,16)/100,"0,00%")&amp;" am "&amp;TEXT(N15,"tt.MM.JJJJ"),"")</f>
        <v>Rechnungszins: BilMoG-7 im EzE: 2,27% am 09.03.2026</v>
      </c>
      <c r="K23" s="3490"/>
      <c r="L23" s="3490"/>
      <c r="M23" s="3490"/>
      <c r="N23" s="736"/>
      <c r="O23" s="25"/>
    </row>
    <row r="24" spans="2:17">
      <c r="B24" s="318">
        <v>26</v>
      </c>
      <c r="C24" s="3521" t="s">
        <v>301</v>
      </c>
      <c r="D24" s="3522"/>
      <c r="E24" s="3527">
        <f>IFERROR(ABS(E23-F23),"")</f>
        <v>0</v>
      </c>
      <c r="F24" s="3528"/>
      <c r="G24" s="318">
        <v>26</v>
      </c>
      <c r="J24" s="3489" t="str">
        <f>"Abfindungsbetrag (Barwert), ReZins: "&amp;TEXT(N23,"0,00%")&amp;IF(N22&gt;0," - "&amp;TEXT(N22,"0,00%"),"")&amp;": "</f>
        <v xml:space="preserve">Abfindungsbetrag (Barwert), ReZins: 0,00%: </v>
      </c>
      <c r="K24" s="3490"/>
      <c r="L24" s="3490"/>
      <c r="M24" s="3490"/>
      <c r="N24" s="1113">
        <f>(-PV(N23-N22,N20,N21*12,0,1)+-PV(N23-N22,N20,N21*12,0,0))/2</f>
        <v>0</v>
      </c>
      <c r="O24" s="25"/>
    </row>
    <row r="25" spans="2:17" ht="15" thickBot="1">
      <c r="B25" s="318">
        <v>27</v>
      </c>
      <c r="C25" s="3533" t="s">
        <v>346</v>
      </c>
      <c r="D25" s="3534"/>
      <c r="E25" s="2138">
        <f>IFERROR(-E24/2,"")</f>
        <v>0</v>
      </c>
      <c r="F25" s="2139">
        <f>IFERROR(IF(F23&gt;E23,-E24/2,-E25),"")</f>
        <v>0</v>
      </c>
      <c r="G25" s="318">
        <v>27</v>
      </c>
      <c r="J25" s="3491" t="s">
        <v>365</v>
      </c>
      <c r="K25" s="3492"/>
      <c r="L25" s="3492"/>
      <c r="M25" s="3492"/>
      <c r="N25" s="965">
        <f>(-PV(5.5%,N20,N21*12,0,1)+-PV(5.5%,N20,N21*12,0,0))/2</f>
        <v>0</v>
      </c>
      <c r="O25" s="25"/>
    </row>
    <row r="26" spans="2:17">
      <c r="B26" s="3493" t="s">
        <v>117</v>
      </c>
      <c r="C26" s="3493"/>
      <c r="D26" s="3493"/>
      <c r="E26" s="3493"/>
      <c r="F26" s="3493"/>
      <c r="G26" s="3493"/>
      <c r="H26" s="3493"/>
      <c r="I26" s="3493"/>
      <c r="J26" s="3493"/>
      <c r="K26" s="3493"/>
      <c r="L26" s="3493"/>
      <c r="M26" s="3493"/>
      <c r="N26" s="3493"/>
      <c r="O26" s="25"/>
    </row>
    <row r="27" spans="2:17" hidden="1">
      <c r="M27" t="s">
        <v>363</v>
      </c>
      <c r="N27">
        <f>YEAR(N14)+2-1900</f>
        <v>2</v>
      </c>
    </row>
    <row r="28" spans="2:17" hidden="1">
      <c r="M28" t="s">
        <v>362</v>
      </c>
      <c r="N28">
        <f ca="1">YEARFRAC(N14,N15,0)</f>
        <v>126.19166666666666</v>
      </c>
      <c r="P28" t="s">
        <v>366</v>
      </c>
      <c r="Q28" s="149">
        <f ca="1">SUM(Q30:Q76)</f>
        <v>0</v>
      </c>
    </row>
    <row r="29" spans="2:17" hidden="1">
      <c r="M29" t="s">
        <v>361</v>
      </c>
      <c r="N29">
        <f ca="1">VLOOKUP(N28,CHOOSE(Geschlecht,G_Kohorte_M,G_Kohorte_F),N$27)</f>
        <v>0</v>
      </c>
      <c r="P29" t="s">
        <v>364</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51" priority="87">
      <formula>C19="Anpassung ist nicht möglich (§ 33 II VersAusglG)"</formula>
    </cfRule>
    <cfRule type="expression" dxfId="150" priority="88">
      <formula>$C$19="Anpassung ist möglich (§ 33 II VersAusglG)"</formula>
    </cfRule>
  </conditionalFormatting>
  <conditionalFormatting sqref="D16">
    <cfRule type="expression" dxfId="149" priority="4">
      <formula>D16=""</formula>
    </cfRule>
    <cfRule type="expression" dxfId="148" priority="9">
      <formula>Euro_EP</formula>
    </cfRule>
  </conditionalFormatting>
  <conditionalFormatting sqref="E4">
    <cfRule type="expression" dxfId="147" priority="2">
      <formula>AND(E4="",$F$4="")</formula>
    </cfRule>
  </conditionalFormatting>
  <conditionalFormatting sqref="E10">
    <cfRule type="expression" dxfId="146" priority="5">
      <formula>E10=""</formula>
    </cfRule>
  </conditionalFormatting>
  <conditionalFormatting sqref="E5:F5">
    <cfRule type="expression" dxfId="145" priority="3">
      <formula>$E$5=""</formula>
    </cfRule>
  </conditionalFormatting>
  <conditionalFormatting sqref="E6:F6">
    <cfRule type="expression" dxfId="144"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55" topLeftCell="A192" activePane="bottomLeft"/>
      <selection activeCell="A4" sqref="A4:V4"/>
      <selection pane="bottomLeft" activeCell="A216" sqref="A216:AY216"/>
    </sheetView>
  </sheetViews>
  <sheetFormatPr baseColWidth="10" defaultColWidth="11" defaultRowHeight="14.25"/>
  <cols>
    <col min="1" max="1" width="11.625" style="93" customWidth="1"/>
    <col min="2" max="15" width="5" style="71" customWidth="1"/>
    <col min="16" max="16" width="5" style="2300" customWidth="1"/>
    <col min="17" max="51" width="5" style="71" customWidth="1"/>
  </cols>
  <sheetData>
    <row r="1" spans="1:53" ht="15">
      <c r="Q1" s="94"/>
    </row>
    <row r="2" spans="1:53" ht="15">
      <c r="Q2" s="94"/>
    </row>
    <row r="3" spans="1:53" ht="15">
      <c r="A3" s="95">
        <f>MAX(A9:A300)</f>
        <v>46081</v>
      </c>
      <c r="Q3" s="94"/>
    </row>
    <row r="4" spans="1:53" ht="15" customHeight="1">
      <c r="A4" s="2344" t="s">
        <v>157</v>
      </c>
      <c r="B4" s="2344"/>
      <c r="C4" s="2344"/>
      <c r="D4" s="2344"/>
      <c r="E4" s="2344"/>
      <c r="F4" s="2344"/>
      <c r="G4" s="2344"/>
      <c r="H4" s="2344"/>
      <c r="I4" s="2344"/>
      <c r="J4" s="2344"/>
      <c r="K4" s="2344"/>
      <c r="L4" s="2344"/>
      <c r="M4" s="2344"/>
      <c r="N4" s="2344"/>
      <c r="O4" s="2344"/>
      <c r="P4" s="2344"/>
      <c r="Q4" s="2344"/>
      <c r="R4" s="2344"/>
      <c r="S4" s="2344"/>
      <c r="T4" s="2344"/>
      <c r="U4" s="2344"/>
      <c r="V4" s="2344"/>
    </row>
    <row r="5" spans="1:53" ht="15.75">
      <c r="A5" s="97"/>
      <c r="B5" s="96"/>
      <c r="C5" s="96"/>
      <c r="D5" s="96"/>
      <c r="E5" s="96"/>
      <c r="F5" s="96"/>
      <c r="G5" s="98"/>
      <c r="H5" s="98"/>
      <c r="I5" s="98"/>
      <c r="J5" s="98"/>
      <c r="K5" s="98"/>
      <c r="P5" s="2301"/>
    </row>
    <row r="6" spans="1:53" ht="15" customHeight="1">
      <c r="A6" s="99">
        <f>MAX(A9:B372)</f>
        <v>46081</v>
      </c>
      <c r="B6" s="100" t="s">
        <v>30</v>
      </c>
      <c r="C6" s="100"/>
      <c r="D6" s="100"/>
      <c r="E6" s="100"/>
      <c r="F6" s="100"/>
      <c r="G6" s="100"/>
      <c r="H6" s="100"/>
      <c r="I6" s="100"/>
      <c r="J6" s="100"/>
      <c r="K6" s="100"/>
      <c r="L6" s="100" t="s">
        <v>30</v>
      </c>
      <c r="P6" s="2301">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302"/>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302">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49">
        <v>3.93</v>
      </c>
      <c r="C9" s="349">
        <v>4.07</v>
      </c>
      <c r="D9" s="349">
        <v>4.2300000000000004</v>
      </c>
      <c r="E9" s="349">
        <v>4.38</v>
      </c>
      <c r="F9" s="349">
        <v>4.5</v>
      </c>
      <c r="G9" s="349">
        <v>4.62</v>
      </c>
      <c r="H9" s="349">
        <v>4.72</v>
      </c>
      <c r="I9" s="349">
        <v>4.82</v>
      </c>
      <c r="J9" s="349">
        <v>4.91</v>
      </c>
      <c r="K9" s="349">
        <v>4.9800000000000004</v>
      </c>
      <c r="L9" s="349">
        <v>5.05</v>
      </c>
      <c r="M9" s="349">
        <v>5.1100000000000003</v>
      </c>
      <c r="N9" s="349">
        <v>5.16</v>
      </c>
      <c r="O9" s="349">
        <v>5.21</v>
      </c>
      <c r="P9" s="2303">
        <v>5.25</v>
      </c>
      <c r="Q9" s="349">
        <v>5.28</v>
      </c>
      <c r="R9" s="349">
        <v>5.31</v>
      </c>
      <c r="S9" s="349">
        <v>5.34</v>
      </c>
      <c r="T9" s="349">
        <v>5.36</v>
      </c>
      <c r="U9" s="349">
        <v>5.38</v>
      </c>
      <c r="V9" s="349">
        <v>5.39</v>
      </c>
      <c r="W9" s="349">
        <v>5.39</v>
      </c>
      <c r="X9" s="349">
        <v>5.4</v>
      </c>
      <c r="Y9" s="349">
        <v>5.4</v>
      </c>
      <c r="Z9" s="349">
        <v>5.41</v>
      </c>
      <c r="AA9" s="349">
        <v>5.4</v>
      </c>
      <c r="AB9" s="349">
        <v>5.4</v>
      </c>
      <c r="AC9" s="349">
        <v>5.39</v>
      </c>
      <c r="AD9" s="349">
        <v>5.39</v>
      </c>
      <c r="AE9" s="349">
        <v>5.38</v>
      </c>
      <c r="AF9" s="349">
        <v>5.37</v>
      </c>
      <c r="AG9" s="349">
        <v>5.37</v>
      </c>
      <c r="AH9" s="349">
        <v>5.36</v>
      </c>
      <c r="AI9" s="349">
        <v>5.35</v>
      </c>
      <c r="AJ9" s="349">
        <v>5.34</v>
      </c>
      <c r="AK9" s="349">
        <v>5.33</v>
      </c>
      <c r="AL9" s="349">
        <v>5.33</v>
      </c>
      <c r="AM9" s="349">
        <v>5.32</v>
      </c>
      <c r="AN9" s="349">
        <v>5.32</v>
      </c>
      <c r="AO9" s="349">
        <v>5.31</v>
      </c>
      <c r="AP9" s="349">
        <v>5.3</v>
      </c>
      <c r="AQ9" s="349">
        <v>5.29</v>
      </c>
      <c r="AR9" s="349">
        <v>5.28</v>
      </c>
      <c r="AS9" s="349">
        <v>5.27</v>
      </c>
      <c r="AT9" s="349">
        <v>5.26</v>
      </c>
      <c r="AU9" s="349">
        <v>5.26</v>
      </c>
      <c r="AV9" s="349">
        <v>5.25</v>
      </c>
      <c r="AW9" s="349">
        <v>5.24</v>
      </c>
      <c r="AX9" s="349">
        <v>5.23</v>
      </c>
      <c r="AY9" s="349">
        <v>5.23</v>
      </c>
      <c r="AZ9" s="150">
        <v>2.75E-2</v>
      </c>
      <c r="BA9" s="104">
        <f>+AZ9*100</f>
        <v>2.75</v>
      </c>
    </row>
    <row r="10" spans="1:53" s="106" customFormat="1" ht="12.75">
      <c r="A10" s="105">
        <v>39844</v>
      </c>
      <c r="B10" s="349">
        <v>3.94</v>
      </c>
      <c r="C10" s="349">
        <v>4.08</v>
      </c>
      <c r="D10" s="349">
        <v>4.24</v>
      </c>
      <c r="E10" s="349">
        <v>4.4000000000000004</v>
      </c>
      <c r="F10" s="349">
        <v>4.51</v>
      </c>
      <c r="G10" s="349">
        <v>4.62</v>
      </c>
      <c r="H10" s="349">
        <v>4.7300000000000004</v>
      </c>
      <c r="I10" s="349">
        <v>4.83</v>
      </c>
      <c r="J10" s="349">
        <v>4.91</v>
      </c>
      <c r="K10" s="349">
        <v>4.99</v>
      </c>
      <c r="L10" s="349">
        <v>5.0599999999999996</v>
      </c>
      <c r="M10" s="349">
        <v>5.12</v>
      </c>
      <c r="N10" s="349">
        <v>5.17</v>
      </c>
      <c r="O10" s="349">
        <v>5.22</v>
      </c>
      <c r="P10" s="2303">
        <v>5.26</v>
      </c>
      <c r="Q10" s="349">
        <v>5.29</v>
      </c>
      <c r="R10" s="349">
        <v>5.32</v>
      </c>
      <c r="S10" s="349">
        <v>5.35</v>
      </c>
      <c r="T10" s="349">
        <v>5.37</v>
      </c>
      <c r="U10" s="349">
        <v>5.39</v>
      </c>
      <c r="V10" s="349">
        <v>5.4</v>
      </c>
      <c r="W10" s="349">
        <v>5.4</v>
      </c>
      <c r="X10" s="349">
        <v>5.41</v>
      </c>
      <c r="Y10" s="349">
        <v>5.41</v>
      </c>
      <c r="Z10" s="349">
        <v>5.42</v>
      </c>
      <c r="AA10" s="349">
        <v>5.41</v>
      </c>
      <c r="AB10" s="349">
        <v>5.4</v>
      </c>
      <c r="AC10" s="349">
        <v>5.4</v>
      </c>
      <c r="AD10" s="349">
        <v>5.39</v>
      </c>
      <c r="AE10" s="349">
        <v>5.39</v>
      </c>
      <c r="AF10" s="349">
        <v>5.38</v>
      </c>
      <c r="AG10" s="349">
        <v>5.37</v>
      </c>
      <c r="AH10" s="349">
        <v>5.36</v>
      </c>
      <c r="AI10" s="349">
        <v>5.35</v>
      </c>
      <c r="AJ10" s="349">
        <v>5.35</v>
      </c>
      <c r="AK10" s="349">
        <v>5.34</v>
      </c>
      <c r="AL10" s="349">
        <v>5.33</v>
      </c>
      <c r="AM10" s="349">
        <v>5.32</v>
      </c>
      <c r="AN10" s="349">
        <v>5.32</v>
      </c>
      <c r="AO10" s="349">
        <v>5.31</v>
      </c>
      <c r="AP10" s="349">
        <v>5.3</v>
      </c>
      <c r="AQ10" s="349">
        <v>5.29</v>
      </c>
      <c r="AR10" s="349">
        <v>5.28</v>
      </c>
      <c r="AS10" s="349">
        <v>5.27</v>
      </c>
      <c r="AT10" s="349">
        <v>5.27</v>
      </c>
      <c r="AU10" s="349">
        <v>5.26</v>
      </c>
      <c r="AV10" s="349">
        <v>5.25</v>
      </c>
      <c r="AW10" s="349">
        <v>5.24</v>
      </c>
      <c r="AX10" s="349">
        <v>5.24</v>
      </c>
      <c r="AY10" s="349">
        <v>5.23</v>
      </c>
      <c r="AZ10" s="150">
        <v>2.75E-2</v>
      </c>
      <c r="BA10" s="104">
        <f t="shared" ref="BA10:BA73" si="0">+AZ10*100</f>
        <v>2.75</v>
      </c>
    </row>
    <row r="11" spans="1:53" s="106" customFormat="1" ht="12.75">
      <c r="A11" s="105">
        <v>39872</v>
      </c>
      <c r="B11" s="349">
        <v>3.94</v>
      </c>
      <c r="C11" s="349">
        <v>4.08</v>
      </c>
      <c r="D11" s="349">
        <v>4.24</v>
      </c>
      <c r="E11" s="349">
        <v>4.41</v>
      </c>
      <c r="F11" s="349">
        <v>4.51</v>
      </c>
      <c r="G11" s="349">
        <v>4.63</v>
      </c>
      <c r="H11" s="349">
        <v>4.74</v>
      </c>
      <c r="I11" s="349">
        <v>4.83</v>
      </c>
      <c r="J11" s="349">
        <v>4.92</v>
      </c>
      <c r="K11" s="349">
        <v>5</v>
      </c>
      <c r="L11" s="349">
        <v>5.07</v>
      </c>
      <c r="M11" s="349">
        <v>5.13</v>
      </c>
      <c r="N11" s="349">
        <v>5.18</v>
      </c>
      <c r="O11" s="349">
        <v>5.23</v>
      </c>
      <c r="P11" s="2303">
        <v>5.27</v>
      </c>
      <c r="Q11" s="349">
        <v>5.3</v>
      </c>
      <c r="R11" s="349">
        <v>5.33</v>
      </c>
      <c r="S11" s="349">
        <v>5.36</v>
      </c>
      <c r="T11" s="349">
        <v>5.38</v>
      </c>
      <c r="U11" s="349">
        <v>5.4</v>
      </c>
      <c r="V11" s="349">
        <v>5.4</v>
      </c>
      <c r="W11" s="349">
        <v>5.41</v>
      </c>
      <c r="X11" s="349">
        <v>5.41</v>
      </c>
      <c r="Y11" s="349">
        <v>5.42</v>
      </c>
      <c r="Z11" s="349">
        <v>5.42</v>
      </c>
      <c r="AA11" s="349">
        <v>5.42</v>
      </c>
      <c r="AB11" s="349">
        <v>5.41</v>
      </c>
      <c r="AC11" s="349">
        <v>5.4</v>
      </c>
      <c r="AD11" s="349">
        <v>5.4</v>
      </c>
      <c r="AE11" s="349">
        <v>5.39</v>
      </c>
      <c r="AF11" s="349">
        <v>5.38</v>
      </c>
      <c r="AG11" s="349">
        <v>5.37</v>
      </c>
      <c r="AH11" s="349">
        <v>5.36</v>
      </c>
      <c r="AI11" s="349">
        <v>5.35</v>
      </c>
      <c r="AJ11" s="349">
        <v>5.35</v>
      </c>
      <c r="AK11" s="349">
        <v>5.34</v>
      </c>
      <c r="AL11" s="349">
        <v>5.33</v>
      </c>
      <c r="AM11" s="349">
        <v>5.32</v>
      </c>
      <c r="AN11" s="349">
        <v>5.32</v>
      </c>
      <c r="AO11" s="349">
        <v>5.31</v>
      </c>
      <c r="AP11" s="349">
        <v>5.3</v>
      </c>
      <c r="AQ11" s="349">
        <v>5.29</v>
      </c>
      <c r="AR11" s="349">
        <v>5.28</v>
      </c>
      <c r="AS11" s="349">
        <v>5.27</v>
      </c>
      <c r="AT11" s="349">
        <v>5.26</v>
      </c>
      <c r="AU11" s="349">
        <v>5.26</v>
      </c>
      <c r="AV11" s="349">
        <v>5.25</v>
      </c>
      <c r="AW11" s="349">
        <v>5.24</v>
      </c>
      <c r="AX11" s="349">
        <v>5.23</v>
      </c>
      <c r="AY11" s="349">
        <v>5.23</v>
      </c>
      <c r="AZ11" s="150">
        <v>2.75E-2</v>
      </c>
      <c r="BA11" s="104">
        <f t="shared" si="0"/>
        <v>2.75</v>
      </c>
    </row>
    <row r="12" spans="1:53" s="106" customFormat="1" ht="12.75">
      <c r="A12" s="105">
        <v>39903</v>
      </c>
      <c r="B12" s="349">
        <v>3.95</v>
      </c>
      <c r="C12" s="349">
        <v>4.08</v>
      </c>
      <c r="D12" s="349">
        <v>4.24</v>
      </c>
      <c r="E12" s="349">
        <v>4.41</v>
      </c>
      <c r="F12" s="349">
        <v>4.51</v>
      </c>
      <c r="G12" s="349">
        <v>4.63</v>
      </c>
      <c r="H12" s="349">
        <v>4.74</v>
      </c>
      <c r="I12" s="349">
        <v>4.84</v>
      </c>
      <c r="J12" s="349">
        <v>4.93</v>
      </c>
      <c r="K12" s="349">
        <v>5.01</v>
      </c>
      <c r="L12" s="349">
        <v>5.08</v>
      </c>
      <c r="M12" s="349">
        <v>5.13</v>
      </c>
      <c r="N12" s="349">
        <v>5.19</v>
      </c>
      <c r="O12" s="349">
        <v>5.24</v>
      </c>
      <c r="P12" s="2303">
        <v>5.28</v>
      </c>
      <c r="Q12" s="349">
        <v>5.31</v>
      </c>
      <c r="R12" s="349">
        <v>5.34</v>
      </c>
      <c r="S12" s="349">
        <v>5.37</v>
      </c>
      <c r="T12" s="349">
        <v>5.39</v>
      </c>
      <c r="U12" s="349">
        <v>5.41</v>
      </c>
      <c r="V12" s="349">
        <v>5.41</v>
      </c>
      <c r="W12" s="349">
        <v>5.42</v>
      </c>
      <c r="X12" s="349">
        <v>5.42</v>
      </c>
      <c r="Y12" s="349">
        <v>5.43</v>
      </c>
      <c r="Z12" s="349">
        <v>5.43</v>
      </c>
      <c r="AA12" s="349">
        <v>5.42</v>
      </c>
      <c r="AB12" s="349">
        <v>5.42</v>
      </c>
      <c r="AC12" s="349">
        <v>5.41</v>
      </c>
      <c r="AD12" s="349">
        <v>5.4</v>
      </c>
      <c r="AE12" s="349">
        <v>5.4</v>
      </c>
      <c r="AF12" s="349">
        <v>5.39</v>
      </c>
      <c r="AG12" s="349">
        <v>5.38</v>
      </c>
      <c r="AH12" s="349">
        <v>5.37</v>
      </c>
      <c r="AI12" s="349">
        <v>5.36</v>
      </c>
      <c r="AJ12" s="349">
        <v>5.35</v>
      </c>
      <c r="AK12" s="349">
        <v>5.34</v>
      </c>
      <c r="AL12" s="349">
        <v>5.34</v>
      </c>
      <c r="AM12" s="349">
        <v>5.33</v>
      </c>
      <c r="AN12" s="349">
        <v>5.32</v>
      </c>
      <c r="AO12" s="349">
        <v>5.32</v>
      </c>
      <c r="AP12" s="349">
        <v>5.31</v>
      </c>
      <c r="AQ12" s="349">
        <v>5.3</v>
      </c>
      <c r="AR12" s="349">
        <v>5.29</v>
      </c>
      <c r="AS12" s="349">
        <v>5.28</v>
      </c>
      <c r="AT12" s="349">
        <v>5.27</v>
      </c>
      <c r="AU12" s="349">
        <v>5.26</v>
      </c>
      <c r="AV12" s="349">
        <v>5.25</v>
      </c>
      <c r="AW12" s="349">
        <v>5.25</v>
      </c>
      <c r="AX12" s="349">
        <v>5.24</v>
      </c>
      <c r="AY12" s="349">
        <v>5.23</v>
      </c>
      <c r="AZ12" s="150">
        <v>2.75E-2</v>
      </c>
      <c r="BA12" s="104">
        <f t="shared" si="0"/>
        <v>2.75</v>
      </c>
    </row>
    <row r="13" spans="1:53" s="106" customFormat="1" ht="12.75">
      <c r="A13" s="105">
        <v>39933</v>
      </c>
      <c r="B13" s="349">
        <v>3.95</v>
      </c>
      <c r="C13" s="349">
        <v>4.08</v>
      </c>
      <c r="D13" s="349">
        <v>4.24</v>
      </c>
      <c r="E13" s="349">
        <v>4.41</v>
      </c>
      <c r="F13" s="349">
        <v>4.51</v>
      </c>
      <c r="G13" s="349">
        <v>4.63</v>
      </c>
      <c r="H13" s="349">
        <v>4.74</v>
      </c>
      <c r="I13" s="349">
        <v>4.84</v>
      </c>
      <c r="J13" s="349">
        <v>4.93</v>
      </c>
      <c r="K13" s="349">
        <v>5.01</v>
      </c>
      <c r="L13" s="349">
        <v>5.08</v>
      </c>
      <c r="M13" s="349">
        <v>5.14</v>
      </c>
      <c r="N13" s="349">
        <v>5.2</v>
      </c>
      <c r="O13" s="349">
        <v>5.24</v>
      </c>
      <c r="P13" s="2303">
        <v>5.29</v>
      </c>
      <c r="Q13" s="349">
        <v>5.32</v>
      </c>
      <c r="R13" s="349">
        <v>5.35</v>
      </c>
      <c r="S13" s="349">
        <v>5.37</v>
      </c>
      <c r="T13" s="349">
        <v>5.39</v>
      </c>
      <c r="U13" s="349">
        <v>5.41</v>
      </c>
      <c r="V13" s="349">
        <v>5.42</v>
      </c>
      <c r="W13" s="349">
        <v>5.42</v>
      </c>
      <c r="X13" s="349">
        <v>5.43</v>
      </c>
      <c r="Y13" s="349">
        <v>5.43</v>
      </c>
      <c r="Z13" s="349">
        <v>5.43</v>
      </c>
      <c r="AA13" s="349">
        <v>5.43</v>
      </c>
      <c r="AB13" s="349">
        <v>5.42</v>
      </c>
      <c r="AC13" s="349">
        <v>5.41</v>
      </c>
      <c r="AD13" s="349">
        <v>5.41</v>
      </c>
      <c r="AE13" s="349">
        <v>5.4</v>
      </c>
      <c r="AF13" s="349">
        <v>5.39</v>
      </c>
      <c r="AG13" s="349">
        <v>5.38</v>
      </c>
      <c r="AH13" s="349">
        <v>5.37</v>
      </c>
      <c r="AI13" s="349">
        <v>5.36</v>
      </c>
      <c r="AJ13" s="349">
        <v>5.35</v>
      </c>
      <c r="AK13" s="349">
        <v>5.35</v>
      </c>
      <c r="AL13" s="349">
        <v>5.34</v>
      </c>
      <c r="AM13" s="349">
        <v>5.33</v>
      </c>
      <c r="AN13" s="349">
        <v>5.32</v>
      </c>
      <c r="AO13" s="349">
        <v>5.32</v>
      </c>
      <c r="AP13" s="349">
        <v>5.31</v>
      </c>
      <c r="AQ13" s="349">
        <v>5.3</v>
      </c>
      <c r="AR13" s="349">
        <v>5.29</v>
      </c>
      <c r="AS13" s="349">
        <v>5.28</v>
      </c>
      <c r="AT13" s="349">
        <v>5.27</v>
      </c>
      <c r="AU13" s="349">
        <v>5.26</v>
      </c>
      <c r="AV13" s="349">
        <v>5.26</v>
      </c>
      <c r="AW13" s="349">
        <v>5.25</v>
      </c>
      <c r="AX13" s="349">
        <v>5.24</v>
      </c>
      <c r="AY13" s="349">
        <v>5.23</v>
      </c>
      <c r="AZ13" s="150">
        <v>2.75E-2</v>
      </c>
      <c r="BA13" s="104">
        <f t="shared" si="0"/>
        <v>2.75</v>
      </c>
    </row>
    <row r="14" spans="1:53" s="106" customFormat="1" ht="12.75">
      <c r="A14" s="105">
        <v>39964</v>
      </c>
      <c r="B14" s="349">
        <v>3.93</v>
      </c>
      <c r="C14" s="349">
        <v>4.07</v>
      </c>
      <c r="D14" s="349">
        <v>4.2300000000000004</v>
      </c>
      <c r="E14" s="349">
        <v>4.4000000000000004</v>
      </c>
      <c r="F14" s="349">
        <v>4.51</v>
      </c>
      <c r="G14" s="349">
        <v>4.63</v>
      </c>
      <c r="H14" s="349">
        <v>4.74</v>
      </c>
      <c r="I14" s="349">
        <v>4.84</v>
      </c>
      <c r="J14" s="349">
        <v>4.93</v>
      </c>
      <c r="K14" s="349">
        <v>5.01</v>
      </c>
      <c r="L14" s="349">
        <v>5.08</v>
      </c>
      <c r="M14" s="349">
        <v>5.14</v>
      </c>
      <c r="N14" s="349">
        <v>5.2</v>
      </c>
      <c r="O14" s="349">
        <v>5.25</v>
      </c>
      <c r="P14" s="2303">
        <v>5.29</v>
      </c>
      <c r="Q14" s="349">
        <v>5.32</v>
      </c>
      <c r="R14" s="349">
        <v>5.35</v>
      </c>
      <c r="S14" s="349">
        <v>5.37</v>
      </c>
      <c r="T14" s="349">
        <v>5.4</v>
      </c>
      <c r="U14" s="349">
        <v>5.42</v>
      </c>
      <c r="V14" s="349">
        <v>5.42</v>
      </c>
      <c r="W14" s="349">
        <v>5.42</v>
      </c>
      <c r="X14" s="349">
        <v>5.43</v>
      </c>
      <c r="Y14" s="349">
        <v>5.43</v>
      </c>
      <c r="Z14" s="349">
        <v>5.43</v>
      </c>
      <c r="AA14" s="349">
        <v>5.43</v>
      </c>
      <c r="AB14" s="349">
        <v>5.42</v>
      </c>
      <c r="AC14" s="349">
        <v>5.41</v>
      </c>
      <c r="AD14" s="349">
        <v>5.41</v>
      </c>
      <c r="AE14" s="349">
        <v>5.4</v>
      </c>
      <c r="AF14" s="349">
        <v>5.39</v>
      </c>
      <c r="AG14" s="349">
        <v>5.38</v>
      </c>
      <c r="AH14" s="349">
        <v>5.37</v>
      </c>
      <c r="AI14" s="349">
        <v>5.36</v>
      </c>
      <c r="AJ14" s="349">
        <v>5.35</v>
      </c>
      <c r="AK14" s="349">
        <v>5.34</v>
      </c>
      <c r="AL14" s="349">
        <v>5.34</v>
      </c>
      <c r="AM14" s="349">
        <v>5.33</v>
      </c>
      <c r="AN14" s="349">
        <v>5.32</v>
      </c>
      <c r="AO14" s="349">
        <v>5.31</v>
      </c>
      <c r="AP14" s="349">
        <v>5.3</v>
      </c>
      <c r="AQ14" s="349">
        <v>5.29</v>
      </c>
      <c r="AR14" s="349">
        <v>5.29</v>
      </c>
      <c r="AS14" s="349">
        <v>5.28</v>
      </c>
      <c r="AT14" s="349">
        <v>5.27</v>
      </c>
      <c r="AU14" s="349">
        <v>5.26</v>
      </c>
      <c r="AV14" s="349">
        <v>5.25</v>
      </c>
      <c r="AW14" s="349">
        <v>5.24</v>
      </c>
      <c r="AX14" s="349">
        <v>5.24</v>
      </c>
      <c r="AY14" s="349">
        <v>5.23</v>
      </c>
      <c r="AZ14" s="150">
        <v>2.75E-2</v>
      </c>
      <c r="BA14" s="104">
        <f t="shared" si="0"/>
        <v>2.75</v>
      </c>
    </row>
    <row r="15" spans="1:53" s="106" customFormat="1" ht="12.75">
      <c r="A15" s="105">
        <v>39994</v>
      </c>
      <c r="B15" s="349">
        <v>3.92</v>
      </c>
      <c r="C15" s="349">
        <v>4.05</v>
      </c>
      <c r="D15" s="349">
        <v>4.22</v>
      </c>
      <c r="E15" s="349">
        <v>4.3899999999999997</v>
      </c>
      <c r="F15" s="349">
        <v>4.5</v>
      </c>
      <c r="G15" s="349">
        <v>4.62</v>
      </c>
      <c r="H15" s="349">
        <v>4.7300000000000004</v>
      </c>
      <c r="I15" s="349">
        <v>4.83</v>
      </c>
      <c r="J15" s="349">
        <v>4.92</v>
      </c>
      <c r="K15" s="349">
        <v>5</v>
      </c>
      <c r="L15" s="349">
        <v>5.08</v>
      </c>
      <c r="M15" s="349">
        <v>5.14</v>
      </c>
      <c r="N15" s="349">
        <v>5.19</v>
      </c>
      <c r="O15" s="349">
        <v>5.24</v>
      </c>
      <c r="P15" s="2303">
        <v>5.29</v>
      </c>
      <c r="Q15" s="349">
        <v>5.32</v>
      </c>
      <c r="R15" s="349">
        <v>5.35</v>
      </c>
      <c r="S15" s="349">
        <v>5.37</v>
      </c>
      <c r="T15" s="349">
        <v>5.4</v>
      </c>
      <c r="U15" s="349">
        <v>5.42</v>
      </c>
      <c r="V15" s="349">
        <v>5.42</v>
      </c>
      <c r="W15" s="349">
        <v>5.42</v>
      </c>
      <c r="X15" s="349">
        <v>5.43</v>
      </c>
      <c r="Y15" s="349">
        <v>5.43</v>
      </c>
      <c r="Z15" s="349">
        <v>5.43</v>
      </c>
      <c r="AA15" s="349">
        <v>5.43</v>
      </c>
      <c r="AB15" s="349">
        <v>5.42</v>
      </c>
      <c r="AC15" s="349">
        <v>5.41</v>
      </c>
      <c r="AD15" s="349">
        <v>5.4</v>
      </c>
      <c r="AE15" s="349">
        <v>5.4</v>
      </c>
      <c r="AF15" s="349">
        <v>5.39</v>
      </c>
      <c r="AG15" s="349">
        <v>5.38</v>
      </c>
      <c r="AH15" s="349">
        <v>5.37</v>
      </c>
      <c r="AI15" s="349">
        <v>5.36</v>
      </c>
      <c r="AJ15" s="349">
        <v>5.35</v>
      </c>
      <c r="AK15" s="349">
        <v>5.34</v>
      </c>
      <c r="AL15" s="349">
        <v>5.33</v>
      </c>
      <c r="AM15" s="349">
        <v>5.33</v>
      </c>
      <c r="AN15" s="349">
        <v>5.32</v>
      </c>
      <c r="AO15" s="349">
        <v>5.31</v>
      </c>
      <c r="AP15" s="349">
        <v>5.3</v>
      </c>
      <c r="AQ15" s="349">
        <v>5.29</v>
      </c>
      <c r="AR15" s="349">
        <v>5.28</v>
      </c>
      <c r="AS15" s="349">
        <v>5.27</v>
      </c>
      <c r="AT15" s="349">
        <v>5.27</v>
      </c>
      <c r="AU15" s="349">
        <v>5.26</v>
      </c>
      <c r="AV15" s="349">
        <v>5.25</v>
      </c>
      <c r="AW15" s="349">
        <v>5.24</v>
      </c>
      <c r="AX15" s="349">
        <v>5.23</v>
      </c>
      <c r="AY15" s="349">
        <v>5.23</v>
      </c>
      <c r="AZ15" s="150">
        <v>2.75E-2</v>
      </c>
      <c r="BA15" s="104">
        <f t="shared" si="0"/>
        <v>2.75</v>
      </c>
    </row>
    <row r="16" spans="1:53" s="106" customFormat="1" ht="12.75">
      <c r="A16" s="105">
        <v>40025</v>
      </c>
      <c r="B16" s="349">
        <v>3.9</v>
      </c>
      <c r="C16" s="349">
        <v>4.04</v>
      </c>
      <c r="D16" s="349">
        <v>4.2</v>
      </c>
      <c r="E16" s="349">
        <v>4.38</v>
      </c>
      <c r="F16" s="349">
        <v>4.49</v>
      </c>
      <c r="G16" s="349">
        <v>4.6100000000000003</v>
      </c>
      <c r="H16" s="349">
        <v>4.72</v>
      </c>
      <c r="I16" s="349">
        <v>4.82</v>
      </c>
      <c r="J16" s="349">
        <v>4.91</v>
      </c>
      <c r="K16" s="349">
        <v>4.99</v>
      </c>
      <c r="L16" s="349">
        <v>5.07</v>
      </c>
      <c r="M16" s="349">
        <v>5.13</v>
      </c>
      <c r="N16" s="349">
        <v>5.19</v>
      </c>
      <c r="O16" s="349">
        <v>5.24</v>
      </c>
      <c r="P16" s="2303">
        <v>5.28</v>
      </c>
      <c r="Q16" s="349">
        <v>5.31</v>
      </c>
      <c r="R16" s="349">
        <v>5.34</v>
      </c>
      <c r="S16" s="349">
        <v>5.37</v>
      </c>
      <c r="T16" s="349">
        <v>5.39</v>
      </c>
      <c r="U16" s="349">
        <v>5.41</v>
      </c>
      <c r="V16" s="349">
        <v>5.41</v>
      </c>
      <c r="W16" s="349">
        <v>5.42</v>
      </c>
      <c r="X16" s="349">
        <v>5.42</v>
      </c>
      <c r="Y16" s="349">
        <v>5.42</v>
      </c>
      <c r="Z16" s="349">
        <v>5.43</v>
      </c>
      <c r="AA16" s="349">
        <v>5.42</v>
      </c>
      <c r="AB16" s="349">
        <v>5.41</v>
      </c>
      <c r="AC16" s="349">
        <v>5.4</v>
      </c>
      <c r="AD16" s="349">
        <v>5.4</v>
      </c>
      <c r="AE16" s="349">
        <v>5.39</v>
      </c>
      <c r="AF16" s="349">
        <v>5.38</v>
      </c>
      <c r="AG16" s="349">
        <v>5.37</v>
      </c>
      <c r="AH16" s="349">
        <v>5.36</v>
      </c>
      <c r="AI16" s="349">
        <v>5.35</v>
      </c>
      <c r="AJ16" s="349">
        <v>5.34</v>
      </c>
      <c r="AK16" s="349">
        <v>5.33</v>
      </c>
      <c r="AL16" s="349">
        <v>5.32</v>
      </c>
      <c r="AM16" s="349">
        <v>5.32</v>
      </c>
      <c r="AN16" s="349">
        <v>5.31</v>
      </c>
      <c r="AO16" s="349">
        <v>5.3</v>
      </c>
      <c r="AP16" s="349">
        <v>5.29</v>
      </c>
      <c r="AQ16" s="349">
        <v>5.28</v>
      </c>
      <c r="AR16" s="349">
        <v>5.27</v>
      </c>
      <c r="AS16" s="349">
        <v>5.26</v>
      </c>
      <c r="AT16" s="349">
        <v>5.26</v>
      </c>
      <c r="AU16" s="349">
        <v>5.25</v>
      </c>
      <c r="AV16" s="349">
        <v>5.24</v>
      </c>
      <c r="AW16" s="349">
        <v>5.23</v>
      </c>
      <c r="AX16" s="349">
        <v>5.22</v>
      </c>
      <c r="AY16" s="349">
        <v>5.22</v>
      </c>
      <c r="AZ16" s="150">
        <v>2.75E-2</v>
      </c>
      <c r="BA16" s="104">
        <f t="shared" si="0"/>
        <v>2.75</v>
      </c>
    </row>
    <row r="17" spans="1:53" s="106" customFormat="1" ht="12.75">
      <c r="A17" s="105">
        <v>40056</v>
      </c>
      <c r="B17" s="349">
        <v>3.88</v>
      </c>
      <c r="C17" s="349">
        <v>4.0199999999999996</v>
      </c>
      <c r="D17" s="349">
        <v>4.1900000000000004</v>
      </c>
      <c r="E17" s="349">
        <v>4.3499999999999996</v>
      </c>
      <c r="F17" s="349">
        <v>4.4800000000000004</v>
      </c>
      <c r="G17" s="349">
        <v>4.5999999999999996</v>
      </c>
      <c r="H17" s="349">
        <v>4.72</v>
      </c>
      <c r="I17" s="349">
        <v>4.82</v>
      </c>
      <c r="J17" s="349">
        <v>4.91</v>
      </c>
      <c r="K17" s="349">
        <v>4.99</v>
      </c>
      <c r="L17" s="349">
        <v>5.0599999999999996</v>
      </c>
      <c r="M17" s="349">
        <v>5.12</v>
      </c>
      <c r="N17" s="349">
        <v>5.18</v>
      </c>
      <c r="O17" s="349">
        <v>5.23</v>
      </c>
      <c r="P17" s="2303">
        <v>5.28</v>
      </c>
      <c r="Q17" s="349">
        <v>5.31</v>
      </c>
      <c r="R17" s="349">
        <v>5.34</v>
      </c>
      <c r="S17" s="349">
        <v>5.36</v>
      </c>
      <c r="T17" s="349">
        <v>5.39</v>
      </c>
      <c r="U17" s="349">
        <v>5.41</v>
      </c>
      <c r="V17" s="349">
        <v>5.41</v>
      </c>
      <c r="W17" s="349">
        <v>5.41</v>
      </c>
      <c r="X17" s="349">
        <v>5.42</v>
      </c>
      <c r="Y17" s="349">
        <v>5.42</v>
      </c>
      <c r="Z17" s="349">
        <v>5.42</v>
      </c>
      <c r="AA17" s="349">
        <v>5.41</v>
      </c>
      <c r="AB17" s="349">
        <v>5.41</v>
      </c>
      <c r="AC17" s="349">
        <v>5.4</v>
      </c>
      <c r="AD17" s="349">
        <v>5.39</v>
      </c>
      <c r="AE17" s="349">
        <v>5.39</v>
      </c>
      <c r="AF17" s="349">
        <v>5.38</v>
      </c>
      <c r="AG17" s="349">
        <v>5.36</v>
      </c>
      <c r="AH17" s="349">
        <v>5.35</v>
      </c>
      <c r="AI17" s="349">
        <v>5.34</v>
      </c>
      <c r="AJ17" s="349">
        <v>5.34</v>
      </c>
      <c r="AK17" s="349">
        <v>5.33</v>
      </c>
      <c r="AL17" s="349">
        <v>5.32</v>
      </c>
      <c r="AM17" s="349">
        <v>5.31</v>
      </c>
      <c r="AN17" s="349">
        <v>5.3</v>
      </c>
      <c r="AO17" s="349">
        <v>5.3</v>
      </c>
      <c r="AP17" s="349">
        <v>5.29</v>
      </c>
      <c r="AQ17" s="349">
        <v>5.28</v>
      </c>
      <c r="AR17" s="349">
        <v>5.27</v>
      </c>
      <c r="AS17" s="349">
        <v>5.26</v>
      </c>
      <c r="AT17" s="349">
        <v>5.25</v>
      </c>
      <c r="AU17" s="349">
        <v>5.24</v>
      </c>
      <c r="AV17" s="349">
        <v>5.23</v>
      </c>
      <c r="AW17" s="349">
        <v>5.23</v>
      </c>
      <c r="AX17" s="349">
        <v>5.22</v>
      </c>
      <c r="AY17" s="349">
        <v>5.21</v>
      </c>
      <c r="AZ17" s="150">
        <v>2.75E-2</v>
      </c>
      <c r="BA17" s="104">
        <f t="shared" si="0"/>
        <v>2.75</v>
      </c>
    </row>
    <row r="18" spans="1:53" s="106" customFormat="1" ht="12.75">
      <c r="A18" s="105">
        <v>40086</v>
      </c>
      <c r="B18" s="349">
        <v>3.87</v>
      </c>
      <c r="C18" s="349">
        <v>4.01</v>
      </c>
      <c r="D18" s="349">
        <v>4.18</v>
      </c>
      <c r="E18" s="349">
        <v>4.34</v>
      </c>
      <c r="F18" s="349">
        <v>4.47</v>
      </c>
      <c r="G18" s="349">
        <v>4.5999999999999996</v>
      </c>
      <c r="H18" s="349">
        <v>4.71</v>
      </c>
      <c r="I18" s="349">
        <v>4.8099999999999996</v>
      </c>
      <c r="J18" s="349">
        <v>4.9000000000000004</v>
      </c>
      <c r="K18" s="349">
        <v>4.9800000000000004</v>
      </c>
      <c r="L18" s="349">
        <v>5.0599999999999996</v>
      </c>
      <c r="M18" s="349">
        <v>5.12</v>
      </c>
      <c r="N18" s="349">
        <v>5.18</v>
      </c>
      <c r="O18" s="349">
        <v>5.23</v>
      </c>
      <c r="P18" s="2303">
        <v>5.27</v>
      </c>
      <c r="Q18" s="349">
        <v>5.3</v>
      </c>
      <c r="R18" s="349">
        <v>5.33</v>
      </c>
      <c r="S18" s="349">
        <v>5.36</v>
      </c>
      <c r="T18" s="349">
        <v>5.38</v>
      </c>
      <c r="U18" s="349">
        <v>5.4</v>
      </c>
      <c r="V18" s="349">
        <v>5.41</v>
      </c>
      <c r="W18" s="349">
        <v>5.41</v>
      </c>
      <c r="X18" s="349">
        <v>5.41</v>
      </c>
      <c r="Y18" s="349">
        <v>5.41</v>
      </c>
      <c r="Z18" s="349">
        <v>5.42</v>
      </c>
      <c r="AA18" s="349">
        <v>5.41</v>
      </c>
      <c r="AB18" s="349">
        <v>5.4</v>
      </c>
      <c r="AC18" s="349">
        <v>5.39</v>
      </c>
      <c r="AD18" s="349">
        <v>5.39</v>
      </c>
      <c r="AE18" s="349">
        <v>5.38</v>
      </c>
      <c r="AF18" s="349">
        <v>5.37</v>
      </c>
      <c r="AG18" s="349">
        <v>5.36</v>
      </c>
      <c r="AH18" s="349">
        <v>5.35</v>
      </c>
      <c r="AI18" s="349">
        <v>5.34</v>
      </c>
      <c r="AJ18" s="349">
        <v>5.33</v>
      </c>
      <c r="AK18" s="349">
        <v>5.32</v>
      </c>
      <c r="AL18" s="349">
        <v>5.31</v>
      </c>
      <c r="AM18" s="349">
        <v>5.3</v>
      </c>
      <c r="AN18" s="349">
        <v>5.3</v>
      </c>
      <c r="AO18" s="349">
        <v>5.29</v>
      </c>
      <c r="AP18" s="349">
        <v>5.28</v>
      </c>
      <c r="AQ18" s="349">
        <v>5.27</v>
      </c>
      <c r="AR18" s="349">
        <v>5.26</v>
      </c>
      <c r="AS18" s="349">
        <v>5.25</v>
      </c>
      <c r="AT18" s="349">
        <v>5.24</v>
      </c>
      <c r="AU18" s="349">
        <v>5.23</v>
      </c>
      <c r="AV18" s="349">
        <v>5.23</v>
      </c>
      <c r="AW18" s="349">
        <v>5.22</v>
      </c>
      <c r="AX18" s="349">
        <v>5.21</v>
      </c>
      <c r="AY18" s="349">
        <v>5.2</v>
      </c>
      <c r="AZ18" s="150">
        <v>2.75E-2</v>
      </c>
      <c r="BA18" s="104">
        <f t="shared" si="0"/>
        <v>2.75</v>
      </c>
    </row>
    <row r="19" spans="1:53" s="106" customFormat="1" ht="12.75">
      <c r="A19" s="105">
        <v>40117</v>
      </c>
      <c r="B19" s="349">
        <v>3.85</v>
      </c>
      <c r="C19" s="349">
        <v>4</v>
      </c>
      <c r="D19" s="349">
        <v>4.17</v>
      </c>
      <c r="E19" s="349">
        <v>4.33</v>
      </c>
      <c r="F19" s="349">
        <v>4.46</v>
      </c>
      <c r="G19" s="349">
        <v>4.58</v>
      </c>
      <c r="H19" s="349">
        <v>4.7</v>
      </c>
      <c r="I19" s="349">
        <v>4.8</v>
      </c>
      <c r="J19" s="349">
        <v>4.8899999999999997</v>
      </c>
      <c r="K19" s="349">
        <v>4.97</v>
      </c>
      <c r="L19" s="349">
        <v>5.04</v>
      </c>
      <c r="M19" s="349">
        <v>5.1100000000000003</v>
      </c>
      <c r="N19" s="349">
        <v>5.17</v>
      </c>
      <c r="O19" s="349">
        <v>5.22</v>
      </c>
      <c r="P19" s="2303">
        <v>5.26</v>
      </c>
      <c r="Q19" s="349">
        <v>5.29</v>
      </c>
      <c r="R19" s="349">
        <v>5.32</v>
      </c>
      <c r="S19" s="349">
        <v>5.35</v>
      </c>
      <c r="T19" s="349">
        <v>5.37</v>
      </c>
      <c r="U19" s="349">
        <v>5.39</v>
      </c>
      <c r="V19" s="349">
        <v>5.39</v>
      </c>
      <c r="W19" s="349">
        <v>5.4</v>
      </c>
      <c r="X19" s="349">
        <v>5.4</v>
      </c>
      <c r="Y19" s="349">
        <v>5.4</v>
      </c>
      <c r="Z19" s="349">
        <v>5.4</v>
      </c>
      <c r="AA19" s="349">
        <v>5.4</v>
      </c>
      <c r="AB19" s="349">
        <v>5.39</v>
      </c>
      <c r="AC19" s="349">
        <v>5.38</v>
      </c>
      <c r="AD19" s="349">
        <v>5.37</v>
      </c>
      <c r="AE19" s="349">
        <v>5.37</v>
      </c>
      <c r="AF19" s="349">
        <v>5.36</v>
      </c>
      <c r="AG19" s="349">
        <v>5.34</v>
      </c>
      <c r="AH19" s="349">
        <v>5.33</v>
      </c>
      <c r="AI19" s="349">
        <v>5.32</v>
      </c>
      <c r="AJ19" s="349">
        <v>5.31</v>
      </c>
      <c r="AK19" s="349">
        <v>5.31</v>
      </c>
      <c r="AL19" s="349">
        <v>5.3</v>
      </c>
      <c r="AM19" s="349">
        <v>5.29</v>
      </c>
      <c r="AN19" s="349">
        <v>5.28</v>
      </c>
      <c r="AO19" s="349">
        <v>5.27</v>
      </c>
      <c r="AP19" s="349">
        <v>5.26</v>
      </c>
      <c r="AQ19" s="349">
        <v>5.25</v>
      </c>
      <c r="AR19" s="349">
        <v>5.25</v>
      </c>
      <c r="AS19" s="349">
        <v>5.24</v>
      </c>
      <c r="AT19" s="349">
        <v>5.23</v>
      </c>
      <c r="AU19" s="349">
        <v>5.22</v>
      </c>
      <c r="AV19" s="349">
        <v>5.21</v>
      </c>
      <c r="AW19" s="349">
        <v>5.2</v>
      </c>
      <c r="AX19" s="349">
        <v>5.2</v>
      </c>
      <c r="AY19" s="349">
        <v>5.19</v>
      </c>
      <c r="AZ19" s="150">
        <v>2.75E-2</v>
      </c>
      <c r="BA19" s="104">
        <f t="shared" si="0"/>
        <v>2.75</v>
      </c>
    </row>
    <row r="20" spans="1:53" s="106" customFormat="1" ht="12.75">
      <c r="A20" s="105">
        <v>40147</v>
      </c>
      <c r="B20" s="349">
        <v>3.83</v>
      </c>
      <c r="C20" s="349">
        <v>3.98</v>
      </c>
      <c r="D20" s="349">
        <v>4.16</v>
      </c>
      <c r="E20" s="349">
        <v>4.3099999999999996</v>
      </c>
      <c r="F20" s="349">
        <v>4.45</v>
      </c>
      <c r="G20" s="349">
        <v>4.57</v>
      </c>
      <c r="H20" s="349">
        <v>4.6900000000000004</v>
      </c>
      <c r="I20" s="349">
        <v>4.79</v>
      </c>
      <c r="J20" s="349">
        <v>4.88</v>
      </c>
      <c r="K20" s="349">
        <v>4.96</v>
      </c>
      <c r="L20" s="349">
        <v>5.03</v>
      </c>
      <c r="M20" s="349">
        <v>5.0999999999999996</v>
      </c>
      <c r="N20" s="349">
        <v>5.16</v>
      </c>
      <c r="O20" s="349">
        <v>5.21</v>
      </c>
      <c r="P20" s="2303">
        <v>5.25</v>
      </c>
      <c r="Q20" s="349">
        <v>5.28</v>
      </c>
      <c r="R20" s="349">
        <v>5.31</v>
      </c>
      <c r="S20" s="349">
        <v>5.34</v>
      </c>
      <c r="T20" s="349">
        <v>5.36</v>
      </c>
      <c r="U20" s="349">
        <v>5.38</v>
      </c>
      <c r="V20" s="349">
        <v>5.38</v>
      </c>
      <c r="W20" s="349">
        <v>5.39</v>
      </c>
      <c r="X20" s="349">
        <v>5.39</v>
      </c>
      <c r="Y20" s="349">
        <v>5.39</v>
      </c>
      <c r="Z20" s="349">
        <v>5.39</v>
      </c>
      <c r="AA20" s="349">
        <v>5.38</v>
      </c>
      <c r="AB20" s="349">
        <v>5.38</v>
      </c>
      <c r="AC20" s="349">
        <v>5.37</v>
      </c>
      <c r="AD20" s="349">
        <v>5.36</v>
      </c>
      <c r="AE20" s="349">
        <v>5.36</v>
      </c>
      <c r="AF20" s="349">
        <v>5.34</v>
      </c>
      <c r="AG20" s="349">
        <v>5.33</v>
      </c>
      <c r="AH20" s="349">
        <v>5.32</v>
      </c>
      <c r="AI20" s="349">
        <v>5.31</v>
      </c>
      <c r="AJ20" s="349">
        <v>5.3</v>
      </c>
      <c r="AK20" s="349">
        <v>5.29</v>
      </c>
      <c r="AL20" s="349">
        <v>5.28</v>
      </c>
      <c r="AM20" s="349">
        <v>5.28</v>
      </c>
      <c r="AN20" s="349">
        <v>5.27</v>
      </c>
      <c r="AO20" s="349">
        <v>5.26</v>
      </c>
      <c r="AP20" s="349">
        <v>5.25</v>
      </c>
      <c r="AQ20" s="349">
        <v>5.24</v>
      </c>
      <c r="AR20" s="349">
        <v>5.23</v>
      </c>
      <c r="AS20" s="349">
        <v>5.22</v>
      </c>
      <c r="AT20" s="349">
        <v>5.21</v>
      </c>
      <c r="AU20" s="349">
        <v>5.21</v>
      </c>
      <c r="AV20" s="349">
        <v>5.2</v>
      </c>
      <c r="AW20" s="349">
        <v>5.19</v>
      </c>
      <c r="AX20" s="349">
        <v>5.18</v>
      </c>
      <c r="AY20" s="349">
        <v>5.18</v>
      </c>
      <c r="AZ20" s="150">
        <v>2.75E-2</v>
      </c>
      <c r="BA20" s="104">
        <f t="shared" si="0"/>
        <v>2.75</v>
      </c>
    </row>
    <row r="21" spans="1:53" s="106" customFormat="1" ht="12.75">
      <c r="A21" s="105">
        <v>40178</v>
      </c>
      <c r="B21" s="349">
        <v>3.82</v>
      </c>
      <c r="C21" s="349">
        <v>3.97</v>
      </c>
      <c r="D21" s="349">
        <v>4.1500000000000004</v>
      </c>
      <c r="E21" s="349">
        <v>4.3099999999999996</v>
      </c>
      <c r="F21" s="349">
        <v>4.4400000000000004</v>
      </c>
      <c r="G21" s="349">
        <v>4.57</v>
      </c>
      <c r="H21" s="349">
        <v>4.68</v>
      </c>
      <c r="I21" s="349">
        <v>4.78</v>
      </c>
      <c r="J21" s="349">
        <v>4.87</v>
      </c>
      <c r="K21" s="349">
        <v>4.95</v>
      </c>
      <c r="L21" s="349">
        <v>5.03</v>
      </c>
      <c r="M21" s="349">
        <v>5.09</v>
      </c>
      <c r="N21" s="349">
        <v>5.15</v>
      </c>
      <c r="O21" s="349">
        <v>5.2</v>
      </c>
      <c r="P21" s="2303">
        <v>5.25</v>
      </c>
      <c r="Q21" s="349">
        <v>5.28</v>
      </c>
      <c r="R21" s="349">
        <v>5.31</v>
      </c>
      <c r="S21" s="349">
        <v>5.33</v>
      </c>
      <c r="T21" s="349">
        <v>5.36</v>
      </c>
      <c r="U21" s="349">
        <v>5.38</v>
      </c>
      <c r="V21" s="349">
        <v>5.38</v>
      </c>
      <c r="W21" s="349">
        <v>5.38</v>
      </c>
      <c r="X21" s="349">
        <v>5.38</v>
      </c>
      <c r="Y21" s="349">
        <v>5.38</v>
      </c>
      <c r="Z21" s="349">
        <v>5.39</v>
      </c>
      <c r="AA21" s="349">
        <v>5.38</v>
      </c>
      <c r="AB21" s="349">
        <v>5.37</v>
      </c>
      <c r="AC21" s="349">
        <v>5.36</v>
      </c>
      <c r="AD21" s="349">
        <v>5.35</v>
      </c>
      <c r="AE21" s="349">
        <v>5.35</v>
      </c>
      <c r="AF21" s="349">
        <v>5.33</v>
      </c>
      <c r="AG21" s="349">
        <v>5.32</v>
      </c>
      <c r="AH21" s="349">
        <v>5.31</v>
      </c>
      <c r="AI21" s="349">
        <v>5.3</v>
      </c>
      <c r="AJ21" s="349">
        <v>5.29</v>
      </c>
      <c r="AK21" s="349">
        <v>5.28</v>
      </c>
      <c r="AL21" s="349">
        <v>5.27</v>
      </c>
      <c r="AM21" s="349">
        <v>5.27</v>
      </c>
      <c r="AN21" s="349">
        <v>5.26</v>
      </c>
      <c r="AO21" s="349">
        <v>5.25</v>
      </c>
      <c r="AP21" s="349">
        <v>5.24</v>
      </c>
      <c r="AQ21" s="349">
        <v>5.23</v>
      </c>
      <c r="AR21" s="349">
        <v>5.22</v>
      </c>
      <c r="AS21" s="349">
        <v>5.21</v>
      </c>
      <c r="AT21" s="349">
        <v>5.2</v>
      </c>
      <c r="AU21" s="349">
        <v>5.2</v>
      </c>
      <c r="AV21" s="349">
        <v>5.19</v>
      </c>
      <c r="AW21" s="349">
        <v>5.18</v>
      </c>
      <c r="AX21" s="349">
        <v>5.17</v>
      </c>
      <c r="AY21" s="349">
        <v>5.17</v>
      </c>
      <c r="AZ21" s="150">
        <v>2.75E-2</v>
      </c>
      <c r="BA21" s="104">
        <f t="shared" si="0"/>
        <v>2.75</v>
      </c>
    </row>
    <row r="22" spans="1:53" s="106" customFormat="1" ht="12.75">
      <c r="A22" s="105">
        <v>40209</v>
      </c>
      <c r="B22" s="349">
        <v>3.81</v>
      </c>
      <c r="C22" s="349">
        <v>3.96</v>
      </c>
      <c r="D22" s="349">
        <v>4.1399999999999997</v>
      </c>
      <c r="E22" s="349">
        <v>4.3</v>
      </c>
      <c r="F22" s="349">
        <v>4.4400000000000004</v>
      </c>
      <c r="G22" s="349">
        <v>4.5599999999999996</v>
      </c>
      <c r="H22" s="349">
        <v>4.67</v>
      </c>
      <c r="I22" s="349">
        <v>4.78</v>
      </c>
      <c r="J22" s="349">
        <v>4.87</v>
      </c>
      <c r="K22" s="349">
        <v>4.95</v>
      </c>
      <c r="L22" s="349">
        <v>5.0199999999999996</v>
      </c>
      <c r="M22" s="349">
        <v>5.09</v>
      </c>
      <c r="N22" s="349">
        <v>5.15</v>
      </c>
      <c r="O22" s="349">
        <v>5.2</v>
      </c>
      <c r="P22" s="2303">
        <v>5.24</v>
      </c>
      <c r="Q22" s="349">
        <v>5.27</v>
      </c>
      <c r="R22" s="349">
        <v>5.3</v>
      </c>
      <c r="S22" s="349">
        <v>5.33</v>
      </c>
      <c r="T22" s="349">
        <v>5.35</v>
      </c>
      <c r="U22" s="349">
        <v>5.37</v>
      </c>
      <c r="V22" s="349">
        <v>5.37</v>
      </c>
      <c r="W22" s="349">
        <v>5.37</v>
      </c>
      <c r="X22" s="349">
        <v>5.38</v>
      </c>
      <c r="Y22" s="349">
        <v>5.38</v>
      </c>
      <c r="Z22" s="349">
        <v>5.38</v>
      </c>
      <c r="AA22" s="349">
        <v>5.37</v>
      </c>
      <c r="AB22" s="349">
        <v>5.36</v>
      </c>
      <c r="AC22" s="349">
        <v>5.35</v>
      </c>
      <c r="AD22" s="349">
        <v>5.35</v>
      </c>
      <c r="AE22" s="349">
        <v>5.34</v>
      </c>
      <c r="AF22" s="349">
        <v>5.33</v>
      </c>
      <c r="AG22" s="349">
        <v>5.31</v>
      </c>
      <c r="AH22" s="349">
        <v>5.3</v>
      </c>
      <c r="AI22" s="349">
        <v>5.29</v>
      </c>
      <c r="AJ22" s="349">
        <v>5.28</v>
      </c>
      <c r="AK22" s="349">
        <v>5.27</v>
      </c>
      <c r="AL22" s="349">
        <v>5.27</v>
      </c>
      <c r="AM22" s="349">
        <v>5.26</v>
      </c>
      <c r="AN22" s="349">
        <v>5.25</v>
      </c>
      <c r="AO22" s="349">
        <v>5.24</v>
      </c>
      <c r="AP22" s="349">
        <v>5.23</v>
      </c>
      <c r="AQ22" s="349">
        <v>5.22</v>
      </c>
      <c r="AR22" s="349">
        <v>5.21</v>
      </c>
      <c r="AS22" s="349">
        <v>5.2</v>
      </c>
      <c r="AT22" s="349">
        <v>5.2</v>
      </c>
      <c r="AU22" s="349">
        <v>5.19</v>
      </c>
      <c r="AV22" s="349">
        <v>5.18</v>
      </c>
      <c r="AW22" s="349">
        <v>5.17</v>
      </c>
      <c r="AX22" s="349">
        <v>5.17</v>
      </c>
      <c r="AY22" s="349">
        <v>5.16</v>
      </c>
      <c r="AZ22" s="150">
        <v>2.75E-2</v>
      </c>
      <c r="BA22" s="104">
        <f t="shared" si="0"/>
        <v>2.75</v>
      </c>
    </row>
    <row r="23" spans="1:53" s="106" customFormat="1" ht="12.75">
      <c r="A23" s="105">
        <v>40237</v>
      </c>
      <c r="B23" s="349">
        <v>3.8</v>
      </c>
      <c r="C23" s="349">
        <v>3.96</v>
      </c>
      <c r="D23" s="349">
        <v>4.1399999999999997</v>
      </c>
      <c r="E23" s="349">
        <v>4.29</v>
      </c>
      <c r="F23" s="349">
        <v>4.43</v>
      </c>
      <c r="G23" s="349">
        <v>4.5599999999999996</v>
      </c>
      <c r="H23" s="349">
        <v>4.67</v>
      </c>
      <c r="I23" s="349">
        <v>4.7699999999999996</v>
      </c>
      <c r="J23" s="349">
        <v>4.8600000000000003</v>
      </c>
      <c r="K23" s="349">
        <v>4.9400000000000004</v>
      </c>
      <c r="L23" s="349">
        <v>5.0199999999999996</v>
      </c>
      <c r="M23" s="349">
        <v>5.08</v>
      </c>
      <c r="N23" s="349">
        <v>5.14</v>
      </c>
      <c r="O23" s="349">
        <v>5.19</v>
      </c>
      <c r="P23" s="2303">
        <v>5.24</v>
      </c>
      <c r="Q23" s="349">
        <v>5.27</v>
      </c>
      <c r="R23" s="349">
        <v>5.3</v>
      </c>
      <c r="S23" s="349">
        <v>5.32</v>
      </c>
      <c r="T23" s="349">
        <v>5.34</v>
      </c>
      <c r="U23" s="349">
        <v>5.36</v>
      </c>
      <c r="V23" s="349">
        <v>5.36</v>
      </c>
      <c r="W23" s="349">
        <v>5.37</v>
      </c>
      <c r="X23" s="349">
        <v>5.37</v>
      </c>
      <c r="Y23" s="349">
        <v>5.37</v>
      </c>
      <c r="Z23" s="349">
        <v>5.37</v>
      </c>
      <c r="AA23" s="349">
        <v>5.36</v>
      </c>
      <c r="AB23" s="349">
        <v>5.35</v>
      </c>
      <c r="AC23" s="349">
        <v>5.34</v>
      </c>
      <c r="AD23" s="349">
        <v>5.33</v>
      </c>
      <c r="AE23" s="349">
        <v>5.33</v>
      </c>
      <c r="AF23" s="349">
        <v>5.31</v>
      </c>
      <c r="AG23" s="349">
        <v>5.3</v>
      </c>
      <c r="AH23" s="349">
        <v>5.29</v>
      </c>
      <c r="AI23" s="349">
        <v>5.28</v>
      </c>
      <c r="AJ23" s="349">
        <v>5.27</v>
      </c>
      <c r="AK23" s="349">
        <v>5.26</v>
      </c>
      <c r="AL23" s="349">
        <v>5.25</v>
      </c>
      <c r="AM23" s="349">
        <v>5.24</v>
      </c>
      <c r="AN23" s="349">
        <v>5.24</v>
      </c>
      <c r="AO23" s="349">
        <v>5.23</v>
      </c>
      <c r="AP23" s="349">
        <v>5.22</v>
      </c>
      <c r="AQ23" s="349">
        <v>5.21</v>
      </c>
      <c r="AR23" s="349">
        <v>5.2</v>
      </c>
      <c r="AS23" s="349">
        <v>5.19</v>
      </c>
      <c r="AT23" s="349">
        <v>5.18</v>
      </c>
      <c r="AU23" s="349">
        <v>5.18</v>
      </c>
      <c r="AV23" s="349">
        <v>5.17</v>
      </c>
      <c r="AW23" s="349">
        <v>5.16</v>
      </c>
      <c r="AX23" s="349">
        <v>5.15</v>
      </c>
      <c r="AY23" s="349">
        <v>5.15</v>
      </c>
      <c r="AZ23" s="150">
        <v>2.75E-2</v>
      </c>
      <c r="BA23" s="104">
        <f t="shared" si="0"/>
        <v>2.75</v>
      </c>
    </row>
    <row r="24" spans="1:53" s="106" customFormat="1" ht="12.75">
      <c r="A24" s="105">
        <v>40268</v>
      </c>
      <c r="B24" s="349">
        <v>3.78</v>
      </c>
      <c r="C24" s="349">
        <v>3.95</v>
      </c>
      <c r="D24" s="349">
        <v>4.13</v>
      </c>
      <c r="E24" s="349">
        <v>4.29</v>
      </c>
      <c r="F24" s="349">
        <v>4.42</v>
      </c>
      <c r="G24" s="349">
        <v>4.55</v>
      </c>
      <c r="H24" s="349">
        <v>4.66</v>
      </c>
      <c r="I24" s="349">
        <v>4.76</v>
      </c>
      <c r="J24" s="349">
        <v>4.8499999999999996</v>
      </c>
      <c r="K24" s="349">
        <v>4.9400000000000004</v>
      </c>
      <c r="L24" s="349">
        <v>5.01</v>
      </c>
      <c r="M24" s="349">
        <v>5.07</v>
      </c>
      <c r="N24" s="349">
        <v>5.13</v>
      </c>
      <c r="O24" s="349">
        <v>5.18</v>
      </c>
      <c r="P24" s="2303">
        <v>5.23</v>
      </c>
      <c r="Q24" s="349">
        <v>5.26</v>
      </c>
      <c r="R24" s="349">
        <v>5.29</v>
      </c>
      <c r="S24" s="349">
        <v>5.31</v>
      </c>
      <c r="T24" s="349">
        <v>5.33</v>
      </c>
      <c r="U24" s="349">
        <v>5.35</v>
      </c>
      <c r="V24" s="349">
        <v>5.36</v>
      </c>
      <c r="W24" s="349">
        <v>5.36</v>
      </c>
      <c r="X24" s="349">
        <v>5.36</v>
      </c>
      <c r="Y24" s="349">
        <v>5.36</v>
      </c>
      <c r="Z24" s="349">
        <v>5.36</v>
      </c>
      <c r="AA24" s="349">
        <v>5.35</v>
      </c>
      <c r="AB24" s="349">
        <v>5.34</v>
      </c>
      <c r="AC24" s="349">
        <v>5.33</v>
      </c>
      <c r="AD24" s="349">
        <v>5.32</v>
      </c>
      <c r="AE24" s="349">
        <v>5.32</v>
      </c>
      <c r="AF24" s="349">
        <v>5.3</v>
      </c>
      <c r="AG24" s="349">
        <v>5.29</v>
      </c>
      <c r="AH24" s="349">
        <v>5.28</v>
      </c>
      <c r="AI24" s="349">
        <v>5.27</v>
      </c>
      <c r="AJ24" s="349">
        <v>5.26</v>
      </c>
      <c r="AK24" s="349">
        <v>5.25</v>
      </c>
      <c r="AL24" s="349">
        <v>5.24</v>
      </c>
      <c r="AM24" s="349">
        <v>5.23</v>
      </c>
      <c r="AN24" s="349">
        <v>5.22</v>
      </c>
      <c r="AO24" s="349">
        <v>5.22</v>
      </c>
      <c r="AP24" s="349">
        <v>5.21</v>
      </c>
      <c r="AQ24" s="349">
        <v>5.2</v>
      </c>
      <c r="AR24" s="349">
        <v>5.19</v>
      </c>
      <c r="AS24" s="349">
        <v>5.18</v>
      </c>
      <c r="AT24" s="349">
        <v>5.17</v>
      </c>
      <c r="AU24" s="349">
        <v>5.16</v>
      </c>
      <c r="AV24" s="349">
        <v>5.16</v>
      </c>
      <c r="AW24" s="349">
        <v>5.15</v>
      </c>
      <c r="AX24" s="349">
        <v>5.14</v>
      </c>
      <c r="AY24" s="349">
        <v>5.13</v>
      </c>
      <c r="AZ24" s="150">
        <v>2.75E-2</v>
      </c>
      <c r="BA24" s="104">
        <f t="shared" si="0"/>
        <v>2.75</v>
      </c>
    </row>
    <row r="25" spans="1:53" s="106" customFormat="1" ht="12.75">
      <c r="A25" s="105">
        <v>40298</v>
      </c>
      <c r="B25" s="349">
        <v>3.77</v>
      </c>
      <c r="C25" s="349">
        <v>3.94</v>
      </c>
      <c r="D25" s="349">
        <v>4.12</v>
      </c>
      <c r="E25" s="349">
        <v>4.28</v>
      </c>
      <c r="F25" s="349">
        <v>4.42</v>
      </c>
      <c r="G25" s="349">
        <v>4.54</v>
      </c>
      <c r="H25" s="349">
        <v>4.6500000000000004</v>
      </c>
      <c r="I25" s="349">
        <v>4.76</v>
      </c>
      <c r="J25" s="349">
        <v>4.8499999999999996</v>
      </c>
      <c r="K25" s="349">
        <v>4.93</v>
      </c>
      <c r="L25" s="349">
        <v>5</v>
      </c>
      <c r="M25" s="349">
        <v>5.07</v>
      </c>
      <c r="N25" s="349">
        <v>5.13</v>
      </c>
      <c r="O25" s="349">
        <v>5.18</v>
      </c>
      <c r="P25" s="2303">
        <v>5.22</v>
      </c>
      <c r="Q25" s="349">
        <v>5.25</v>
      </c>
      <c r="R25" s="349">
        <v>5.28</v>
      </c>
      <c r="S25" s="349">
        <v>5.3</v>
      </c>
      <c r="T25" s="349">
        <v>5.33</v>
      </c>
      <c r="U25" s="349">
        <v>5.34</v>
      </c>
      <c r="V25" s="349">
        <v>5.35</v>
      </c>
      <c r="W25" s="349">
        <v>5.35</v>
      </c>
      <c r="X25" s="349">
        <v>5.35</v>
      </c>
      <c r="Y25" s="349">
        <v>5.35</v>
      </c>
      <c r="Z25" s="349">
        <v>5.35</v>
      </c>
      <c r="AA25" s="349">
        <v>5.34</v>
      </c>
      <c r="AB25" s="349">
        <v>5.33</v>
      </c>
      <c r="AC25" s="349">
        <v>5.32</v>
      </c>
      <c r="AD25" s="349">
        <v>5.31</v>
      </c>
      <c r="AE25" s="349">
        <v>5.3</v>
      </c>
      <c r="AF25" s="349">
        <v>5.29</v>
      </c>
      <c r="AG25" s="349">
        <v>5.28</v>
      </c>
      <c r="AH25" s="349">
        <v>5.27</v>
      </c>
      <c r="AI25" s="349">
        <v>5.25</v>
      </c>
      <c r="AJ25" s="349">
        <v>5.24</v>
      </c>
      <c r="AK25" s="349">
        <v>5.23</v>
      </c>
      <c r="AL25" s="349">
        <v>5.23</v>
      </c>
      <c r="AM25" s="349">
        <v>5.22</v>
      </c>
      <c r="AN25" s="349">
        <v>5.21</v>
      </c>
      <c r="AO25" s="349">
        <v>5.2</v>
      </c>
      <c r="AP25" s="349">
        <v>5.19</v>
      </c>
      <c r="AQ25" s="349">
        <v>5.18</v>
      </c>
      <c r="AR25" s="349">
        <v>5.17</v>
      </c>
      <c r="AS25" s="349">
        <v>5.16</v>
      </c>
      <c r="AT25" s="349">
        <v>5.16</v>
      </c>
      <c r="AU25" s="349">
        <v>5.15</v>
      </c>
      <c r="AV25" s="349">
        <v>5.14</v>
      </c>
      <c r="AW25" s="349">
        <v>5.13</v>
      </c>
      <c r="AX25" s="349">
        <v>5.13</v>
      </c>
      <c r="AY25" s="349">
        <v>5.12</v>
      </c>
      <c r="AZ25" s="150">
        <v>2.75E-2</v>
      </c>
      <c r="BA25" s="104">
        <f t="shared" si="0"/>
        <v>2.75</v>
      </c>
    </row>
    <row r="26" spans="1:53" s="106" customFormat="1" ht="12.75">
      <c r="A26" s="105">
        <v>40329</v>
      </c>
      <c r="B26" s="349">
        <v>3.77</v>
      </c>
      <c r="C26" s="349">
        <v>3.94</v>
      </c>
      <c r="D26" s="349">
        <v>4.12</v>
      </c>
      <c r="E26" s="349">
        <v>4.28</v>
      </c>
      <c r="F26" s="349">
        <v>4.41</v>
      </c>
      <c r="G26" s="349">
        <v>4.54</v>
      </c>
      <c r="H26" s="349">
        <v>4.6500000000000004</v>
      </c>
      <c r="I26" s="349">
        <v>4.75</v>
      </c>
      <c r="J26" s="349">
        <v>4.84</v>
      </c>
      <c r="K26" s="349">
        <v>4.92</v>
      </c>
      <c r="L26" s="349">
        <v>5</v>
      </c>
      <c r="M26" s="349">
        <v>5.0599999999999996</v>
      </c>
      <c r="N26" s="349">
        <v>5.12</v>
      </c>
      <c r="O26" s="349">
        <v>5.17</v>
      </c>
      <c r="P26" s="2303">
        <v>5.22</v>
      </c>
      <c r="Q26" s="349">
        <v>5.25</v>
      </c>
      <c r="R26" s="349">
        <v>5.27</v>
      </c>
      <c r="S26" s="349">
        <v>5.3</v>
      </c>
      <c r="T26" s="349">
        <v>5.32</v>
      </c>
      <c r="U26" s="349">
        <v>5.34</v>
      </c>
      <c r="V26" s="349">
        <v>5.34</v>
      </c>
      <c r="W26" s="349">
        <v>5.34</v>
      </c>
      <c r="X26" s="349">
        <v>5.34</v>
      </c>
      <c r="Y26" s="349">
        <v>5.34</v>
      </c>
      <c r="Z26" s="349">
        <v>5.34</v>
      </c>
      <c r="AA26" s="349">
        <v>5.33</v>
      </c>
      <c r="AB26" s="349">
        <v>5.32</v>
      </c>
      <c r="AC26" s="349">
        <v>5.31</v>
      </c>
      <c r="AD26" s="349">
        <v>5.3</v>
      </c>
      <c r="AE26" s="349">
        <v>5.29</v>
      </c>
      <c r="AF26" s="349">
        <v>5.28</v>
      </c>
      <c r="AG26" s="349">
        <v>5.26</v>
      </c>
      <c r="AH26" s="349">
        <v>5.25</v>
      </c>
      <c r="AI26" s="349">
        <v>5.24</v>
      </c>
      <c r="AJ26" s="349">
        <v>5.23</v>
      </c>
      <c r="AK26" s="349">
        <v>5.22</v>
      </c>
      <c r="AL26" s="349">
        <v>5.21</v>
      </c>
      <c r="AM26" s="349">
        <v>5.2</v>
      </c>
      <c r="AN26" s="349">
        <v>5.19</v>
      </c>
      <c r="AO26" s="349">
        <v>5.19</v>
      </c>
      <c r="AP26" s="349">
        <v>5.18</v>
      </c>
      <c r="AQ26" s="349">
        <v>5.17</v>
      </c>
      <c r="AR26" s="349">
        <v>5.16</v>
      </c>
      <c r="AS26" s="349">
        <v>5.15</v>
      </c>
      <c r="AT26" s="349">
        <v>5.14</v>
      </c>
      <c r="AU26" s="349">
        <v>5.13</v>
      </c>
      <c r="AV26" s="349">
        <v>5.13</v>
      </c>
      <c r="AW26" s="349">
        <v>5.12</v>
      </c>
      <c r="AX26" s="349">
        <v>5.1100000000000003</v>
      </c>
      <c r="AY26" s="349">
        <v>5.1100000000000003</v>
      </c>
      <c r="AZ26" s="150">
        <v>2.75E-2</v>
      </c>
      <c r="BA26" s="104">
        <f t="shared" si="0"/>
        <v>2.75</v>
      </c>
    </row>
    <row r="27" spans="1:53" s="106" customFormat="1" ht="12.75">
      <c r="A27" s="105">
        <v>40359</v>
      </c>
      <c r="B27" s="349">
        <v>3.77</v>
      </c>
      <c r="C27" s="349">
        <v>3.93</v>
      </c>
      <c r="D27" s="349">
        <v>4.1100000000000003</v>
      </c>
      <c r="E27" s="349">
        <v>4.2699999999999996</v>
      </c>
      <c r="F27" s="349">
        <v>4.41</v>
      </c>
      <c r="G27" s="349">
        <v>4.54</v>
      </c>
      <c r="H27" s="349">
        <v>4.6500000000000004</v>
      </c>
      <c r="I27" s="349">
        <v>4.75</v>
      </c>
      <c r="J27" s="349">
        <v>4.84</v>
      </c>
      <c r="K27" s="349">
        <v>4.92</v>
      </c>
      <c r="L27" s="349">
        <v>5</v>
      </c>
      <c r="M27" s="349">
        <v>5.0599999999999996</v>
      </c>
      <c r="N27" s="349">
        <v>5.12</v>
      </c>
      <c r="O27" s="349">
        <v>5.17</v>
      </c>
      <c r="P27" s="2303">
        <v>5.21</v>
      </c>
      <c r="Q27" s="349">
        <v>5.24</v>
      </c>
      <c r="R27" s="349">
        <v>5.27</v>
      </c>
      <c r="S27" s="349">
        <v>5.29</v>
      </c>
      <c r="T27" s="349">
        <v>5.31</v>
      </c>
      <c r="U27" s="349">
        <v>5.33</v>
      </c>
      <c r="V27" s="349">
        <v>5.33</v>
      </c>
      <c r="W27" s="349">
        <v>5.33</v>
      </c>
      <c r="X27" s="349">
        <v>5.33</v>
      </c>
      <c r="Y27" s="349">
        <v>5.33</v>
      </c>
      <c r="Z27" s="349">
        <v>5.33</v>
      </c>
      <c r="AA27" s="349">
        <v>5.32</v>
      </c>
      <c r="AB27" s="349">
        <v>5.31</v>
      </c>
      <c r="AC27" s="349">
        <v>5.3</v>
      </c>
      <c r="AD27" s="349">
        <v>5.29</v>
      </c>
      <c r="AE27" s="349">
        <v>5.28</v>
      </c>
      <c r="AF27" s="349">
        <v>5.26</v>
      </c>
      <c r="AG27" s="349">
        <v>5.25</v>
      </c>
      <c r="AH27" s="349">
        <v>5.24</v>
      </c>
      <c r="AI27" s="349">
        <v>5.23</v>
      </c>
      <c r="AJ27" s="349">
        <v>5.22</v>
      </c>
      <c r="AK27" s="349">
        <v>5.21</v>
      </c>
      <c r="AL27" s="349">
        <v>5.2</v>
      </c>
      <c r="AM27" s="349">
        <v>5.19</v>
      </c>
      <c r="AN27" s="349">
        <v>5.18</v>
      </c>
      <c r="AO27" s="349">
        <v>5.17</v>
      </c>
      <c r="AP27" s="349">
        <v>5.16</v>
      </c>
      <c r="AQ27" s="349">
        <v>5.15</v>
      </c>
      <c r="AR27" s="349">
        <v>5.14</v>
      </c>
      <c r="AS27" s="349">
        <v>5.13</v>
      </c>
      <c r="AT27" s="349">
        <v>5.13</v>
      </c>
      <c r="AU27" s="349">
        <v>5.12</v>
      </c>
      <c r="AV27" s="349">
        <v>5.1100000000000003</v>
      </c>
      <c r="AW27" s="349">
        <v>5.0999999999999996</v>
      </c>
      <c r="AX27" s="349">
        <v>5.0999999999999996</v>
      </c>
      <c r="AY27" s="349">
        <v>5.09</v>
      </c>
      <c r="AZ27" s="150">
        <v>2.75E-2</v>
      </c>
      <c r="BA27" s="104">
        <f t="shared" si="0"/>
        <v>2.75</v>
      </c>
    </row>
    <row r="28" spans="1:53" s="106" customFormat="1" ht="12.75">
      <c r="A28" s="105">
        <v>40390</v>
      </c>
      <c r="B28" s="349">
        <v>3.77</v>
      </c>
      <c r="C28" s="349">
        <v>3.93</v>
      </c>
      <c r="D28" s="349">
        <v>4.1100000000000003</v>
      </c>
      <c r="E28" s="349">
        <v>4.26</v>
      </c>
      <c r="F28" s="349">
        <v>4.4000000000000004</v>
      </c>
      <c r="G28" s="349">
        <v>4.53</v>
      </c>
      <c r="H28" s="349">
        <v>4.6399999999999997</v>
      </c>
      <c r="I28" s="349">
        <v>4.74</v>
      </c>
      <c r="J28" s="349">
        <v>4.83</v>
      </c>
      <c r="K28" s="349">
        <v>4.91</v>
      </c>
      <c r="L28" s="349">
        <v>4.99</v>
      </c>
      <c r="M28" s="349">
        <v>5.05</v>
      </c>
      <c r="N28" s="349">
        <v>5.1100000000000003</v>
      </c>
      <c r="O28" s="349">
        <v>5.16</v>
      </c>
      <c r="P28" s="2303">
        <v>5.2</v>
      </c>
      <c r="Q28" s="349">
        <v>5.23</v>
      </c>
      <c r="R28" s="349">
        <v>5.26</v>
      </c>
      <c r="S28" s="349">
        <v>5.28</v>
      </c>
      <c r="T28" s="349">
        <v>5.3</v>
      </c>
      <c r="U28" s="349">
        <v>5.32</v>
      </c>
      <c r="V28" s="349">
        <v>5.32</v>
      </c>
      <c r="W28" s="349">
        <v>5.32</v>
      </c>
      <c r="X28" s="349">
        <v>5.32</v>
      </c>
      <c r="Y28" s="349">
        <v>5.32</v>
      </c>
      <c r="Z28" s="349">
        <v>5.31</v>
      </c>
      <c r="AA28" s="349">
        <v>5.3</v>
      </c>
      <c r="AB28" s="349">
        <v>5.29</v>
      </c>
      <c r="AC28" s="349">
        <v>5.28</v>
      </c>
      <c r="AD28" s="349">
        <v>5.27</v>
      </c>
      <c r="AE28" s="349">
        <v>5.26</v>
      </c>
      <c r="AF28" s="349">
        <v>5.25</v>
      </c>
      <c r="AG28" s="349">
        <v>5.23</v>
      </c>
      <c r="AH28" s="349">
        <v>5.22</v>
      </c>
      <c r="AI28" s="349">
        <v>5.21</v>
      </c>
      <c r="AJ28" s="349">
        <v>5.2</v>
      </c>
      <c r="AK28" s="349">
        <v>5.19</v>
      </c>
      <c r="AL28" s="349">
        <v>5.18</v>
      </c>
      <c r="AM28" s="349">
        <v>5.17</v>
      </c>
      <c r="AN28" s="349">
        <v>5.16</v>
      </c>
      <c r="AO28" s="349">
        <v>5.15</v>
      </c>
      <c r="AP28" s="349">
        <v>5.14</v>
      </c>
      <c r="AQ28" s="349">
        <v>5.13</v>
      </c>
      <c r="AR28" s="349">
        <v>5.12</v>
      </c>
      <c r="AS28" s="349">
        <v>5.12</v>
      </c>
      <c r="AT28" s="349">
        <v>5.1100000000000003</v>
      </c>
      <c r="AU28" s="349">
        <v>5.0999999999999996</v>
      </c>
      <c r="AV28" s="349">
        <v>5.09</v>
      </c>
      <c r="AW28" s="349">
        <v>5.09</v>
      </c>
      <c r="AX28" s="349">
        <v>5.08</v>
      </c>
      <c r="AY28" s="349">
        <v>5.07</v>
      </c>
      <c r="AZ28" s="150">
        <v>2.75E-2</v>
      </c>
      <c r="BA28" s="104">
        <f t="shared" si="0"/>
        <v>2.75</v>
      </c>
    </row>
    <row r="29" spans="1:53">
      <c r="A29" s="105">
        <v>40421</v>
      </c>
      <c r="B29" s="349">
        <v>3.76</v>
      </c>
      <c r="C29" s="349">
        <v>3.92</v>
      </c>
      <c r="D29" s="349">
        <v>4.0999999999999996</v>
      </c>
      <c r="E29" s="349">
        <v>4.25</v>
      </c>
      <c r="F29" s="349">
        <v>4.3899999999999997</v>
      </c>
      <c r="G29" s="349">
        <v>4.51</v>
      </c>
      <c r="H29" s="349">
        <v>4.62</v>
      </c>
      <c r="I29" s="349">
        <v>4.7300000000000004</v>
      </c>
      <c r="J29" s="349">
        <v>4.82</v>
      </c>
      <c r="K29" s="349">
        <v>4.9000000000000004</v>
      </c>
      <c r="L29" s="349">
        <v>4.97</v>
      </c>
      <c r="M29" s="349">
        <v>5.03</v>
      </c>
      <c r="N29" s="349">
        <v>5.09</v>
      </c>
      <c r="O29" s="349">
        <v>5.14</v>
      </c>
      <c r="P29" s="2303">
        <v>5.19</v>
      </c>
      <c r="Q29" s="349">
        <v>5.22</v>
      </c>
      <c r="R29" s="349">
        <v>5.24</v>
      </c>
      <c r="S29" s="349">
        <v>5.26</v>
      </c>
      <c r="T29" s="349">
        <v>5.28</v>
      </c>
      <c r="U29" s="349">
        <v>5.3</v>
      </c>
      <c r="V29" s="349">
        <v>5.3</v>
      </c>
      <c r="W29" s="349">
        <v>5.3</v>
      </c>
      <c r="X29" s="349">
        <v>5.3</v>
      </c>
      <c r="Y29" s="349">
        <v>5.3</v>
      </c>
      <c r="Z29" s="349">
        <v>5.29</v>
      </c>
      <c r="AA29" s="349">
        <v>5.28</v>
      </c>
      <c r="AB29" s="349">
        <v>5.27</v>
      </c>
      <c r="AC29" s="349">
        <v>5.26</v>
      </c>
      <c r="AD29" s="349">
        <v>5.25</v>
      </c>
      <c r="AE29" s="349">
        <v>5.24</v>
      </c>
      <c r="AF29" s="349">
        <v>5.23</v>
      </c>
      <c r="AG29" s="349">
        <v>5.21</v>
      </c>
      <c r="AH29" s="349">
        <v>5.2</v>
      </c>
      <c r="AI29" s="349">
        <v>5.19</v>
      </c>
      <c r="AJ29" s="349">
        <v>5.18</v>
      </c>
      <c r="AK29" s="349">
        <v>5.17</v>
      </c>
      <c r="AL29" s="349">
        <v>5.16</v>
      </c>
      <c r="AM29" s="349">
        <v>5.15</v>
      </c>
      <c r="AN29" s="349">
        <v>5.14</v>
      </c>
      <c r="AO29" s="349">
        <v>5.13</v>
      </c>
      <c r="AP29" s="349">
        <v>5.12</v>
      </c>
      <c r="AQ29" s="349">
        <v>5.1100000000000003</v>
      </c>
      <c r="AR29" s="349">
        <v>5.0999999999999996</v>
      </c>
      <c r="AS29" s="349">
        <v>5.09</v>
      </c>
      <c r="AT29" s="349">
        <v>5.08</v>
      </c>
      <c r="AU29" s="349">
        <v>5.08</v>
      </c>
      <c r="AV29" s="349">
        <v>5.07</v>
      </c>
      <c r="AW29" s="349">
        <v>5.0599999999999996</v>
      </c>
      <c r="AX29" s="349">
        <v>5.05</v>
      </c>
      <c r="AY29" s="349">
        <v>5.05</v>
      </c>
      <c r="AZ29" s="150">
        <v>2.75E-2</v>
      </c>
      <c r="BA29" s="104">
        <f t="shared" si="0"/>
        <v>2.75</v>
      </c>
    </row>
    <row r="30" spans="1:53">
      <c r="A30" s="105">
        <v>40451</v>
      </c>
      <c r="B30" s="349">
        <v>3.76</v>
      </c>
      <c r="C30" s="349">
        <v>3.91</v>
      </c>
      <c r="D30" s="349">
        <v>4.09</v>
      </c>
      <c r="E30" s="349">
        <v>4.24</v>
      </c>
      <c r="F30" s="349">
        <v>4.38</v>
      </c>
      <c r="G30" s="349">
        <v>4.5</v>
      </c>
      <c r="H30" s="349">
        <v>4.6100000000000003</v>
      </c>
      <c r="I30" s="349">
        <v>4.72</v>
      </c>
      <c r="J30" s="349">
        <v>4.8099999999999996</v>
      </c>
      <c r="K30" s="349">
        <v>4.8899999999999997</v>
      </c>
      <c r="L30" s="349">
        <v>4.96</v>
      </c>
      <c r="M30" s="349">
        <v>5.0199999999999996</v>
      </c>
      <c r="N30" s="349">
        <v>5.08</v>
      </c>
      <c r="O30" s="349">
        <v>5.13</v>
      </c>
      <c r="P30" s="2303">
        <v>5.17</v>
      </c>
      <c r="Q30" s="349">
        <v>5.2</v>
      </c>
      <c r="R30" s="349">
        <v>5.23</v>
      </c>
      <c r="S30" s="349">
        <v>5.25</v>
      </c>
      <c r="T30" s="349">
        <v>5.27</v>
      </c>
      <c r="U30" s="349">
        <v>5.29</v>
      </c>
      <c r="V30" s="349">
        <v>5.28</v>
      </c>
      <c r="W30" s="349">
        <v>5.28</v>
      </c>
      <c r="X30" s="349">
        <v>5.28</v>
      </c>
      <c r="Y30" s="349">
        <v>5.28</v>
      </c>
      <c r="Z30" s="349">
        <v>5.28</v>
      </c>
      <c r="AA30" s="349">
        <v>5.26</v>
      </c>
      <c r="AB30" s="349">
        <v>5.25</v>
      </c>
      <c r="AC30" s="349">
        <v>5.24</v>
      </c>
      <c r="AD30" s="349">
        <v>5.23</v>
      </c>
      <c r="AE30" s="349">
        <v>5.22</v>
      </c>
      <c r="AF30" s="349">
        <v>5.2</v>
      </c>
      <c r="AG30" s="349">
        <v>5.19</v>
      </c>
      <c r="AH30" s="349">
        <v>5.18</v>
      </c>
      <c r="AI30" s="349">
        <v>5.17</v>
      </c>
      <c r="AJ30" s="349">
        <v>5.15</v>
      </c>
      <c r="AK30" s="349">
        <v>5.14</v>
      </c>
      <c r="AL30" s="349">
        <v>5.13</v>
      </c>
      <c r="AM30" s="349">
        <v>5.12</v>
      </c>
      <c r="AN30" s="349">
        <v>5.1100000000000003</v>
      </c>
      <c r="AO30" s="349">
        <v>5.0999999999999996</v>
      </c>
      <c r="AP30" s="349">
        <v>5.09</v>
      </c>
      <c r="AQ30" s="349">
        <v>5.08</v>
      </c>
      <c r="AR30" s="349">
        <v>5.08</v>
      </c>
      <c r="AS30" s="349">
        <v>5.07</v>
      </c>
      <c r="AT30" s="349">
        <v>5.0599999999999996</v>
      </c>
      <c r="AU30" s="349">
        <v>5.05</v>
      </c>
      <c r="AV30" s="349">
        <v>5.04</v>
      </c>
      <c r="AW30" s="349">
        <v>5.04</v>
      </c>
      <c r="AX30" s="349">
        <v>5.03</v>
      </c>
      <c r="AY30" s="349">
        <v>5.0199999999999996</v>
      </c>
      <c r="AZ30" s="150">
        <v>2.75E-2</v>
      </c>
      <c r="BA30" s="104">
        <f t="shared" si="0"/>
        <v>2.75</v>
      </c>
    </row>
    <row r="31" spans="1:53">
      <c r="A31" s="105">
        <v>40482</v>
      </c>
      <c r="B31" s="349">
        <v>3.75</v>
      </c>
      <c r="C31" s="349">
        <v>3.91</v>
      </c>
      <c r="D31" s="349">
        <v>4.08</v>
      </c>
      <c r="E31" s="349">
        <v>4.2300000000000004</v>
      </c>
      <c r="F31" s="349">
        <v>4.37</v>
      </c>
      <c r="G31" s="349">
        <v>4.49</v>
      </c>
      <c r="H31" s="349">
        <v>4.5999999999999996</v>
      </c>
      <c r="I31" s="349">
        <v>4.7</v>
      </c>
      <c r="J31" s="349">
        <v>4.79</v>
      </c>
      <c r="K31" s="349">
        <v>4.87</v>
      </c>
      <c r="L31" s="349">
        <v>4.95</v>
      </c>
      <c r="M31" s="349">
        <v>5.01</v>
      </c>
      <c r="N31" s="349">
        <v>5.07</v>
      </c>
      <c r="O31" s="349">
        <v>5.12</v>
      </c>
      <c r="P31" s="2303">
        <v>5.16</v>
      </c>
      <c r="Q31" s="349">
        <v>5.19</v>
      </c>
      <c r="R31" s="349">
        <v>5.21</v>
      </c>
      <c r="S31" s="349">
        <v>5.23</v>
      </c>
      <c r="T31" s="349">
        <v>5.25</v>
      </c>
      <c r="U31" s="349">
        <v>5.27</v>
      </c>
      <c r="V31" s="349">
        <v>5.27</v>
      </c>
      <c r="W31" s="349">
        <v>5.27</v>
      </c>
      <c r="X31" s="349">
        <v>5.26</v>
      </c>
      <c r="Y31" s="349">
        <v>5.26</v>
      </c>
      <c r="Z31" s="349">
        <v>5.26</v>
      </c>
      <c r="AA31" s="349">
        <v>5.24</v>
      </c>
      <c r="AB31" s="349">
        <v>5.23</v>
      </c>
      <c r="AC31" s="349">
        <v>5.22</v>
      </c>
      <c r="AD31" s="349">
        <v>5.21</v>
      </c>
      <c r="AE31" s="349">
        <v>5.2</v>
      </c>
      <c r="AF31" s="349">
        <v>5.18</v>
      </c>
      <c r="AG31" s="349">
        <v>5.17</v>
      </c>
      <c r="AH31" s="349">
        <v>5.16</v>
      </c>
      <c r="AI31" s="349">
        <v>5.14</v>
      </c>
      <c r="AJ31" s="349">
        <v>5.13</v>
      </c>
      <c r="AK31" s="349">
        <v>5.12</v>
      </c>
      <c r="AL31" s="349">
        <v>5.1100000000000003</v>
      </c>
      <c r="AM31" s="349">
        <v>5.0999999999999996</v>
      </c>
      <c r="AN31" s="349">
        <v>5.09</v>
      </c>
      <c r="AO31" s="349">
        <v>5.08</v>
      </c>
      <c r="AP31" s="349">
        <v>5.07</v>
      </c>
      <c r="AQ31" s="349">
        <v>5.0599999999999996</v>
      </c>
      <c r="AR31" s="349">
        <v>5.05</v>
      </c>
      <c r="AS31" s="349">
        <v>5.04</v>
      </c>
      <c r="AT31" s="349">
        <v>5.04</v>
      </c>
      <c r="AU31" s="349">
        <v>5.03</v>
      </c>
      <c r="AV31" s="349">
        <v>5.0199999999999996</v>
      </c>
      <c r="AW31" s="349">
        <v>5.01</v>
      </c>
      <c r="AX31" s="349">
        <v>5.01</v>
      </c>
      <c r="AY31" s="349">
        <v>5</v>
      </c>
      <c r="AZ31" s="150">
        <v>2.75E-2</v>
      </c>
      <c r="BA31" s="104">
        <f t="shared" si="0"/>
        <v>2.75</v>
      </c>
    </row>
    <row r="32" spans="1:53">
      <c r="A32" s="105">
        <v>40512</v>
      </c>
      <c r="B32" s="349">
        <v>3.75</v>
      </c>
      <c r="C32" s="349">
        <v>3.9</v>
      </c>
      <c r="D32" s="349">
        <v>4.07</v>
      </c>
      <c r="E32" s="349">
        <v>4.22</v>
      </c>
      <c r="F32" s="349">
        <v>4.3600000000000003</v>
      </c>
      <c r="G32" s="349">
        <v>4.4800000000000004</v>
      </c>
      <c r="H32" s="349">
        <v>4.5999999999999996</v>
      </c>
      <c r="I32" s="349">
        <v>4.7</v>
      </c>
      <c r="J32" s="349">
        <v>4.79</v>
      </c>
      <c r="K32" s="349">
        <v>4.87</v>
      </c>
      <c r="L32" s="349">
        <v>4.9400000000000004</v>
      </c>
      <c r="M32" s="349">
        <v>5</v>
      </c>
      <c r="N32" s="349">
        <v>5.0599999999999996</v>
      </c>
      <c r="O32" s="349">
        <v>5.1100000000000003</v>
      </c>
      <c r="P32" s="2303">
        <v>5.15</v>
      </c>
      <c r="Q32" s="349">
        <v>5.18</v>
      </c>
      <c r="R32" s="349">
        <v>5.21</v>
      </c>
      <c r="S32" s="349">
        <v>5.23</v>
      </c>
      <c r="T32" s="349">
        <v>5.25</v>
      </c>
      <c r="U32" s="349">
        <v>5.26</v>
      </c>
      <c r="V32" s="349">
        <v>5.26</v>
      </c>
      <c r="W32" s="349">
        <v>5.25</v>
      </c>
      <c r="X32" s="349">
        <v>5.25</v>
      </c>
      <c r="Y32" s="349">
        <v>5.25</v>
      </c>
      <c r="Z32" s="349">
        <v>5.25</v>
      </c>
      <c r="AA32" s="349">
        <v>5.23</v>
      </c>
      <c r="AB32" s="349">
        <v>5.22</v>
      </c>
      <c r="AC32" s="349">
        <v>5.21</v>
      </c>
      <c r="AD32" s="349">
        <v>5.19</v>
      </c>
      <c r="AE32" s="349">
        <v>5.18</v>
      </c>
      <c r="AF32" s="349">
        <v>5.17</v>
      </c>
      <c r="AG32" s="349">
        <v>5.15</v>
      </c>
      <c r="AH32" s="349">
        <v>5.14</v>
      </c>
      <c r="AI32" s="349">
        <v>5.13</v>
      </c>
      <c r="AJ32" s="349">
        <v>5.1100000000000003</v>
      </c>
      <c r="AK32" s="349">
        <v>5.0999999999999996</v>
      </c>
      <c r="AL32" s="349">
        <v>5.09</v>
      </c>
      <c r="AM32" s="349">
        <v>5.08</v>
      </c>
      <c r="AN32" s="349">
        <v>5.07</v>
      </c>
      <c r="AO32" s="349">
        <v>5.0599999999999996</v>
      </c>
      <c r="AP32" s="349">
        <v>5.05</v>
      </c>
      <c r="AQ32" s="349">
        <v>5.04</v>
      </c>
      <c r="AR32" s="349">
        <v>5.03</v>
      </c>
      <c r="AS32" s="349">
        <v>5.03</v>
      </c>
      <c r="AT32" s="349">
        <v>5.0199999999999996</v>
      </c>
      <c r="AU32" s="349">
        <v>5.01</v>
      </c>
      <c r="AV32" s="349">
        <v>5</v>
      </c>
      <c r="AW32" s="349">
        <v>4.99</v>
      </c>
      <c r="AX32" s="349">
        <v>4.99</v>
      </c>
      <c r="AY32" s="349">
        <v>4.9800000000000004</v>
      </c>
      <c r="AZ32" s="150">
        <v>2.75E-2</v>
      </c>
      <c r="BA32" s="104">
        <f t="shared" si="0"/>
        <v>2.75</v>
      </c>
    </row>
    <row r="33" spans="1:53">
      <c r="A33" s="105">
        <v>40543</v>
      </c>
      <c r="B33" s="349">
        <v>3.75</v>
      </c>
      <c r="C33" s="349">
        <v>3.9</v>
      </c>
      <c r="D33" s="349">
        <v>4.07</v>
      </c>
      <c r="E33" s="349">
        <v>4.22</v>
      </c>
      <c r="F33" s="349">
        <v>4.3600000000000003</v>
      </c>
      <c r="G33" s="349">
        <v>4.4800000000000004</v>
      </c>
      <c r="H33" s="349">
        <v>4.59</v>
      </c>
      <c r="I33" s="349">
        <v>4.6900000000000004</v>
      </c>
      <c r="J33" s="349">
        <v>4.78</v>
      </c>
      <c r="K33" s="349">
        <v>4.8600000000000003</v>
      </c>
      <c r="L33" s="349">
        <v>4.9400000000000004</v>
      </c>
      <c r="M33" s="349">
        <v>5</v>
      </c>
      <c r="N33" s="349">
        <v>5.0599999999999996</v>
      </c>
      <c r="O33" s="349">
        <v>5.1100000000000003</v>
      </c>
      <c r="P33" s="2303">
        <v>5.15</v>
      </c>
      <c r="Q33" s="349">
        <v>5.18</v>
      </c>
      <c r="R33" s="349">
        <v>5.2</v>
      </c>
      <c r="S33" s="349">
        <v>5.22</v>
      </c>
      <c r="T33" s="349">
        <v>5.24</v>
      </c>
      <c r="U33" s="349">
        <v>5.26</v>
      </c>
      <c r="V33" s="349">
        <v>5.25</v>
      </c>
      <c r="W33" s="349">
        <v>5.25</v>
      </c>
      <c r="X33" s="349">
        <v>5.24</v>
      </c>
      <c r="Y33" s="349">
        <v>5.24</v>
      </c>
      <c r="Z33" s="349">
        <v>5.24</v>
      </c>
      <c r="AA33" s="349">
        <v>5.22</v>
      </c>
      <c r="AB33" s="349">
        <v>5.21</v>
      </c>
      <c r="AC33" s="349">
        <v>5.2</v>
      </c>
      <c r="AD33" s="349">
        <v>5.18</v>
      </c>
      <c r="AE33" s="349">
        <v>5.17</v>
      </c>
      <c r="AF33" s="349">
        <v>5.16</v>
      </c>
      <c r="AG33" s="349">
        <v>5.14</v>
      </c>
      <c r="AH33" s="349">
        <v>5.13</v>
      </c>
      <c r="AI33" s="349">
        <v>5.1100000000000003</v>
      </c>
      <c r="AJ33" s="349">
        <v>5.0999999999999996</v>
      </c>
      <c r="AK33" s="349">
        <v>5.09</v>
      </c>
      <c r="AL33" s="349">
        <v>5.08</v>
      </c>
      <c r="AM33" s="349">
        <v>5.07</v>
      </c>
      <c r="AN33" s="349">
        <v>5.0599999999999996</v>
      </c>
      <c r="AO33" s="349">
        <v>5.05</v>
      </c>
      <c r="AP33" s="349">
        <v>5.04</v>
      </c>
      <c r="AQ33" s="349">
        <v>5.03</v>
      </c>
      <c r="AR33" s="349">
        <v>5.0199999999999996</v>
      </c>
      <c r="AS33" s="349">
        <v>5.01</v>
      </c>
      <c r="AT33" s="349">
        <v>5</v>
      </c>
      <c r="AU33" s="349">
        <v>5</v>
      </c>
      <c r="AV33" s="349">
        <v>4.99</v>
      </c>
      <c r="AW33" s="349">
        <v>4.9800000000000004</v>
      </c>
      <c r="AX33" s="349">
        <v>4.97</v>
      </c>
      <c r="AY33" s="349">
        <v>4.97</v>
      </c>
      <c r="AZ33" s="150">
        <v>2.75E-2</v>
      </c>
      <c r="BA33" s="104">
        <f t="shared" si="0"/>
        <v>2.75</v>
      </c>
    </row>
    <row r="34" spans="1:53" s="106" customFormat="1" ht="12.75">
      <c r="A34" s="107">
        <v>40574</v>
      </c>
      <c r="B34" s="349">
        <v>3.75</v>
      </c>
      <c r="C34" s="349">
        <v>3.9</v>
      </c>
      <c r="D34" s="349">
        <v>4.07</v>
      </c>
      <c r="E34" s="349">
        <v>4.22</v>
      </c>
      <c r="F34" s="349">
        <v>4.3499999999999996</v>
      </c>
      <c r="G34" s="349">
        <v>4.4800000000000004</v>
      </c>
      <c r="H34" s="349">
        <v>4.59</v>
      </c>
      <c r="I34" s="349">
        <v>4.6900000000000004</v>
      </c>
      <c r="J34" s="349">
        <v>4.78</v>
      </c>
      <c r="K34" s="349">
        <v>4.8600000000000003</v>
      </c>
      <c r="L34" s="349">
        <v>4.9400000000000004</v>
      </c>
      <c r="M34" s="349">
        <v>5</v>
      </c>
      <c r="N34" s="349">
        <v>5.0599999999999996</v>
      </c>
      <c r="O34" s="349">
        <v>5.1100000000000003</v>
      </c>
      <c r="P34" s="2303">
        <v>5.15</v>
      </c>
      <c r="Q34" s="349">
        <v>5.17</v>
      </c>
      <c r="R34" s="349">
        <v>5.2</v>
      </c>
      <c r="S34" s="349">
        <v>5.22</v>
      </c>
      <c r="T34" s="349">
        <v>5.24</v>
      </c>
      <c r="U34" s="349">
        <v>5.25</v>
      </c>
      <c r="V34" s="349">
        <v>5.25</v>
      </c>
      <c r="W34" s="349">
        <v>5.24</v>
      </c>
      <c r="X34" s="349">
        <v>5.24</v>
      </c>
      <c r="Y34" s="349">
        <v>5.23</v>
      </c>
      <c r="Z34" s="349">
        <v>5.23</v>
      </c>
      <c r="AA34" s="349">
        <v>5.21</v>
      </c>
      <c r="AB34" s="349">
        <v>5.2</v>
      </c>
      <c r="AC34" s="349">
        <v>5.19</v>
      </c>
      <c r="AD34" s="349">
        <v>5.17</v>
      </c>
      <c r="AE34" s="349">
        <v>5.16</v>
      </c>
      <c r="AF34" s="349">
        <v>5.15</v>
      </c>
      <c r="AG34" s="349">
        <v>5.13</v>
      </c>
      <c r="AH34" s="349">
        <v>5.12</v>
      </c>
      <c r="AI34" s="349">
        <v>5.0999999999999996</v>
      </c>
      <c r="AJ34" s="349">
        <v>5.09</v>
      </c>
      <c r="AK34" s="349">
        <v>5.08</v>
      </c>
      <c r="AL34" s="349">
        <v>5.07</v>
      </c>
      <c r="AM34" s="349">
        <v>5.0599999999999996</v>
      </c>
      <c r="AN34" s="349">
        <v>5.05</v>
      </c>
      <c r="AO34" s="349">
        <v>5.04</v>
      </c>
      <c r="AP34" s="349">
        <v>5.03</v>
      </c>
      <c r="AQ34" s="349">
        <v>5.0199999999999996</v>
      </c>
      <c r="AR34" s="349">
        <v>5.01</v>
      </c>
      <c r="AS34" s="349">
        <v>5</v>
      </c>
      <c r="AT34" s="349">
        <v>4.99</v>
      </c>
      <c r="AU34" s="349">
        <v>4.9800000000000004</v>
      </c>
      <c r="AV34" s="349">
        <v>4.97</v>
      </c>
      <c r="AW34" s="349">
        <v>4.97</v>
      </c>
      <c r="AX34" s="349">
        <v>4.96</v>
      </c>
      <c r="AY34" s="349">
        <v>4.95</v>
      </c>
      <c r="AZ34" s="150">
        <v>2.75E-2</v>
      </c>
      <c r="BA34" s="104">
        <f t="shared" si="0"/>
        <v>2.75</v>
      </c>
    </row>
    <row r="35" spans="1:53" s="106" customFormat="1" ht="12.75">
      <c r="A35" s="107">
        <v>40602</v>
      </c>
      <c r="B35" s="349">
        <v>3.75</v>
      </c>
      <c r="C35" s="349">
        <v>3.9</v>
      </c>
      <c r="D35" s="349">
        <v>4.07</v>
      </c>
      <c r="E35" s="349">
        <v>4.22</v>
      </c>
      <c r="F35" s="349">
        <v>4.3600000000000003</v>
      </c>
      <c r="G35" s="349">
        <v>4.4800000000000004</v>
      </c>
      <c r="H35" s="349">
        <v>4.59</v>
      </c>
      <c r="I35" s="349">
        <v>4.6900000000000004</v>
      </c>
      <c r="J35" s="349">
        <v>4.78</v>
      </c>
      <c r="K35" s="349">
        <v>4.8600000000000003</v>
      </c>
      <c r="L35" s="349">
        <v>4.93</v>
      </c>
      <c r="M35" s="349">
        <v>5</v>
      </c>
      <c r="N35" s="349">
        <v>5.05</v>
      </c>
      <c r="O35" s="349">
        <v>5.0999999999999996</v>
      </c>
      <c r="P35" s="2303">
        <v>5.14</v>
      </c>
      <c r="Q35" s="349">
        <v>5.17</v>
      </c>
      <c r="R35" s="349">
        <v>5.19</v>
      </c>
      <c r="S35" s="349">
        <v>5.21</v>
      </c>
      <c r="T35" s="349">
        <v>5.23</v>
      </c>
      <c r="U35" s="349">
        <v>5.25</v>
      </c>
      <c r="V35" s="349">
        <v>5.24</v>
      </c>
      <c r="W35" s="349">
        <v>5.23</v>
      </c>
      <c r="X35" s="349">
        <v>5.23</v>
      </c>
      <c r="Y35" s="349">
        <v>5.23</v>
      </c>
      <c r="Z35" s="349">
        <v>5.22</v>
      </c>
      <c r="AA35" s="349">
        <v>5.2</v>
      </c>
      <c r="AB35" s="349">
        <v>5.19</v>
      </c>
      <c r="AC35" s="349">
        <v>5.18</v>
      </c>
      <c r="AD35" s="349">
        <v>5.16</v>
      </c>
      <c r="AE35" s="349">
        <v>5.15</v>
      </c>
      <c r="AF35" s="349">
        <v>5.13</v>
      </c>
      <c r="AG35" s="349">
        <v>5.12</v>
      </c>
      <c r="AH35" s="349">
        <v>5.0999999999999996</v>
      </c>
      <c r="AI35" s="349">
        <v>5.09</v>
      </c>
      <c r="AJ35" s="349">
        <v>5.08</v>
      </c>
      <c r="AK35" s="349">
        <v>5.0599999999999996</v>
      </c>
      <c r="AL35" s="349">
        <v>5.05</v>
      </c>
      <c r="AM35" s="349">
        <v>5.04</v>
      </c>
      <c r="AN35" s="349">
        <v>5.03</v>
      </c>
      <c r="AO35" s="349">
        <v>5.0199999999999996</v>
      </c>
      <c r="AP35" s="349">
        <v>5.01</v>
      </c>
      <c r="AQ35" s="349">
        <v>5</v>
      </c>
      <c r="AR35" s="349">
        <v>4.99</v>
      </c>
      <c r="AS35" s="349">
        <v>4.9800000000000004</v>
      </c>
      <c r="AT35" s="349">
        <v>4.9800000000000004</v>
      </c>
      <c r="AU35" s="349">
        <v>4.97</v>
      </c>
      <c r="AV35" s="349">
        <v>4.96</v>
      </c>
      <c r="AW35" s="349">
        <v>4.95</v>
      </c>
      <c r="AX35" s="349">
        <v>4.9400000000000004</v>
      </c>
      <c r="AY35" s="349">
        <v>4.9400000000000004</v>
      </c>
      <c r="AZ35" s="150">
        <v>2.75E-2</v>
      </c>
      <c r="BA35" s="104">
        <f t="shared" si="0"/>
        <v>2.75</v>
      </c>
    </row>
    <row r="36" spans="1:53" s="106" customFormat="1" ht="12.75">
      <c r="A36" s="107">
        <v>40633</v>
      </c>
      <c r="B36" s="349">
        <v>3.76</v>
      </c>
      <c r="C36" s="349">
        <v>3.91</v>
      </c>
      <c r="D36" s="349">
        <v>4.08</v>
      </c>
      <c r="E36" s="349">
        <v>4.2300000000000004</v>
      </c>
      <c r="F36" s="349">
        <v>4.3600000000000003</v>
      </c>
      <c r="G36" s="349">
        <v>4.4800000000000004</v>
      </c>
      <c r="H36" s="349">
        <v>4.59</v>
      </c>
      <c r="I36" s="349">
        <v>4.6900000000000004</v>
      </c>
      <c r="J36" s="349">
        <v>4.78</v>
      </c>
      <c r="K36" s="349">
        <v>4.8600000000000003</v>
      </c>
      <c r="L36" s="349">
        <v>4.93</v>
      </c>
      <c r="M36" s="349">
        <v>5</v>
      </c>
      <c r="N36" s="349">
        <v>5.05</v>
      </c>
      <c r="O36" s="349">
        <v>5.0999999999999996</v>
      </c>
      <c r="P36" s="2303">
        <v>5.14</v>
      </c>
      <c r="Q36" s="349">
        <v>5.17</v>
      </c>
      <c r="R36" s="349">
        <v>5.19</v>
      </c>
      <c r="S36" s="349">
        <v>5.21</v>
      </c>
      <c r="T36" s="349">
        <v>5.23</v>
      </c>
      <c r="U36" s="349">
        <v>5.24</v>
      </c>
      <c r="V36" s="349">
        <v>5.24</v>
      </c>
      <c r="W36" s="349">
        <v>5.23</v>
      </c>
      <c r="X36" s="349">
        <v>5.22</v>
      </c>
      <c r="Y36" s="349">
        <v>5.22</v>
      </c>
      <c r="Z36" s="349">
        <v>5.21</v>
      </c>
      <c r="AA36" s="349">
        <v>5.2</v>
      </c>
      <c r="AB36" s="349">
        <v>5.18</v>
      </c>
      <c r="AC36" s="349">
        <v>5.17</v>
      </c>
      <c r="AD36" s="349">
        <v>5.15</v>
      </c>
      <c r="AE36" s="349">
        <v>5.14</v>
      </c>
      <c r="AF36" s="349">
        <v>5.13</v>
      </c>
      <c r="AG36" s="349">
        <v>5.1100000000000003</v>
      </c>
      <c r="AH36" s="349">
        <v>5.09</v>
      </c>
      <c r="AI36" s="349">
        <v>5.08</v>
      </c>
      <c r="AJ36" s="349">
        <v>5.07</v>
      </c>
      <c r="AK36" s="349">
        <v>5.05</v>
      </c>
      <c r="AL36" s="349">
        <v>5.04</v>
      </c>
      <c r="AM36" s="349">
        <v>5.03</v>
      </c>
      <c r="AN36" s="349">
        <v>5.0199999999999996</v>
      </c>
      <c r="AO36" s="349">
        <v>5.01</v>
      </c>
      <c r="AP36" s="349">
        <v>5</v>
      </c>
      <c r="AQ36" s="349">
        <v>4.99</v>
      </c>
      <c r="AR36" s="349">
        <v>4.9800000000000004</v>
      </c>
      <c r="AS36" s="349">
        <v>4.97</v>
      </c>
      <c r="AT36" s="349">
        <v>4.96</v>
      </c>
      <c r="AU36" s="349">
        <v>4.96</v>
      </c>
      <c r="AV36" s="349">
        <v>4.95</v>
      </c>
      <c r="AW36" s="349">
        <v>4.9400000000000004</v>
      </c>
      <c r="AX36" s="349">
        <v>4.93</v>
      </c>
      <c r="AY36" s="349">
        <v>4.93</v>
      </c>
      <c r="AZ36" s="150">
        <v>2.75E-2</v>
      </c>
      <c r="BA36" s="104">
        <f t="shared" si="0"/>
        <v>2.75</v>
      </c>
    </row>
    <row r="37" spans="1:53" s="106" customFormat="1" ht="12.75">
      <c r="A37" s="107">
        <v>40663</v>
      </c>
      <c r="B37" s="349">
        <v>3.76</v>
      </c>
      <c r="C37" s="349">
        <v>3.91</v>
      </c>
      <c r="D37" s="349">
        <v>4.08</v>
      </c>
      <c r="E37" s="349">
        <v>4.2300000000000004</v>
      </c>
      <c r="F37" s="349">
        <v>4.3600000000000003</v>
      </c>
      <c r="G37" s="349">
        <v>4.4800000000000004</v>
      </c>
      <c r="H37" s="349">
        <v>4.59</v>
      </c>
      <c r="I37" s="349">
        <v>4.6900000000000004</v>
      </c>
      <c r="J37" s="349">
        <v>4.78</v>
      </c>
      <c r="K37" s="349">
        <v>4.8600000000000003</v>
      </c>
      <c r="L37" s="349">
        <v>4.93</v>
      </c>
      <c r="M37" s="349">
        <v>4.99</v>
      </c>
      <c r="N37" s="349">
        <v>5.05</v>
      </c>
      <c r="O37" s="349">
        <v>5.0999999999999996</v>
      </c>
      <c r="P37" s="2303">
        <v>5.14</v>
      </c>
      <c r="Q37" s="349">
        <v>5.16</v>
      </c>
      <c r="R37" s="349">
        <v>5.18</v>
      </c>
      <c r="S37" s="349">
        <v>5.2</v>
      </c>
      <c r="T37" s="349">
        <v>5.22</v>
      </c>
      <c r="U37" s="349">
        <v>5.24</v>
      </c>
      <c r="V37" s="349">
        <v>5.23</v>
      </c>
      <c r="W37" s="349">
        <v>5.22</v>
      </c>
      <c r="X37" s="349">
        <v>5.22</v>
      </c>
      <c r="Y37" s="349">
        <v>5.21</v>
      </c>
      <c r="Z37" s="349">
        <v>5.21</v>
      </c>
      <c r="AA37" s="349">
        <v>5.19</v>
      </c>
      <c r="AB37" s="349">
        <v>5.17</v>
      </c>
      <c r="AC37" s="349">
        <v>5.16</v>
      </c>
      <c r="AD37" s="349">
        <v>5.14</v>
      </c>
      <c r="AE37" s="349">
        <v>5.13</v>
      </c>
      <c r="AF37" s="349">
        <v>5.1100000000000003</v>
      </c>
      <c r="AG37" s="349">
        <v>5.0999999999999996</v>
      </c>
      <c r="AH37" s="349">
        <v>5.08</v>
      </c>
      <c r="AI37" s="349">
        <v>5.07</v>
      </c>
      <c r="AJ37" s="349">
        <v>5.05</v>
      </c>
      <c r="AK37" s="349">
        <v>5.04</v>
      </c>
      <c r="AL37" s="349">
        <v>5.03</v>
      </c>
      <c r="AM37" s="349">
        <v>5.0199999999999996</v>
      </c>
      <c r="AN37" s="349">
        <v>5.01</v>
      </c>
      <c r="AO37" s="349">
        <v>5</v>
      </c>
      <c r="AP37" s="349">
        <v>4.99</v>
      </c>
      <c r="AQ37" s="349">
        <v>4.9800000000000004</v>
      </c>
      <c r="AR37" s="349">
        <v>4.97</v>
      </c>
      <c r="AS37" s="349">
        <v>4.96</v>
      </c>
      <c r="AT37" s="349">
        <v>4.95</v>
      </c>
      <c r="AU37" s="349">
        <v>4.9400000000000004</v>
      </c>
      <c r="AV37" s="349">
        <v>4.93</v>
      </c>
      <c r="AW37" s="349">
        <v>4.93</v>
      </c>
      <c r="AX37" s="349">
        <v>4.92</v>
      </c>
      <c r="AY37" s="349">
        <v>4.91</v>
      </c>
      <c r="AZ37" s="150">
        <v>2.75E-2</v>
      </c>
      <c r="BA37" s="104">
        <f t="shared" si="0"/>
        <v>2.75</v>
      </c>
    </row>
    <row r="38" spans="1:53" s="106" customFormat="1" ht="12.75">
      <c r="A38" s="107">
        <v>40694</v>
      </c>
      <c r="B38" s="349">
        <v>3.76</v>
      </c>
      <c r="C38" s="349">
        <v>3.91</v>
      </c>
      <c r="D38" s="349">
        <v>4.08</v>
      </c>
      <c r="E38" s="349">
        <v>4.2300000000000004</v>
      </c>
      <c r="F38" s="349">
        <v>4.3600000000000003</v>
      </c>
      <c r="G38" s="349">
        <v>4.4800000000000004</v>
      </c>
      <c r="H38" s="349">
        <v>4.59</v>
      </c>
      <c r="I38" s="349">
        <v>4.6900000000000004</v>
      </c>
      <c r="J38" s="349">
        <v>4.7699999999999996</v>
      </c>
      <c r="K38" s="349">
        <v>4.8499999999999996</v>
      </c>
      <c r="L38" s="349">
        <v>4.93</v>
      </c>
      <c r="M38" s="349">
        <v>4.99</v>
      </c>
      <c r="N38" s="349">
        <v>5.04</v>
      </c>
      <c r="O38" s="349">
        <v>5.09</v>
      </c>
      <c r="P38" s="2303">
        <v>5.13</v>
      </c>
      <c r="Q38" s="349">
        <v>5.16</v>
      </c>
      <c r="R38" s="349">
        <v>5.18</v>
      </c>
      <c r="S38" s="349">
        <v>5.2</v>
      </c>
      <c r="T38" s="349">
        <v>5.21</v>
      </c>
      <c r="U38" s="349">
        <v>5.23</v>
      </c>
      <c r="V38" s="349">
        <v>5.22</v>
      </c>
      <c r="W38" s="349">
        <v>5.21</v>
      </c>
      <c r="X38" s="349">
        <v>5.21</v>
      </c>
      <c r="Y38" s="349">
        <v>5.2</v>
      </c>
      <c r="Z38" s="349">
        <v>5.2</v>
      </c>
      <c r="AA38" s="349">
        <v>5.18</v>
      </c>
      <c r="AB38" s="349">
        <v>5.16</v>
      </c>
      <c r="AC38" s="349">
        <v>5.15</v>
      </c>
      <c r="AD38" s="349">
        <v>5.13</v>
      </c>
      <c r="AE38" s="349">
        <v>5.12</v>
      </c>
      <c r="AF38" s="349">
        <v>5.0999999999999996</v>
      </c>
      <c r="AG38" s="349">
        <v>5.09</v>
      </c>
      <c r="AH38" s="349">
        <v>5.07</v>
      </c>
      <c r="AI38" s="349">
        <v>5.0599999999999996</v>
      </c>
      <c r="AJ38" s="349">
        <v>5.04</v>
      </c>
      <c r="AK38" s="349">
        <v>5.03</v>
      </c>
      <c r="AL38" s="349">
        <v>5.0199999999999996</v>
      </c>
      <c r="AM38" s="349">
        <v>5</v>
      </c>
      <c r="AN38" s="349">
        <v>4.99</v>
      </c>
      <c r="AO38" s="349">
        <v>4.9800000000000004</v>
      </c>
      <c r="AP38" s="349">
        <v>4.97</v>
      </c>
      <c r="AQ38" s="349">
        <v>4.96</v>
      </c>
      <c r="AR38" s="349">
        <v>4.95</v>
      </c>
      <c r="AS38" s="349">
        <v>4.9400000000000004</v>
      </c>
      <c r="AT38" s="349">
        <v>4.9400000000000004</v>
      </c>
      <c r="AU38" s="349">
        <v>4.93</v>
      </c>
      <c r="AV38" s="349">
        <v>4.92</v>
      </c>
      <c r="AW38" s="349">
        <v>4.91</v>
      </c>
      <c r="AX38" s="349">
        <v>4.9000000000000004</v>
      </c>
      <c r="AY38" s="349">
        <v>4.9000000000000004</v>
      </c>
      <c r="AZ38" s="150">
        <v>2.75E-2</v>
      </c>
      <c r="BA38" s="104">
        <f t="shared" si="0"/>
        <v>2.75</v>
      </c>
    </row>
    <row r="39" spans="1:53" s="106" customFormat="1" ht="12.75">
      <c r="A39" s="107">
        <v>40724</v>
      </c>
      <c r="B39" s="349">
        <v>3.77</v>
      </c>
      <c r="C39" s="349">
        <v>3.91</v>
      </c>
      <c r="D39" s="349">
        <v>4.08</v>
      </c>
      <c r="E39" s="349">
        <v>4.2300000000000004</v>
      </c>
      <c r="F39" s="349">
        <v>4.3600000000000003</v>
      </c>
      <c r="G39" s="349">
        <v>4.4800000000000004</v>
      </c>
      <c r="H39" s="349">
        <v>4.59</v>
      </c>
      <c r="I39" s="349">
        <v>4.68</v>
      </c>
      <c r="J39" s="349">
        <v>4.7699999999999996</v>
      </c>
      <c r="K39" s="349">
        <v>4.8499999999999996</v>
      </c>
      <c r="L39" s="349">
        <v>4.92</v>
      </c>
      <c r="M39" s="349">
        <v>4.99</v>
      </c>
      <c r="N39" s="349">
        <v>5.04</v>
      </c>
      <c r="O39" s="349">
        <v>5.09</v>
      </c>
      <c r="P39" s="2303">
        <v>5.13</v>
      </c>
      <c r="Q39" s="349">
        <v>5.16</v>
      </c>
      <c r="R39" s="349">
        <v>5.18</v>
      </c>
      <c r="S39" s="349">
        <v>5.2</v>
      </c>
      <c r="T39" s="349">
        <v>5.21</v>
      </c>
      <c r="U39" s="349">
        <v>5.23</v>
      </c>
      <c r="V39" s="349">
        <v>5.22</v>
      </c>
      <c r="W39" s="349">
        <v>5.21</v>
      </c>
      <c r="X39" s="349">
        <v>5.2</v>
      </c>
      <c r="Y39" s="349">
        <v>5.2</v>
      </c>
      <c r="Z39" s="349">
        <v>5.19</v>
      </c>
      <c r="AA39" s="349">
        <v>5.18</v>
      </c>
      <c r="AB39" s="349">
        <v>5.16</v>
      </c>
      <c r="AC39" s="349">
        <v>5.14</v>
      </c>
      <c r="AD39" s="349">
        <v>5.13</v>
      </c>
      <c r="AE39" s="349">
        <v>5.12</v>
      </c>
      <c r="AF39" s="349">
        <v>5.0999999999999996</v>
      </c>
      <c r="AG39" s="349">
        <v>5.08</v>
      </c>
      <c r="AH39" s="349">
        <v>5.07</v>
      </c>
      <c r="AI39" s="349">
        <v>5.05</v>
      </c>
      <c r="AJ39" s="349">
        <v>5.04</v>
      </c>
      <c r="AK39" s="349">
        <v>5.0199999999999996</v>
      </c>
      <c r="AL39" s="349">
        <v>5.01</v>
      </c>
      <c r="AM39" s="349">
        <v>5</v>
      </c>
      <c r="AN39" s="349">
        <v>4.99</v>
      </c>
      <c r="AO39" s="349">
        <v>4.9800000000000004</v>
      </c>
      <c r="AP39" s="349">
        <v>4.97</v>
      </c>
      <c r="AQ39" s="349">
        <v>4.96</v>
      </c>
      <c r="AR39" s="349">
        <v>4.95</v>
      </c>
      <c r="AS39" s="349">
        <v>4.9400000000000004</v>
      </c>
      <c r="AT39" s="349">
        <v>4.93</v>
      </c>
      <c r="AU39" s="349">
        <v>4.92</v>
      </c>
      <c r="AV39" s="349">
        <v>4.91</v>
      </c>
      <c r="AW39" s="349">
        <v>4.91</v>
      </c>
      <c r="AX39" s="349">
        <v>4.9000000000000004</v>
      </c>
      <c r="AY39" s="349">
        <v>4.8899999999999997</v>
      </c>
      <c r="AZ39" s="150">
        <v>2.75E-2</v>
      </c>
      <c r="BA39" s="104">
        <f t="shared" si="0"/>
        <v>2.75</v>
      </c>
    </row>
    <row r="40" spans="1:53" s="108" customFormat="1" ht="12.75">
      <c r="A40" s="107">
        <v>40755</v>
      </c>
      <c r="B40" s="349">
        <v>3.77</v>
      </c>
      <c r="C40" s="349">
        <v>3.91</v>
      </c>
      <c r="D40" s="349">
        <v>4.08</v>
      </c>
      <c r="E40" s="349">
        <v>4.22</v>
      </c>
      <c r="F40" s="349">
        <v>4.3499999999999996</v>
      </c>
      <c r="G40" s="349">
        <v>4.47</v>
      </c>
      <c r="H40" s="349">
        <v>4.58</v>
      </c>
      <c r="I40" s="349">
        <v>4.68</v>
      </c>
      <c r="J40" s="349">
        <v>4.7699999999999996</v>
      </c>
      <c r="K40" s="349">
        <v>4.8499999999999996</v>
      </c>
      <c r="L40" s="349">
        <v>4.92</v>
      </c>
      <c r="M40" s="349">
        <v>4.9800000000000004</v>
      </c>
      <c r="N40" s="349">
        <v>5.04</v>
      </c>
      <c r="O40" s="349">
        <v>5.09</v>
      </c>
      <c r="P40" s="2303">
        <v>5.13</v>
      </c>
      <c r="Q40" s="349">
        <v>5.15</v>
      </c>
      <c r="R40" s="349">
        <v>5.17</v>
      </c>
      <c r="S40" s="349">
        <v>5.19</v>
      </c>
      <c r="T40" s="349">
        <v>5.21</v>
      </c>
      <c r="U40" s="349">
        <v>5.22</v>
      </c>
      <c r="V40" s="349">
        <v>5.21</v>
      </c>
      <c r="W40" s="349">
        <v>5.2</v>
      </c>
      <c r="X40" s="349">
        <v>5.2</v>
      </c>
      <c r="Y40" s="349">
        <v>5.19</v>
      </c>
      <c r="Z40" s="349">
        <v>5.18</v>
      </c>
      <c r="AA40" s="349">
        <v>5.17</v>
      </c>
      <c r="AB40" s="349">
        <v>5.15</v>
      </c>
      <c r="AC40" s="349">
        <v>5.13</v>
      </c>
      <c r="AD40" s="349">
        <v>5.12</v>
      </c>
      <c r="AE40" s="349">
        <v>5.1100000000000003</v>
      </c>
      <c r="AF40" s="349">
        <v>5.09</v>
      </c>
      <c r="AG40" s="349">
        <v>5.07</v>
      </c>
      <c r="AH40" s="349">
        <v>5.05</v>
      </c>
      <c r="AI40" s="349">
        <v>5.04</v>
      </c>
      <c r="AJ40" s="349">
        <v>5.03</v>
      </c>
      <c r="AK40" s="349">
        <v>5.01</v>
      </c>
      <c r="AL40" s="349">
        <v>5</v>
      </c>
      <c r="AM40" s="349">
        <v>4.99</v>
      </c>
      <c r="AN40" s="349">
        <v>4.9800000000000004</v>
      </c>
      <c r="AO40" s="349">
        <v>4.97</v>
      </c>
      <c r="AP40" s="349">
        <v>4.96</v>
      </c>
      <c r="AQ40" s="349">
        <v>4.95</v>
      </c>
      <c r="AR40" s="349">
        <v>4.9400000000000004</v>
      </c>
      <c r="AS40" s="349">
        <v>4.93</v>
      </c>
      <c r="AT40" s="349">
        <v>4.92</v>
      </c>
      <c r="AU40" s="349">
        <v>4.91</v>
      </c>
      <c r="AV40" s="349">
        <v>4.9000000000000004</v>
      </c>
      <c r="AW40" s="349">
        <v>4.9000000000000004</v>
      </c>
      <c r="AX40" s="349">
        <v>4.8899999999999997</v>
      </c>
      <c r="AY40" s="349">
        <v>4.88</v>
      </c>
      <c r="AZ40" s="150">
        <v>2.75E-2</v>
      </c>
      <c r="BA40" s="104">
        <f t="shared" si="0"/>
        <v>2.75</v>
      </c>
    </row>
    <row r="41" spans="1:53" s="106" customFormat="1" ht="12.75">
      <c r="A41" s="107">
        <v>40786</v>
      </c>
      <c r="B41" s="349">
        <v>3.78</v>
      </c>
      <c r="C41" s="349">
        <v>3.92</v>
      </c>
      <c r="D41" s="349">
        <v>4.08</v>
      </c>
      <c r="E41" s="349">
        <v>4.22</v>
      </c>
      <c r="F41" s="349">
        <v>4.3600000000000003</v>
      </c>
      <c r="G41" s="349">
        <v>4.4800000000000004</v>
      </c>
      <c r="H41" s="349">
        <v>4.59</v>
      </c>
      <c r="I41" s="349">
        <v>4.68</v>
      </c>
      <c r="J41" s="349">
        <v>4.7699999999999996</v>
      </c>
      <c r="K41" s="349">
        <v>4.8499999999999996</v>
      </c>
      <c r="L41" s="349">
        <v>4.92</v>
      </c>
      <c r="M41" s="349">
        <v>4.9800000000000004</v>
      </c>
      <c r="N41" s="349">
        <v>5.04</v>
      </c>
      <c r="O41" s="349">
        <v>5.09</v>
      </c>
      <c r="P41" s="2303">
        <v>5.13</v>
      </c>
      <c r="Q41" s="349">
        <v>5.15</v>
      </c>
      <c r="R41" s="349">
        <v>5.17</v>
      </c>
      <c r="S41" s="349">
        <v>5.19</v>
      </c>
      <c r="T41" s="349">
        <v>5.21</v>
      </c>
      <c r="U41" s="349">
        <v>5.22</v>
      </c>
      <c r="V41" s="349">
        <v>5.21</v>
      </c>
      <c r="W41" s="349">
        <v>5.2</v>
      </c>
      <c r="X41" s="349">
        <v>5.2</v>
      </c>
      <c r="Y41" s="349">
        <v>5.19</v>
      </c>
      <c r="Z41" s="349">
        <v>5.18</v>
      </c>
      <c r="AA41" s="349">
        <v>5.16</v>
      </c>
      <c r="AB41" s="349">
        <v>5.15</v>
      </c>
      <c r="AC41" s="349">
        <v>5.13</v>
      </c>
      <c r="AD41" s="349">
        <v>5.12</v>
      </c>
      <c r="AE41" s="349">
        <v>5.0999999999999996</v>
      </c>
      <c r="AF41" s="349">
        <v>5.08</v>
      </c>
      <c r="AG41" s="349">
        <v>5.07</v>
      </c>
      <c r="AH41" s="349">
        <v>5.05</v>
      </c>
      <c r="AI41" s="349">
        <v>5.04</v>
      </c>
      <c r="AJ41" s="349">
        <v>5.0199999999999996</v>
      </c>
      <c r="AK41" s="349">
        <v>5.01</v>
      </c>
      <c r="AL41" s="349">
        <v>5</v>
      </c>
      <c r="AM41" s="349">
        <v>4.9800000000000004</v>
      </c>
      <c r="AN41" s="349">
        <v>4.97</v>
      </c>
      <c r="AO41" s="349">
        <v>4.96</v>
      </c>
      <c r="AP41" s="349">
        <v>4.95</v>
      </c>
      <c r="AQ41" s="349">
        <v>4.9400000000000004</v>
      </c>
      <c r="AR41" s="349">
        <v>4.93</v>
      </c>
      <c r="AS41" s="349">
        <v>4.92</v>
      </c>
      <c r="AT41" s="349">
        <v>4.92</v>
      </c>
      <c r="AU41" s="349">
        <v>4.91</v>
      </c>
      <c r="AV41" s="349">
        <v>4.9000000000000004</v>
      </c>
      <c r="AW41" s="349">
        <v>4.8899999999999997</v>
      </c>
      <c r="AX41" s="349">
        <v>4.88</v>
      </c>
      <c r="AY41" s="349">
        <v>4.88</v>
      </c>
      <c r="AZ41" s="150">
        <v>2.75E-2</v>
      </c>
      <c r="BA41" s="104">
        <f t="shared" si="0"/>
        <v>2.75</v>
      </c>
    </row>
    <row r="42" spans="1:53" s="106" customFormat="1" ht="12.75">
      <c r="A42" s="107">
        <v>40816</v>
      </c>
      <c r="B42" s="349">
        <v>3.79</v>
      </c>
      <c r="C42" s="349">
        <v>3.93</v>
      </c>
      <c r="D42" s="349">
        <v>4.08</v>
      </c>
      <c r="E42" s="349">
        <v>4.2300000000000004</v>
      </c>
      <c r="F42" s="349">
        <v>4.3600000000000003</v>
      </c>
      <c r="G42" s="349">
        <v>4.4800000000000004</v>
      </c>
      <c r="H42" s="349">
        <v>4.59</v>
      </c>
      <c r="I42" s="349">
        <v>4.6900000000000004</v>
      </c>
      <c r="J42" s="349">
        <v>4.7699999999999996</v>
      </c>
      <c r="K42" s="349">
        <v>4.8499999999999996</v>
      </c>
      <c r="L42" s="349">
        <v>4.92</v>
      </c>
      <c r="M42" s="349">
        <v>4.99</v>
      </c>
      <c r="N42" s="349">
        <v>5.04</v>
      </c>
      <c r="O42" s="349">
        <v>5.09</v>
      </c>
      <c r="P42" s="2303">
        <v>5.13</v>
      </c>
      <c r="Q42" s="349">
        <v>5.15</v>
      </c>
      <c r="R42" s="349">
        <v>5.17</v>
      </c>
      <c r="S42" s="349">
        <v>5.19</v>
      </c>
      <c r="T42" s="349">
        <v>5.21</v>
      </c>
      <c r="U42" s="349">
        <v>5.22</v>
      </c>
      <c r="V42" s="349">
        <v>5.21</v>
      </c>
      <c r="W42" s="349">
        <v>5.2</v>
      </c>
      <c r="X42" s="349">
        <v>5.19</v>
      </c>
      <c r="Y42" s="349">
        <v>5.19</v>
      </c>
      <c r="Z42" s="349">
        <v>5.18</v>
      </c>
      <c r="AA42" s="349">
        <v>5.16</v>
      </c>
      <c r="AB42" s="349">
        <v>5.14</v>
      </c>
      <c r="AC42" s="349">
        <v>5.13</v>
      </c>
      <c r="AD42" s="349">
        <v>5.1100000000000003</v>
      </c>
      <c r="AE42" s="349">
        <v>5.0999999999999996</v>
      </c>
      <c r="AF42" s="349">
        <v>5.08</v>
      </c>
      <c r="AG42" s="349">
        <v>5.0599999999999996</v>
      </c>
      <c r="AH42" s="349">
        <v>5.05</v>
      </c>
      <c r="AI42" s="349">
        <v>5.03</v>
      </c>
      <c r="AJ42" s="349">
        <v>5.0199999999999996</v>
      </c>
      <c r="AK42" s="349">
        <v>5</v>
      </c>
      <c r="AL42" s="349">
        <v>4.99</v>
      </c>
      <c r="AM42" s="349">
        <v>4.9800000000000004</v>
      </c>
      <c r="AN42" s="349">
        <v>4.97</v>
      </c>
      <c r="AO42" s="349">
        <v>4.96</v>
      </c>
      <c r="AP42" s="349">
        <v>4.95</v>
      </c>
      <c r="AQ42" s="349">
        <v>4.9400000000000004</v>
      </c>
      <c r="AR42" s="349">
        <v>4.93</v>
      </c>
      <c r="AS42" s="349">
        <v>4.92</v>
      </c>
      <c r="AT42" s="349">
        <v>4.91</v>
      </c>
      <c r="AU42" s="349">
        <v>4.9000000000000004</v>
      </c>
      <c r="AV42" s="349">
        <v>4.8899999999999997</v>
      </c>
      <c r="AW42" s="349">
        <v>4.8899999999999997</v>
      </c>
      <c r="AX42" s="349">
        <v>4.88</v>
      </c>
      <c r="AY42" s="349">
        <v>4.87</v>
      </c>
      <c r="AZ42" s="150">
        <v>2.75E-2</v>
      </c>
      <c r="BA42" s="104">
        <f t="shared" si="0"/>
        <v>2.75</v>
      </c>
    </row>
    <row r="43" spans="1:53" s="106" customFormat="1" ht="12.75">
      <c r="A43" s="107">
        <v>40847</v>
      </c>
      <c r="B43" s="349">
        <v>3.8</v>
      </c>
      <c r="C43" s="349">
        <v>3.93</v>
      </c>
      <c r="D43" s="349">
        <v>4.09</v>
      </c>
      <c r="E43" s="349">
        <v>4.2300000000000004</v>
      </c>
      <c r="F43" s="349">
        <v>4.3600000000000003</v>
      </c>
      <c r="G43" s="349">
        <v>4.4800000000000004</v>
      </c>
      <c r="H43" s="349">
        <v>4.59</v>
      </c>
      <c r="I43" s="349">
        <v>4.68</v>
      </c>
      <c r="J43" s="349">
        <v>4.7699999999999996</v>
      </c>
      <c r="K43" s="349">
        <v>4.8499999999999996</v>
      </c>
      <c r="L43" s="349">
        <v>4.92</v>
      </c>
      <c r="M43" s="349">
        <v>4.9800000000000004</v>
      </c>
      <c r="N43" s="349">
        <v>5.04</v>
      </c>
      <c r="O43" s="349">
        <v>5.09</v>
      </c>
      <c r="P43" s="2303">
        <v>5.13</v>
      </c>
      <c r="Q43" s="349">
        <v>5.15</v>
      </c>
      <c r="R43" s="349">
        <v>5.17</v>
      </c>
      <c r="S43" s="349">
        <v>5.19</v>
      </c>
      <c r="T43" s="349">
        <v>5.2</v>
      </c>
      <c r="U43" s="349">
        <v>5.22</v>
      </c>
      <c r="V43" s="349">
        <v>5.21</v>
      </c>
      <c r="W43" s="349">
        <v>5.2</v>
      </c>
      <c r="X43" s="349">
        <v>5.19</v>
      </c>
      <c r="Y43" s="349">
        <v>5.18</v>
      </c>
      <c r="Z43" s="349">
        <v>5.17</v>
      </c>
      <c r="AA43" s="349">
        <v>5.15</v>
      </c>
      <c r="AB43" s="349">
        <v>5.14</v>
      </c>
      <c r="AC43" s="349">
        <v>5.12</v>
      </c>
      <c r="AD43" s="349">
        <v>5.0999999999999996</v>
      </c>
      <c r="AE43" s="349">
        <v>5.09</v>
      </c>
      <c r="AF43" s="349">
        <v>5.07</v>
      </c>
      <c r="AG43" s="349">
        <v>5.05</v>
      </c>
      <c r="AH43" s="349">
        <v>5.04</v>
      </c>
      <c r="AI43" s="349">
        <v>5.0199999999999996</v>
      </c>
      <c r="AJ43" s="349">
        <v>5.01</v>
      </c>
      <c r="AK43" s="349">
        <v>4.99</v>
      </c>
      <c r="AL43" s="349">
        <v>4.9800000000000004</v>
      </c>
      <c r="AM43" s="349">
        <v>4.97</v>
      </c>
      <c r="AN43" s="349">
        <v>4.96</v>
      </c>
      <c r="AO43" s="349">
        <v>4.95</v>
      </c>
      <c r="AP43" s="349">
        <v>4.9400000000000004</v>
      </c>
      <c r="AQ43" s="349">
        <v>4.93</v>
      </c>
      <c r="AR43" s="349">
        <v>4.92</v>
      </c>
      <c r="AS43" s="349">
        <v>4.91</v>
      </c>
      <c r="AT43" s="349">
        <v>4.9000000000000004</v>
      </c>
      <c r="AU43" s="349">
        <v>4.8899999999999997</v>
      </c>
      <c r="AV43" s="349">
        <v>4.8899999999999997</v>
      </c>
      <c r="AW43" s="349">
        <v>4.88</v>
      </c>
      <c r="AX43" s="349">
        <v>4.87</v>
      </c>
      <c r="AY43" s="349">
        <v>4.87</v>
      </c>
      <c r="AZ43" s="150">
        <v>2.75E-2</v>
      </c>
      <c r="BA43" s="104">
        <f t="shared" si="0"/>
        <v>2.75</v>
      </c>
    </row>
    <row r="44" spans="1:53" s="106" customFormat="1" ht="12.75">
      <c r="A44" s="107">
        <v>40877</v>
      </c>
      <c r="B44" s="349">
        <v>3.81</v>
      </c>
      <c r="C44" s="349">
        <v>3.94</v>
      </c>
      <c r="D44" s="349">
        <v>4.09</v>
      </c>
      <c r="E44" s="349">
        <v>4.24</v>
      </c>
      <c r="F44" s="349">
        <v>4.37</v>
      </c>
      <c r="G44" s="349">
        <v>4.49</v>
      </c>
      <c r="H44" s="349">
        <v>4.5999999999999996</v>
      </c>
      <c r="I44" s="349">
        <v>4.6900000000000004</v>
      </c>
      <c r="J44" s="349">
        <v>4.78</v>
      </c>
      <c r="K44" s="349">
        <v>4.8600000000000003</v>
      </c>
      <c r="L44" s="349">
        <v>4.93</v>
      </c>
      <c r="M44" s="349">
        <v>4.99</v>
      </c>
      <c r="N44" s="349">
        <v>5.05</v>
      </c>
      <c r="O44" s="349">
        <v>5.09</v>
      </c>
      <c r="P44" s="2303">
        <v>5.14</v>
      </c>
      <c r="Q44" s="349">
        <v>5.16</v>
      </c>
      <c r="R44" s="349">
        <v>5.17</v>
      </c>
      <c r="S44" s="349">
        <v>5.19</v>
      </c>
      <c r="T44" s="349">
        <v>5.21</v>
      </c>
      <c r="U44" s="349">
        <v>5.22</v>
      </c>
      <c r="V44" s="349">
        <v>5.21</v>
      </c>
      <c r="W44" s="349">
        <v>5.2</v>
      </c>
      <c r="X44" s="349">
        <v>5.19</v>
      </c>
      <c r="Y44" s="349">
        <v>5.18</v>
      </c>
      <c r="Z44" s="349">
        <v>5.17</v>
      </c>
      <c r="AA44" s="349">
        <v>5.15</v>
      </c>
      <c r="AB44" s="349">
        <v>5.13</v>
      </c>
      <c r="AC44" s="349">
        <v>5.12</v>
      </c>
      <c r="AD44" s="349">
        <v>5.0999999999999996</v>
      </c>
      <c r="AE44" s="349">
        <v>5.09</v>
      </c>
      <c r="AF44" s="349">
        <v>5.07</v>
      </c>
      <c r="AG44" s="349">
        <v>5.05</v>
      </c>
      <c r="AH44" s="349">
        <v>5.03</v>
      </c>
      <c r="AI44" s="349">
        <v>5.0199999999999996</v>
      </c>
      <c r="AJ44" s="349">
        <v>5.01</v>
      </c>
      <c r="AK44" s="349">
        <v>4.99</v>
      </c>
      <c r="AL44" s="349">
        <v>4.9800000000000004</v>
      </c>
      <c r="AM44" s="349">
        <v>4.97</v>
      </c>
      <c r="AN44" s="349">
        <v>4.96</v>
      </c>
      <c r="AO44" s="349">
        <v>4.9400000000000004</v>
      </c>
      <c r="AP44" s="349">
        <v>4.93</v>
      </c>
      <c r="AQ44" s="349">
        <v>4.93</v>
      </c>
      <c r="AR44" s="349">
        <v>4.92</v>
      </c>
      <c r="AS44" s="349">
        <v>4.91</v>
      </c>
      <c r="AT44" s="349">
        <v>4.9000000000000004</v>
      </c>
      <c r="AU44" s="349">
        <v>4.8899999999999997</v>
      </c>
      <c r="AV44" s="349">
        <v>4.88</v>
      </c>
      <c r="AW44" s="349">
        <v>4.88</v>
      </c>
      <c r="AX44" s="349">
        <v>4.87</v>
      </c>
      <c r="AY44" s="349">
        <v>4.8600000000000003</v>
      </c>
      <c r="AZ44" s="150">
        <v>2.75E-2</v>
      </c>
      <c r="BA44" s="104">
        <f t="shared" si="0"/>
        <v>2.75</v>
      </c>
    </row>
    <row r="45" spans="1:53" s="106" customFormat="1" ht="12.75">
      <c r="A45" s="107">
        <v>40908</v>
      </c>
      <c r="B45" s="349">
        <v>3.82</v>
      </c>
      <c r="C45" s="349">
        <v>3.94</v>
      </c>
      <c r="D45" s="349">
        <v>4.09</v>
      </c>
      <c r="E45" s="349">
        <v>4.24</v>
      </c>
      <c r="F45" s="349">
        <v>4.37</v>
      </c>
      <c r="G45" s="349">
        <v>4.49</v>
      </c>
      <c r="H45" s="349">
        <v>4.5999999999999996</v>
      </c>
      <c r="I45" s="349">
        <v>4.6900000000000004</v>
      </c>
      <c r="J45" s="349">
        <v>4.78</v>
      </c>
      <c r="K45" s="349">
        <v>4.8600000000000003</v>
      </c>
      <c r="L45" s="349">
        <v>4.93</v>
      </c>
      <c r="M45" s="349">
        <v>4.99</v>
      </c>
      <c r="N45" s="349">
        <v>5.05</v>
      </c>
      <c r="O45" s="349">
        <v>5.0999999999999996</v>
      </c>
      <c r="P45" s="2303">
        <v>5.14</v>
      </c>
      <c r="Q45" s="349">
        <v>5.16</v>
      </c>
      <c r="R45" s="349">
        <v>5.17</v>
      </c>
      <c r="S45" s="349">
        <v>5.19</v>
      </c>
      <c r="T45" s="349">
        <v>5.2</v>
      </c>
      <c r="U45" s="349">
        <v>5.22</v>
      </c>
      <c r="V45" s="349">
        <v>5.2</v>
      </c>
      <c r="W45" s="349">
        <v>5.19</v>
      </c>
      <c r="X45" s="349">
        <v>5.18</v>
      </c>
      <c r="Y45" s="349">
        <v>5.18</v>
      </c>
      <c r="Z45" s="349">
        <v>5.17</v>
      </c>
      <c r="AA45" s="349">
        <v>5.15</v>
      </c>
      <c r="AB45" s="349">
        <v>5.13</v>
      </c>
      <c r="AC45" s="349">
        <v>5.1100000000000003</v>
      </c>
      <c r="AD45" s="349">
        <v>5.0999999999999996</v>
      </c>
      <c r="AE45" s="349">
        <v>5.08</v>
      </c>
      <c r="AF45" s="349">
        <v>5.0599999999999996</v>
      </c>
      <c r="AG45" s="349">
        <v>5.04</v>
      </c>
      <c r="AH45" s="349">
        <v>5.03</v>
      </c>
      <c r="AI45" s="349">
        <v>5.01</v>
      </c>
      <c r="AJ45" s="349">
        <v>5</v>
      </c>
      <c r="AK45" s="349">
        <v>4.99</v>
      </c>
      <c r="AL45" s="349">
        <v>4.97</v>
      </c>
      <c r="AM45" s="349">
        <v>4.96</v>
      </c>
      <c r="AN45" s="349">
        <v>4.95</v>
      </c>
      <c r="AO45" s="349">
        <v>4.9400000000000004</v>
      </c>
      <c r="AP45" s="349">
        <v>4.93</v>
      </c>
      <c r="AQ45" s="349">
        <v>4.92</v>
      </c>
      <c r="AR45" s="349">
        <v>4.91</v>
      </c>
      <c r="AS45" s="349">
        <v>4.9000000000000004</v>
      </c>
      <c r="AT45" s="349">
        <v>4.8899999999999997</v>
      </c>
      <c r="AU45" s="349">
        <v>4.8899999999999997</v>
      </c>
      <c r="AV45" s="349">
        <v>4.88</v>
      </c>
      <c r="AW45" s="349">
        <v>4.87</v>
      </c>
      <c r="AX45" s="349">
        <v>4.8600000000000003</v>
      </c>
      <c r="AY45" s="349">
        <v>4.8600000000000003</v>
      </c>
      <c r="AZ45" s="150">
        <v>2.75E-2</v>
      </c>
      <c r="BA45" s="104">
        <f t="shared" si="0"/>
        <v>2.75</v>
      </c>
    </row>
    <row r="46" spans="1:53" s="106" customFormat="1" ht="12.75">
      <c r="A46" s="107">
        <v>40939</v>
      </c>
      <c r="B46" s="349">
        <v>3.82</v>
      </c>
      <c r="C46" s="349">
        <v>3.94</v>
      </c>
      <c r="D46" s="349">
        <v>4.09</v>
      </c>
      <c r="E46" s="349">
        <v>4.2300000000000004</v>
      </c>
      <c r="F46" s="349">
        <v>4.3600000000000003</v>
      </c>
      <c r="G46" s="349">
        <v>4.4800000000000004</v>
      </c>
      <c r="H46" s="349">
        <v>4.59</v>
      </c>
      <c r="I46" s="349">
        <v>4.6900000000000004</v>
      </c>
      <c r="J46" s="349">
        <v>4.78</v>
      </c>
      <c r="K46" s="349">
        <v>4.8499999999999996</v>
      </c>
      <c r="L46" s="349">
        <v>4.93</v>
      </c>
      <c r="M46" s="349">
        <v>4.99</v>
      </c>
      <c r="N46" s="349">
        <v>5.05</v>
      </c>
      <c r="O46" s="349">
        <v>5.09</v>
      </c>
      <c r="P46" s="2303">
        <v>5.13</v>
      </c>
      <c r="Q46" s="349">
        <v>5.15</v>
      </c>
      <c r="R46" s="349">
        <v>5.17</v>
      </c>
      <c r="S46" s="349">
        <v>5.19</v>
      </c>
      <c r="T46" s="349">
        <v>5.2</v>
      </c>
      <c r="U46" s="349">
        <v>5.21</v>
      </c>
      <c r="V46" s="349">
        <v>5.2</v>
      </c>
      <c r="W46" s="349">
        <v>5.19</v>
      </c>
      <c r="X46" s="349">
        <v>5.18</v>
      </c>
      <c r="Y46" s="349">
        <v>5.17</v>
      </c>
      <c r="Z46" s="349">
        <v>5.16</v>
      </c>
      <c r="AA46" s="349">
        <v>5.14</v>
      </c>
      <c r="AB46" s="349">
        <v>5.12</v>
      </c>
      <c r="AC46" s="349">
        <v>5.1100000000000003</v>
      </c>
      <c r="AD46" s="349">
        <v>5.09</v>
      </c>
      <c r="AE46" s="349">
        <v>5.07</v>
      </c>
      <c r="AF46" s="349">
        <v>5.05</v>
      </c>
      <c r="AG46" s="349">
        <v>5.04</v>
      </c>
      <c r="AH46" s="349">
        <v>5.0199999999999996</v>
      </c>
      <c r="AI46" s="349">
        <v>5.01</v>
      </c>
      <c r="AJ46" s="349">
        <v>4.99</v>
      </c>
      <c r="AK46" s="349">
        <v>4.9800000000000004</v>
      </c>
      <c r="AL46" s="349">
        <v>4.97</v>
      </c>
      <c r="AM46" s="349">
        <v>4.95</v>
      </c>
      <c r="AN46" s="349">
        <v>4.9400000000000004</v>
      </c>
      <c r="AO46" s="349">
        <v>4.93</v>
      </c>
      <c r="AP46" s="349">
        <v>4.92</v>
      </c>
      <c r="AQ46" s="349">
        <v>4.91</v>
      </c>
      <c r="AR46" s="349">
        <v>4.9000000000000004</v>
      </c>
      <c r="AS46" s="349">
        <v>4.8899999999999997</v>
      </c>
      <c r="AT46" s="349">
        <v>4.8899999999999997</v>
      </c>
      <c r="AU46" s="349">
        <v>4.88</v>
      </c>
      <c r="AV46" s="349">
        <v>4.87</v>
      </c>
      <c r="AW46" s="349">
        <v>4.8600000000000003</v>
      </c>
      <c r="AX46" s="349">
        <v>4.8600000000000003</v>
      </c>
      <c r="AY46" s="349">
        <v>4.8499999999999996</v>
      </c>
      <c r="AZ46" s="150">
        <v>1.7500000000000002E-2</v>
      </c>
      <c r="BA46" s="104">
        <f t="shared" si="0"/>
        <v>1.7500000000000002</v>
      </c>
    </row>
    <row r="47" spans="1:53" s="106" customFormat="1" ht="12.75">
      <c r="A47" s="107">
        <v>40968</v>
      </c>
      <c r="B47" s="349">
        <v>3.82</v>
      </c>
      <c r="C47" s="349">
        <v>3.93</v>
      </c>
      <c r="D47" s="349">
        <v>4.08</v>
      </c>
      <c r="E47" s="349">
        <v>4.22</v>
      </c>
      <c r="F47" s="349">
        <v>4.3600000000000003</v>
      </c>
      <c r="G47" s="349">
        <v>4.4800000000000004</v>
      </c>
      <c r="H47" s="349">
        <v>4.59</v>
      </c>
      <c r="I47" s="349">
        <v>4.68</v>
      </c>
      <c r="J47" s="349">
        <v>4.7699999999999996</v>
      </c>
      <c r="K47" s="349">
        <v>4.8499999999999996</v>
      </c>
      <c r="L47" s="349">
        <v>4.92</v>
      </c>
      <c r="M47" s="349">
        <v>4.99</v>
      </c>
      <c r="N47" s="349">
        <v>5.04</v>
      </c>
      <c r="O47" s="349">
        <v>5.09</v>
      </c>
      <c r="P47" s="2303">
        <v>5.13</v>
      </c>
      <c r="Q47" s="349">
        <v>5.15</v>
      </c>
      <c r="R47" s="349">
        <v>5.17</v>
      </c>
      <c r="S47" s="349">
        <v>5.18</v>
      </c>
      <c r="T47" s="349">
        <v>5.19</v>
      </c>
      <c r="U47" s="349">
        <v>5.21</v>
      </c>
      <c r="V47" s="349">
        <v>5.19</v>
      </c>
      <c r="W47" s="349">
        <v>5.18</v>
      </c>
      <c r="X47" s="349">
        <v>5.17</v>
      </c>
      <c r="Y47" s="349">
        <v>5.16</v>
      </c>
      <c r="Z47" s="349">
        <v>5.15</v>
      </c>
      <c r="AA47" s="349">
        <v>5.13</v>
      </c>
      <c r="AB47" s="349">
        <v>5.1100000000000003</v>
      </c>
      <c r="AC47" s="349">
        <v>5.0999999999999996</v>
      </c>
      <c r="AD47" s="349">
        <v>5.08</v>
      </c>
      <c r="AE47" s="349">
        <v>5.0599999999999996</v>
      </c>
      <c r="AF47" s="349">
        <v>5.04</v>
      </c>
      <c r="AG47" s="349">
        <v>5.03</v>
      </c>
      <c r="AH47" s="349">
        <v>5.01</v>
      </c>
      <c r="AI47" s="349">
        <v>5</v>
      </c>
      <c r="AJ47" s="349">
        <v>4.9800000000000004</v>
      </c>
      <c r="AK47" s="349">
        <v>4.97</v>
      </c>
      <c r="AL47" s="349">
        <v>4.95</v>
      </c>
      <c r="AM47" s="349">
        <v>4.9400000000000004</v>
      </c>
      <c r="AN47" s="349">
        <v>4.93</v>
      </c>
      <c r="AO47" s="349">
        <v>4.92</v>
      </c>
      <c r="AP47" s="349">
        <v>4.91</v>
      </c>
      <c r="AQ47" s="349">
        <v>4.9000000000000004</v>
      </c>
      <c r="AR47" s="349">
        <v>4.8899999999999997</v>
      </c>
      <c r="AS47" s="349">
        <v>4.88</v>
      </c>
      <c r="AT47" s="349">
        <v>4.87</v>
      </c>
      <c r="AU47" s="349">
        <v>4.87</v>
      </c>
      <c r="AV47" s="349">
        <v>4.8600000000000003</v>
      </c>
      <c r="AW47" s="349">
        <v>4.8499999999999996</v>
      </c>
      <c r="AX47" s="349">
        <v>4.84</v>
      </c>
      <c r="AY47" s="349">
        <v>4.84</v>
      </c>
      <c r="AZ47" s="150">
        <v>1.7500000000000002E-2</v>
      </c>
      <c r="BA47" s="104">
        <f t="shared" si="0"/>
        <v>1.7500000000000002</v>
      </c>
    </row>
    <row r="48" spans="1:53" s="106" customFormat="1" ht="12.75">
      <c r="A48" s="107">
        <v>40999</v>
      </c>
      <c r="B48" s="349">
        <v>3.81</v>
      </c>
      <c r="C48" s="349">
        <v>3.92</v>
      </c>
      <c r="D48" s="349">
        <v>4.07</v>
      </c>
      <c r="E48" s="349">
        <v>4.21</v>
      </c>
      <c r="F48" s="349">
        <v>4.3499999999999996</v>
      </c>
      <c r="G48" s="349">
        <v>4.47</v>
      </c>
      <c r="H48" s="349">
        <v>4.58</v>
      </c>
      <c r="I48" s="349">
        <v>4.68</v>
      </c>
      <c r="J48" s="349">
        <v>4.76</v>
      </c>
      <c r="K48" s="349">
        <v>4.84</v>
      </c>
      <c r="L48" s="349">
        <v>4.92</v>
      </c>
      <c r="M48" s="349">
        <v>4.9800000000000004</v>
      </c>
      <c r="N48" s="349">
        <v>5.03</v>
      </c>
      <c r="O48" s="349">
        <v>5.08</v>
      </c>
      <c r="P48" s="2303">
        <v>5.12</v>
      </c>
      <c r="Q48" s="349">
        <v>5.14</v>
      </c>
      <c r="R48" s="349">
        <v>5.16</v>
      </c>
      <c r="S48" s="349">
        <v>5.17</v>
      </c>
      <c r="T48" s="349">
        <v>5.18</v>
      </c>
      <c r="U48" s="349">
        <v>5.2</v>
      </c>
      <c r="V48" s="349">
        <v>5.18</v>
      </c>
      <c r="W48" s="349">
        <v>5.17</v>
      </c>
      <c r="X48" s="349">
        <v>5.16</v>
      </c>
      <c r="Y48" s="349">
        <v>5.15</v>
      </c>
      <c r="Z48" s="349">
        <v>5.14</v>
      </c>
      <c r="AA48" s="349">
        <v>5.12</v>
      </c>
      <c r="AB48" s="349">
        <v>5.0999999999999996</v>
      </c>
      <c r="AC48" s="349">
        <v>5.08</v>
      </c>
      <c r="AD48" s="349">
        <v>5.07</v>
      </c>
      <c r="AE48" s="349">
        <v>5.05</v>
      </c>
      <c r="AF48" s="349">
        <v>5.03</v>
      </c>
      <c r="AG48" s="349">
        <v>5.01</v>
      </c>
      <c r="AH48" s="349">
        <v>5</v>
      </c>
      <c r="AI48" s="349">
        <v>4.9800000000000004</v>
      </c>
      <c r="AJ48" s="349">
        <v>4.97</v>
      </c>
      <c r="AK48" s="349">
        <v>4.95</v>
      </c>
      <c r="AL48" s="349">
        <v>4.9400000000000004</v>
      </c>
      <c r="AM48" s="349">
        <v>4.93</v>
      </c>
      <c r="AN48" s="349">
        <v>4.92</v>
      </c>
      <c r="AO48" s="349">
        <v>4.91</v>
      </c>
      <c r="AP48" s="349">
        <v>4.9000000000000004</v>
      </c>
      <c r="AQ48" s="349">
        <v>4.8899999999999997</v>
      </c>
      <c r="AR48" s="349">
        <v>4.88</v>
      </c>
      <c r="AS48" s="349">
        <v>4.87</v>
      </c>
      <c r="AT48" s="349">
        <v>4.8600000000000003</v>
      </c>
      <c r="AU48" s="349">
        <v>4.8499999999999996</v>
      </c>
      <c r="AV48" s="349">
        <v>4.8499999999999996</v>
      </c>
      <c r="AW48" s="349">
        <v>4.84</v>
      </c>
      <c r="AX48" s="349">
        <v>4.83</v>
      </c>
      <c r="AY48" s="349">
        <v>4.83</v>
      </c>
      <c r="AZ48" s="150">
        <v>1.7500000000000002E-2</v>
      </c>
      <c r="BA48" s="104">
        <f t="shared" si="0"/>
        <v>1.7500000000000002</v>
      </c>
    </row>
    <row r="49" spans="1:53" s="106" customFormat="1" ht="12.75">
      <c r="A49" s="107">
        <v>41029</v>
      </c>
      <c r="B49" s="349">
        <v>3.81</v>
      </c>
      <c r="C49" s="349">
        <v>3.91</v>
      </c>
      <c r="D49" s="349">
        <v>4.0599999999999996</v>
      </c>
      <c r="E49" s="349">
        <v>4.21</v>
      </c>
      <c r="F49" s="349">
        <v>4.34</v>
      </c>
      <c r="G49" s="349">
        <v>4.46</v>
      </c>
      <c r="H49" s="349">
        <v>4.57</v>
      </c>
      <c r="I49" s="349">
        <v>4.67</v>
      </c>
      <c r="J49" s="349">
        <v>4.76</v>
      </c>
      <c r="K49" s="349">
        <v>4.83</v>
      </c>
      <c r="L49" s="349">
        <v>4.91</v>
      </c>
      <c r="M49" s="349">
        <v>4.97</v>
      </c>
      <c r="N49" s="349">
        <v>5.03</v>
      </c>
      <c r="O49" s="349">
        <v>5.08</v>
      </c>
      <c r="P49" s="2303">
        <v>5.12</v>
      </c>
      <c r="Q49" s="349">
        <v>5.13</v>
      </c>
      <c r="R49" s="349">
        <v>5.15</v>
      </c>
      <c r="S49" s="349">
        <v>5.16</v>
      </c>
      <c r="T49" s="349">
        <v>5.18</v>
      </c>
      <c r="U49" s="349">
        <v>5.19</v>
      </c>
      <c r="V49" s="349">
        <v>5.18</v>
      </c>
      <c r="W49" s="349">
        <v>5.16</v>
      </c>
      <c r="X49" s="349">
        <v>5.15</v>
      </c>
      <c r="Y49" s="349">
        <v>5.14</v>
      </c>
      <c r="Z49" s="349">
        <v>5.13</v>
      </c>
      <c r="AA49" s="349">
        <v>5.1100000000000003</v>
      </c>
      <c r="AB49" s="349">
        <v>5.09</v>
      </c>
      <c r="AC49" s="349">
        <v>5.07</v>
      </c>
      <c r="AD49" s="349">
        <v>5.0599999999999996</v>
      </c>
      <c r="AE49" s="349">
        <v>5.04</v>
      </c>
      <c r="AF49" s="349">
        <v>5.0199999999999996</v>
      </c>
      <c r="AG49" s="349">
        <v>5</v>
      </c>
      <c r="AH49" s="349">
        <v>4.99</v>
      </c>
      <c r="AI49" s="349">
        <v>4.97</v>
      </c>
      <c r="AJ49" s="349">
        <v>4.96</v>
      </c>
      <c r="AK49" s="349">
        <v>4.9400000000000004</v>
      </c>
      <c r="AL49" s="349">
        <v>4.93</v>
      </c>
      <c r="AM49" s="349">
        <v>4.92</v>
      </c>
      <c r="AN49" s="349">
        <v>4.91</v>
      </c>
      <c r="AO49" s="349">
        <v>4.8899999999999997</v>
      </c>
      <c r="AP49" s="349">
        <v>4.88</v>
      </c>
      <c r="AQ49" s="349">
        <v>4.88</v>
      </c>
      <c r="AR49" s="349">
        <v>4.87</v>
      </c>
      <c r="AS49" s="349">
        <v>4.8600000000000003</v>
      </c>
      <c r="AT49" s="349">
        <v>4.8499999999999996</v>
      </c>
      <c r="AU49" s="349">
        <v>4.84</v>
      </c>
      <c r="AV49" s="349">
        <v>4.84</v>
      </c>
      <c r="AW49" s="349">
        <v>4.83</v>
      </c>
      <c r="AX49" s="349">
        <v>4.82</v>
      </c>
      <c r="AY49" s="349">
        <v>4.8099999999999996</v>
      </c>
      <c r="AZ49" s="150">
        <v>1.7500000000000002E-2</v>
      </c>
      <c r="BA49" s="104">
        <f t="shared" si="0"/>
        <v>1.7500000000000002</v>
      </c>
    </row>
    <row r="50" spans="1:53" s="106" customFormat="1" ht="12.75">
      <c r="A50" s="107">
        <v>41060</v>
      </c>
      <c r="B50" s="349">
        <v>3.8</v>
      </c>
      <c r="C50" s="349">
        <v>3.9</v>
      </c>
      <c r="D50" s="349">
        <v>4.05</v>
      </c>
      <c r="E50" s="349">
        <v>4.1900000000000004</v>
      </c>
      <c r="F50" s="349">
        <v>4.33</v>
      </c>
      <c r="G50" s="349">
        <v>4.45</v>
      </c>
      <c r="H50" s="349">
        <v>4.5599999999999996</v>
      </c>
      <c r="I50" s="349">
        <v>4.66</v>
      </c>
      <c r="J50" s="349">
        <v>4.74</v>
      </c>
      <c r="K50" s="349">
        <v>4.82</v>
      </c>
      <c r="L50" s="349">
        <v>4.9000000000000004</v>
      </c>
      <c r="M50" s="349">
        <v>4.96</v>
      </c>
      <c r="N50" s="349">
        <v>5.01</v>
      </c>
      <c r="O50" s="349">
        <v>5.0599999999999996</v>
      </c>
      <c r="P50" s="2303">
        <v>5.0999999999999996</v>
      </c>
      <c r="Q50" s="349">
        <v>5.12</v>
      </c>
      <c r="R50" s="349">
        <v>5.14</v>
      </c>
      <c r="S50" s="349">
        <v>5.15</v>
      </c>
      <c r="T50" s="349">
        <v>5.16</v>
      </c>
      <c r="U50" s="349">
        <v>5.17</v>
      </c>
      <c r="V50" s="349">
        <v>5.16</v>
      </c>
      <c r="W50" s="349">
        <v>5.15</v>
      </c>
      <c r="X50" s="349">
        <v>5.14</v>
      </c>
      <c r="Y50" s="349">
        <v>5.13</v>
      </c>
      <c r="Z50" s="349">
        <v>5.12</v>
      </c>
      <c r="AA50" s="349">
        <v>5.09</v>
      </c>
      <c r="AB50" s="349">
        <v>5.07</v>
      </c>
      <c r="AC50" s="349">
        <v>5.05</v>
      </c>
      <c r="AD50" s="349">
        <v>5.04</v>
      </c>
      <c r="AE50" s="349">
        <v>5.0199999999999996</v>
      </c>
      <c r="AF50" s="349">
        <v>5</v>
      </c>
      <c r="AG50" s="349">
        <v>4.9800000000000004</v>
      </c>
      <c r="AH50" s="349">
        <v>4.97</v>
      </c>
      <c r="AI50" s="349">
        <v>4.95</v>
      </c>
      <c r="AJ50" s="349">
        <v>4.9400000000000004</v>
      </c>
      <c r="AK50" s="349">
        <v>4.92</v>
      </c>
      <c r="AL50" s="349">
        <v>4.91</v>
      </c>
      <c r="AM50" s="349">
        <v>4.9000000000000004</v>
      </c>
      <c r="AN50" s="349">
        <v>4.8899999999999997</v>
      </c>
      <c r="AO50" s="349">
        <v>4.88</v>
      </c>
      <c r="AP50" s="349">
        <v>4.87</v>
      </c>
      <c r="AQ50" s="349">
        <v>4.8600000000000003</v>
      </c>
      <c r="AR50" s="349">
        <v>4.8499999999999996</v>
      </c>
      <c r="AS50" s="349">
        <v>4.84</v>
      </c>
      <c r="AT50" s="349">
        <v>4.83</v>
      </c>
      <c r="AU50" s="349">
        <v>4.82</v>
      </c>
      <c r="AV50" s="349">
        <v>4.82</v>
      </c>
      <c r="AW50" s="349">
        <v>4.8099999999999996</v>
      </c>
      <c r="AX50" s="349">
        <v>4.8</v>
      </c>
      <c r="AY50" s="349">
        <v>4.8</v>
      </c>
      <c r="AZ50" s="150">
        <v>1.7500000000000002E-2</v>
      </c>
      <c r="BA50" s="104">
        <f t="shared" si="0"/>
        <v>1.7500000000000002</v>
      </c>
    </row>
    <row r="51" spans="1:53">
      <c r="A51" s="107">
        <v>41090</v>
      </c>
      <c r="B51" s="349">
        <v>3.79</v>
      </c>
      <c r="C51" s="349">
        <v>3.9</v>
      </c>
      <c r="D51" s="349">
        <v>4.04</v>
      </c>
      <c r="E51" s="349">
        <v>4.1900000000000004</v>
      </c>
      <c r="F51" s="349">
        <v>4.32</v>
      </c>
      <c r="G51" s="349">
        <v>4.4400000000000004</v>
      </c>
      <c r="H51" s="349">
        <v>4.55</v>
      </c>
      <c r="I51" s="349">
        <v>4.6500000000000004</v>
      </c>
      <c r="J51" s="349">
        <v>4.74</v>
      </c>
      <c r="K51" s="349">
        <v>4.82</v>
      </c>
      <c r="L51" s="349">
        <v>4.8899999999999997</v>
      </c>
      <c r="M51" s="349">
        <v>4.95</v>
      </c>
      <c r="N51" s="349">
        <v>5.01</v>
      </c>
      <c r="O51" s="349">
        <v>5.0599999999999996</v>
      </c>
      <c r="P51" s="2303">
        <v>5.0999999999999996</v>
      </c>
      <c r="Q51" s="349">
        <v>5.1100000000000003</v>
      </c>
      <c r="R51" s="349">
        <v>5.13</v>
      </c>
      <c r="S51" s="349">
        <v>5.14</v>
      </c>
      <c r="T51" s="349">
        <v>5.15</v>
      </c>
      <c r="U51" s="349">
        <v>5.16</v>
      </c>
      <c r="V51" s="349">
        <v>5.15</v>
      </c>
      <c r="W51" s="349">
        <v>5.14</v>
      </c>
      <c r="X51" s="349">
        <v>5.13</v>
      </c>
      <c r="Y51" s="349">
        <v>5.12</v>
      </c>
      <c r="Z51" s="349">
        <v>5.1100000000000003</v>
      </c>
      <c r="AA51" s="349">
        <v>5.08</v>
      </c>
      <c r="AB51" s="349">
        <v>5.0599999999999996</v>
      </c>
      <c r="AC51" s="349">
        <v>5.04</v>
      </c>
      <c r="AD51" s="349">
        <v>5.03</v>
      </c>
      <c r="AE51" s="349">
        <v>5.01</v>
      </c>
      <c r="AF51" s="349">
        <v>4.99</v>
      </c>
      <c r="AG51" s="349">
        <v>4.97</v>
      </c>
      <c r="AH51" s="349">
        <v>4.96</v>
      </c>
      <c r="AI51" s="349">
        <v>4.9400000000000004</v>
      </c>
      <c r="AJ51" s="349">
        <v>4.93</v>
      </c>
      <c r="AK51" s="349">
        <v>4.91</v>
      </c>
      <c r="AL51" s="349">
        <v>4.9000000000000004</v>
      </c>
      <c r="AM51" s="349">
        <v>4.8899999999999997</v>
      </c>
      <c r="AN51" s="349">
        <v>4.88</v>
      </c>
      <c r="AO51" s="349">
        <v>4.87</v>
      </c>
      <c r="AP51" s="349">
        <v>4.8600000000000003</v>
      </c>
      <c r="AQ51" s="349">
        <v>4.8499999999999996</v>
      </c>
      <c r="AR51" s="349">
        <v>4.84</v>
      </c>
      <c r="AS51" s="349">
        <v>4.83</v>
      </c>
      <c r="AT51" s="349">
        <v>4.82</v>
      </c>
      <c r="AU51" s="349">
        <v>4.82</v>
      </c>
      <c r="AV51" s="349">
        <v>4.8099999999999996</v>
      </c>
      <c r="AW51" s="349">
        <v>4.8</v>
      </c>
      <c r="AX51" s="349">
        <v>4.79</v>
      </c>
      <c r="AY51" s="349">
        <v>4.79</v>
      </c>
      <c r="AZ51" s="150">
        <v>1.7500000000000002E-2</v>
      </c>
      <c r="BA51" s="104">
        <f t="shared" si="0"/>
        <v>1.7500000000000002</v>
      </c>
    </row>
    <row r="52" spans="1:53">
      <c r="A52" s="107">
        <v>41121</v>
      </c>
      <c r="B52" s="349">
        <v>3.78</v>
      </c>
      <c r="C52" s="349">
        <v>3.88</v>
      </c>
      <c r="D52" s="349">
        <v>4.03</v>
      </c>
      <c r="E52" s="349">
        <v>4.17</v>
      </c>
      <c r="F52" s="349">
        <v>4.3099999999999996</v>
      </c>
      <c r="G52" s="349">
        <v>4.43</v>
      </c>
      <c r="H52" s="349">
        <v>4.54</v>
      </c>
      <c r="I52" s="349">
        <v>4.6399999999999997</v>
      </c>
      <c r="J52" s="349">
        <v>4.7300000000000004</v>
      </c>
      <c r="K52" s="349">
        <v>4.8099999999999996</v>
      </c>
      <c r="L52" s="349">
        <v>4.88</v>
      </c>
      <c r="M52" s="349">
        <v>4.9400000000000004</v>
      </c>
      <c r="N52" s="349">
        <v>5</v>
      </c>
      <c r="O52" s="349">
        <v>5.05</v>
      </c>
      <c r="P52" s="2303">
        <v>5.09</v>
      </c>
      <c r="Q52" s="349">
        <v>5.0999999999999996</v>
      </c>
      <c r="R52" s="349">
        <v>5.12</v>
      </c>
      <c r="S52" s="349">
        <v>5.13</v>
      </c>
      <c r="T52" s="349">
        <v>5.14</v>
      </c>
      <c r="U52" s="349">
        <v>5.15</v>
      </c>
      <c r="V52" s="349">
        <v>5.14</v>
      </c>
      <c r="W52" s="349">
        <v>5.13</v>
      </c>
      <c r="X52" s="349">
        <v>5.1100000000000003</v>
      </c>
      <c r="Y52" s="349">
        <v>5.0999999999999996</v>
      </c>
      <c r="Z52" s="349">
        <v>5.09</v>
      </c>
      <c r="AA52" s="349">
        <v>5.07</v>
      </c>
      <c r="AB52" s="349">
        <v>5.05</v>
      </c>
      <c r="AC52" s="349">
        <v>5.03</v>
      </c>
      <c r="AD52" s="349">
        <v>5.01</v>
      </c>
      <c r="AE52" s="349">
        <v>5</v>
      </c>
      <c r="AF52" s="349">
        <v>4.9800000000000004</v>
      </c>
      <c r="AG52" s="349">
        <v>4.96</v>
      </c>
      <c r="AH52" s="349">
        <v>4.95</v>
      </c>
      <c r="AI52" s="349">
        <v>4.93</v>
      </c>
      <c r="AJ52" s="349">
        <v>4.92</v>
      </c>
      <c r="AK52" s="349">
        <v>4.9000000000000004</v>
      </c>
      <c r="AL52" s="349">
        <v>4.8899999999999997</v>
      </c>
      <c r="AM52" s="349">
        <v>4.88</v>
      </c>
      <c r="AN52" s="349">
        <v>4.87</v>
      </c>
      <c r="AO52" s="349">
        <v>4.8499999999999996</v>
      </c>
      <c r="AP52" s="349">
        <v>4.84</v>
      </c>
      <c r="AQ52" s="349">
        <v>4.84</v>
      </c>
      <c r="AR52" s="349">
        <v>4.83</v>
      </c>
      <c r="AS52" s="349">
        <v>4.82</v>
      </c>
      <c r="AT52" s="349">
        <v>4.8099999999999996</v>
      </c>
      <c r="AU52" s="349">
        <v>4.8</v>
      </c>
      <c r="AV52" s="349">
        <v>4.8</v>
      </c>
      <c r="AW52" s="349">
        <v>4.79</v>
      </c>
      <c r="AX52" s="349">
        <v>4.78</v>
      </c>
      <c r="AY52" s="349">
        <v>4.78</v>
      </c>
      <c r="AZ52" s="150">
        <v>1.7500000000000002E-2</v>
      </c>
      <c r="BA52" s="104">
        <f t="shared" si="0"/>
        <v>1.7500000000000002</v>
      </c>
    </row>
    <row r="53" spans="1:53">
      <c r="A53" s="107">
        <v>41152</v>
      </c>
      <c r="B53" s="349">
        <v>3.77</v>
      </c>
      <c r="C53" s="349">
        <v>3.87</v>
      </c>
      <c r="D53" s="349">
        <v>4.01</v>
      </c>
      <c r="E53" s="349">
        <v>4.16</v>
      </c>
      <c r="F53" s="349">
        <v>4.3</v>
      </c>
      <c r="G53" s="349">
        <v>4.42</v>
      </c>
      <c r="H53" s="349">
        <v>4.53</v>
      </c>
      <c r="I53" s="349">
        <v>4.63</v>
      </c>
      <c r="J53" s="349">
        <v>4.72</v>
      </c>
      <c r="K53" s="349">
        <v>4.79</v>
      </c>
      <c r="L53" s="349">
        <v>4.87</v>
      </c>
      <c r="M53" s="349">
        <v>4.93</v>
      </c>
      <c r="N53" s="349">
        <v>4.99</v>
      </c>
      <c r="O53" s="349">
        <v>5.04</v>
      </c>
      <c r="P53" s="2303">
        <v>5.08</v>
      </c>
      <c r="Q53" s="349">
        <v>5.09</v>
      </c>
      <c r="R53" s="349">
        <v>5.1100000000000003</v>
      </c>
      <c r="S53" s="349">
        <v>5.12</v>
      </c>
      <c r="T53" s="349">
        <v>5.13</v>
      </c>
      <c r="U53" s="349">
        <v>5.14</v>
      </c>
      <c r="V53" s="349">
        <v>5.13</v>
      </c>
      <c r="W53" s="349">
        <v>5.1100000000000003</v>
      </c>
      <c r="X53" s="349">
        <v>5.0999999999999996</v>
      </c>
      <c r="Y53" s="349">
        <v>5.09</v>
      </c>
      <c r="Z53" s="349">
        <v>5.08</v>
      </c>
      <c r="AA53" s="349">
        <v>5.0599999999999996</v>
      </c>
      <c r="AB53" s="349">
        <v>5.04</v>
      </c>
      <c r="AC53" s="349">
        <v>5.0199999999999996</v>
      </c>
      <c r="AD53" s="349">
        <v>5</v>
      </c>
      <c r="AE53" s="349">
        <v>4.99</v>
      </c>
      <c r="AF53" s="349">
        <v>4.97</v>
      </c>
      <c r="AG53" s="349">
        <v>4.95</v>
      </c>
      <c r="AH53" s="349">
        <v>4.93</v>
      </c>
      <c r="AI53" s="349">
        <v>4.92</v>
      </c>
      <c r="AJ53" s="349">
        <v>4.9000000000000004</v>
      </c>
      <c r="AK53" s="349">
        <v>4.8899999999999997</v>
      </c>
      <c r="AL53" s="349">
        <v>4.88</v>
      </c>
      <c r="AM53" s="349">
        <v>4.87</v>
      </c>
      <c r="AN53" s="349">
        <v>4.8499999999999996</v>
      </c>
      <c r="AO53" s="349">
        <v>4.84</v>
      </c>
      <c r="AP53" s="349">
        <v>4.83</v>
      </c>
      <c r="AQ53" s="349">
        <v>4.83</v>
      </c>
      <c r="AR53" s="349">
        <v>4.82</v>
      </c>
      <c r="AS53" s="349">
        <v>4.8099999999999996</v>
      </c>
      <c r="AT53" s="349">
        <v>4.8</v>
      </c>
      <c r="AU53" s="349">
        <v>4.79</v>
      </c>
      <c r="AV53" s="349">
        <v>4.79</v>
      </c>
      <c r="AW53" s="349">
        <v>4.78</v>
      </c>
      <c r="AX53" s="349">
        <v>4.7699999999999996</v>
      </c>
      <c r="AY53" s="349">
        <v>4.7699999999999996</v>
      </c>
      <c r="AZ53" s="150">
        <v>1.7500000000000002E-2</v>
      </c>
      <c r="BA53" s="104">
        <f t="shared" si="0"/>
        <v>1.7500000000000002</v>
      </c>
    </row>
    <row r="54" spans="1:53">
      <c r="A54" s="107">
        <v>41182</v>
      </c>
      <c r="B54" s="349">
        <v>3.75</v>
      </c>
      <c r="C54" s="349">
        <v>3.85</v>
      </c>
      <c r="D54" s="349">
        <v>4</v>
      </c>
      <c r="E54" s="349">
        <v>4.1399999999999997</v>
      </c>
      <c r="F54" s="349">
        <v>4.28</v>
      </c>
      <c r="G54" s="349">
        <v>4.41</v>
      </c>
      <c r="H54" s="349">
        <v>4.5199999999999996</v>
      </c>
      <c r="I54" s="349">
        <v>4.62</v>
      </c>
      <c r="J54" s="349">
        <v>4.71</v>
      </c>
      <c r="K54" s="349">
        <v>4.79</v>
      </c>
      <c r="L54" s="349">
        <v>4.8600000000000003</v>
      </c>
      <c r="M54" s="349">
        <v>4.92</v>
      </c>
      <c r="N54" s="349">
        <v>4.9800000000000004</v>
      </c>
      <c r="O54" s="349">
        <v>5.03</v>
      </c>
      <c r="P54" s="2303">
        <v>5.07</v>
      </c>
      <c r="Q54" s="349">
        <v>5.09</v>
      </c>
      <c r="R54" s="349">
        <v>5.0999999999999996</v>
      </c>
      <c r="S54" s="349">
        <v>5.1100000000000003</v>
      </c>
      <c r="T54" s="349">
        <v>5.12</v>
      </c>
      <c r="U54" s="349">
        <v>5.13</v>
      </c>
      <c r="V54" s="349">
        <v>5.12</v>
      </c>
      <c r="W54" s="349">
        <v>5.1100000000000003</v>
      </c>
      <c r="X54" s="349">
        <v>5.09</v>
      </c>
      <c r="Y54" s="349">
        <v>5.08</v>
      </c>
      <c r="Z54" s="349">
        <v>5.07</v>
      </c>
      <c r="AA54" s="349">
        <v>5.05</v>
      </c>
      <c r="AB54" s="349">
        <v>5.03</v>
      </c>
      <c r="AC54" s="349">
        <v>5.01</v>
      </c>
      <c r="AD54" s="349">
        <v>4.99</v>
      </c>
      <c r="AE54" s="349">
        <v>4.9800000000000004</v>
      </c>
      <c r="AF54" s="349">
        <v>4.96</v>
      </c>
      <c r="AG54" s="349">
        <v>4.9400000000000004</v>
      </c>
      <c r="AH54" s="349">
        <v>4.93</v>
      </c>
      <c r="AI54" s="349">
        <v>4.91</v>
      </c>
      <c r="AJ54" s="349">
        <v>4.9000000000000004</v>
      </c>
      <c r="AK54" s="349">
        <v>4.88</v>
      </c>
      <c r="AL54" s="349">
        <v>4.87</v>
      </c>
      <c r="AM54" s="349">
        <v>4.8600000000000003</v>
      </c>
      <c r="AN54" s="349">
        <v>4.8499999999999996</v>
      </c>
      <c r="AO54" s="349">
        <v>4.84</v>
      </c>
      <c r="AP54" s="349">
        <v>4.83</v>
      </c>
      <c r="AQ54" s="349">
        <v>4.82</v>
      </c>
      <c r="AR54" s="349">
        <v>4.8099999999999996</v>
      </c>
      <c r="AS54" s="349">
        <v>4.8</v>
      </c>
      <c r="AT54" s="349">
        <v>4.8</v>
      </c>
      <c r="AU54" s="349">
        <v>4.79</v>
      </c>
      <c r="AV54" s="349">
        <v>4.78</v>
      </c>
      <c r="AW54" s="349">
        <v>4.78</v>
      </c>
      <c r="AX54" s="349">
        <v>4.7699999999999996</v>
      </c>
      <c r="AY54" s="349">
        <v>4.76</v>
      </c>
      <c r="AZ54" s="150">
        <v>1.7500000000000002E-2</v>
      </c>
      <c r="BA54" s="104">
        <f t="shared" si="0"/>
        <v>1.7500000000000002</v>
      </c>
    </row>
    <row r="55" spans="1:53">
      <c r="A55" s="107">
        <v>41213</v>
      </c>
      <c r="B55" s="349">
        <v>3.74</v>
      </c>
      <c r="C55" s="349">
        <v>3.83</v>
      </c>
      <c r="D55" s="349">
        <v>3.98</v>
      </c>
      <c r="E55" s="349">
        <v>4.12</v>
      </c>
      <c r="F55" s="349">
        <v>4.26</v>
      </c>
      <c r="G55" s="349">
        <v>4.3899999999999997</v>
      </c>
      <c r="H55" s="349">
        <v>4.5</v>
      </c>
      <c r="I55" s="349">
        <v>4.5999999999999996</v>
      </c>
      <c r="J55" s="349">
        <v>4.6900000000000004</v>
      </c>
      <c r="K55" s="349">
        <v>4.7699999999999996</v>
      </c>
      <c r="L55" s="349">
        <v>4.8499999999999996</v>
      </c>
      <c r="M55" s="349">
        <v>4.91</v>
      </c>
      <c r="N55" s="349">
        <v>4.97</v>
      </c>
      <c r="O55" s="349">
        <v>5.0199999999999996</v>
      </c>
      <c r="P55" s="2303">
        <v>5.0599999999999996</v>
      </c>
      <c r="Q55" s="349">
        <v>5.07</v>
      </c>
      <c r="R55" s="349">
        <v>5.09</v>
      </c>
      <c r="S55" s="349">
        <v>5.0999999999999996</v>
      </c>
      <c r="T55" s="349">
        <v>5.1100000000000003</v>
      </c>
      <c r="U55" s="349">
        <v>5.12</v>
      </c>
      <c r="V55" s="349">
        <v>5.1100000000000003</v>
      </c>
      <c r="W55" s="349">
        <v>5.09</v>
      </c>
      <c r="X55" s="349">
        <v>5.08</v>
      </c>
      <c r="Y55" s="349">
        <v>5.07</v>
      </c>
      <c r="Z55" s="349">
        <v>5.0599999999999996</v>
      </c>
      <c r="AA55" s="349">
        <v>5.04</v>
      </c>
      <c r="AB55" s="349">
        <v>5.0199999999999996</v>
      </c>
      <c r="AC55" s="349">
        <v>5</v>
      </c>
      <c r="AD55" s="349">
        <v>4.9800000000000004</v>
      </c>
      <c r="AE55" s="349">
        <v>4.97</v>
      </c>
      <c r="AF55" s="349">
        <v>4.95</v>
      </c>
      <c r="AG55" s="349">
        <v>4.93</v>
      </c>
      <c r="AH55" s="349">
        <v>4.91</v>
      </c>
      <c r="AI55" s="349">
        <v>4.9000000000000004</v>
      </c>
      <c r="AJ55" s="349">
        <v>4.8899999999999997</v>
      </c>
      <c r="AK55" s="349">
        <v>4.87</v>
      </c>
      <c r="AL55" s="349">
        <v>4.8600000000000003</v>
      </c>
      <c r="AM55" s="349">
        <v>4.8499999999999996</v>
      </c>
      <c r="AN55" s="349">
        <v>4.84</v>
      </c>
      <c r="AO55" s="349">
        <v>4.83</v>
      </c>
      <c r="AP55" s="349">
        <v>4.82</v>
      </c>
      <c r="AQ55" s="349">
        <v>4.8099999999999996</v>
      </c>
      <c r="AR55" s="349">
        <v>4.8</v>
      </c>
      <c r="AS55" s="349">
        <v>4.79</v>
      </c>
      <c r="AT55" s="349">
        <v>4.79</v>
      </c>
      <c r="AU55" s="349">
        <v>4.78</v>
      </c>
      <c r="AV55" s="349">
        <v>4.7699999999999996</v>
      </c>
      <c r="AW55" s="349">
        <v>4.7699999999999996</v>
      </c>
      <c r="AX55" s="349">
        <v>4.76</v>
      </c>
      <c r="AY55" s="349">
        <v>4.75</v>
      </c>
      <c r="AZ55" s="150">
        <v>1.7500000000000002E-2</v>
      </c>
      <c r="BA55" s="104">
        <f t="shared" si="0"/>
        <v>1.7500000000000002</v>
      </c>
    </row>
    <row r="56" spans="1:53">
      <c r="A56" s="107">
        <v>41243</v>
      </c>
      <c r="B56" s="349">
        <v>3.71</v>
      </c>
      <c r="C56" s="349">
        <v>3.81</v>
      </c>
      <c r="D56" s="349">
        <v>3.95</v>
      </c>
      <c r="E56" s="349">
        <v>4.0999999999999996</v>
      </c>
      <c r="F56" s="349">
        <v>4.24</v>
      </c>
      <c r="G56" s="349">
        <v>4.37</v>
      </c>
      <c r="H56" s="349">
        <v>4.49</v>
      </c>
      <c r="I56" s="349">
        <v>4.59</v>
      </c>
      <c r="J56" s="349">
        <v>4.68</v>
      </c>
      <c r="K56" s="349">
        <v>4.76</v>
      </c>
      <c r="L56" s="349">
        <v>4.84</v>
      </c>
      <c r="M56" s="349">
        <v>4.9000000000000004</v>
      </c>
      <c r="N56" s="349">
        <v>4.96</v>
      </c>
      <c r="O56" s="349">
        <v>5</v>
      </c>
      <c r="P56" s="2303">
        <v>5.05</v>
      </c>
      <c r="Q56" s="349">
        <v>5.0599999999999996</v>
      </c>
      <c r="R56" s="349">
        <v>5.08</v>
      </c>
      <c r="S56" s="349">
        <v>5.09</v>
      </c>
      <c r="T56" s="349">
        <v>5.0999999999999996</v>
      </c>
      <c r="U56" s="349">
        <v>5.1100000000000003</v>
      </c>
      <c r="V56" s="349">
        <v>5.0999999999999996</v>
      </c>
      <c r="W56" s="349">
        <v>5.08</v>
      </c>
      <c r="X56" s="349">
        <v>5.07</v>
      </c>
      <c r="Y56" s="349">
        <v>5.0599999999999996</v>
      </c>
      <c r="Z56" s="349">
        <v>5.05</v>
      </c>
      <c r="AA56" s="349">
        <v>5.03</v>
      </c>
      <c r="AB56" s="349">
        <v>5.01</v>
      </c>
      <c r="AC56" s="349">
        <v>4.99</v>
      </c>
      <c r="AD56" s="349">
        <v>4.97</v>
      </c>
      <c r="AE56" s="349">
        <v>4.95</v>
      </c>
      <c r="AF56" s="349">
        <v>4.9400000000000004</v>
      </c>
      <c r="AG56" s="349">
        <v>4.92</v>
      </c>
      <c r="AH56" s="349">
        <v>4.9000000000000004</v>
      </c>
      <c r="AI56" s="349">
        <v>4.8899999999999997</v>
      </c>
      <c r="AJ56" s="349">
        <v>4.87</v>
      </c>
      <c r="AK56" s="349">
        <v>4.8600000000000003</v>
      </c>
      <c r="AL56" s="349">
        <v>4.8499999999999996</v>
      </c>
      <c r="AM56" s="349">
        <v>4.84</v>
      </c>
      <c r="AN56" s="349">
        <v>4.83</v>
      </c>
      <c r="AO56" s="349">
        <v>4.8099999999999996</v>
      </c>
      <c r="AP56" s="349">
        <v>4.8099999999999996</v>
      </c>
      <c r="AQ56" s="349">
        <v>4.8</v>
      </c>
      <c r="AR56" s="349">
        <v>4.79</v>
      </c>
      <c r="AS56" s="349">
        <v>4.78</v>
      </c>
      <c r="AT56" s="349">
        <v>4.78</v>
      </c>
      <c r="AU56" s="349">
        <v>4.7699999999999996</v>
      </c>
      <c r="AV56" s="349">
        <v>4.76</v>
      </c>
      <c r="AW56" s="349">
        <v>4.76</v>
      </c>
      <c r="AX56" s="349">
        <v>4.75</v>
      </c>
      <c r="AY56" s="349">
        <v>4.75</v>
      </c>
      <c r="AZ56" s="150">
        <v>1.7500000000000002E-2</v>
      </c>
      <c r="BA56" s="104">
        <f t="shared" si="0"/>
        <v>1.7500000000000002</v>
      </c>
    </row>
    <row r="57" spans="1:53">
      <c r="A57" s="107">
        <v>41274</v>
      </c>
      <c r="B57" s="349">
        <v>3.69</v>
      </c>
      <c r="C57" s="349">
        <v>3.79</v>
      </c>
      <c r="D57" s="349">
        <v>3.93</v>
      </c>
      <c r="E57" s="349">
        <v>4.08</v>
      </c>
      <c r="F57" s="349">
        <v>4.22</v>
      </c>
      <c r="G57" s="349">
        <v>4.3499999999999996</v>
      </c>
      <c r="H57" s="349">
        <v>4.47</v>
      </c>
      <c r="I57" s="349">
        <v>4.57</v>
      </c>
      <c r="J57" s="349">
        <v>4.66</v>
      </c>
      <c r="K57" s="349">
        <v>4.74</v>
      </c>
      <c r="L57" s="349">
        <v>4.82</v>
      </c>
      <c r="M57" s="349">
        <v>4.8899999999999997</v>
      </c>
      <c r="N57" s="349">
        <v>4.9400000000000004</v>
      </c>
      <c r="O57" s="349">
        <v>4.99</v>
      </c>
      <c r="P57" s="2303">
        <v>5.04</v>
      </c>
      <c r="Q57" s="349">
        <v>5.05</v>
      </c>
      <c r="R57" s="349">
        <v>5.07</v>
      </c>
      <c r="S57" s="349">
        <v>5.08</v>
      </c>
      <c r="T57" s="349">
        <v>5.09</v>
      </c>
      <c r="U57" s="349">
        <v>5.0999999999999996</v>
      </c>
      <c r="V57" s="349">
        <v>5.09</v>
      </c>
      <c r="W57" s="349">
        <v>5.07</v>
      </c>
      <c r="X57" s="349">
        <v>5.0599999999999996</v>
      </c>
      <c r="Y57" s="349">
        <v>5.05</v>
      </c>
      <c r="Z57" s="349">
        <v>5.04</v>
      </c>
      <c r="AA57" s="349">
        <v>5.0199999999999996</v>
      </c>
      <c r="AB57" s="349">
        <v>5</v>
      </c>
      <c r="AC57" s="349">
        <v>4.9800000000000004</v>
      </c>
      <c r="AD57" s="349">
        <v>4.96</v>
      </c>
      <c r="AE57" s="349">
        <v>4.9400000000000004</v>
      </c>
      <c r="AF57" s="349">
        <v>4.93</v>
      </c>
      <c r="AG57" s="349">
        <v>4.91</v>
      </c>
      <c r="AH57" s="349">
        <v>4.8899999999999997</v>
      </c>
      <c r="AI57" s="349">
        <v>4.88</v>
      </c>
      <c r="AJ57" s="349">
        <v>4.87</v>
      </c>
      <c r="AK57" s="349">
        <v>4.8499999999999996</v>
      </c>
      <c r="AL57" s="349">
        <v>4.84</v>
      </c>
      <c r="AM57" s="349">
        <v>4.83</v>
      </c>
      <c r="AN57" s="349">
        <v>4.82</v>
      </c>
      <c r="AO57" s="349">
        <v>4.8099999999999996</v>
      </c>
      <c r="AP57" s="349">
        <v>4.8</v>
      </c>
      <c r="AQ57" s="349">
        <v>4.79</v>
      </c>
      <c r="AR57" s="349">
        <v>4.78</v>
      </c>
      <c r="AS57" s="349">
        <v>4.78</v>
      </c>
      <c r="AT57" s="349">
        <v>4.7699999999999996</v>
      </c>
      <c r="AU57" s="349">
        <v>4.76</v>
      </c>
      <c r="AV57" s="349">
        <v>4.76</v>
      </c>
      <c r="AW57" s="349">
        <v>4.75</v>
      </c>
      <c r="AX57" s="349">
        <v>4.74</v>
      </c>
      <c r="AY57" s="349">
        <v>4.74</v>
      </c>
      <c r="AZ57" s="150">
        <v>1.7500000000000002E-2</v>
      </c>
      <c r="BA57" s="104">
        <f t="shared" si="0"/>
        <v>1.7500000000000002</v>
      </c>
    </row>
    <row r="58" spans="1:53">
      <c r="A58" s="107">
        <v>41305</v>
      </c>
      <c r="B58" s="349">
        <v>3.67</v>
      </c>
      <c r="C58" s="349">
        <v>3.77</v>
      </c>
      <c r="D58" s="349">
        <v>3.91</v>
      </c>
      <c r="E58" s="349">
        <v>4.0599999999999996</v>
      </c>
      <c r="F58" s="349">
        <v>4.2</v>
      </c>
      <c r="G58" s="349">
        <v>4.33</v>
      </c>
      <c r="H58" s="349">
        <v>4.45</v>
      </c>
      <c r="I58" s="349">
        <v>4.5599999999999996</v>
      </c>
      <c r="J58" s="349">
        <v>4.6500000000000004</v>
      </c>
      <c r="K58" s="349">
        <v>4.7300000000000004</v>
      </c>
      <c r="L58" s="349">
        <v>4.8099999999999996</v>
      </c>
      <c r="M58" s="349">
        <v>4.88</v>
      </c>
      <c r="N58" s="349">
        <v>4.93</v>
      </c>
      <c r="O58" s="349">
        <v>4.9800000000000004</v>
      </c>
      <c r="P58" s="2303">
        <v>5.03</v>
      </c>
      <c r="Q58" s="349">
        <v>5.04</v>
      </c>
      <c r="R58" s="349">
        <v>5.0599999999999996</v>
      </c>
      <c r="S58" s="349">
        <v>5.07</v>
      </c>
      <c r="T58" s="349">
        <v>5.08</v>
      </c>
      <c r="U58" s="349">
        <v>5.09</v>
      </c>
      <c r="V58" s="349">
        <v>5.08</v>
      </c>
      <c r="W58" s="349">
        <v>5.0599999999999996</v>
      </c>
      <c r="X58" s="349">
        <v>5.05</v>
      </c>
      <c r="Y58" s="349">
        <v>5.04</v>
      </c>
      <c r="Z58" s="349">
        <v>5.03</v>
      </c>
      <c r="AA58" s="349">
        <v>5.01</v>
      </c>
      <c r="AB58" s="349">
        <v>4.99</v>
      </c>
      <c r="AC58" s="349">
        <v>4.97</v>
      </c>
      <c r="AD58" s="349">
        <v>4.95</v>
      </c>
      <c r="AE58" s="349">
        <v>4.93</v>
      </c>
      <c r="AF58" s="349">
        <v>4.92</v>
      </c>
      <c r="AG58" s="349">
        <v>4.9000000000000004</v>
      </c>
      <c r="AH58" s="349">
        <v>4.88</v>
      </c>
      <c r="AI58" s="349">
        <v>4.87</v>
      </c>
      <c r="AJ58" s="349">
        <v>4.8600000000000003</v>
      </c>
      <c r="AK58" s="349">
        <v>4.84</v>
      </c>
      <c r="AL58" s="349">
        <v>4.83</v>
      </c>
      <c r="AM58" s="349">
        <v>4.82</v>
      </c>
      <c r="AN58" s="349">
        <v>4.8099999999999996</v>
      </c>
      <c r="AO58" s="349">
        <v>4.8</v>
      </c>
      <c r="AP58" s="349">
        <v>4.79</v>
      </c>
      <c r="AQ58" s="349">
        <v>4.78</v>
      </c>
      <c r="AR58" s="349">
        <v>4.7699999999999996</v>
      </c>
      <c r="AS58" s="349">
        <v>4.7699999999999996</v>
      </c>
      <c r="AT58" s="349">
        <v>4.76</v>
      </c>
      <c r="AU58" s="349">
        <v>4.75</v>
      </c>
      <c r="AV58" s="349">
        <v>4.75</v>
      </c>
      <c r="AW58" s="349">
        <v>4.74</v>
      </c>
      <c r="AX58" s="349">
        <v>4.74</v>
      </c>
      <c r="AY58" s="349">
        <v>4.7300000000000004</v>
      </c>
      <c r="AZ58" s="150">
        <v>1.7500000000000002E-2</v>
      </c>
      <c r="BA58" s="104">
        <f t="shared" si="0"/>
        <v>1.7500000000000002</v>
      </c>
    </row>
    <row r="59" spans="1:53">
      <c r="A59" s="107">
        <v>41333</v>
      </c>
      <c r="B59" s="349">
        <v>3.65</v>
      </c>
      <c r="C59" s="349">
        <v>3.74</v>
      </c>
      <c r="D59" s="349">
        <v>3.89</v>
      </c>
      <c r="E59" s="349">
        <v>4.04</v>
      </c>
      <c r="F59" s="349">
        <v>4.18</v>
      </c>
      <c r="G59" s="349">
        <v>4.32</v>
      </c>
      <c r="H59" s="349">
        <v>4.43</v>
      </c>
      <c r="I59" s="349">
        <v>4.54</v>
      </c>
      <c r="J59" s="349">
        <v>4.63</v>
      </c>
      <c r="K59" s="349">
        <v>4.72</v>
      </c>
      <c r="L59" s="349">
        <v>4.8</v>
      </c>
      <c r="M59" s="349">
        <v>4.8600000000000003</v>
      </c>
      <c r="N59" s="349">
        <v>4.92</v>
      </c>
      <c r="O59" s="349">
        <v>4.97</v>
      </c>
      <c r="P59" s="2303">
        <v>5.0199999999999996</v>
      </c>
      <c r="Q59" s="349">
        <v>5.03</v>
      </c>
      <c r="R59" s="349">
        <v>5.05</v>
      </c>
      <c r="S59" s="349">
        <v>5.0599999999999996</v>
      </c>
      <c r="T59" s="349">
        <v>5.07</v>
      </c>
      <c r="U59" s="349">
        <v>5.08</v>
      </c>
      <c r="V59" s="349">
        <v>5.07</v>
      </c>
      <c r="W59" s="349">
        <v>5.05</v>
      </c>
      <c r="X59" s="349">
        <v>5.04</v>
      </c>
      <c r="Y59" s="349">
        <v>5.03</v>
      </c>
      <c r="Z59" s="349">
        <v>5.0199999999999996</v>
      </c>
      <c r="AA59" s="349">
        <v>5</v>
      </c>
      <c r="AB59" s="349">
        <v>4.9800000000000004</v>
      </c>
      <c r="AC59" s="349">
        <v>4.96</v>
      </c>
      <c r="AD59" s="349">
        <v>4.9400000000000004</v>
      </c>
      <c r="AE59" s="349">
        <v>4.92</v>
      </c>
      <c r="AF59" s="349">
        <v>4.91</v>
      </c>
      <c r="AG59" s="349">
        <v>4.8899999999999997</v>
      </c>
      <c r="AH59" s="349">
        <v>4.87</v>
      </c>
      <c r="AI59" s="349">
        <v>4.8600000000000003</v>
      </c>
      <c r="AJ59" s="349">
        <v>4.8499999999999996</v>
      </c>
      <c r="AK59" s="349">
        <v>4.83</v>
      </c>
      <c r="AL59" s="349">
        <v>4.82</v>
      </c>
      <c r="AM59" s="349">
        <v>4.8099999999999996</v>
      </c>
      <c r="AN59" s="349">
        <v>4.8</v>
      </c>
      <c r="AO59" s="349">
        <v>4.79</v>
      </c>
      <c r="AP59" s="349">
        <v>4.78</v>
      </c>
      <c r="AQ59" s="349">
        <v>4.7699999999999996</v>
      </c>
      <c r="AR59" s="349">
        <v>4.7699999999999996</v>
      </c>
      <c r="AS59" s="349">
        <v>4.76</v>
      </c>
      <c r="AT59" s="349">
        <v>4.75</v>
      </c>
      <c r="AU59" s="349">
        <v>4.75</v>
      </c>
      <c r="AV59" s="349">
        <v>4.74</v>
      </c>
      <c r="AW59" s="349">
        <v>4.74</v>
      </c>
      <c r="AX59" s="349">
        <v>4.7300000000000004</v>
      </c>
      <c r="AY59" s="349">
        <v>4.7300000000000004</v>
      </c>
      <c r="AZ59" s="150">
        <v>1.7500000000000002E-2</v>
      </c>
      <c r="BA59" s="104">
        <f t="shared" si="0"/>
        <v>1.7500000000000002</v>
      </c>
    </row>
    <row r="60" spans="1:53">
      <c r="A60" s="107">
        <v>41364</v>
      </c>
      <c r="B60" s="349">
        <v>3.62</v>
      </c>
      <c r="C60" s="349">
        <v>3.71</v>
      </c>
      <c r="D60" s="349">
        <v>3.86</v>
      </c>
      <c r="E60" s="349">
        <v>4.01</v>
      </c>
      <c r="F60" s="349">
        <v>4.16</v>
      </c>
      <c r="G60" s="349">
        <v>4.29</v>
      </c>
      <c r="H60" s="349">
        <v>4.41</v>
      </c>
      <c r="I60" s="349">
        <v>4.5199999999999996</v>
      </c>
      <c r="J60" s="349">
        <v>4.6100000000000003</v>
      </c>
      <c r="K60" s="349">
        <v>4.7</v>
      </c>
      <c r="L60" s="349">
        <v>4.78</v>
      </c>
      <c r="M60" s="349">
        <v>4.8499999999999996</v>
      </c>
      <c r="N60" s="349">
        <v>4.91</v>
      </c>
      <c r="O60" s="349">
        <v>4.96</v>
      </c>
      <c r="P60" s="2303">
        <v>5</v>
      </c>
      <c r="Q60" s="349">
        <v>5.0199999999999996</v>
      </c>
      <c r="R60" s="349">
        <v>5.03</v>
      </c>
      <c r="S60" s="349">
        <v>5.04</v>
      </c>
      <c r="T60" s="349">
        <v>5.0599999999999996</v>
      </c>
      <c r="U60" s="349">
        <v>5.07</v>
      </c>
      <c r="V60" s="349">
        <v>5.05</v>
      </c>
      <c r="W60" s="349">
        <v>5.04</v>
      </c>
      <c r="X60" s="349">
        <v>5.03</v>
      </c>
      <c r="Y60" s="349">
        <v>5.01</v>
      </c>
      <c r="Z60" s="349">
        <v>5</v>
      </c>
      <c r="AA60" s="349">
        <v>4.9800000000000004</v>
      </c>
      <c r="AB60" s="349">
        <v>4.96</v>
      </c>
      <c r="AC60" s="349">
        <v>4.9400000000000004</v>
      </c>
      <c r="AD60" s="349">
        <v>4.92</v>
      </c>
      <c r="AE60" s="349">
        <v>4.91</v>
      </c>
      <c r="AF60" s="349">
        <v>4.8899999999999997</v>
      </c>
      <c r="AG60" s="349">
        <v>4.88</v>
      </c>
      <c r="AH60" s="349">
        <v>4.8600000000000003</v>
      </c>
      <c r="AI60" s="349">
        <v>4.8499999999999996</v>
      </c>
      <c r="AJ60" s="349">
        <v>4.83</v>
      </c>
      <c r="AK60" s="349">
        <v>4.82</v>
      </c>
      <c r="AL60" s="349">
        <v>4.8099999999999996</v>
      </c>
      <c r="AM60" s="349">
        <v>4.8</v>
      </c>
      <c r="AN60" s="349">
        <v>4.79</v>
      </c>
      <c r="AO60" s="349">
        <v>4.78</v>
      </c>
      <c r="AP60" s="349">
        <v>4.7699999999999996</v>
      </c>
      <c r="AQ60" s="349">
        <v>4.76</v>
      </c>
      <c r="AR60" s="349">
        <v>4.75</v>
      </c>
      <c r="AS60" s="349">
        <v>4.75</v>
      </c>
      <c r="AT60" s="349">
        <v>4.74</v>
      </c>
      <c r="AU60" s="349">
        <v>4.7300000000000004</v>
      </c>
      <c r="AV60" s="349">
        <v>4.7300000000000004</v>
      </c>
      <c r="AW60" s="349">
        <v>4.72</v>
      </c>
      <c r="AX60" s="349">
        <v>4.72</v>
      </c>
      <c r="AY60" s="349">
        <v>4.71</v>
      </c>
      <c r="AZ60" s="150">
        <v>1.7500000000000002E-2</v>
      </c>
      <c r="BA60" s="104">
        <f t="shared" si="0"/>
        <v>1.7500000000000002</v>
      </c>
    </row>
    <row r="61" spans="1:53">
      <c r="A61" s="107">
        <v>41394</v>
      </c>
      <c r="B61" s="349">
        <v>3.59</v>
      </c>
      <c r="C61" s="349">
        <v>3.68</v>
      </c>
      <c r="D61" s="349">
        <v>3.83</v>
      </c>
      <c r="E61" s="349">
        <v>3.98</v>
      </c>
      <c r="F61" s="349">
        <v>4.13</v>
      </c>
      <c r="G61" s="349">
        <v>4.26</v>
      </c>
      <c r="H61" s="349">
        <v>4.38</v>
      </c>
      <c r="I61" s="349">
        <v>4.49</v>
      </c>
      <c r="J61" s="349">
        <v>4.59</v>
      </c>
      <c r="K61" s="349">
        <v>4.67</v>
      </c>
      <c r="L61" s="349">
        <v>4.76</v>
      </c>
      <c r="M61" s="349">
        <v>4.82</v>
      </c>
      <c r="N61" s="349">
        <v>4.88</v>
      </c>
      <c r="O61" s="349">
        <v>4.93</v>
      </c>
      <c r="P61" s="2303">
        <v>4.9800000000000004</v>
      </c>
      <c r="Q61" s="349">
        <v>5</v>
      </c>
      <c r="R61" s="349">
        <v>5.01</v>
      </c>
      <c r="S61" s="349">
        <v>5.0199999999999996</v>
      </c>
      <c r="T61" s="349">
        <v>5.04</v>
      </c>
      <c r="U61" s="349">
        <v>5.05</v>
      </c>
      <c r="V61" s="349">
        <v>5.03</v>
      </c>
      <c r="W61" s="349">
        <v>5.0199999999999996</v>
      </c>
      <c r="X61" s="349">
        <v>5.01</v>
      </c>
      <c r="Y61" s="349">
        <v>4.99</v>
      </c>
      <c r="Z61" s="349">
        <v>4.9800000000000004</v>
      </c>
      <c r="AA61" s="349">
        <v>4.96</v>
      </c>
      <c r="AB61" s="349">
        <v>4.9400000000000004</v>
      </c>
      <c r="AC61" s="349">
        <v>4.92</v>
      </c>
      <c r="AD61" s="349">
        <v>4.91</v>
      </c>
      <c r="AE61" s="349">
        <v>4.8899999999999997</v>
      </c>
      <c r="AF61" s="349">
        <v>4.87</v>
      </c>
      <c r="AG61" s="349">
        <v>4.8600000000000003</v>
      </c>
      <c r="AH61" s="349">
        <v>4.84</v>
      </c>
      <c r="AI61" s="349">
        <v>4.83</v>
      </c>
      <c r="AJ61" s="349">
        <v>4.8099999999999996</v>
      </c>
      <c r="AK61" s="349">
        <v>4.8</v>
      </c>
      <c r="AL61" s="349">
        <v>4.79</v>
      </c>
      <c r="AM61" s="349">
        <v>4.78</v>
      </c>
      <c r="AN61" s="349">
        <v>4.7699999999999996</v>
      </c>
      <c r="AO61" s="349">
        <v>4.76</v>
      </c>
      <c r="AP61" s="349">
        <v>4.75</v>
      </c>
      <c r="AQ61" s="349">
        <v>4.74</v>
      </c>
      <c r="AR61" s="349">
        <v>4.74</v>
      </c>
      <c r="AS61" s="349">
        <v>4.7300000000000004</v>
      </c>
      <c r="AT61" s="349">
        <v>4.72</v>
      </c>
      <c r="AU61" s="349">
        <v>4.72</v>
      </c>
      <c r="AV61" s="349">
        <v>4.71</v>
      </c>
      <c r="AW61" s="349">
        <v>4.71</v>
      </c>
      <c r="AX61" s="349">
        <v>4.7</v>
      </c>
      <c r="AY61" s="349">
        <v>4.7</v>
      </c>
      <c r="AZ61" s="150">
        <v>1.7500000000000002E-2</v>
      </c>
      <c r="BA61" s="104">
        <f t="shared" si="0"/>
        <v>1.7500000000000002</v>
      </c>
    </row>
    <row r="62" spans="1:53">
      <c r="A62" s="107">
        <v>41425</v>
      </c>
      <c r="B62" s="349">
        <v>3.56</v>
      </c>
      <c r="C62" s="349">
        <v>3.65</v>
      </c>
      <c r="D62" s="349">
        <v>3.8</v>
      </c>
      <c r="E62" s="349">
        <v>3.95</v>
      </c>
      <c r="F62" s="349">
        <v>4.0999999999999996</v>
      </c>
      <c r="G62" s="349">
        <v>4.2300000000000004</v>
      </c>
      <c r="H62" s="349">
        <v>4.3600000000000003</v>
      </c>
      <c r="I62" s="349">
        <v>4.47</v>
      </c>
      <c r="J62" s="349">
        <v>4.5599999999999996</v>
      </c>
      <c r="K62" s="349">
        <v>4.6500000000000004</v>
      </c>
      <c r="L62" s="349">
        <v>4.7300000000000004</v>
      </c>
      <c r="M62" s="349">
        <v>4.8</v>
      </c>
      <c r="N62" s="349">
        <v>4.8600000000000003</v>
      </c>
      <c r="O62" s="349">
        <v>4.92</v>
      </c>
      <c r="P62" s="2303">
        <v>4.96</v>
      </c>
      <c r="Q62" s="349">
        <v>4.9800000000000004</v>
      </c>
      <c r="R62" s="349">
        <v>4.99</v>
      </c>
      <c r="S62" s="349">
        <v>5.01</v>
      </c>
      <c r="T62" s="349">
        <v>5.0199999999999996</v>
      </c>
      <c r="U62" s="349">
        <v>5.03</v>
      </c>
      <c r="V62" s="349">
        <v>5.01</v>
      </c>
      <c r="W62" s="349">
        <v>5</v>
      </c>
      <c r="X62" s="349">
        <v>4.99</v>
      </c>
      <c r="Y62" s="349">
        <v>4.9800000000000004</v>
      </c>
      <c r="Z62" s="349">
        <v>4.97</v>
      </c>
      <c r="AA62" s="349">
        <v>4.9400000000000004</v>
      </c>
      <c r="AB62" s="349">
        <v>4.92</v>
      </c>
      <c r="AC62" s="349">
        <v>4.9000000000000004</v>
      </c>
      <c r="AD62" s="349">
        <v>4.8899999999999997</v>
      </c>
      <c r="AE62" s="349">
        <v>4.87</v>
      </c>
      <c r="AF62" s="349">
        <v>4.8499999999999996</v>
      </c>
      <c r="AG62" s="349">
        <v>4.84</v>
      </c>
      <c r="AH62" s="349">
        <v>4.82</v>
      </c>
      <c r="AI62" s="349">
        <v>4.8099999999999996</v>
      </c>
      <c r="AJ62" s="349">
        <v>4.8</v>
      </c>
      <c r="AK62" s="349">
        <v>4.78</v>
      </c>
      <c r="AL62" s="349">
        <v>4.7699999999999996</v>
      </c>
      <c r="AM62" s="349">
        <v>4.76</v>
      </c>
      <c r="AN62" s="349">
        <v>4.75</v>
      </c>
      <c r="AO62" s="349">
        <v>4.74</v>
      </c>
      <c r="AP62" s="349">
        <v>4.7300000000000004</v>
      </c>
      <c r="AQ62" s="349">
        <v>4.7300000000000004</v>
      </c>
      <c r="AR62" s="349">
        <v>4.72</v>
      </c>
      <c r="AS62" s="349">
        <v>4.71</v>
      </c>
      <c r="AT62" s="349">
        <v>4.71</v>
      </c>
      <c r="AU62" s="349">
        <v>4.7</v>
      </c>
      <c r="AV62" s="349">
        <v>4.7</v>
      </c>
      <c r="AW62" s="349">
        <v>4.6900000000000004</v>
      </c>
      <c r="AX62" s="349">
        <v>4.6900000000000004</v>
      </c>
      <c r="AY62" s="349">
        <v>4.68</v>
      </c>
      <c r="AZ62" s="150">
        <v>1.7500000000000002E-2</v>
      </c>
      <c r="BA62" s="104">
        <f t="shared" si="0"/>
        <v>1.7500000000000002</v>
      </c>
    </row>
    <row r="63" spans="1:53">
      <c r="A63" s="107">
        <v>41455</v>
      </c>
      <c r="B63" s="349">
        <v>3.53</v>
      </c>
      <c r="C63" s="349">
        <v>3.62</v>
      </c>
      <c r="D63" s="349">
        <v>3.77</v>
      </c>
      <c r="E63" s="349">
        <v>3.92</v>
      </c>
      <c r="F63" s="349">
        <v>4.07</v>
      </c>
      <c r="G63" s="349">
        <v>4.21</v>
      </c>
      <c r="H63" s="349">
        <v>4.33</v>
      </c>
      <c r="I63" s="349">
        <v>4.45</v>
      </c>
      <c r="J63" s="349">
        <v>4.54</v>
      </c>
      <c r="K63" s="349">
        <v>4.63</v>
      </c>
      <c r="L63" s="349">
        <v>4.72</v>
      </c>
      <c r="M63" s="349">
        <v>4.79</v>
      </c>
      <c r="N63" s="349">
        <v>4.8499999999999996</v>
      </c>
      <c r="O63" s="349">
        <v>4.9000000000000004</v>
      </c>
      <c r="P63" s="2303">
        <v>4.9400000000000004</v>
      </c>
      <c r="Q63" s="349">
        <v>4.96</v>
      </c>
      <c r="R63" s="349">
        <v>4.9800000000000004</v>
      </c>
      <c r="S63" s="349">
        <v>4.99</v>
      </c>
      <c r="T63" s="349">
        <v>5</v>
      </c>
      <c r="U63" s="349">
        <v>5.01</v>
      </c>
      <c r="V63" s="349">
        <v>5</v>
      </c>
      <c r="W63" s="349">
        <v>4.9800000000000004</v>
      </c>
      <c r="X63" s="349">
        <v>4.97</v>
      </c>
      <c r="Y63" s="349">
        <v>4.96</v>
      </c>
      <c r="Z63" s="349">
        <v>4.95</v>
      </c>
      <c r="AA63" s="349">
        <v>4.93</v>
      </c>
      <c r="AB63" s="349">
        <v>4.91</v>
      </c>
      <c r="AC63" s="349">
        <v>4.8899999999999997</v>
      </c>
      <c r="AD63" s="349">
        <v>4.87</v>
      </c>
      <c r="AE63" s="349">
        <v>4.8499999999999996</v>
      </c>
      <c r="AF63" s="349">
        <v>4.84</v>
      </c>
      <c r="AG63" s="349">
        <v>4.82</v>
      </c>
      <c r="AH63" s="349">
        <v>4.8099999999999996</v>
      </c>
      <c r="AI63" s="349">
        <v>4.79</v>
      </c>
      <c r="AJ63" s="349">
        <v>4.78</v>
      </c>
      <c r="AK63" s="349">
        <v>4.7699999999999996</v>
      </c>
      <c r="AL63" s="349">
        <v>4.76</v>
      </c>
      <c r="AM63" s="349">
        <v>4.74</v>
      </c>
      <c r="AN63" s="349">
        <v>4.7300000000000004</v>
      </c>
      <c r="AO63" s="349">
        <v>4.72</v>
      </c>
      <c r="AP63" s="349">
        <v>4.72</v>
      </c>
      <c r="AQ63" s="349">
        <v>4.71</v>
      </c>
      <c r="AR63" s="349">
        <v>4.7</v>
      </c>
      <c r="AS63" s="349">
        <v>4.7</v>
      </c>
      <c r="AT63" s="349">
        <v>4.6900000000000004</v>
      </c>
      <c r="AU63" s="349">
        <v>4.6900000000000004</v>
      </c>
      <c r="AV63" s="349">
        <v>4.68</v>
      </c>
      <c r="AW63" s="349">
        <v>4.68</v>
      </c>
      <c r="AX63" s="349">
        <v>4.67</v>
      </c>
      <c r="AY63" s="349">
        <v>4.67</v>
      </c>
      <c r="AZ63" s="150">
        <v>1.7500000000000002E-2</v>
      </c>
      <c r="BA63" s="104">
        <f t="shared" si="0"/>
        <v>1.7500000000000002</v>
      </c>
    </row>
    <row r="64" spans="1:53">
      <c r="A64" s="107">
        <v>41486</v>
      </c>
      <c r="B64" s="349">
        <v>3.5</v>
      </c>
      <c r="C64" s="349">
        <v>3.59</v>
      </c>
      <c r="D64" s="349">
        <v>3.74</v>
      </c>
      <c r="E64" s="349">
        <v>3.89</v>
      </c>
      <c r="F64" s="349">
        <v>4.05</v>
      </c>
      <c r="G64" s="349">
        <v>4.1900000000000004</v>
      </c>
      <c r="H64" s="349">
        <v>4.3099999999999996</v>
      </c>
      <c r="I64" s="349">
        <v>4.42</v>
      </c>
      <c r="J64" s="349">
        <v>4.5199999999999996</v>
      </c>
      <c r="K64" s="349">
        <v>4.6100000000000003</v>
      </c>
      <c r="L64" s="349">
        <v>4.7</v>
      </c>
      <c r="M64" s="349">
        <v>4.7699999999999996</v>
      </c>
      <c r="N64" s="349">
        <v>4.83</v>
      </c>
      <c r="O64" s="349">
        <v>4.88</v>
      </c>
      <c r="P64" s="2303">
        <v>4.93</v>
      </c>
      <c r="Q64" s="349">
        <v>4.9400000000000004</v>
      </c>
      <c r="R64" s="349">
        <v>4.96</v>
      </c>
      <c r="S64" s="349">
        <v>4.97</v>
      </c>
      <c r="T64" s="349">
        <v>4.99</v>
      </c>
      <c r="U64" s="349">
        <v>5</v>
      </c>
      <c r="V64" s="349">
        <v>4.9800000000000004</v>
      </c>
      <c r="W64" s="349">
        <v>4.97</v>
      </c>
      <c r="X64" s="349">
        <v>4.96</v>
      </c>
      <c r="Y64" s="349">
        <v>4.9400000000000004</v>
      </c>
      <c r="Z64" s="349">
        <v>4.93</v>
      </c>
      <c r="AA64" s="349">
        <v>4.91</v>
      </c>
      <c r="AB64" s="349">
        <v>4.8899999999999997</v>
      </c>
      <c r="AC64" s="349">
        <v>4.87</v>
      </c>
      <c r="AD64" s="349">
        <v>4.8499999999999996</v>
      </c>
      <c r="AE64" s="349">
        <v>4.84</v>
      </c>
      <c r="AF64" s="349">
        <v>4.82</v>
      </c>
      <c r="AG64" s="349">
        <v>4.8099999999999996</v>
      </c>
      <c r="AH64" s="349">
        <v>4.79</v>
      </c>
      <c r="AI64" s="349">
        <v>4.78</v>
      </c>
      <c r="AJ64" s="349">
        <v>4.76</v>
      </c>
      <c r="AK64" s="349">
        <v>4.75</v>
      </c>
      <c r="AL64" s="349">
        <v>4.74</v>
      </c>
      <c r="AM64" s="349">
        <v>4.7300000000000004</v>
      </c>
      <c r="AN64" s="349">
        <v>4.72</v>
      </c>
      <c r="AO64" s="349">
        <v>4.71</v>
      </c>
      <c r="AP64" s="349">
        <v>4.7</v>
      </c>
      <c r="AQ64" s="349">
        <v>4.7</v>
      </c>
      <c r="AR64" s="349">
        <v>4.6900000000000004</v>
      </c>
      <c r="AS64" s="349">
        <v>4.68</v>
      </c>
      <c r="AT64" s="349">
        <v>4.68</v>
      </c>
      <c r="AU64" s="349">
        <v>4.67</v>
      </c>
      <c r="AV64" s="349">
        <v>4.67</v>
      </c>
      <c r="AW64" s="349">
        <v>4.66</v>
      </c>
      <c r="AX64" s="349">
        <v>4.66</v>
      </c>
      <c r="AY64" s="349">
        <v>4.6500000000000004</v>
      </c>
      <c r="AZ64" s="150">
        <v>1.7500000000000002E-2</v>
      </c>
      <c r="BA64" s="104">
        <f t="shared" si="0"/>
        <v>1.7500000000000002</v>
      </c>
    </row>
    <row r="65" spans="1:60">
      <c r="A65" s="107">
        <v>41517</v>
      </c>
      <c r="B65" s="349">
        <v>3.47</v>
      </c>
      <c r="C65" s="349">
        <v>3.56</v>
      </c>
      <c r="D65" s="349">
        <v>3.71</v>
      </c>
      <c r="E65" s="349">
        <v>3.87</v>
      </c>
      <c r="F65" s="349">
        <v>4.0199999999999996</v>
      </c>
      <c r="G65" s="349">
        <v>4.17</v>
      </c>
      <c r="H65" s="349">
        <v>4.29</v>
      </c>
      <c r="I65" s="349">
        <v>4.41</v>
      </c>
      <c r="J65" s="349">
        <v>4.51</v>
      </c>
      <c r="K65" s="349">
        <v>4.5999999999999996</v>
      </c>
      <c r="L65" s="349">
        <v>4.68</v>
      </c>
      <c r="M65" s="349">
        <v>4.76</v>
      </c>
      <c r="N65" s="349">
        <v>4.82</v>
      </c>
      <c r="O65" s="349">
        <v>4.87</v>
      </c>
      <c r="P65" s="2303">
        <v>4.92</v>
      </c>
      <c r="Q65" s="349">
        <v>4.93</v>
      </c>
      <c r="R65" s="349">
        <v>4.95</v>
      </c>
      <c r="S65" s="349">
        <v>4.96</v>
      </c>
      <c r="T65" s="349">
        <v>4.97</v>
      </c>
      <c r="U65" s="349">
        <v>4.99</v>
      </c>
      <c r="V65" s="349">
        <v>4.97</v>
      </c>
      <c r="W65" s="349">
        <v>4.96</v>
      </c>
      <c r="X65" s="349">
        <v>4.9400000000000004</v>
      </c>
      <c r="Y65" s="349">
        <v>4.93</v>
      </c>
      <c r="Z65" s="349">
        <v>4.92</v>
      </c>
      <c r="AA65" s="349">
        <v>4.9000000000000004</v>
      </c>
      <c r="AB65" s="349">
        <v>4.88</v>
      </c>
      <c r="AC65" s="349">
        <v>4.8600000000000003</v>
      </c>
      <c r="AD65" s="349">
        <v>4.84</v>
      </c>
      <c r="AE65" s="349">
        <v>4.83</v>
      </c>
      <c r="AF65" s="349">
        <v>4.8099999999999996</v>
      </c>
      <c r="AG65" s="349">
        <v>4.79</v>
      </c>
      <c r="AH65" s="349">
        <v>4.78</v>
      </c>
      <c r="AI65" s="349">
        <v>4.7699999999999996</v>
      </c>
      <c r="AJ65" s="349">
        <v>4.75</v>
      </c>
      <c r="AK65" s="349">
        <v>4.74</v>
      </c>
      <c r="AL65" s="349">
        <v>4.7300000000000004</v>
      </c>
      <c r="AM65" s="349">
        <v>4.72</v>
      </c>
      <c r="AN65" s="349">
        <v>4.71</v>
      </c>
      <c r="AO65" s="349">
        <v>4.7</v>
      </c>
      <c r="AP65" s="349">
        <v>4.6900000000000004</v>
      </c>
      <c r="AQ65" s="349">
        <v>4.68</v>
      </c>
      <c r="AR65" s="349">
        <v>4.68</v>
      </c>
      <c r="AS65" s="349">
        <v>4.67</v>
      </c>
      <c r="AT65" s="349">
        <v>4.67</v>
      </c>
      <c r="AU65" s="349">
        <v>4.66</v>
      </c>
      <c r="AV65" s="349">
        <v>4.66</v>
      </c>
      <c r="AW65" s="349">
        <v>4.6500000000000004</v>
      </c>
      <c r="AX65" s="349">
        <v>4.6500000000000004</v>
      </c>
      <c r="AY65" s="349">
        <v>4.6399999999999997</v>
      </c>
      <c r="AZ65" s="150">
        <v>1.7500000000000002E-2</v>
      </c>
      <c r="BA65" s="104">
        <f t="shared" si="0"/>
        <v>1.7500000000000002</v>
      </c>
    </row>
    <row r="66" spans="1:60">
      <c r="A66" s="107">
        <v>41547</v>
      </c>
      <c r="B66" s="349">
        <v>3.44</v>
      </c>
      <c r="C66" s="349">
        <v>3.53</v>
      </c>
      <c r="D66" s="349">
        <v>3.68</v>
      </c>
      <c r="E66" s="349">
        <v>3.84</v>
      </c>
      <c r="F66" s="349">
        <v>4</v>
      </c>
      <c r="G66" s="349">
        <v>4.1500000000000004</v>
      </c>
      <c r="H66" s="349">
        <v>4.28</v>
      </c>
      <c r="I66" s="349">
        <v>4.3899999999999997</v>
      </c>
      <c r="J66" s="349">
        <v>4.49</v>
      </c>
      <c r="K66" s="349">
        <v>4.58</v>
      </c>
      <c r="L66" s="349">
        <v>4.67</v>
      </c>
      <c r="M66" s="349">
        <v>4.74</v>
      </c>
      <c r="N66" s="349">
        <v>4.8099999999999996</v>
      </c>
      <c r="O66" s="349">
        <v>4.8600000000000003</v>
      </c>
      <c r="P66" s="2303">
        <v>4.91</v>
      </c>
      <c r="Q66" s="349">
        <v>4.92</v>
      </c>
      <c r="R66" s="349">
        <v>4.9400000000000004</v>
      </c>
      <c r="S66" s="349">
        <v>4.95</v>
      </c>
      <c r="T66" s="349">
        <v>4.97</v>
      </c>
      <c r="U66" s="349">
        <v>4.9800000000000004</v>
      </c>
      <c r="V66" s="349">
        <v>4.96</v>
      </c>
      <c r="W66" s="349">
        <v>4.95</v>
      </c>
      <c r="X66" s="349">
        <v>4.93</v>
      </c>
      <c r="Y66" s="349">
        <v>4.92</v>
      </c>
      <c r="Z66" s="349">
        <v>4.91</v>
      </c>
      <c r="AA66" s="349">
        <v>4.8899999999999997</v>
      </c>
      <c r="AB66" s="349">
        <v>4.87</v>
      </c>
      <c r="AC66" s="349">
        <v>4.8499999999999996</v>
      </c>
      <c r="AD66" s="349">
        <v>4.83</v>
      </c>
      <c r="AE66" s="349">
        <v>4.82</v>
      </c>
      <c r="AF66" s="349">
        <v>4.8</v>
      </c>
      <c r="AG66" s="349">
        <v>4.78</v>
      </c>
      <c r="AH66" s="349">
        <v>4.7699999999999996</v>
      </c>
      <c r="AI66" s="349">
        <v>4.76</v>
      </c>
      <c r="AJ66" s="349">
        <v>4.74</v>
      </c>
      <c r="AK66" s="349">
        <v>4.7300000000000004</v>
      </c>
      <c r="AL66" s="349">
        <v>4.72</v>
      </c>
      <c r="AM66" s="349">
        <v>4.71</v>
      </c>
      <c r="AN66" s="349">
        <v>4.7</v>
      </c>
      <c r="AO66" s="349">
        <v>4.6900000000000004</v>
      </c>
      <c r="AP66" s="349">
        <v>4.68</v>
      </c>
      <c r="AQ66" s="349">
        <v>4.68</v>
      </c>
      <c r="AR66" s="349">
        <v>4.67</v>
      </c>
      <c r="AS66" s="349">
        <v>4.67</v>
      </c>
      <c r="AT66" s="349">
        <v>4.66</v>
      </c>
      <c r="AU66" s="349">
        <v>4.66</v>
      </c>
      <c r="AV66" s="349">
        <v>4.6500000000000004</v>
      </c>
      <c r="AW66" s="349">
        <v>4.6500000000000004</v>
      </c>
      <c r="AX66" s="349">
        <v>4.6399999999999997</v>
      </c>
      <c r="AY66" s="349">
        <v>4.6399999999999997</v>
      </c>
      <c r="AZ66" s="150">
        <v>1.7500000000000002E-2</v>
      </c>
      <c r="BA66" s="104">
        <f t="shared" si="0"/>
        <v>1.7500000000000002</v>
      </c>
      <c r="BE66" s="2328" t="s">
        <v>192</v>
      </c>
      <c r="BF66" s="2328"/>
      <c r="BG66" s="2328" t="s">
        <v>193</v>
      </c>
      <c r="BH66" s="2328"/>
    </row>
    <row r="67" spans="1:60">
      <c r="A67" s="107">
        <v>41578</v>
      </c>
      <c r="B67" s="349">
        <v>3.41</v>
      </c>
      <c r="C67" s="349">
        <v>3.5</v>
      </c>
      <c r="D67" s="349">
        <v>3.65</v>
      </c>
      <c r="E67" s="349">
        <v>3.82</v>
      </c>
      <c r="F67" s="349">
        <v>3.98</v>
      </c>
      <c r="G67" s="349">
        <v>4.12</v>
      </c>
      <c r="H67" s="349">
        <v>4.26</v>
      </c>
      <c r="I67" s="349">
        <v>4.37</v>
      </c>
      <c r="J67" s="349">
        <v>4.4800000000000004</v>
      </c>
      <c r="K67" s="349">
        <v>4.57</v>
      </c>
      <c r="L67" s="349">
        <v>4.66</v>
      </c>
      <c r="M67" s="349">
        <v>4.7300000000000004</v>
      </c>
      <c r="N67" s="349">
        <v>4.79</v>
      </c>
      <c r="O67" s="349">
        <v>4.8499999999999996</v>
      </c>
      <c r="P67" s="2303">
        <v>4.9000000000000004</v>
      </c>
      <c r="Q67" s="349">
        <v>4.91</v>
      </c>
      <c r="R67" s="349">
        <v>4.93</v>
      </c>
      <c r="S67" s="349">
        <v>4.9400000000000004</v>
      </c>
      <c r="T67" s="349">
        <v>4.96</v>
      </c>
      <c r="U67" s="349">
        <v>4.97</v>
      </c>
      <c r="V67" s="349">
        <v>4.95</v>
      </c>
      <c r="W67" s="349">
        <v>4.9400000000000004</v>
      </c>
      <c r="X67" s="349">
        <v>4.93</v>
      </c>
      <c r="Y67" s="349">
        <v>4.91</v>
      </c>
      <c r="Z67" s="349">
        <v>4.9000000000000004</v>
      </c>
      <c r="AA67" s="349">
        <v>4.88</v>
      </c>
      <c r="AB67" s="349">
        <v>4.8600000000000003</v>
      </c>
      <c r="AC67" s="349">
        <v>4.84</v>
      </c>
      <c r="AD67" s="349">
        <v>4.83</v>
      </c>
      <c r="AE67" s="349">
        <v>4.8099999999999996</v>
      </c>
      <c r="AF67" s="349">
        <v>4.79</v>
      </c>
      <c r="AG67" s="349">
        <v>4.78</v>
      </c>
      <c r="AH67" s="349">
        <v>4.76</v>
      </c>
      <c r="AI67" s="349">
        <v>4.75</v>
      </c>
      <c r="AJ67" s="349">
        <v>4.74</v>
      </c>
      <c r="AK67" s="349">
        <v>4.72</v>
      </c>
      <c r="AL67" s="349">
        <v>4.71</v>
      </c>
      <c r="AM67" s="349">
        <v>4.7</v>
      </c>
      <c r="AN67" s="349">
        <v>4.6900000000000004</v>
      </c>
      <c r="AO67" s="349">
        <v>4.68</v>
      </c>
      <c r="AP67" s="349">
        <v>4.68</v>
      </c>
      <c r="AQ67" s="349">
        <v>4.67</v>
      </c>
      <c r="AR67" s="349">
        <v>4.66</v>
      </c>
      <c r="AS67" s="349">
        <v>4.66</v>
      </c>
      <c r="AT67" s="349">
        <v>4.6500000000000004</v>
      </c>
      <c r="AU67" s="349">
        <v>4.6500000000000004</v>
      </c>
      <c r="AV67" s="349">
        <v>4.6500000000000004</v>
      </c>
      <c r="AW67" s="349">
        <v>4.6399999999999997</v>
      </c>
      <c r="AX67" s="349">
        <v>4.6399999999999997</v>
      </c>
      <c r="AY67" s="349">
        <v>4.63</v>
      </c>
      <c r="AZ67" s="150">
        <v>1.7500000000000002E-2</v>
      </c>
      <c r="BA67" s="104">
        <f t="shared" si="0"/>
        <v>1.7500000000000002</v>
      </c>
      <c r="BD67" t="s">
        <v>838</v>
      </c>
      <c r="BE67" s="4" t="s">
        <v>839</v>
      </c>
      <c r="BF67" s="4" t="s">
        <v>126</v>
      </c>
      <c r="BG67" s="4" t="s">
        <v>839</v>
      </c>
      <c r="BH67" s="4" t="s">
        <v>126</v>
      </c>
    </row>
    <row r="68" spans="1:60">
      <c r="A68" s="107">
        <v>41608</v>
      </c>
      <c r="B68" s="349">
        <v>3.37</v>
      </c>
      <c r="C68" s="349">
        <v>3.47</v>
      </c>
      <c r="D68" s="349">
        <v>3.62</v>
      </c>
      <c r="E68" s="349">
        <v>3.79</v>
      </c>
      <c r="F68" s="349">
        <v>3.95</v>
      </c>
      <c r="G68" s="349">
        <v>4.0999999999999996</v>
      </c>
      <c r="H68" s="349">
        <v>4.24</v>
      </c>
      <c r="I68" s="349">
        <v>4.3600000000000003</v>
      </c>
      <c r="J68" s="349">
        <v>4.46</v>
      </c>
      <c r="K68" s="349">
        <v>4.5599999999999996</v>
      </c>
      <c r="L68" s="349">
        <v>4.6500000000000004</v>
      </c>
      <c r="M68" s="349">
        <v>4.72</v>
      </c>
      <c r="N68" s="349">
        <v>4.79</v>
      </c>
      <c r="O68" s="349">
        <v>4.84</v>
      </c>
      <c r="P68" s="2303">
        <v>4.8899999999999997</v>
      </c>
      <c r="Q68" s="349">
        <v>4.91</v>
      </c>
      <c r="R68" s="349">
        <v>4.92</v>
      </c>
      <c r="S68" s="349">
        <v>4.9400000000000004</v>
      </c>
      <c r="T68" s="349">
        <v>4.95</v>
      </c>
      <c r="U68" s="349">
        <v>4.96</v>
      </c>
      <c r="V68" s="349">
        <v>4.95</v>
      </c>
      <c r="W68" s="349">
        <v>4.93</v>
      </c>
      <c r="X68" s="349">
        <v>4.92</v>
      </c>
      <c r="Y68" s="349">
        <v>4.91</v>
      </c>
      <c r="Z68" s="349">
        <v>4.9000000000000004</v>
      </c>
      <c r="AA68" s="349">
        <v>4.88</v>
      </c>
      <c r="AB68" s="349">
        <v>4.8499999999999996</v>
      </c>
      <c r="AC68" s="349">
        <v>4.84</v>
      </c>
      <c r="AD68" s="349">
        <v>4.82</v>
      </c>
      <c r="AE68" s="349">
        <v>4.8</v>
      </c>
      <c r="AF68" s="349">
        <v>4.79</v>
      </c>
      <c r="AG68" s="349">
        <v>4.7699999999999996</v>
      </c>
      <c r="AH68" s="349">
        <v>4.76</v>
      </c>
      <c r="AI68" s="349">
        <v>4.74</v>
      </c>
      <c r="AJ68" s="349">
        <v>4.7300000000000004</v>
      </c>
      <c r="AK68" s="349">
        <v>4.72</v>
      </c>
      <c r="AL68" s="349">
        <v>4.71</v>
      </c>
      <c r="AM68" s="349">
        <v>4.7</v>
      </c>
      <c r="AN68" s="349">
        <v>4.6900000000000004</v>
      </c>
      <c r="AO68" s="349">
        <v>4.68</v>
      </c>
      <c r="AP68" s="349">
        <v>4.67</v>
      </c>
      <c r="AQ68" s="349">
        <v>4.66</v>
      </c>
      <c r="AR68" s="349">
        <v>4.66</v>
      </c>
      <c r="AS68" s="349">
        <v>4.6500000000000004</v>
      </c>
      <c r="AT68" s="349">
        <v>4.6500000000000004</v>
      </c>
      <c r="AU68" s="349">
        <v>4.6399999999999997</v>
      </c>
      <c r="AV68" s="349">
        <v>4.6399999999999997</v>
      </c>
      <c r="AW68" s="349">
        <v>4.6399999999999997</v>
      </c>
      <c r="AX68" s="349">
        <v>4.63</v>
      </c>
      <c r="AY68" s="349">
        <v>4.63</v>
      </c>
      <c r="AZ68" s="150">
        <v>1.7500000000000002E-2</v>
      </c>
      <c r="BA68" s="104">
        <f t="shared" si="0"/>
        <v>1.7500000000000002</v>
      </c>
      <c r="BD68" s="678">
        <v>42005</v>
      </c>
      <c r="BE68">
        <v>20818</v>
      </c>
      <c r="BF68">
        <v>12675</v>
      </c>
      <c r="BG68">
        <v>16565</v>
      </c>
      <c r="BH68">
        <v>7890</v>
      </c>
    </row>
    <row r="69" spans="1:60">
      <c r="A69" s="107">
        <v>41639</v>
      </c>
      <c r="B69" s="349">
        <v>3.34</v>
      </c>
      <c r="C69" s="349">
        <v>3.43</v>
      </c>
      <c r="D69" s="349">
        <v>3.59</v>
      </c>
      <c r="E69" s="349">
        <v>3.76</v>
      </c>
      <c r="F69" s="349">
        <v>3.93</v>
      </c>
      <c r="G69" s="349">
        <v>4.08</v>
      </c>
      <c r="H69" s="349">
        <v>4.22</v>
      </c>
      <c r="I69" s="349">
        <v>4.34</v>
      </c>
      <c r="J69" s="349">
        <v>4.45</v>
      </c>
      <c r="K69" s="349">
        <v>4.54</v>
      </c>
      <c r="L69" s="349">
        <v>4.63</v>
      </c>
      <c r="M69" s="349">
        <v>4.71</v>
      </c>
      <c r="N69" s="349">
        <v>4.7699999999999996</v>
      </c>
      <c r="O69" s="349">
        <v>4.83</v>
      </c>
      <c r="P69" s="2303">
        <v>4.88</v>
      </c>
      <c r="Q69" s="349">
        <v>4.9000000000000004</v>
      </c>
      <c r="R69" s="349">
        <v>4.91</v>
      </c>
      <c r="S69" s="349">
        <v>4.93</v>
      </c>
      <c r="T69" s="349">
        <v>4.9400000000000004</v>
      </c>
      <c r="U69" s="349">
        <v>4.95</v>
      </c>
      <c r="V69" s="349">
        <v>4.9400000000000004</v>
      </c>
      <c r="W69" s="349">
        <v>4.92</v>
      </c>
      <c r="X69" s="349">
        <v>4.91</v>
      </c>
      <c r="Y69" s="349">
        <v>4.9000000000000004</v>
      </c>
      <c r="Z69" s="349">
        <v>4.8899999999999997</v>
      </c>
      <c r="AA69" s="349">
        <v>4.87</v>
      </c>
      <c r="AB69" s="349">
        <v>4.8499999999999996</v>
      </c>
      <c r="AC69" s="349">
        <v>4.83</v>
      </c>
      <c r="AD69" s="349">
        <v>4.8099999999999996</v>
      </c>
      <c r="AE69" s="349">
        <v>4.79</v>
      </c>
      <c r="AF69" s="349">
        <v>4.78</v>
      </c>
      <c r="AG69" s="349">
        <v>4.76</v>
      </c>
      <c r="AH69" s="349">
        <v>4.75</v>
      </c>
      <c r="AI69" s="349">
        <v>4.74</v>
      </c>
      <c r="AJ69" s="349">
        <v>4.72</v>
      </c>
      <c r="AK69" s="349">
        <v>4.71</v>
      </c>
      <c r="AL69" s="349">
        <v>4.7</v>
      </c>
      <c r="AM69" s="349">
        <v>4.6900000000000004</v>
      </c>
      <c r="AN69" s="349">
        <v>4.68</v>
      </c>
      <c r="AO69" s="349">
        <v>4.67</v>
      </c>
      <c r="AP69" s="349">
        <v>4.66</v>
      </c>
      <c r="AQ69" s="349">
        <v>4.66</v>
      </c>
      <c r="AR69" s="349">
        <v>4.6500000000000004</v>
      </c>
      <c r="AS69" s="349">
        <v>4.6500000000000004</v>
      </c>
      <c r="AT69" s="349">
        <v>4.6399999999999997</v>
      </c>
      <c r="AU69" s="349">
        <v>4.6399999999999997</v>
      </c>
      <c r="AV69" s="349">
        <v>4.63</v>
      </c>
      <c r="AW69" s="349">
        <v>4.63</v>
      </c>
      <c r="AX69" s="349">
        <v>4.63</v>
      </c>
      <c r="AY69" s="349">
        <v>4.62</v>
      </c>
      <c r="AZ69" s="150">
        <v>1.7500000000000002E-2</v>
      </c>
      <c r="BA69" s="104">
        <f t="shared" si="0"/>
        <v>1.7500000000000002</v>
      </c>
      <c r="BD69" s="678">
        <v>42370</v>
      </c>
      <c r="BE69">
        <v>24437</v>
      </c>
      <c r="BF69">
        <v>17416</v>
      </c>
      <c r="BG69">
        <v>22082</v>
      </c>
      <c r="BH69">
        <v>14118</v>
      </c>
    </row>
    <row r="70" spans="1:60">
      <c r="A70" s="107">
        <v>41670</v>
      </c>
      <c r="B70" s="349">
        <v>3.3</v>
      </c>
      <c r="C70" s="349">
        <v>3.4</v>
      </c>
      <c r="D70" s="349">
        <v>3.56</v>
      </c>
      <c r="E70" s="349">
        <v>3.73</v>
      </c>
      <c r="F70" s="349">
        <v>3.9</v>
      </c>
      <c r="G70" s="349">
        <v>4.05</v>
      </c>
      <c r="H70" s="349">
        <v>4.1900000000000004</v>
      </c>
      <c r="I70" s="349">
        <v>4.32</v>
      </c>
      <c r="J70" s="349">
        <v>4.42</v>
      </c>
      <c r="K70" s="349">
        <v>4.5199999999999996</v>
      </c>
      <c r="L70" s="349">
        <v>4.62</v>
      </c>
      <c r="M70" s="349">
        <v>4.6900000000000004</v>
      </c>
      <c r="N70" s="349">
        <v>4.76</v>
      </c>
      <c r="O70" s="349">
        <v>4.8099999999999996</v>
      </c>
      <c r="P70" s="2303">
        <v>4.8600000000000003</v>
      </c>
      <c r="Q70" s="349">
        <v>4.88</v>
      </c>
      <c r="R70" s="349">
        <v>4.9000000000000004</v>
      </c>
      <c r="S70" s="349">
        <v>4.91</v>
      </c>
      <c r="T70" s="349">
        <v>4.93</v>
      </c>
      <c r="U70" s="349">
        <v>4.9400000000000004</v>
      </c>
      <c r="V70" s="349">
        <v>4.92</v>
      </c>
      <c r="W70" s="349">
        <v>4.91</v>
      </c>
      <c r="X70" s="349">
        <v>4.9000000000000004</v>
      </c>
      <c r="Y70" s="349">
        <v>4.8899999999999997</v>
      </c>
      <c r="Z70" s="349">
        <v>4.88</v>
      </c>
      <c r="AA70" s="349">
        <v>4.8499999999999996</v>
      </c>
      <c r="AB70" s="349">
        <v>4.83</v>
      </c>
      <c r="AC70" s="349">
        <v>4.82</v>
      </c>
      <c r="AD70" s="349">
        <v>4.8</v>
      </c>
      <c r="AE70" s="349">
        <v>4.78</v>
      </c>
      <c r="AF70" s="349">
        <v>4.7699999999999996</v>
      </c>
      <c r="AG70" s="349">
        <v>4.75</v>
      </c>
      <c r="AH70" s="349">
        <v>4.74</v>
      </c>
      <c r="AI70" s="349">
        <v>4.72</v>
      </c>
      <c r="AJ70" s="349">
        <v>4.71</v>
      </c>
      <c r="AK70" s="349">
        <v>4.7</v>
      </c>
      <c r="AL70" s="349">
        <v>4.6900000000000004</v>
      </c>
      <c r="AM70" s="349">
        <v>4.68</v>
      </c>
      <c r="AN70" s="349">
        <v>4.67</v>
      </c>
      <c r="AO70" s="349">
        <v>4.66</v>
      </c>
      <c r="AP70" s="349">
        <v>4.6500000000000004</v>
      </c>
      <c r="AQ70" s="349">
        <v>4.6500000000000004</v>
      </c>
      <c r="AR70" s="349">
        <v>4.6399999999999997</v>
      </c>
      <c r="AS70" s="349">
        <v>4.6399999999999997</v>
      </c>
      <c r="AT70" s="349">
        <v>4.63</v>
      </c>
      <c r="AU70" s="349">
        <v>4.63</v>
      </c>
      <c r="AV70" s="349">
        <v>4.62</v>
      </c>
      <c r="AW70" s="349">
        <v>4.62</v>
      </c>
      <c r="AX70" s="349">
        <v>4.62</v>
      </c>
      <c r="AY70" s="349">
        <v>4.6100000000000003</v>
      </c>
      <c r="AZ70" s="150">
        <v>1.7500000000000002E-2</v>
      </c>
      <c r="BA70" s="104">
        <f t="shared" si="0"/>
        <v>1.7500000000000002</v>
      </c>
      <c r="BD70" s="678">
        <v>42736</v>
      </c>
      <c r="BE70">
        <v>28828</v>
      </c>
      <c r="BF70">
        <v>25010</v>
      </c>
      <c r="BG70">
        <v>23880</v>
      </c>
      <c r="BH70">
        <v>16935</v>
      </c>
    </row>
    <row r="71" spans="1:60">
      <c r="A71" s="107">
        <v>41698</v>
      </c>
      <c r="B71" s="349">
        <v>3.27</v>
      </c>
      <c r="C71" s="349">
        <v>3.36</v>
      </c>
      <c r="D71" s="349">
        <v>3.52</v>
      </c>
      <c r="E71" s="349">
        <v>3.7</v>
      </c>
      <c r="F71" s="349">
        <v>3.87</v>
      </c>
      <c r="G71" s="349">
        <v>4.03</v>
      </c>
      <c r="H71" s="349">
        <v>4.17</v>
      </c>
      <c r="I71" s="349">
        <v>4.29</v>
      </c>
      <c r="J71" s="349">
        <v>4.4000000000000004</v>
      </c>
      <c r="K71" s="349">
        <v>4.5</v>
      </c>
      <c r="L71" s="349">
        <v>4.5999999999999996</v>
      </c>
      <c r="M71" s="349">
        <v>4.68</v>
      </c>
      <c r="N71" s="349">
        <v>4.74</v>
      </c>
      <c r="O71" s="349">
        <v>4.8</v>
      </c>
      <c r="P71" s="2303">
        <v>4.8499999999999996</v>
      </c>
      <c r="Q71" s="349">
        <v>4.87</v>
      </c>
      <c r="R71" s="349">
        <v>4.8899999999999997</v>
      </c>
      <c r="S71" s="349">
        <v>4.9000000000000004</v>
      </c>
      <c r="T71" s="349">
        <v>4.91</v>
      </c>
      <c r="U71" s="349">
        <v>4.93</v>
      </c>
      <c r="V71" s="349">
        <v>4.91</v>
      </c>
      <c r="W71" s="349">
        <v>4.9000000000000004</v>
      </c>
      <c r="X71" s="349">
        <v>4.8899999999999997</v>
      </c>
      <c r="Y71" s="349">
        <v>4.87</v>
      </c>
      <c r="Z71" s="349">
        <v>4.8600000000000003</v>
      </c>
      <c r="AA71" s="349">
        <v>4.84</v>
      </c>
      <c r="AB71" s="349">
        <v>4.82</v>
      </c>
      <c r="AC71" s="349">
        <v>4.8</v>
      </c>
      <c r="AD71" s="349">
        <v>4.79</v>
      </c>
      <c r="AE71" s="349">
        <v>4.7699999999999996</v>
      </c>
      <c r="AF71" s="349">
        <v>4.75</v>
      </c>
      <c r="AG71" s="349">
        <v>4.74</v>
      </c>
      <c r="AH71" s="349">
        <v>4.72</v>
      </c>
      <c r="AI71" s="349">
        <v>4.71</v>
      </c>
      <c r="AJ71" s="349">
        <v>4.7</v>
      </c>
      <c r="AK71" s="349">
        <v>4.6900000000000004</v>
      </c>
      <c r="AL71" s="349">
        <v>4.68</v>
      </c>
      <c r="AM71" s="349">
        <v>4.67</v>
      </c>
      <c r="AN71" s="349">
        <v>4.66</v>
      </c>
      <c r="AO71" s="349">
        <v>4.6500000000000004</v>
      </c>
      <c r="AP71" s="349">
        <v>4.6399999999999997</v>
      </c>
      <c r="AQ71" s="349">
        <v>4.6399999999999997</v>
      </c>
      <c r="AR71" s="349">
        <v>4.63</v>
      </c>
      <c r="AS71" s="349">
        <v>4.63</v>
      </c>
      <c r="AT71" s="349">
        <v>4.62</v>
      </c>
      <c r="AU71" s="349">
        <v>4.62</v>
      </c>
      <c r="AV71" s="349">
        <v>4.6100000000000003</v>
      </c>
      <c r="AW71" s="349">
        <v>4.6100000000000003</v>
      </c>
      <c r="AX71" s="349">
        <v>4.6100000000000003</v>
      </c>
      <c r="AY71" s="349">
        <v>4.5999999999999996</v>
      </c>
      <c r="AZ71" s="150">
        <v>1.7500000000000002E-2</v>
      </c>
      <c r="BA71" s="104">
        <f t="shared" si="0"/>
        <v>1.7500000000000002</v>
      </c>
      <c r="BD71" s="678">
        <v>43101</v>
      </c>
      <c r="BE71">
        <v>32379</v>
      </c>
      <c r="BF71">
        <v>31940</v>
      </c>
      <c r="BG71">
        <v>26044</v>
      </c>
      <c r="BH71">
        <v>20355</v>
      </c>
    </row>
    <row r="72" spans="1:60">
      <c r="A72" s="107">
        <v>41729</v>
      </c>
      <c r="B72" s="349">
        <v>3.23</v>
      </c>
      <c r="C72" s="349">
        <v>3.33</v>
      </c>
      <c r="D72" s="349">
        <v>3.49</v>
      </c>
      <c r="E72" s="349">
        <v>3.67</v>
      </c>
      <c r="F72" s="349">
        <v>3.84</v>
      </c>
      <c r="G72" s="349">
        <v>4</v>
      </c>
      <c r="H72" s="349">
        <v>4.1399999999999997</v>
      </c>
      <c r="I72" s="349">
        <v>4.2699999999999996</v>
      </c>
      <c r="J72" s="349">
        <v>4.38</v>
      </c>
      <c r="K72" s="349">
        <v>4.4800000000000004</v>
      </c>
      <c r="L72" s="349">
        <v>4.58</v>
      </c>
      <c r="M72" s="349">
        <v>4.66</v>
      </c>
      <c r="N72" s="349">
        <v>4.72</v>
      </c>
      <c r="O72" s="349">
        <v>4.78</v>
      </c>
      <c r="P72" s="2303">
        <v>4.83</v>
      </c>
      <c r="Q72" s="349">
        <v>4.8499999999999996</v>
      </c>
      <c r="R72" s="349">
        <v>4.87</v>
      </c>
      <c r="S72" s="349">
        <v>4.88</v>
      </c>
      <c r="T72" s="349">
        <v>4.9000000000000004</v>
      </c>
      <c r="U72" s="349">
        <v>4.91</v>
      </c>
      <c r="V72" s="349">
        <v>4.9000000000000004</v>
      </c>
      <c r="W72" s="349">
        <v>4.88</v>
      </c>
      <c r="X72" s="349">
        <v>4.87</v>
      </c>
      <c r="Y72" s="349">
        <v>4.8600000000000003</v>
      </c>
      <c r="Z72" s="349">
        <v>4.8499999999999996</v>
      </c>
      <c r="AA72" s="349">
        <v>4.83</v>
      </c>
      <c r="AB72" s="349">
        <v>4.8099999999999996</v>
      </c>
      <c r="AC72" s="349">
        <v>4.79</v>
      </c>
      <c r="AD72" s="349">
        <v>4.7699999999999996</v>
      </c>
      <c r="AE72" s="349">
        <v>4.75</v>
      </c>
      <c r="AF72" s="349">
        <v>4.74</v>
      </c>
      <c r="AG72" s="349">
        <v>4.72</v>
      </c>
      <c r="AH72" s="349">
        <v>4.71</v>
      </c>
      <c r="AI72" s="349">
        <v>4.7</v>
      </c>
      <c r="AJ72" s="349">
        <v>4.68</v>
      </c>
      <c r="AK72" s="349">
        <v>4.67</v>
      </c>
      <c r="AL72" s="349">
        <v>4.66</v>
      </c>
      <c r="AM72" s="349">
        <v>4.6500000000000004</v>
      </c>
      <c r="AN72" s="349">
        <v>4.6399999999999997</v>
      </c>
      <c r="AO72" s="349">
        <v>4.63</v>
      </c>
      <c r="AP72" s="349">
        <v>4.63</v>
      </c>
      <c r="AQ72" s="349">
        <v>4.62</v>
      </c>
      <c r="AR72" s="349">
        <v>4.62</v>
      </c>
      <c r="AS72" s="349">
        <v>4.6100000000000003</v>
      </c>
      <c r="AT72" s="349">
        <v>4.6100000000000003</v>
      </c>
      <c r="AU72" s="349">
        <v>4.5999999999999996</v>
      </c>
      <c r="AV72" s="349">
        <v>4.5999999999999996</v>
      </c>
      <c r="AW72" s="349">
        <v>4.5999999999999996</v>
      </c>
      <c r="AX72" s="349">
        <v>4.59</v>
      </c>
      <c r="AY72" s="349">
        <v>4.59</v>
      </c>
      <c r="AZ72" s="150">
        <v>1.7500000000000002E-2</v>
      </c>
      <c r="BA72" s="104">
        <f t="shared" si="0"/>
        <v>1.7500000000000002</v>
      </c>
      <c r="BD72" s="678">
        <v>43466</v>
      </c>
      <c r="BE72">
        <v>36794</v>
      </c>
      <c r="BF72">
        <v>41832</v>
      </c>
      <c r="BG72">
        <v>29431</v>
      </c>
      <c r="BH72">
        <v>26362</v>
      </c>
    </row>
    <row r="73" spans="1:60">
      <c r="A73" s="107">
        <v>41759</v>
      </c>
      <c r="B73" s="349">
        <v>3.19</v>
      </c>
      <c r="C73" s="349">
        <v>3.29</v>
      </c>
      <c r="D73" s="349">
        <v>3.45</v>
      </c>
      <c r="E73" s="349">
        <v>3.63</v>
      </c>
      <c r="F73" s="349">
        <v>3.81</v>
      </c>
      <c r="G73" s="349">
        <v>3.97</v>
      </c>
      <c r="H73" s="349">
        <v>4.1100000000000003</v>
      </c>
      <c r="I73" s="349">
        <v>4.24</v>
      </c>
      <c r="J73" s="349">
        <v>4.3600000000000003</v>
      </c>
      <c r="K73" s="349">
        <v>4.46</v>
      </c>
      <c r="L73" s="349">
        <v>4.55</v>
      </c>
      <c r="M73" s="349">
        <v>4.63</v>
      </c>
      <c r="N73" s="349">
        <v>4.7</v>
      </c>
      <c r="O73" s="349">
        <v>4.76</v>
      </c>
      <c r="P73" s="2303">
        <v>4.8099999999999996</v>
      </c>
      <c r="Q73" s="349">
        <v>4.83</v>
      </c>
      <c r="R73" s="349">
        <v>4.8499999999999996</v>
      </c>
      <c r="S73" s="349">
        <v>4.87</v>
      </c>
      <c r="T73" s="349">
        <v>4.88</v>
      </c>
      <c r="U73" s="349">
        <v>4.8899999999999997</v>
      </c>
      <c r="V73" s="349">
        <v>4.88</v>
      </c>
      <c r="W73" s="349">
        <v>4.8600000000000003</v>
      </c>
      <c r="X73" s="349">
        <v>4.8499999999999996</v>
      </c>
      <c r="Y73" s="349">
        <v>4.84</v>
      </c>
      <c r="Z73" s="349">
        <v>4.83</v>
      </c>
      <c r="AA73" s="349">
        <v>4.8099999999999996</v>
      </c>
      <c r="AB73" s="349">
        <v>4.79</v>
      </c>
      <c r="AC73" s="349">
        <v>4.7699999999999996</v>
      </c>
      <c r="AD73" s="349">
        <v>4.75</v>
      </c>
      <c r="AE73" s="349">
        <v>4.74</v>
      </c>
      <c r="AF73" s="349">
        <v>4.72</v>
      </c>
      <c r="AG73" s="349">
        <v>4.71</v>
      </c>
      <c r="AH73" s="349">
        <v>4.6900000000000004</v>
      </c>
      <c r="AI73" s="349">
        <v>4.68</v>
      </c>
      <c r="AJ73" s="349">
        <v>4.67</v>
      </c>
      <c r="AK73" s="349">
        <v>4.66</v>
      </c>
      <c r="AL73" s="349">
        <v>4.6500000000000004</v>
      </c>
      <c r="AM73" s="349">
        <v>4.6399999999999997</v>
      </c>
      <c r="AN73" s="349">
        <v>4.63</v>
      </c>
      <c r="AO73" s="349">
        <v>4.62</v>
      </c>
      <c r="AP73" s="349">
        <v>4.6100000000000003</v>
      </c>
      <c r="AQ73" s="349">
        <v>4.6100000000000003</v>
      </c>
      <c r="AR73" s="349">
        <v>4.5999999999999996</v>
      </c>
      <c r="AS73" s="349">
        <v>4.5999999999999996</v>
      </c>
      <c r="AT73" s="349">
        <v>4.59</v>
      </c>
      <c r="AU73" s="349">
        <v>4.59</v>
      </c>
      <c r="AV73" s="349">
        <v>4.58</v>
      </c>
      <c r="AW73" s="349">
        <v>4.58</v>
      </c>
      <c r="AX73" s="349">
        <v>4.58</v>
      </c>
      <c r="AY73" s="349">
        <v>4.57</v>
      </c>
      <c r="AZ73" s="150">
        <v>1.7500000000000002E-2</v>
      </c>
      <c r="BA73" s="104">
        <f t="shared" si="0"/>
        <v>1.7500000000000002</v>
      </c>
      <c r="BD73" s="678">
        <v>43831</v>
      </c>
      <c r="BE73">
        <v>40505</v>
      </c>
      <c r="BF73">
        <v>50549</v>
      </c>
      <c r="BG73">
        <v>33563</v>
      </c>
      <c r="BH73">
        <v>34274</v>
      </c>
    </row>
    <row r="74" spans="1:60">
      <c r="A74" s="107">
        <v>41790</v>
      </c>
      <c r="B74" s="349">
        <v>3.15</v>
      </c>
      <c r="C74" s="349">
        <v>3.24</v>
      </c>
      <c r="D74" s="349">
        <v>3.41</v>
      </c>
      <c r="E74" s="349">
        <v>3.59</v>
      </c>
      <c r="F74" s="349">
        <v>3.77</v>
      </c>
      <c r="G74" s="349">
        <v>3.93</v>
      </c>
      <c r="H74" s="349">
        <v>4.08</v>
      </c>
      <c r="I74" s="349">
        <v>4.21</v>
      </c>
      <c r="J74" s="349">
        <v>4.33</v>
      </c>
      <c r="K74" s="349">
        <v>4.43</v>
      </c>
      <c r="L74" s="349">
        <v>4.53</v>
      </c>
      <c r="M74" s="349">
        <v>4.6100000000000003</v>
      </c>
      <c r="N74" s="349">
        <v>4.68</v>
      </c>
      <c r="O74" s="349">
        <v>4.74</v>
      </c>
      <c r="P74" s="2303">
        <v>4.79</v>
      </c>
      <c r="Q74" s="349">
        <v>4.8099999999999996</v>
      </c>
      <c r="R74" s="349">
        <v>4.83</v>
      </c>
      <c r="S74" s="349">
        <v>4.84</v>
      </c>
      <c r="T74" s="349">
        <v>4.8600000000000003</v>
      </c>
      <c r="U74" s="349">
        <v>4.87</v>
      </c>
      <c r="V74" s="349">
        <v>4.8600000000000003</v>
      </c>
      <c r="W74" s="349">
        <v>4.84</v>
      </c>
      <c r="X74" s="349">
        <v>4.83</v>
      </c>
      <c r="Y74" s="349">
        <v>4.82</v>
      </c>
      <c r="Z74" s="349">
        <v>4.8099999999999996</v>
      </c>
      <c r="AA74" s="349">
        <v>4.79</v>
      </c>
      <c r="AB74" s="349">
        <v>4.7699999999999996</v>
      </c>
      <c r="AC74" s="349">
        <v>4.75</v>
      </c>
      <c r="AD74" s="349">
        <v>4.7300000000000004</v>
      </c>
      <c r="AE74" s="349">
        <v>4.72</v>
      </c>
      <c r="AF74" s="349">
        <v>4.7</v>
      </c>
      <c r="AG74" s="349">
        <v>4.6900000000000004</v>
      </c>
      <c r="AH74" s="349">
        <v>4.67</v>
      </c>
      <c r="AI74" s="349">
        <v>4.66</v>
      </c>
      <c r="AJ74" s="349">
        <v>4.6500000000000004</v>
      </c>
      <c r="AK74" s="349">
        <v>4.6399999999999997</v>
      </c>
      <c r="AL74" s="349">
        <v>4.63</v>
      </c>
      <c r="AM74" s="349">
        <v>4.62</v>
      </c>
      <c r="AN74" s="349">
        <v>4.6100000000000003</v>
      </c>
      <c r="AO74" s="349">
        <v>4.5999999999999996</v>
      </c>
      <c r="AP74" s="349">
        <v>4.59</v>
      </c>
      <c r="AQ74" s="349">
        <v>4.59</v>
      </c>
      <c r="AR74" s="349">
        <v>4.58</v>
      </c>
      <c r="AS74" s="349">
        <v>4.58</v>
      </c>
      <c r="AT74" s="349">
        <v>4.57</v>
      </c>
      <c r="AU74" s="349">
        <v>4.57</v>
      </c>
      <c r="AV74" s="349">
        <v>4.57</v>
      </c>
      <c r="AW74" s="349">
        <v>4.5599999999999996</v>
      </c>
      <c r="AX74" s="349">
        <v>4.5599999999999996</v>
      </c>
      <c r="AY74" s="349">
        <v>4.5599999999999996</v>
      </c>
      <c r="AZ74" s="150">
        <v>1.7500000000000002E-2</v>
      </c>
      <c r="BA74" s="104">
        <f t="shared" ref="BA74:BA81" si="1">+AZ74*100</f>
        <v>1.7500000000000002</v>
      </c>
      <c r="BD74" s="678">
        <v>44197</v>
      </c>
      <c r="BE74">
        <v>44887</v>
      </c>
      <c r="BF74">
        <v>63138</v>
      </c>
      <c r="BG74">
        <v>37493</v>
      </c>
      <c r="BH74">
        <v>43534</v>
      </c>
    </row>
    <row r="75" spans="1:60">
      <c r="A75" s="107">
        <v>41820</v>
      </c>
      <c r="B75" s="349">
        <v>3.1</v>
      </c>
      <c r="C75" s="349">
        <v>3.2</v>
      </c>
      <c r="D75" s="349">
        <v>3.37</v>
      </c>
      <c r="E75" s="349">
        <v>3.55</v>
      </c>
      <c r="F75" s="349">
        <v>3.73</v>
      </c>
      <c r="G75" s="349">
        <v>3.89</v>
      </c>
      <c r="H75" s="349">
        <v>4.04</v>
      </c>
      <c r="I75" s="349">
        <v>4.17</v>
      </c>
      <c r="J75" s="349">
        <v>4.29</v>
      </c>
      <c r="K75" s="349">
        <v>4.4000000000000004</v>
      </c>
      <c r="L75" s="349">
        <v>4.5</v>
      </c>
      <c r="M75" s="349">
        <v>4.58</v>
      </c>
      <c r="N75" s="349">
        <v>4.6500000000000004</v>
      </c>
      <c r="O75" s="349">
        <v>4.71</v>
      </c>
      <c r="P75" s="2303">
        <v>4.76</v>
      </c>
      <c r="Q75" s="349">
        <v>4.78</v>
      </c>
      <c r="R75" s="349">
        <v>4.8</v>
      </c>
      <c r="S75" s="349">
        <v>4.82</v>
      </c>
      <c r="T75" s="349">
        <v>4.83</v>
      </c>
      <c r="U75" s="349">
        <v>4.84</v>
      </c>
      <c r="V75" s="349">
        <v>4.83</v>
      </c>
      <c r="W75" s="349">
        <v>4.82</v>
      </c>
      <c r="X75" s="349">
        <v>4.8099999999999996</v>
      </c>
      <c r="Y75" s="349">
        <v>4.8</v>
      </c>
      <c r="Z75" s="349">
        <v>4.79</v>
      </c>
      <c r="AA75" s="349">
        <v>4.76</v>
      </c>
      <c r="AB75" s="349">
        <v>4.74</v>
      </c>
      <c r="AC75" s="349">
        <v>4.7300000000000004</v>
      </c>
      <c r="AD75" s="349">
        <v>4.71</v>
      </c>
      <c r="AE75" s="349">
        <v>4.6900000000000004</v>
      </c>
      <c r="AF75" s="349">
        <v>4.68</v>
      </c>
      <c r="AG75" s="349">
        <v>4.66</v>
      </c>
      <c r="AH75" s="349">
        <v>4.6500000000000004</v>
      </c>
      <c r="AI75" s="349">
        <v>4.6399999999999997</v>
      </c>
      <c r="AJ75" s="349">
        <v>4.62</v>
      </c>
      <c r="AK75" s="349">
        <v>4.6100000000000003</v>
      </c>
      <c r="AL75" s="349">
        <v>4.5999999999999996</v>
      </c>
      <c r="AM75" s="349">
        <v>4.59</v>
      </c>
      <c r="AN75" s="349">
        <v>4.58</v>
      </c>
      <c r="AO75" s="349">
        <v>4.57</v>
      </c>
      <c r="AP75" s="349">
        <v>4.57</v>
      </c>
      <c r="AQ75" s="349">
        <v>4.5599999999999996</v>
      </c>
      <c r="AR75" s="349">
        <v>4.5599999999999996</v>
      </c>
      <c r="AS75" s="349">
        <v>4.5599999999999996</v>
      </c>
      <c r="AT75" s="349">
        <v>4.55</v>
      </c>
      <c r="AU75" s="349">
        <v>4.55</v>
      </c>
      <c r="AV75" s="349">
        <v>4.54</v>
      </c>
      <c r="AW75" s="349">
        <v>4.54</v>
      </c>
      <c r="AX75" s="349">
        <v>4.54</v>
      </c>
      <c r="AY75" s="349">
        <v>4.53</v>
      </c>
      <c r="AZ75" s="150">
        <v>1.7500000000000002E-2</v>
      </c>
      <c r="BA75" s="104">
        <f t="shared" si="1"/>
        <v>1.7500000000000002</v>
      </c>
      <c r="BD75" s="678">
        <v>44562</v>
      </c>
      <c r="BE75">
        <v>48262</v>
      </c>
      <c r="BF75">
        <v>78353</v>
      </c>
      <c r="BG75">
        <v>42159</v>
      </c>
      <c r="BH75">
        <v>59272</v>
      </c>
    </row>
    <row r="76" spans="1:60">
      <c r="A76" s="107">
        <v>41851</v>
      </c>
      <c r="B76" s="349">
        <v>3.06</v>
      </c>
      <c r="C76" s="349">
        <v>3.15</v>
      </c>
      <c r="D76" s="349">
        <v>3.32</v>
      </c>
      <c r="E76" s="349">
        <v>3.51</v>
      </c>
      <c r="F76" s="349">
        <v>3.69</v>
      </c>
      <c r="G76" s="349">
        <v>3.85</v>
      </c>
      <c r="H76" s="349">
        <v>4</v>
      </c>
      <c r="I76" s="349">
        <v>4.1399999999999997</v>
      </c>
      <c r="J76" s="349">
        <v>4.26</v>
      </c>
      <c r="K76" s="349">
        <v>4.3600000000000003</v>
      </c>
      <c r="L76" s="349">
        <v>4.46</v>
      </c>
      <c r="M76" s="349">
        <v>4.55</v>
      </c>
      <c r="N76" s="349">
        <v>4.62</v>
      </c>
      <c r="O76" s="349">
        <v>4.68</v>
      </c>
      <c r="P76" s="2303">
        <v>4.7300000000000004</v>
      </c>
      <c r="Q76" s="349">
        <v>4.75</v>
      </c>
      <c r="R76" s="349">
        <v>4.7699999999999996</v>
      </c>
      <c r="S76" s="349">
        <v>4.79</v>
      </c>
      <c r="T76" s="349">
        <v>4.8</v>
      </c>
      <c r="U76" s="349">
        <v>4.82</v>
      </c>
      <c r="V76" s="349">
        <v>4.8</v>
      </c>
      <c r="W76" s="349">
        <v>4.79</v>
      </c>
      <c r="X76" s="349">
        <v>4.78</v>
      </c>
      <c r="Y76" s="349">
        <v>4.7699999999999996</v>
      </c>
      <c r="Z76" s="349">
        <v>4.76</v>
      </c>
      <c r="AA76" s="349">
        <v>4.74</v>
      </c>
      <c r="AB76" s="349">
        <v>4.72</v>
      </c>
      <c r="AC76" s="349">
        <v>4.7</v>
      </c>
      <c r="AD76" s="349">
        <v>4.68</v>
      </c>
      <c r="AE76" s="349">
        <v>4.67</v>
      </c>
      <c r="AF76" s="349">
        <v>4.6500000000000004</v>
      </c>
      <c r="AG76" s="349">
        <v>4.6399999999999997</v>
      </c>
      <c r="AH76" s="349">
        <v>4.62</v>
      </c>
      <c r="AI76" s="349">
        <v>4.6100000000000003</v>
      </c>
      <c r="AJ76" s="349">
        <v>4.5999999999999996</v>
      </c>
      <c r="AK76" s="349">
        <v>4.59</v>
      </c>
      <c r="AL76" s="349">
        <v>4.58</v>
      </c>
      <c r="AM76" s="349">
        <v>4.57</v>
      </c>
      <c r="AN76" s="349">
        <v>4.5599999999999996</v>
      </c>
      <c r="AO76" s="349">
        <v>4.55</v>
      </c>
      <c r="AP76" s="349">
        <v>4.54</v>
      </c>
      <c r="AQ76" s="349">
        <v>4.54</v>
      </c>
      <c r="AR76" s="349">
        <v>4.54</v>
      </c>
      <c r="AS76" s="349">
        <v>4.53</v>
      </c>
      <c r="AT76" s="349">
        <v>4.53</v>
      </c>
      <c r="AU76" s="349">
        <v>4.5199999999999996</v>
      </c>
      <c r="AV76" s="349">
        <v>4.5199999999999996</v>
      </c>
      <c r="AW76" s="349">
        <v>4.5199999999999996</v>
      </c>
      <c r="AX76" s="349">
        <v>4.51</v>
      </c>
      <c r="AY76" s="349">
        <v>4.51</v>
      </c>
      <c r="AZ76" s="150">
        <v>1.7500000000000002E-2</v>
      </c>
      <c r="BA76" s="104">
        <f t="shared" si="1"/>
        <v>1.7500000000000002</v>
      </c>
    </row>
    <row r="77" spans="1:60">
      <c r="A77" s="107">
        <v>41882</v>
      </c>
      <c r="B77" s="349">
        <v>3.01</v>
      </c>
      <c r="C77" s="349">
        <v>3.11</v>
      </c>
      <c r="D77" s="349">
        <v>3.28</v>
      </c>
      <c r="E77" s="349">
        <v>3.46</v>
      </c>
      <c r="F77" s="349">
        <v>3.64</v>
      </c>
      <c r="G77" s="349">
        <v>3.81</v>
      </c>
      <c r="H77" s="349">
        <v>3.96</v>
      </c>
      <c r="I77" s="349">
        <v>4.0999999999999996</v>
      </c>
      <c r="J77" s="349">
        <v>4.22</v>
      </c>
      <c r="K77" s="349">
        <v>4.32</v>
      </c>
      <c r="L77" s="349">
        <v>4.42</v>
      </c>
      <c r="M77" s="349">
        <v>4.51</v>
      </c>
      <c r="N77" s="349">
        <v>4.58</v>
      </c>
      <c r="O77" s="349">
        <v>4.6399999999999997</v>
      </c>
      <c r="P77" s="2303">
        <v>4.7</v>
      </c>
      <c r="Q77" s="349">
        <v>4.72</v>
      </c>
      <c r="R77" s="349">
        <v>4.74</v>
      </c>
      <c r="S77" s="349">
        <v>4.75</v>
      </c>
      <c r="T77" s="349">
        <v>4.7699999999999996</v>
      </c>
      <c r="U77" s="349">
        <v>4.78</v>
      </c>
      <c r="V77" s="349">
        <v>4.7699999999999996</v>
      </c>
      <c r="W77" s="349">
        <v>4.76</v>
      </c>
      <c r="X77" s="349">
        <v>4.75</v>
      </c>
      <c r="Y77" s="349">
        <v>4.74</v>
      </c>
      <c r="Z77" s="349">
        <v>4.7300000000000004</v>
      </c>
      <c r="AA77" s="349">
        <v>4.7</v>
      </c>
      <c r="AB77" s="349">
        <v>4.6900000000000004</v>
      </c>
      <c r="AC77" s="349">
        <v>4.67</v>
      </c>
      <c r="AD77" s="349">
        <v>4.6500000000000004</v>
      </c>
      <c r="AE77" s="349">
        <v>4.63</v>
      </c>
      <c r="AF77" s="349">
        <v>4.62</v>
      </c>
      <c r="AG77" s="349">
        <v>4.6100000000000003</v>
      </c>
      <c r="AH77" s="349">
        <v>4.59</v>
      </c>
      <c r="AI77" s="349">
        <v>4.58</v>
      </c>
      <c r="AJ77" s="349">
        <v>4.57</v>
      </c>
      <c r="AK77" s="349">
        <v>4.5599999999999996</v>
      </c>
      <c r="AL77" s="349">
        <v>4.55</v>
      </c>
      <c r="AM77" s="349">
        <v>4.54</v>
      </c>
      <c r="AN77" s="349">
        <v>4.53</v>
      </c>
      <c r="AO77" s="349">
        <v>4.5199999999999996</v>
      </c>
      <c r="AP77" s="349">
        <v>4.51</v>
      </c>
      <c r="AQ77" s="349">
        <v>4.51</v>
      </c>
      <c r="AR77" s="349">
        <v>4.51</v>
      </c>
      <c r="AS77" s="349">
        <v>4.5</v>
      </c>
      <c r="AT77" s="349">
        <v>4.5</v>
      </c>
      <c r="AU77" s="349">
        <v>4.49</v>
      </c>
      <c r="AV77" s="349">
        <v>4.49</v>
      </c>
      <c r="AW77" s="349">
        <v>4.49</v>
      </c>
      <c r="AX77" s="349">
        <v>4.49</v>
      </c>
      <c r="AY77" s="349">
        <v>4.4800000000000004</v>
      </c>
      <c r="AZ77" s="150">
        <v>1.7500000000000002E-2</v>
      </c>
      <c r="BA77" s="104">
        <f t="shared" si="1"/>
        <v>1.7500000000000002</v>
      </c>
    </row>
    <row r="78" spans="1:60">
      <c r="A78" s="107">
        <v>41912</v>
      </c>
      <c r="B78" s="349">
        <v>2.96</v>
      </c>
      <c r="C78" s="349">
        <v>3.06</v>
      </c>
      <c r="D78" s="349">
        <v>3.23</v>
      </c>
      <c r="E78" s="349">
        <v>3.41</v>
      </c>
      <c r="F78" s="349">
        <v>3.59</v>
      </c>
      <c r="G78" s="349">
        <v>3.77</v>
      </c>
      <c r="H78" s="349">
        <v>3.92</v>
      </c>
      <c r="I78" s="349">
        <v>4.05</v>
      </c>
      <c r="J78" s="349">
        <v>4.17</v>
      </c>
      <c r="K78" s="349">
        <v>4.28</v>
      </c>
      <c r="L78" s="349">
        <v>4.3899999999999997</v>
      </c>
      <c r="M78" s="349">
        <v>4.47</v>
      </c>
      <c r="N78" s="349">
        <v>4.54</v>
      </c>
      <c r="O78" s="349">
        <v>4.6100000000000003</v>
      </c>
      <c r="P78" s="2303">
        <v>4.66</v>
      </c>
      <c r="Q78" s="349">
        <v>4.68</v>
      </c>
      <c r="R78" s="349">
        <v>4.7</v>
      </c>
      <c r="S78" s="349">
        <v>4.72</v>
      </c>
      <c r="T78" s="349">
        <v>4.7300000000000004</v>
      </c>
      <c r="U78" s="349">
        <v>4.75</v>
      </c>
      <c r="V78" s="349">
        <v>4.7300000000000004</v>
      </c>
      <c r="W78" s="349">
        <v>4.72</v>
      </c>
      <c r="X78" s="349">
        <v>4.71</v>
      </c>
      <c r="Y78" s="349">
        <v>4.7</v>
      </c>
      <c r="Z78" s="349">
        <v>4.6900000000000004</v>
      </c>
      <c r="AA78" s="349">
        <v>4.67</v>
      </c>
      <c r="AB78" s="349">
        <v>4.6500000000000004</v>
      </c>
      <c r="AC78" s="349">
        <v>4.63</v>
      </c>
      <c r="AD78" s="349">
        <v>4.62</v>
      </c>
      <c r="AE78" s="349">
        <v>4.5999999999999996</v>
      </c>
      <c r="AF78" s="349">
        <v>4.59</v>
      </c>
      <c r="AG78" s="349">
        <v>4.57</v>
      </c>
      <c r="AH78" s="349">
        <v>4.5599999999999996</v>
      </c>
      <c r="AI78" s="349">
        <v>4.55</v>
      </c>
      <c r="AJ78" s="349">
        <v>4.54</v>
      </c>
      <c r="AK78" s="349">
        <v>4.53</v>
      </c>
      <c r="AL78" s="349">
        <v>4.5199999999999996</v>
      </c>
      <c r="AM78" s="349">
        <v>4.51</v>
      </c>
      <c r="AN78" s="349">
        <v>4.5</v>
      </c>
      <c r="AO78" s="349">
        <v>4.49</v>
      </c>
      <c r="AP78" s="349">
        <v>4.4800000000000004</v>
      </c>
      <c r="AQ78" s="349">
        <v>4.4800000000000004</v>
      </c>
      <c r="AR78" s="349">
        <v>4.4800000000000004</v>
      </c>
      <c r="AS78" s="349">
        <v>4.47</v>
      </c>
      <c r="AT78" s="349">
        <v>4.47</v>
      </c>
      <c r="AU78" s="349">
        <v>4.47</v>
      </c>
      <c r="AV78" s="349">
        <v>4.46</v>
      </c>
      <c r="AW78" s="349">
        <v>4.46</v>
      </c>
      <c r="AX78" s="349">
        <v>4.46</v>
      </c>
      <c r="AY78" s="349">
        <v>4.45</v>
      </c>
      <c r="AZ78" s="150">
        <v>1.7500000000000002E-2</v>
      </c>
      <c r="BA78" s="104">
        <f t="shared" si="1"/>
        <v>1.7500000000000002</v>
      </c>
    </row>
    <row r="79" spans="1:60">
      <c r="A79" s="107">
        <v>41943</v>
      </c>
      <c r="B79" s="349">
        <v>2.91</v>
      </c>
      <c r="C79" s="349">
        <v>3.01</v>
      </c>
      <c r="D79" s="349">
        <v>3.18</v>
      </c>
      <c r="E79" s="349">
        <v>3.37</v>
      </c>
      <c r="F79" s="349">
        <v>3.55</v>
      </c>
      <c r="G79" s="349">
        <v>3.72</v>
      </c>
      <c r="H79" s="349">
        <v>3.87</v>
      </c>
      <c r="I79" s="349">
        <v>4.01</v>
      </c>
      <c r="J79" s="349">
        <v>4.13</v>
      </c>
      <c r="K79" s="349">
        <v>4.24</v>
      </c>
      <c r="L79" s="349">
        <v>4.3499999999999996</v>
      </c>
      <c r="M79" s="349">
        <v>4.43</v>
      </c>
      <c r="N79" s="349">
        <v>4.51</v>
      </c>
      <c r="O79" s="349">
        <v>4.57</v>
      </c>
      <c r="P79" s="2303">
        <v>4.62</v>
      </c>
      <c r="Q79" s="349">
        <v>4.6500000000000004</v>
      </c>
      <c r="R79" s="349">
        <v>4.67</v>
      </c>
      <c r="S79" s="349">
        <v>4.68</v>
      </c>
      <c r="T79" s="349">
        <v>4.7</v>
      </c>
      <c r="U79" s="349">
        <v>4.71</v>
      </c>
      <c r="V79" s="349">
        <v>4.7</v>
      </c>
      <c r="W79" s="349">
        <v>4.6900000000000004</v>
      </c>
      <c r="X79" s="349">
        <v>4.68</v>
      </c>
      <c r="Y79" s="349">
        <v>4.67</v>
      </c>
      <c r="Z79" s="349">
        <v>4.66</v>
      </c>
      <c r="AA79" s="349">
        <v>4.6399999999999997</v>
      </c>
      <c r="AB79" s="349">
        <v>4.62</v>
      </c>
      <c r="AC79" s="349">
        <v>4.5999999999999996</v>
      </c>
      <c r="AD79" s="349">
        <v>4.59</v>
      </c>
      <c r="AE79" s="349">
        <v>4.57</v>
      </c>
      <c r="AF79" s="349">
        <v>4.5599999999999996</v>
      </c>
      <c r="AG79" s="349">
        <v>4.54</v>
      </c>
      <c r="AH79" s="349">
        <v>4.53</v>
      </c>
      <c r="AI79" s="349">
        <v>4.5199999999999996</v>
      </c>
      <c r="AJ79" s="349">
        <v>4.51</v>
      </c>
      <c r="AK79" s="349">
        <v>4.49</v>
      </c>
      <c r="AL79" s="349">
        <v>4.4800000000000004</v>
      </c>
      <c r="AM79" s="349">
        <v>4.4800000000000004</v>
      </c>
      <c r="AN79" s="349">
        <v>4.47</v>
      </c>
      <c r="AO79" s="349">
        <v>4.46</v>
      </c>
      <c r="AP79" s="349">
        <v>4.45</v>
      </c>
      <c r="AQ79" s="349">
        <v>4.45</v>
      </c>
      <c r="AR79" s="349">
        <v>4.45</v>
      </c>
      <c r="AS79" s="349">
        <v>4.4400000000000004</v>
      </c>
      <c r="AT79" s="349">
        <v>4.4400000000000004</v>
      </c>
      <c r="AU79" s="349">
        <v>4.4400000000000004</v>
      </c>
      <c r="AV79" s="349">
        <v>4.43</v>
      </c>
      <c r="AW79" s="349">
        <v>4.43</v>
      </c>
      <c r="AX79" s="349">
        <v>4.43</v>
      </c>
      <c r="AY79" s="349">
        <v>4.42</v>
      </c>
      <c r="AZ79" s="150">
        <v>1.7500000000000002E-2</v>
      </c>
      <c r="BA79" s="104">
        <f t="shared" si="1"/>
        <v>1.7500000000000002</v>
      </c>
    </row>
    <row r="80" spans="1:60">
      <c r="A80" s="107">
        <v>41973</v>
      </c>
      <c r="B80" s="349">
        <v>2.85</v>
      </c>
      <c r="C80" s="349">
        <v>2.96</v>
      </c>
      <c r="D80" s="349">
        <v>3.13</v>
      </c>
      <c r="E80" s="349">
        <v>3.32</v>
      </c>
      <c r="F80" s="349">
        <v>3.5</v>
      </c>
      <c r="G80" s="349">
        <v>3.67</v>
      </c>
      <c r="H80" s="349">
        <v>3.83</v>
      </c>
      <c r="I80" s="349">
        <v>3.96</v>
      </c>
      <c r="J80" s="349">
        <v>4.09</v>
      </c>
      <c r="K80" s="349">
        <v>4.2</v>
      </c>
      <c r="L80" s="349">
        <v>4.3</v>
      </c>
      <c r="M80" s="349">
        <v>4.3899999999999997</v>
      </c>
      <c r="N80" s="349">
        <v>4.46</v>
      </c>
      <c r="O80" s="349">
        <v>4.5199999999999996</v>
      </c>
      <c r="P80" s="2303">
        <v>4.58</v>
      </c>
      <c r="Q80" s="349">
        <v>4.5999999999999996</v>
      </c>
      <c r="R80" s="349">
        <v>4.62</v>
      </c>
      <c r="S80" s="349">
        <v>4.6399999999999997</v>
      </c>
      <c r="T80" s="349">
        <v>4.66</v>
      </c>
      <c r="U80" s="349">
        <v>4.67</v>
      </c>
      <c r="V80" s="349">
        <v>4.66</v>
      </c>
      <c r="W80" s="349">
        <v>4.6500000000000004</v>
      </c>
      <c r="X80" s="349">
        <v>4.6399999999999997</v>
      </c>
      <c r="Y80" s="349">
        <v>4.63</v>
      </c>
      <c r="Z80" s="349">
        <v>4.62</v>
      </c>
      <c r="AA80" s="349">
        <v>4.5999999999999996</v>
      </c>
      <c r="AB80" s="349">
        <v>4.58</v>
      </c>
      <c r="AC80" s="349">
        <v>4.5599999999999996</v>
      </c>
      <c r="AD80" s="349">
        <v>4.55</v>
      </c>
      <c r="AE80" s="349">
        <v>4.53</v>
      </c>
      <c r="AF80" s="349">
        <v>4.5199999999999996</v>
      </c>
      <c r="AG80" s="349">
        <v>4.5</v>
      </c>
      <c r="AH80" s="349">
        <v>4.49</v>
      </c>
      <c r="AI80" s="349">
        <v>4.4800000000000004</v>
      </c>
      <c r="AJ80" s="349">
        <v>4.47</v>
      </c>
      <c r="AK80" s="349">
        <v>4.46</v>
      </c>
      <c r="AL80" s="349">
        <v>4.45</v>
      </c>
      <c r="AM80" s="349">
        <v>4.4400000000000004</v>
      </c>
      <c r="AN80" s="349">
        <v>4.43</v>
      </c>
      <c r="AO80" s="349">
        <v>4.42</v>
      </c>
      <c r="AP80" s="349">
        <v>4.42</v>
      </c>
      <c r="AQ80" s="349">
        <v>4.41</v>
      </c>
      <c r="AR80" s="349">
        <v>4.41</v>
      </c>
      <c r="AS80" s="349">
        <v>4.4000000000000004</v>
      </c>
      <c r="AT80" s="349">
        <v>4.4000000000000004</v>
      </c>
      <c r="AU80" s="349">
        <v>4.4000000000000004</v>
      </c>
      <c r="AV80" s="349">
        <v>4.4000000000000004</v>
      </c>
      <c r="AW80" s="349">
        <v>4.3899999999999997</v>
      </c>
      <c r="AX80" s="349">
        <v>4.3899999999999997</v>
      </c>
      <c r="AY80" s="349">
        <v>4.3899999999999997</v>
      </c>
      <c r="AZ80" s="150">
        <v>1.7500000000000002E-2</v>
      </c>
      <c r="BA80" s="104">
        <f t="shared" si="1"/>
        <v>1.7500000000000002</v>
      </c>
      <c r="BD80" s="2328" t="s">
        <v>192</v>
      </c>
      <c r="BE80" s="2328"/>
      <c r="BF80" s="2328" t="s">
        <v>193</v>
      </c>
      <c r="BG80" s="2328"/>
    </row>
    <row r="81" spans="1:60">
      <c r="A81" s="107">
        <v>42004</v>
      </c>
      <c r="B81" s="349">
        <v>2.8</v>
      </c>
      <c r="C81" s="349">
        <v>2.9</v>
      </c>
      <c r="D81" s="349">
        <v>3.07</v>
      </c>
      <c r="E81" s="349">
        <v>3.26</v>
      </c>
      <c r="F81" s="349">
        <v>3.45</v>
      </c>
      <c r="G81" s="349">
        <v>3.62</v>
      </c>
      <c r="H81" s="349">
        <v>3.78</v>
      </c>
      <c r="I81" s="349">
        <v>3.91</v>
      </c>
      <c r="J81" s="349">
        <v>4.04</v>
      </c>
      <c r="K81" s="349">
        <v>4.1500000000000004</v>
      </c>
      <c r="L81" s="349">
        <v>4.25</v>
      </c>
      <c r="M81" s="349">
        <v>4.34</v>
      </c>
      <c r="N81" s="349">
        <v>4.41</v>
      </c>
      <c r="O81" s="349">
        <v>4.4800000000000004</v>
      </c>
      <c r="P81" s="2303">
        <v>4.53</v>
      </c>
      <c r="Q81" s="349">
        <v>4.5599999999999996</v>
      </c>
      <c r="R81" s="349">
        <v>4.58</v>
      </c>
      <c r="S81" s="349">
        <v>4.5999999999999996</v>
      </c>
      <c r="T81" s="349">
        <v>4.6100000000000003</v>
      </c>
      <c r="U81" s="349">
        <v>4.63</v>
      </c>
      <c r="V81" s="349">
        <v>4.6100000000000003</v>
      </c>
      <c r="W81" s="349">
        <v>4.5999999999999996</v>
      </c>
      <c r="X81" s="349">
        <v>4.59</v>
      </c>
      <c r="Y81" s="349">
        <v>4.58</v>
      </c>
      <c r="Z81" s="349">
        <v>4.58</v>
      </c>
      <c r="AA81" s="349">
        <v>4.5599999999999996</v>
      </c>
      <c r="AB81" s="349">
        <v>4.54</v>
      </c>
      <c r="AC81" s="349">
        <v>4.5199999999999996</v>
      </c>
      <c r="AD81" s="349">
        <v>4.5</v>
      </c>
      <c r="AE81" s="349">
        <v>4.49</v>
      </c>
      <c r="AF81" s="349">
        <v>4.47</v>
      </c>
      <c r="AG81" s="349">
        <v>4.46</v>
      </c>
      <c r="AH81" s="349">
        <v>4.45</v>
      </c>
      <c r="AI81" s="349">
        <v>4.4400000000000004</v>
      </c>
      <c r="AJ81" s="349">
        <v>4.43</v>
      </c>
      <c r="AK81" s="349">
        <v>4.42</v>
      </c>
      <c r="AL81" s="349">
        <v>4.41</v>
      </c>
      <c r="AM81" s="349">
        <v>4.4000000000000004</v>
      </c>
      <c r="AN81" s="349">
        <v>4.3899999999999997</v>
      </c>
      <c r="AO81" s="349">
        <v>4.38</v>
      </c>
      <c r="AP81" s="349">
        <v>4.38</v>
      </c>
      <c r="AQ81" s="349">
        <v>4.37</v>
      </c>
      <c r="AR81" s="349">
        <v>4.37</v>
      </c>
      <c r="AS81" s="349">
        <v>4.37</v>
      </c>
      <c r="AT81" s="349">
        <v>4.3600000000000003</v>
      </c>
      <c r="AU81" s="349">
        <v>4.3600000000000003</v>
      </c>
      <c r="AV81" s="349">
        <v>4.3600000000000003</v>
      </c>
      <c r="AW81" s="349">
        <v>4.3499999999999996</v>
      </c>
      <c r="AX81" s="349">
        <v>4.3499999999999996</v>
      </c>
      <c r="AY81" s="349">
        <v>4.3499999999999996</v>
      </c>
      <c r="AZ81" s="150">
        <v>1.7500000000000002E-2</v>
      </c>
      <c r="BA81" s="104">
        <f t="shared" si="1"/>
        <v>1.7500000000000002</v>
      </c>
      <c r="BD81" s="4" t="s">
        <v>839</v>
      </c>
      <c r="BE81" s="4" t="s">
        <v>126</v>
      </c>
      <c r="BF81" s="4" t="s">
        <v>839</v>
      </c>
      <c r="BG81" s="4" t="s">
        <v>126</v>
      </c>
    </row>
    <row r="82" spans="1:60">
      <c r="A82" s="107">
        <v>42035</v>
      </c>
      <c r="B82" s="349">
        <v>2.74</v>
      </c>
      <c r="C82" s="349">
        <v>2.85</v>
      </c>
      <c r="D82" s="349">
        <v>3.02</v>
      </c>
      <c r="E82" s="349">
        <v>3.21</v>
      </c>
      <c r="F82" s="349">
        <v>3.4</v>
      </c>
      <c r="G82" s="349">
        <v>3.57</v>
      </c>
      <c r="H82" s="349">
        <v>3.72</v>
      </c>
      <c r="I82" s="349">
        <v>3.86</v>
      </c>
      <c r="J82" s="349">
        <v>3.99</v>
      </c>
      <c r="K82" s="349">
        <v>4.0999999999999996</v>
      </c>
      <c r="L82" s="349">
        <v>4.2</v>
      </c>
      <c r="M82" s="349">
        <v>4.29</v>
      </c>
      <c r="N82" s="349">
        <v>4.3600000000000003</v>
      </c>
      <c r="O82" s="349">
        <v>4.43</v>
      </c>
      <c r="P82" s="2303">
        <v>4.4800000000000004</v>
      </c>
      <c r="Q82" s="349">
        <v>4.5</v>
      </c>
      <c r="R82" s="349">
        <v>4.53</v>
      </c>
      <c r="S82" s="349">
        <v>4.54</v>
      </c>
      <c r="T82" s="349">
        <v>4.5599999999999996</v>
      </c>
      <c r="U82" s="349">
        <v>4.58</v>
      </c>
      <c r="V82" s="349">
        <v>4.5599999999999996</v>
      </c>
      <c r="W82" s="349">
        <v>4.55</v>
      </c>
      <c r="X82" s="349">
        <v>4.54</v>
      </c>
      <c r="Y82" s="349">
        <v>4.53</v>
      </c>
      <c r="Z82" s="349">
        <v>4.5199999999999996</v>
      </c>
      <c r="AA82" s="349">
        <v>4.5</v>
      </c>
      <c r="AB82" s="349">
        <v>4.49</v>
      </c>
      <c r="AC82" s="349">
        <v>4.47</v>
      </c>
      <c r="AD82" s="349">
        <v>4.45</v>
      </c>
      <c r="AE82" s="349">
        <v>4.4400000000000004</v>
      </c>
      <c r="AF82" s="349">
        <v>4.42</v>
      </c>
      <c r="AG82" s="349">
        <v>4.41</v>
      </c>
      <c r="AH82" s="349">
        <v>4.4000000000000004</v>
      </c>
      <c r="AI82" s="349">
        <v>4.3899999999999997</v>
      </c>
      <c r="AJ82" s="349">
        <v>4.38</v>
      </c>
      <c r="AK82" s="349">
        <v>4.37</v>
      </c>
      <c r="AL82" s="349">
        <v>4.3600000000000003</v>
      </c>
      <c r="AM82" s="349">
        <v>4.3499999999999996</v>
      </c>
      <c r="AN82" s="349">
        <v>4.34</v>
      </c>
      <c r="AO82" s="349">
        <v>4.33</v>
      </c>
      <c r="AP82" s="349">
        <v>4.33</v>
      </c>
      <c r="AQ82" s="349">
        <v>4.32</v>
      </c>
      <c r="AR82" s="349">
        <v>4.32</v>
      </c>
      <c r="AS82" s="349">
        <v>4.32</v>
      </c>
      <c r="AT82" s="349">
        <v>4.3099999999999996</v>
      </c>
      <c r="AU82" s="349">
        <v>4.3099999999999996</v>
      </c>
      <c r="AV82" s="349">
        <v>4.3099999999999996</v>
      </c>
      <c r="AW82" s="349">
        <v>4.3099999999999996</v>
      </c>
      <c r="AX82" s="349">
        <v>4.3</v>
      </c>
      <c r="AY82" s="349">
        <v>4.3</v>
      </c>
      <c r="AZ82" s="150">
        <v>1.2500000000000001E-2</v>
      </c>
      <c r="BA82" s="104">
        <f t="shared" ref="BA82:BA137" si="2">+AZ82*100</f>
        <v>1.25</v>
      </c>
      <c r="BC82" s="677">
        <v>4.51</v>
      </c>
      <c r="BD82" s="680">
        <v>20818</v>
      </c>
      <c r="BE82" s="680">
        <v>12675</v>
      </c>
      <c r="BF82" s="680">
        <v>16565</v>
      </c>
      <c r="BG82" s="680">
        <v>7890</v>
      </c>
    </row>
    <row r="83" spans="1:60">
      <c r="A83" s="107">
        <v>42063</v>
      </c>
      <c r="B83" s="349">
        <v>2.68</v>
      </c>
      <c r="C83" s="349">
        <v>2.8</v>
      </c>
      <c r="D83" s="349">
        <v>2.97</v>
      </c>
      <c r="E83" s="349">
        <v>3.16</v>
      </c>
      <c r="F83" s="349">
        <v>3.34</v>
      </c>
      <c r="G83" s="349">
        <v>3.52</v>
      </c>
      <c r="H83" s="349">
        <v>3.67</v>
      </c>
      <c r="I83" s="349">
        <v>3.81</v>
      </c>
      <c r="J83" s="349">
        <v>3.93</v>
      </c>
      <c r="K83" s="349">
        <v>4.04</v>
      </c>
      <c r="L83" s="349">
        <v>4.1500000000000004</v>
      </c>
      <c r="M83" s="349">
        <v>4.24</v>
      </c>
      <c r="N83" s="349">
        <v>4.3099999999999996</v>
      </c>
      <c r="O83" s="349">
        <v>4.37</v>
      </c>
      <c r="P83" s="2303">
        <v>4.43</v>
      </c>
      <c r="Q83" s="349">
        <v>4.45</v>
      </c>
      <c r="R83" s="349">
        <v>4.47</v>
      </c>
      <c r="S83" s="349">
        <v>4.49</v>
      </c>
      <c r="T83" s="349">
        <v>4.51</v>
      </c>
      <c r="U83" s="349">
        <v>4.5199999999999996</v>
      </c>
      <c r="V83" s="349">
        <v>4.51</v>
      </c>
      <c r="W83" s="349">
        <v>4.5</v>
      </c>
      <c r="X83" s="349">
        <v>4.49</v>
      </c>
      <c r="Y83" s="349">
        <v>4.4800000000000004</v>
      </c>
      <c r="Z83" s="349">
        <v>4.47</v>
      </c>
      <c r="AA83" s="349">
        <v>4.45</v>
      </c>
      <c r="AB83" s="349">
        <v>4.43</v>
      </c>
      <c r="AC83" s="349">
        <v>4.42</v>
      </c>
      <c r="AD83" s="349">
        <v>4.4000000000000004</v>
      </c>
      <c r="AE83" s="349">
        <v>4.3899999999999997</v>
      </c>
      <c r="AF83" s="349">
        <v>4.37</v>
      </c>
      <c r="AG83" s="349">
        <v>4.3600000000000003</v>
      </c>
      <c r="AH83" s="349">
        <v>4.3499999999999996</v>
      </c>
      <c r="AI83" s="349">
        <v>4.34</v>
      </c>
      <c r="AJ83" s="349">
        <v>4.33</v>
      </c>
      <c r="AK83" s="349">
        <v>4.32</v>
      </c>
      <c r="AL83" s="349">
        <v>4.3099999999999996</v>
      </c>
      <c r="AM83" s="349">
        <v>4.3</v>
      </c>
      <c r="AN83" s="349">
        <v>4.29</v>
      </c>
      <c r="AO83" s="349">
        <v>4.28</v>
      </c>
      <c r="AP83" s="349">
        <v>4.28</v>
      </c>
      <c r="AQ83" s="349">
        <v>4.28</v>
      </c>
      <c r="AR83" s="349">
        <v>4.2699999999999996</v>
      </c>
      <c r="AS83" s="349">
        <v>4.2699999999999996</v>
      </c>
      <c r="AT83" s="349">
        <v>4.2699999999999996</v>
      </c>
      <c r="AU83" s="349">
        <v>4.26</v>
      </c>
      <c r="AV83" s="349">
        <v>4.26</v>
      </c>
      <c r="AW83" s="349">
        <v>4.26</v>
      </c>
      <c r="AX83" s="349">
        <v>4.26</v>
      </c>
      <c r="AY83" s="349">
        <v>4.25</v>
      </c>
      <c r="AZ83" s="150">
        <v>1.2500000000000001E-2</v>
      </c>
      <c r="BA83" s="104">
        <f t="shared" si="2"/>
        <v>1.25</v>
      </c>
      <c r="BC83" s="437">
        <v>4.4800000000000004</v>
      </c>
      <c r="BD83" s="679">
        <f>BD$82+(BD$94-BD$82)/12*$BH83</f>
        <v>21119.583333333332</v>
      </c>
      <c r="BE83" s="679">
        <f t="shared" ref="BE83:BG93" si="3">BE$82+(BE$94-BE$82)/12*$BH83</f>
        <v>13070.083333333334</v>
      </c>
      <c r="BF83" s="679">
        <f t="shared" si="3"/>
        <v>17024.75</v>
      </c>
      <c r="BG83" s="679">
        <f t="shared" si="3"/>
        <v>8409</v>
      </c>
      <c r="BH83" s="679">
        <v>1</v>
      </c>
    </row>
    <row r="84" spans="1:60">
      <c r="A84" s="107">
        <v>42094</v>
      </c>
      <c r="B84" s="349">
        <v>2.62</v>
      </c>
      <c r="C84" s="349">
        <v>2.73</v>
      </c>
      <c r="D84" s="349">
        <v>2.91</v>
      </c>
      <c r="E84" s="349">
        <v>3.1</v>
      </c>
      <c r="F84" s="349">
        <v>3.28</v>
      </c>
      <c r="G84" s="349">
        <v>3.46</v>
      </c>
      <c r="H84" s="349">
        <v>3.61</v>
      </c>
      <c r="I84" s="349">
        <v>3.75</v>
      </c>
      <c r="J84" s="349">
        <v>3.87</v>
      </c>
      <c r="K84" s="349">
        <v>3.99</v>
      </c>
      <c r="L84" s="349">
        <v>4.09</v>
      </c>
      <c r="M84" s="349">
        <v>4.18</v>
      </c>
      <c r="N84" s="349">
        <v>4.25</v>
      </c>
      <c r="O84" s="349">
        <v>4.3099999999999996</v>
      </c>
      <c r="P84" s="2303">
        <v>4.37</v>
      </c>
      <c r="Q84" s="349">
        <v>4.3899999999999997</v>
      </c>
      <c r="R84" s="349">
        <v>4.41</v>
      </c>
      <c r="S84" s="349">
        <v>4.43</v>
      </c>
      <c r="T84" s="349">
        <v>4.45</v>
      </c>
      <c r="U84" s="349">
        <v>4.46</v>
      </c>
      <c r="V84" s="349">
        <v>4.45</v>
      </c>
      <c r="W84" s="349">
        <v>4.4400000000000004</v>
      </c>
      <c r="X84" s="349">
        <v>4.43</v>
      </c>
      <c r="Y84" s="349">
        <v>4.42</v>
      </c>
      <c r="Z84" s="349">
        <v>4.41</v>
      </c>
      <c r="AA84" s="349">
        <v>4.3899999999999997</v>
      </c>
      <c r="AB84" s="349">
        <v>4.37</v>
      </c>
      <c r="AC84" s="349">
        <v>4.3600000000000003</v>
      </c>
      <c r="AD84" s="349">
        <v>4.34</v>
      </c>
      <c r="AE84" s="349">
        <v>4.33</v>
      </c>
      <c r="AF84" s="349">
        <v>4.3099999999999996</v>
      </c>
      <c r="AG84" s="349">
        <v>4.3</v>
      </c>
      <c r="AH84" s="349">
        <v>4.29</v>
      </c>
      <c r="AI84" s="349">
        <v>4.28</v>
      </c>
      <c r="AJ84" s="349">
        <v>4.2699999999999996</v>
      </c>
      <c r="AK84" s="349">
        <v>4.26</v>
      </c>
      <c r="AL84" s="349">
        <v>4.25</v>
      </c>
      <c r="AM84" s="349">
        <v>4.24</v>
      </c>
      <c r="AN84" s="349">
        <v>4.2300000000000004</v>
      </c>
      <c r="AO84" s="349">
        <v>4.2300000000000004</v>
      </c>
      <c r="AP84" s="349">
        <v>4.22</v>
      </c>
      <c r="AQ84" s="349">
        <v>4.22</v>
      </c>
      <c r="AR84" s="349">
        <v>4.22</v>
      </c>
      <c r="AS84" s="349">
        <v>4.21</v>
      </c>
      <c r="AT84" s="349">
        <v>4.21</v>
      </c>
      <c r="AU84" s="349">
        <v>4.21</v>
      </c>
      <c r="AV84" s="349">
        <v>4.2</v>
      </c>
      <c r="AW84" s="349">
        <v>4.2</v>
      </c>
      <c r="AX84" s="349">
        <v>4.2</v>
      </c>
      <c r="AY84" s="349">
        <v>4.2</v>
      </c>
      <c r="AZ84" s="150">
        <v>1.2500000000000001E-2</v>
      </c>
      <c r="BA84" s="104">
        <f t="shared" si="2"/>
        <v>1.25</v>
      </c>
      <c r="BC84" s="437">
        <v>4.46</v>
      </c>
      <c r="BD84" s="679">
        <f t="shared" ref="BD84:BD93" si="4">BD$82+(BD$94-BD$82)/12*$BH84</f>
        <v>21421.166666666668</v>
      </c>
      <c r="BE84" s="679">
        <f t="shared" si="3"/>
        <v>13465.166666666666</v>
      </c>
      <c r="BF84" s="679">
        <f t="shared" si="3"/>
        <v>17484.5</v>
      </c>
      <c r="BG84" s="679">
        <f t="shared" si="3"/>
        <v>8928</v>
      </c>
      <c r="BH84" s="679">
        <v>2</v>
      </c>
    </row>
    <row r="85" spans="1:60">
      <c r="A85" s="107">
        <v>42124</v>
      </c>
      <c r="B85" s="349">
        <v>2.5499999999999998</v>
      </c>
      <c r="C85" s="349">
        <v>2.67</v>
      </c>
      <c r="D85" s="349">
        <v>2.85</v>
      </c>
      <c r="E85" s="349">
        <v>3.04</v>
      </c>
      <c r="F85" s="349">
        <v>3.23</v>
      </c>
      <c r="G85" s="349">
        <v>3.4</v>
      </c>
      <c r="H85" s="349">
        <v>3.56</v>
      </c>
      <c r="I85" s="349">
        <v>3.69</v>
      </c>
      <c r="J85" s="349">
        <v>3.82</v>
      </c>
      <c r="K85" s="349">
        <v>3.93</v>
      </c>
      <c r="L85" s="349">
        <v>4.03</v>
      </c>
      <c r="M85" s="349">
        <v>4.12</v>
      </c>
      <c r="N85" s="349">
        <v>4.1900000000000004</v>
      </c>
      <c r="O85" s="349">
        <v>4.26</v>
      </c>
      <c r="P85" s="2303">
        <v>4.3099999999999996</v>
      </c>
      <c r="Q85" s="349">
        <v>4.34</v>
      </c>
      <c r="R85" s="349">
        <v>4.3600000000000003</v>
      </c>
      <c r="S85" s="349">
        <v>4.37</v>
      </c>
      <c r="T85" s="349">
        <v>4.3899999999999997</v>
      </c>
      <c r="U85" s="349">
        <v>4.41</v>
      </c>
      <c r="V85" s="349">
        <v>4.3899999999999997</v>
      </c>
      <c r="W85" s="349">
        <v>4.38</v>
      </c>
      <c r="X85" s="349">
        <v>4.37</v>
      </c>
      <c r="Y85" s="349">
        <v>4.37</v>
      </c>
      <c r="Z85" s="349">
        <v>4.3600000000000003</v>
      </c>
      <c r="AA85" s="349">
        <v>4.34</v>
      </c>
      <c r="AB85" s="349">
        <v>4.32</v>
      </c>
      <c r="AC85" s="349">
        <v>4.3</v>
      </c>
      <c r="AD85" s="349">
        <v>4.29</v>
      </c>
      <c r="AE85" s="349">
        <v>4.2699999999999996</v>
      </c>
      <c r="AF85" s="349">
        <v>4.26</v>
      </c>
      <c r="AG85" s="349">
        <v>4.25</v>
      </c>
      <c r="AH85" s="349">
        <v>4.24</v>
      </c>
      <c r="AI85" s="349">
        <v>4.2300000000000004</v>
      </c>
      <c r="AJ85" s="349">
        <v>4.22</v>
      </c>
      <c r="AK85" s="349">
        <v>4.21</v>
      </c>
      <c r="AL85" s="349">
        <v>4.2</v>
      </c>
      <c r="AM85" s="349">
        <v>4.1900000000000004</v>
      </c>
      <c r="AN85" s="349">
        <v>4.18</v>
      </c>
      <c r="AO85" s="349">
        <v>4.17</v>
      </c>
      <c r="AP85" s="349">
        <v>4.17</v>
      </c>
      <c r="AQ85" s="349">
        <v>4.17</v>
      </c>
      <c r="AR85" s="349">
        <v>4.16</v>
      </c>
      <c r="AS85" s="349">
        <v>4.16</v>
      </c>
      <c r="AT85" s="349">
        <v>4.16</v>
      </c>
      <c r="AU85" s="349">
        <v>4.1500000000000004</v>
      </c>
      <c r="AV85" s="349">
        <v>4.1500000000000004</v>
      </c>
      <c r="AW85" s="349">
        <v>4.1500000000000004</v>
      </c>
      <c r="AX85" s="349">
        <v>4.1500000000000004</v>
      </c>
      <c r="AY85" s="349">
        <v>4.1500000000000004</v>
      </c>
      <c r="AZ85" s="150">
        <v>1.2500000000000001E-2</v>
      </c>
      <c r="BA85" s="104">
        <f t="shared" si="2"/>
        <v>1.25</v>
      </c>
      <c r="BC85" s="437">
        <v>4.43</v>
      </c>
      <c r="BD85" s="679">
        <f t="shared" si="4"/>
        <v>21722.75</v>
      </c>
      <c r="BE85" s="679">
        <f t="shared" si="3"/>
        <v>13860.25</v>
      </c>
      <c r="BF85" s="679">
        <f t="shared" si="3"/>
        <v>17944.25</v>
      </c>
      <c r="BG85" s="679">
        <f t="shared" si="3"/>
        <v>9447</v>
      </c>
      <c r="BH85" s="679">
        <v>3</v>
      </c>
    </row>
    <row r="86" spans="1:60">
      <c r="A86" s="107">
        <v>42155</v>
      </c>
      <c r="B86" s="349">
        <v>2.4900000000000002</v>
      </c>
      <c r="C86" s="349">
        <v>2.61</v>
      </c>
      <c r="D86" s="349">
        <v>2.79</v>
      </c>
      <c r="E86" s="349">
        <v>2.98</v>
      </c>
      <c r="F86" s="349">
        <v>3.17</v>
      </c>
      <c r="G86" s="349">
        <v>3.34</v>
      </c>
      <c r="H86" s="349">
        <v>3.5</v>
      </c>
      <c r="I86" s="349">
        <v>3.64</v>
      </c>
      <c r="J86" s="349">
        <v>3.76</v>
      </c>
      <c r="K86" s="349">
        <v>3.88</v>
      </c>
      <c r="L86" s="349">
        <v>3.98</v>
      </c>
      <c r="M86" s="349">
        <v>4.07</v>
      </c>
      <c r="N86" s="349">
        <v>4.1399999999999997</v>
      </c>
      <c r="O86" s="349">
        <v>4.2</v>
      </c>
      <c r="P86" s="2303">
        <v>4.26</v>
      </c>
      <c r="Q86" s="349">
        <v>4.28</v>
      </c>
      <c r="R86" s="349">
        <v>4.3</v>
      </c>
      <c r="S86" s="349">
        <v>4.32</v>
      </c>
      <c r="T86" s="349">
        <v>4.34</v>
      </c>
      <c r="U86" s="349">
        <v>4.3600000000000003</v>
      </c>
      <c r="V86" s="349">
        <v>4.34</v>
      </c>
      <c r="W86" s="349">
        <v>4.33</v>
      </c>
      <c r="X86" s="349">
        <v>4.32</v>
      </c>
      <c r="Y86" s="349">
        <v>4.32</v>
      </c>
      <c r="Z86" s="349">
        <v>4.3099999999999996</v>
      </c>
      <c r="AA86" s="349">
        <v>4.29</v>
      </c>
      <c r="AB86" s="349">
        <v>4.2699999999999996</v>
      </c>
      <c r="AC86" s="349">
        <v>4.25</v>
      </c>
      <c r="AD86" s="349">
        <v>4.24</v>
      </c>
      <c r="AE86" s="349">
        <v>4.22</v>
      </c>
      <c r="AF86" s="349">
        <v>4.21</v>
      </c>
      <c r="AG86" s="349">
        <v>4.2</v>
      </c>
      <c r="AH86" s="349">
        <v>4.1900000000000004</v>
      </c>
      <c r="AI86" s="349">
        <v>4.18</v>
      </c>
      <c r="AJ86" s="349">
        <v>4.17</v>
      </c>
      <c r="AK86" s="349">
        <v>4.16</v>
      </c>
      <c r="AL86" s="349">
        <v>4.1500000000000004</v>
      </c>
      <c r="AM86" s="349">
        <v>4.1399999999999997</v>
      </c>
      <c r="AN86" s="349">
        <v>4.13</v>
      </c>
      <c r="AO86" s="349">
        <v>4.13</v>
      </c>
      <c r="AP86" s="349">
        <v>4.12</v>
      </c>
      <c r="AQ86" s="349">
        <v>4.12</v>
      </c>
      <c r="AR86" s="349">
        <v>4.12</v>
      </c>
      <c r="AS86" s="349">
        <v>4.1100000000000003</v>
      </c>
      <c r="AT86" s="349">
        <v>4.1100000000000003</v>
      </c>
      <c r="AU86" s="349">
        <v>4.1100000000000003</v>
      </c>
      <c r="AV86" s="349">
        <v>4.0999999999999996</v>
      </c>
      <c r="AW86" s="349">
        <v>4.0999999999999996</v>
      </c>
      <c r="AX86" s="349">
        <v>4.0999999999999996</v>
      </c>
      <c r="AY86" s="349">
        <v>4.0999999999999996</v>
      </c>
      <c r="AZ86" s="150">
        <v>1.2500000000000001E-2</v>
      </c>
      <c r="BA86" s="104">
        <f t="shared" si="2"/>
        <v>1.25</v>
      </c>
      <c r="BC86" s="437">
        <v>4.41</v>
      </c>
      <c r="BD86" s="679">
        <f t="shared" si="4"/>
        <v>22024.333333333332</v>
      </c>
      <c r="BE86" s="679">
        <f t="shared" si="3"/>
        <v>14255.333333333334</v>
      </c>
      <c r="BF86" s="679">
        <f t="shared" si="3"/>
        <v>18404</v>
      </c>
      <c r="BG86" s="679">
        <f t="shared" si="3"/>
        <v>9966</v>
      </c>
      <c r="BH86" s="679">
        <v>4</v>
      </c>
    </row>
    <row r="87" spans="1:60">
      <c r="A87" s="107">
        <v>42185</v>
      </c>
      <c r="B87" s="349">
        <v>2.42</v>
      </c>
      <c r="C87" s="349">
        <v>2.54</v>
      </c>
      <c r="D87" s="349">
        <v>2.72</v>
      </c>
      <c r="E87" s="349">
        <v>2.92</v>
      </c>
      <c r="F87" s="349">
        <v>3.11</v>
      </c>
      <c r="G87" s="349">
        <v>3.29</v>
      </c>
      <c r="H87" s="349">
        <v>3.45</v>
      </c>
      <c r="I87" s="349">
        <v>3.59</v>
      </c>
      <c r="J87" s="349">
        <v>3.71</v>
      </c>
      <c r="K87" s="349">
        <v>3.83</v>
      </c>
      <c r="L87" s="349">
        <v>3.93</v>
      </c>
      <c r="M87" s="349">
        <v>4.0199999999999996</v>
      </c>
      <c r="N87" s="349">
        <v>4.09</v>
      </c>
      <c r="O87" s="349">
        <v>4.16</v>
      </c>
      <c r="P87" s="2303">
        <v>4.21</v>
      </c>
      <c r="Q87" s="349">
        <v>4.24</v>
      </c>
      <c r="R87" s="349">
        <v>4.26</v>
      </c>
      <c r="S87" s="349">
        <v>4.28</v>
      </c>
      <c r="T87" s="349">
        <v>4.3</v>
      </c>
      <c r="U87" s="349">
        <v>4.3099999999999996</v>
      </c>
      <c r="V87" s="349">
        <v>4.3</v>
      </c>
      <c r="W87" s="349">
        <v>4.29</v>
      </c>
      <c r="X87" s="349">
        <v>4.28</v>
      </c>
      <c r="Y87" s="349">
        <v>4.2699999999999996</v>
      </c>
      <c r="Z87" s="349">
        <v>4.2699999999999996</v>
      </c>
      <c r="AA87" s="349">
        <v>4.25</v>
      </c>
      <c r="AB87" s="349">
        <v>4.2300000000000004</v>
      </c>
      <c r="AC87" s="349">
        <v>4.21</v>
      </c>
      <c r="AD87" s="349">
        <v>4.2</v>
      </c>
      <c r="AE87" s="349">
        <v>4.18</v>
      </c>
      <c r="AF87" s="349">
        <v>4.17</v>
      </c>
      <c r="AG87" s="349">
        <v>4.16</v>
      </c>
      <c r="AH87" s="349">
        <v>4.1500000000000004</v>
      </c>
      <c r="AI87" s="349">
        <v>4.1399999999999997</v>
      </c>
      <c r="AJ87" s="349">
        <v>4.13</v>
      </c>
      <c r="AK87" s="349">
        <v>4.12</v>
      </c>
      <c r="AL87" s="349">
        <v>4.1100000000000003</v>
      </c>
      <c r="AM87" s="349">
        <v>4.0999999999999996</v>
      </c>
      <c r="AN87" s="349">
        <v>4.09</v>
      </c>
      <c r="AO87" s="349">
        <v>4.09</v>
      </c>
      <c r="AP87" s="349">
        <v>4.08</v>
      </c>
      <c r="AQ87" s="349">
        <v>4.08</v>
      </c>
      <c r="AR87" s="349">
        <v>4.08</v>
      </c>
      <c r="AS87" s="349">
        <v>4.08</v>
      </c>
      <c r="AT87" s="349">
        <v>4.07</v>
      </c>
      <c r="AU87" s="349">
        <v>4.07</v>
      </c>
      <c r="AV87" s="349">
        <v>4.07</v>
      </c>
      <c r="AW87" s="349">
        <v>4.07</v>
      </c>
      <c r="AX87" s="349">
        <v>4.0599999999999996</v>
      </c>
      <c r="AY87" s="349">
        <v>4.0599999999999996</v>
      </c>
      <c r="AZ87" s="150">
        <v>1.2500000000000001E-2</v>
      </c>
      <c r="BA87" s="104">
        <f t="shared" si="2"/>
        <v>1.25</v>
      </c>
      <c r="BC87" s="437">
        <v>4.3899999999999997</v>
      </c>
      <c r="BD87" s="679">
        <f t="shared" si="4"/>
        <v>22325.916666666668</v>
      </c>
      <c r="BE87" s="679">
        <f t="shared" si="3"/>
        <v>14650.416666666666</v>
      </c>
      <c r="BF87" s="679">
        <f t="shared" si="3"/>
        <v>18863.75</v>
      </c>
      <c r="BG87" s="679">
        <f t="shared" si="3"/>
        <v>10485</v>
      </c>
      <c r="BH87" s="679">
        <v>5</v>
      </c>
    </row>
    <row r="88" spans="1:60">
      <c r="A88" s="107">
        <v>42216</v>
      </c>
      <c r="B88" s="349">
        <v>2.35</v>
      </c>
      <c r="C88" s="349">
        <v>2.48</v>
      </c>
      <c r="D88" s="349">
        <v>2.66</v>
      </c>
      <c r="E88" s="349">
        <v>2.86</v>
      </c>
      <c r="F88" s="349">
        <v>3.05</v>
      </c>
      <c r="G88" s="349">
        <v>3.23</v>
      </c>
      <c r="H88" s="349">
        <v>3.39</v>
      </c>
      <c r="I88" s="349">
        <v>3.54</v>
      </c>
      <c r="J88" s="349">
        <v>3.66</v>
      </c>
      <c r="K88" s="349">
        <v>3.78</v>
      </c>
      <c r="L88" s="349">
        <v>3.88</v>
      </c>
      <c r="M88" s="349">
        <v>3.97</v>
      </c>
      <c r="N88" s="349">
        <v>4.05</v>
      </c>
      <c r="O88" s="349">
        <v>4.1100000000000003</v>
      </c>
      <c r="P88" s="2303">
        <v>4.17</v>
      </c>
      <c r="Q88" s="349">
        <v>4.1900000000000004</v>
      </c>
      <c r="R88" s="349">
        <v>4.21</v>
      </c>
      <c r="S88" s="349">
        <v>4.2300000000000004</v>
      </c>
      <c r="T88" s="349">
        <v>4.25</v>
      </c>
      <c r="U88" s="349">
        <v>4.2699999999999996</v>
      </c>
      <c r="V88" s="349">
        <v>4.26</v>
      </c>
      <c r="W88" s="349">
        <v>4.25</v>
      </c>
      <c r="X88" s="349">
        <v>4.24</v>
      </c>
      <c r="Y88" s="349">
        <v>4.2300000000000004</v>
      </c>
      <c r="Z88" s="349">
        <v>4.22</v>
      </c>
      <c r="AA88" s="349">
        <v>4.2</v>
      </c>
      <c r="AB88" s="349">
        <v>4.18</v>
      </c>
      <c r="AC88" s="349">
        <v>4.17</v>
      </c>
      <c r="AD88" s="349">
        <v>4.1500000000000004</v>
      </c>
      <c r="AE88" s="349">
        <v>4.1399999999999997</v>
      </c>
      <c r="AF88" s="349">
        <v>4.13</v>
      </c>
      <c r="AG88" s="349">
        <v>4.12</v>
      </c>
      <c r="AH88" s="349">
        <v>4.1100000000000003</v>
      </c>
      <c r="AI88" s="349">
        <v>4.0999999999999996</v>
      </c>
      <c r="AJ88" s="349">
        <v>4.09</v>
      </c>
      <c r="AK88" s="349">
        <v>4.08</v>
      </c>
      <c r="AL88" s="349">
        <v>4.07</v>
      </c>
      <c r="AM88" s="349">
        <v>4.0599999999999996</v>
      </c>
      <c r="AN88" s="349">
        <v>4.05</v>
      </c>
      <c r="AO88" s="349">
        <v>4.05</v>
      </c>
      <c r="AP88" s="349">
        <v>4.04</v>
      </c>
      <c r="AQ88" s="349">
        <v>4.04</v>
      </c>
      <c r="AR88" s="349">
        <v>4.04</v>
      </c>
      <c r="AS88" s="349">
        <v>4.03</v>
      </c>
      <c r="AT88" s="349">
        <v>4.03</v>
      </c>
      <c r="AU88" s="349">
        <v>4.03</v>
      </c>
      <c r="AV88" s="349">
        <v>4.03</v>
      </c>
      <c r="AW88" s="349">
        <v>4.03</v>
      </c>
      <c r="AX88" s="349">
        <v>4.0199999999999996</v>
      </c>
      <c r="AY88" s="349">
        <v>4.0199999999999996</v>
      </c>
      <c r="AZ88" s="150">
        <v>1.2500000000000001E-2</v>
      </c>
      <c r="BA88" s="104">
        <f t="shared" si="2"/>
        <v>1.25</v>
      </c>
      <c r="BC88" s="437">
        <v>4.38</v>
      </c>
      <c r="BD88" s="679">
        <f t="shared" si="4"/>
        <v>22627.5</v>
      </c>
      <c r="BE88" s="679">
        <f t="shared" si="3"/>
        <v>15045.5</v>
      </c>
      <c r="BF88" s="679">
        <f t="shared" si="3"/>
        <v>19323.5</v>
      </c>
      <c r="BG88" s="679">
        <f t="shared" si="3"/>
        <v>11004</v>
      </c>
      <c r="BH88" s="679">
        <v>6</v>
      </c>
    </row>
    <row r="89" spans="1:60">
      <c r="A89" s="107">
        <v>42247</v>
      </c>
      <c r="B89" s="349">
        <v>2.29</v>
      </c>
      <c r="C89" s="349">
        <v>2.42</v>
      </c>
      <c r="D89" s="349">
        <v>2.6</v>
      </c>
      <c r="E89" s="349">
        <v>2.8</v>
      </c>
      <c r="F89" s="349">
        <v>3</v>
      </c>
      <c r="G89" s="349">
        <v>3.18</v>
      </c>
      <c r="H89" s="349">
        <v>3.34</v>
      </c>
      <c r="I89" s="349">
        <v>3.49</v>
      </c>
      <c r="J89" s="349">
        <v>3.61</v>
      </c>
      <c r="K89" s="349">
        <v>3.73</v>
      </c>
      <c r="L89" s="349">
        <v>3.84</v>
      </c>
      <c r="M89" s="349">
        <v>3.92</v>
      </c>
      <c r="N89" s="349">
        <v>4</v>
      </c>
      <c r="O89" s="349">
        <v>4.07</v>
      </c>
      <c r="P89" s="2303">
        <v>4.12</v>
      </c>
      <c r="Q89" s="349">
        <v>4.1500000000000004</v>
      </c>
      <c r="R89" s="349">
        <v>4.17</v>
      </c>
      <c r="S89" s="349">
        <v>4.1900000000000004</v>
      </c>
      <c r="T89" s="349">
        <v>4.21</v>
      </c>
      <c r="U89" s="349">
        <v>4.22</v>
      </c>
      <c r="V89" s="349">
        <v>4.21</v>
      </c>
      <c r="W89" s="349">
        <v>4.2</v>
      </c>
      <c r="X89" s="349">
        <v>4.1900000000000004</v>
      </c>
      <c r="Y89" s="349">
        <v>4.1900000000000004</v>
      </c>
      <c r="Z89" s="349">
        <v>4.18</v>
      </c>
      <c r="AA89" s="349">
        <v>4.16</v>
      </c>
      <c r="AB89" s="349">
        <v>4.1399999999999997</v>
      </c>
      <c r="AC89" s="349">
        <v>4.13</v>
      </c>
      <c r="AD89" s="349">
        <v>4.1100000000000003</v>
      </c>
      <c r="AE89" s="349">
        <v>4.0999999999999996</v>
      </c>
      <c r="AF89" s="349">
        <v>4.09</v>
      </c>
      <c r="AG89" s="349">
        <v>4.08</v>
      </c>
      <c r="AH89" s="349">
        <v>4.07</v>
      </c>
      <c r="AI89" s="349">
        <v>4.0599999999999996</v>
      </c>
      <c r="AJ89" s="349">
        <v>4.05</v>
      </c>
      <c r="AK89" s="349">
        <v>4.04</v>
      </c>
      <c r="AL89" s="349">
        <v>4.03</v>
      </c>
      <c r="AM89" s="349">
        <v>4.0199999999999996</v>
      </c>
      <c r="AN89" s="349">
        <v>4.01</v>
      </c>
      <c r="AO89" s="349">
        <v>4.01</v>
      </c>
      <c r="AP89" s="349">
        <v>4</v>
      </c>
      <c r="AQ89" s="349">
        <v>4</v>
      </c>
      <c r="AR89" s="349">
        <v>4</v>
      </c>
      <c r="AS89" s="349">
        <v>4</v>
      </c>
      <c r="AT89" s="349">
        <v>3.99</v>
      </c>
      <c r="AU89" s="349">
        <v>3.99</v>
      </c>
      <c r="AV89" s="349">
        <v>3.99</v>
      </c>
      <c r="AW89" s="349">
        <v>3.99</v>
      </c>
      <c r="AX89" s="349">
        <v>3.99</v>
      </c>
      <c r="AY89" s="349">
        <v>3.98</v>
      </c>
      <c r="AZ89" s="150">
        <v>1.2500000000000001E-2</v>
      </c>
      <c r="BA89" s="104">
        <f t="shared" si="2"/>
        <v>1.25</v>
      </c>
      <c r="BC89" s="437">
        <v>4.3600000000000003</v>
      </c>
      <c r="BD89" s="679">
        <f t="shared" si="4"/>
        <v>22929.083333333332</v>
      </c>
      <c r="BE89" s="679">
        <f t="shared" si="3"/>
        <v>15440.583333333332</v>
      </c>
      <c r="BF89" s="679">
        <f t="shared" si="3"/>
        <v>19783.25</v>
      </c>
      <c r="BG89" s="679">
        <f t="shared" si="3"/>
        <v>11523</v>
      </c>
      <c r="BH89" s="679">
        <v>7</v>
      </c>
    </row>
    <row r="90" spans="1:60">
      <c r="A90" s="107">
        <v>42277</v>
      </c>
      <c r="B90" s="349">
        <v>2.21</v>
      </c>
      <c r="C90" s="349">
        <v>2.35</v>
      </c>
      <c r="D90" s="349">
        <v>2.5299999999999998</v>
      </c>
      <c r="E90" s="349">
        <v>2.73</v>
      </c>
      <c r="F90" s="349">
        <v>2.93</v>
      </c>
      <c r="G90" s="349">
        <v>3.11</v>
      </c>
      <c r="H90" s="349">
        <v>3.28</v>
      </c>
      <c r="I90" s="349">
        <v>3.42</v>
      </c>
      <c r="J90" s="349">
        <v>3.55</v>
      </c>
      <c r="K90" s="349">
        <v>3.67</v>
      </c>
      <c r="L90" s="349">
        <v>3.78</v>
      </c>
      <c r="M90" s="349">
        <v>3.87</v>
      </c>
      <c r="N90" s="349">
        <v>3.94</v>
      </c>
      <c r="O90" s="349">
        <v>4.01</v>
      </c>
      <c r="P90" s="2303">
        <v>4.07</v>
      </c>
      <c r="Q90" s="349">
        <v>4.09</v>
      </c>
      <c r="R90" s="349">
        <v>4.1100000000000003</v>
      </c>
      <c r="S90" s="349">
        <v>4.1399999999999997</v>
      </c>
      <c r="T90" s="349">
        <v>4.1500000000000004</v>
      </c>
      <c r="U90" s="349">
        <v>4.17</v>
      </c>
      <c r="V90" s="349">
        <v>4.16</v>
      </c>
      <c r="W90" s="349">
        <v>4.1500000000000004</v>
      </c>
      <c r="X90" s="349">
        <v>4.1399999999999997</v>
      </c>
      <c r="Y90" s="349">
        <v>4.1399999999999997</v>
      </c>
      <c r="Z90" s="349">
        <v>4.13</v>
      </c>
      <c r="AA90" s="349">
        <v>4.1100000000000003</v>
      </c>
      <c r="AB90" s="349">
        <v>4.09</v>
      </c>
      <c r="AC90" s="349">
        <v>4.08</v>
      </c>
      <c r="AD90" s="349">
        <v>4.0599999999999996</v>
      </c>
      <c r="AE90" s="349">
        <v>4.05</v>
      </c>
      <c r="AF90" s="349">
        <v>4.04</v>
      </c>
      <c r="AG90" s="349">
        <v>4.03</v>
      </c>
      <c r="AH90" s="349">
        <v>4.0199999999999996</v>
      </c>
      <c r="AI90" s="349">
        <v>4.01</v>
      </c>
      <c r="AJ90" s="349">
        <v>4</v>
      </c>
      <c r="AK90" s="349">
        <v>3.99</v>
      </c>
      <c r="AL90" s="349">
        <v>3.98</v>
      </c>
      <c r="AM90" s="349">
        <v>3.97</v>
      </c>
      <c r="AN90" s="349">
        <v>3.97</v>
      </c>
      <c r="AO90" s="349">
        <v>3.96</v>
      </c>
      <c r="AP90" s="349">
        <v>3.96</v>
      </c>
      <c r="AQ90" s="349">
        <v>3.95</v>
      </c>
      <c r="AR90" s="349">
        <v>3.95</v>
      </c>
      <c r="AS90" s="349">
        <v>3.95</v>
      </c>
      <c r="AT90" s="349">
        <v>3.95</v>
      </c>
      <c r="AU90" s="349">
        <v>3.94</v>
      </c>
      <c r="AV90" s="349">
        <v>3.94</v>
      </c>
      <c r="AW90" s="349">
        <v>3.94</v>
      </c>
      <c r="AX90" s="349">
        <v>3.94</v>
      </c>
      <c r="AY90" s="349">
        <v>3.94</v>
      </c>
      <c r="AZ90" s="150">
        <v>1.2500000000000001E-2</v>
      </c>
      <c r="BA90" s="104">
        <f t="shared" si="2"/>
        <v>1.25</v>
      </c>
      <c r="BC90" s="437">
        <v>4.3499999999999996</v>
      </c>
      <c r="BD90" s="679">
        <f t="shared" si="4"/>
        <v>23230.666666666668</v>
      </c>
      <c r="BE90" s="679">
        <f t="shared" si="3"/>
        <v>15835.666666666666</v>
      </c>
      <c r="BF90" s="679">
        <f t="shared" si="3"/>
        <v>20243</v>
      </c>
      <c r="BG90" s="679">
        <f t="shared" si="3"/>
        <v>12042</v>
      </c>
      <c r="BH90" s="679">
        <v>8</v>
      </c>
    </row>
    <row r="91" spans="1:60">
      <c r="A91" s="107">
        <v>42308</v>
      </c>
      <c r="B91" s="349">
        <v>2.14</v>
      </c>
      <c r="C91" s="349">
        <v>2.2799999999999998</v>
      </c>
      <c r="D91" s="349">
        <v>2.46</v>
      </c>
      <c r="E91" s="349">
        <v>2.67</v>
      </c>
      <c r="F91" s="349">
        <v>2.86</v>
      </c>
      <c r="G91" s="349">
        <v>3.05</v>
      </c>
      <c r="H91" s="349">
        <v>3.21</v>
      </c>
      <c r="I91" s="349">
        <v>3.36</v>
      </c>
      <c r="J91" s="349">
        <v>3.49</v>
      </c>
      <c r="K91" s="349">
        <v>3.6</v>
      </c>
      <c r="L91" s="349">
        <v>3.71</v>
      </c>
      <c r="M91" s="349">
        <v>3.8</v>
      </c>
      <c r="N91" s="349">
        <v>3.88</v>
      </c>
      <c r="O91" s="349">
        <v>3.94</v>
      </c>
      <c r="P91" s="2303">
        <v>4</v>
      </c>
      <c r="Q91" s="349">
        <v>4.03</v>
      </c>
      <c r="R91" s="349">
        <v>4.05</v>
      </c>
      <c r="S91" s="349">
        <v>4.07</v>
      </c>
      <c r="T91" s="349">
        <v>4.09</v>
      </c>
      <c r="U91" s="349">
        <v>4.1100000000000003</v>
      </c>
      <c r="V91" s="349">
        <v>4.0999999999999996</v>
      </c>
      <c r="W91" s="349">
        <v>4.09</v>
      </c>
      <c r="X91" s="349">
        <v>4.09</v>
      </c>
      <c r="Y91" s="349">
        <v>4.08</v>
      </c>
      <c r="Z91" s="349">
        <v>4.07</v>
      </c>
      <c r="AA91" s="349">
        <v>4.05</v>
      </c>
      <c r="AB91" s="349">
        <v>4.04</v>
      </c>
      <c r="AC91" s="349">
        <v>4.0199999999999996</v>
      </c>
      <c r="AD91" s="349">
        <v>4.01</v>
      </c>
      <c r="AE91" s="349">
        <v>4</v>
      </c>
      <c r="AF91" s="349">
        <v>3.98</v>
      </c>
      <c r="AG91" s="349">
        <v>3.97</v>
      </c>
      <c r="AH91" s="349">
        <v>3.96</v>
      </c>
      <c r="AI91" s="349">
        <v>3.95</v>
      </c>
      <c r="AJ91" s="349">
        <v>3.95</v>
      </c>
      <c r="AK91" s="349">
        <v>3.94</v>
      </c>
      <c r="AL91" s="349">
        <v>3.93</v>
      </c>
      <c r="AM91" s="349">
        <v>3.92</v>
      </c>
      <c r="AN91" s="349">
        <v>3.91</v>
      </c>
      <c r="AO91" s="349">
        <v>3.91</v>
      </c>
      <c r="AP91" s="349">
        <v>3.9</v>
      </c>
      <c r="AQ91" s="349">
        <v>3.9</v>
      </c>
      <c r="AR91" s="349">
        <v>3.9</v>
      </c>
      <c r="AS91" s="349">
        <v>3.9</v>
      </c>
      <c r="AT91" s="349">
        <v>3.9</v>
      </c>
      <c r="AU91" s="349">
        <v>3.89</v>
      </c>
      <c r="AV91" s="349">
        <v>3.89</v>
      </c>
      <c r="AW91" s="349">
        <v>3.89</v>
      </c>
      <c r="AX91" s="349">
        <v>3.89</v>
      </c>
      <c r="AY91" s="349">
        <v>3.89</v>
      </c>
      <c r="AZ91" s="150">
        <v>1.2500000000000001E-2</v>
      </c>
      <c r="BA91" s="104">
        <f t="shared" si="2"/>
        <v>1.25</v>
      </c>
      <c r="BC91" s="437">
        <v>4.33</v>
      </c>
      <c r="BD91" s="679">
        <f t="shared" si="4"/>
        <v>23532.25</v>
      </c>
      <c r="BE91" s="679">
        <f t="shared" si="3"/>
        <v>16230.75</v>
      </c>
      <c r="BF91" s="679">
        <f t="shared" si="3"/>
        <v>20702.75</v>
      </c>
      <c r="BG91" s="679">
        <f t="shared" si="3"/>
        <v>12561</v>
      </c>
      <c r="BH91" s="679">
        <v>9</v>
      </c>
    </row>
    <row r="92" spans="1:60">
      <c r="A92" s="107">
        <v>42338</v>
      </c>
      <c r="B92" s="349">
        <v>2.08</v>
      </c>
      <c r="C92" s="349">
        <v>2.2200000000000002</v>
      </c>
      <c r="D92" s="349">
        <v>2.4</v>
      </c>
      <c r="E92" s="349">
        <v>2.6</v>
      </c>
      <c r="F92" s="349">
        <v>2.8</v>
      </c>
      <c r="G92" s="349">
        <v>2.98</v>
      </c>
      <c r="H92" s="349">
        <v>3.14</v>
      </c>
      <c r="I92" s="349">
        <v>3.29</v>
      </c>
      <c r="J92" s="349">
        <v>3.42</v>
      </c>
      <c r="K92" s="349">
        <v>3.54</v>
      </c>
      <c r="L92" s="349">
        <v>3.65</v>
      </c>
      <c r="M92" s="349">
        <v>3.74</v>
      </c>
      <c r="N92" s="349">
        <v>3.82</v>
      </c>
      <c r="O92" s="349">
        <v>3.88</v>
      </c>
      <c r="P92" s="2303">
        <v>3.94</v>
      </c>
      <c r="Q92" s="349">
        <v>3.97</v>
      </c>
      <c r="R92" s="349">
        <v>4</v>
      </c>
      <c r="S92" s="349">
        <v>4.0199999999999996</v>
      </c>
      <c r="T92" s="349">
        <v>4.04</v>
      </c>
      <c r="U92" s="349">
        <v>4.05</v>
      </c>
      <c r="V92" s="349">
        <v>4.05</v>
      </c>
      <c r="W92" s="349">
        <v>4.04</v>
      </c>
      <c r="X92" s="349">
        <v>4.03</v>
      </c>
      <c r="Y92" s="349">
        <v>4.03</v>
      </c>
      <c r="Z92" s="349">
        <v>4.0199999999999996</v>
      </c>
      <c r="AA92" s="349">
        <v>4</v>
      </c>
      <c r="AB92" s="349">
        <v>3.99</v>
      </c>
      <c r="AC92" s="349">
        <v>3.97</v>
      </c>
      <c r="AD92" s="349">
        <v>3.96</v>
      </c>
      <c r="AE92" s="349">
        <v>3.95</v>
      </c>
      <c r="AF92" s="349">
        <v>3.94</v>
      </c>
      <c r="AG92" s="349">
        <v>3.93</v>
      </c>
      <c r="AH92" s="349">
        <v>3.92</v>
      </c>
      <c r="AI92" s="349">
        <v>3.91</v>
      </c>
      <c r="AJ92" s="349">
        <v>3.9</v>
      </c>
      <c r="AK92" s="349">
        <v>3.89</v>
      </c>
      <c r="AL92" s="349">
        <v>3.88</v>
      </c>
      <c r="AM92" s="349">
        <v>3.88</v>
      </c>
      <c r="AN92" s="349">
        <v>3.87</v>
      </c>
      <c r="AO92" s="349">
        <v>3.86</v>
      </c>
      <c r="AP92" s="349">
        <v>3.86</v>
      </c>
      <c r="AQ92" s="349">
        <v>3.86</v>
      </c>
      <c r="AR92" s="349">
        <v>3.86</v>
      </c>
      <c r="AS92" s="349">
        <v>3.85</v>
      </c>
      <c r="AT92" s="349">
        <v>3.85</v>
      </c>
      <c r="AU92" s="349">
        <v>3.85</v>
      </c>
      <c r="AV92" s="349">
        <v>3.85</v>
      </c>
      <c r="AW92" s="349">
        <v>3.85</v>
      </c>
      <c r="AX92" s="349">
        <v>3.84</v>
      </c>
      <c r="AY92" s="349">
        <v>3.84</v>
      </c>
      <c r="AZ92" s="150">
        <v>1.2500000000000001E-2</v>
      </c>
      <c r="BA92" s="104">
        <f t="shared" si="2"/>
        <v>1.25</v>
      </c>
      <c r="BC92" s="437">
        <v>4.32</v>
      </c>
      <c r="BD92" s="679">
        <f t="shared" si="4"/>
        <v>23833.833333333332</v>
      </c>
      <c r="BE92" s="679">
        <f t="shared" si="3"/>
        <v>16625.833333333332</v>
      </c>
      <c r="BF92" s="679">
        <f t="shared" si="3"/>
        <v>21162.5</v>
      </c>
      <c r="BG92" s="679">
        <f t="shared" si="3"/>
        <v>13080</v>
      </c>
      <c r="BH92" s="679">
        <v>10</v>
      </c>
    </row>
    <row r="93" spans="1:60">
      <c r="A93" s="107">
        <v>42369</v>
      </c>
      <c r="B93" s="349">
        <v>2.02</v>
      </c>
      <c r="C93" s="349">
        <v>2.16</v>
      </c>
      <c r="D93" s="349">
        <v>2.34</v>
      </c>
      <c r="E93" s="349">
        <v>2.54</v>
      </c>
      <c r="F93" s="349">
        <v>2.74</v>
      </c>
      <c r="G93" s="349">
        <v>2.92</v>
      </c>
      <c r="H93" s="349">
        <v>3.09</v>
      </c>
      <c r="I93" s="349">
        <v>3.23</v>
      </c>
      <c r="J93" s="349">
        <v>3.36</v>
      </c>
      <c r="K93" s="349">
        <v>3.48</v>
      </c>
      <c r="L93" s="349">
        <v>3.59</v>
      </c>
      <c r="M93" s="349">
        <v>3.68</v>
      </c>
      <c r="N93" s="349">
        <v>3.76</v>
      </c>
      <c r="O93" s="349">
        <v>3.83</v>
      </c>
      <c r="P93" s="2303">
        <v>3.89</v>
      </c>
      <c r="Q93" s="349">
        <v>3.92</v>
      </c>
      <c r="R93" s="349">
        <v>3.94</v>
      </c>
      <c r="S93" s="349">
        <v>3.96</v>
      </c>
      <c r="T93" s="349">
        <v>3.98</v>
      </c>
      <c r="U93" s="349">
        <v>4</v>
      </c>
      <c r="V93" s="349">
        <v>4</v>
      </c>
      <c r="W93" s="349">
        <v>3.99</v>
      </c>
      <c r="X93" s="349">
        <v>3.98</v>
      </c>
      <c r="Y93" s="349">
        <v>3.98</v>
      </c>
      <c r="Z93" s="349">
        <v>3.97</v>
      </c>
      <c r="AA93" s="349">
        <v>3.96</v>
      </c>
      <c r="AB93" s="349">
        <v>3.94</v>
      </c>
      <c r="AC93" s="349">
        <v>3.93</v>
      </c>
      <c r="AD93" s="349">
        <v>3.91</v>
      </c>
      <c r="AE93" s="349">
        <v>3.9</v>
      </c>
      <c r="AF93" s="349">
        <v>3.89</v>
      </c>
      <c r="AG93" s="349">
        <v>3.88</v>
      </c>
      <c r="AH93" s="349">
        <v>3.87</v>
      </c>
      <c r="AI93" s="349">
        <v>3.86</v>
      </c>
      <c r="AJ93" s="349">
        <v>3.86</v>
      </c>
      <c r="AK93" s="349">
        <v>3.85</v>
      </c>
      <c r="AL93" s="349">
        <v>3.84</v>
      </c>
      <c r="AM93" s="349">
        <v>3.83</v>
      </c>
      <c r="AN93" s="349">
        <v>3.83</v>
      </c>
      <c r="AO93" s="349">
        <v>3.82</v>
      </c>
      <c r="AP93" s="349">
        <v>3.82</v>
      </c>
      <c r="AQ93" s="349">
        <v>3.82</v>
      </c>
      <c r="AR93" s="349">
        <v>3.81</v>
      </c>
      <c r="AS93" s="349">
        <v>3.81</v>
      </c>
      <c r="AT93" s="349">
        <v>3.81</v>
      </c>
      <c r="AU93" s="349">
        <v>3.81</v>
      </c>
      <c r="AV93" s="349">
        <v>3.81</v>
      </c>
      <c r="AW93" s="349">
        <v>3.8</v>
      </c>
      <c r="AX93" s="349">
        <v>3.8</v>
      </c>
      <c r="AY93" s="349">
        <v>3.8</v>
      </c>
      <c r="AZ93" s="150">
        <v>1.2500000000000001E-2</v>
      </c>
      <c r="BA93" s="104">
        <f t="shared" si="2"/>
        <v>1.25</v>
      </c>
      <c r="BC93" s="437">
        <v>4.3099999999999996</v>
      </c>
      <c r="BD93" s="679">
        <f t="shared" si="4"/>
        <v>24135.416666666668</v>
      </c>
      <c r="BE93" s="679">
        <f t="shared" si="3"/>
        <v>17020.916666666664</v>
      </c>
      <c r="BF93" s="679">
        <f t="shared" si="3"/>
        <v>21622.25</v>
      </c>
      <c r="BG93" s="679">
        <f t="shared" si="3"/>
        <v>13599</v>
      </c>
      <c r="BH93" s="679">
        <v>11</v>
      </c>
    </row>
    <row r="94" spans="1:60">
      <c r="A94" s="107">
        <v>42400</v>
      </c>
      <c r="B94" s="349">
        <v>1.97</v>
      </c>
      <c r="C94" s="349">
        <v>2.11</v>
      </c>
      <c r="D94" s="349">
        <v>2.29</v>
      </c>
      <c r="E94" s="349">
        <v>2.48</v>
      </c>
      <c r="F94" s="349">
        <v>2.68</v>
      </c>
      <c r="G94" s="349">
        <v>2.86</v>
      </c>
      <c r="H94" s="349">
        <v>3.03</v>
      </c>
      <c r="I94" s="349">
        <v>3.17</v>
      </c>
      <c r="J94" s="349">
        <v>3.3</v>
      </c>
      <c r="K94" s="349">
        <v>3.42</v>
      </c>
      <c r="L94" s="349">
        <v>3.53</v>
      </c>
      <c r="M94" s="349">
        <v>3.62</v>
      </c>
      <c r="N94" s="349">
        <v>3.7</v>
      </c>
      <c r="O94" s="349">
        <v>3.77</v>
      </c>
      <c r="P94" s="2303">
        <v>3.83</v>
      </c>
      <c r="Q94" s="349">
        <v>3.86</v>
      </c>
      <c r="R94" s="349">
        <v>3.88</v>
      </c>
      <c r="S94" s="349">
        <v>3.91</v>
      </c>
      <c r="T94" s="349">
        <v>3.93</v>
      </c>
      <c r="U94" s="349">
        <v>3.95</v>
      </c>
      <c r="V94" s="349">
        <v>3.94</v>
      </c>
      <c r="W94" s="349">
        <v>3.93</v>
      </c>
      <c r="X94" s="349">
        <v>3.93</v>
      </c>
      <c r="Y94" s="349">
        <v>3.92</v>
      </c>
      <c r="Z94" s="349">
        <v>3.92</v>
      </c>
      <c r="AA94" s="349">
        <v>3.9</v>
      </c>
      <c r="AB94" s="349">
        <v>3.89</v>
      </c>
      <c r="AC94" s="349">
        <v>3.88</v>
      </c>
      <c r="AD94" s="349">
        <v>3.86</v>
      </c>
      <c r="AE94" s="349">
        <v>3.85</v>
      </c>
      <c r="AF94" s="349">
        <v>3.84</v>
      </c>
      <c r="AG94" s="349">
        <v>3.83</v>
      </c>
      <c r="AH94" s="349">
        <v>3.82</v>
      </c>
      <c r="AI94" s="349">
        <v>3.81</v>
      </c>
      <c r="AJ94" s="349">
        <v>3.81</v>
      </c>
      <c r="AK94" s="349">
        <v>3.8</v>
      </c>
      <c r="AL94" s="349">
        <v>3.79</v>
      </c>
      <c r="AM94" s="349">
        <v>3.79</v>
      </c>
      <c r="AN94" s="349">
        <v>3.78</v>
      </c>
      <c r="AO94" s="349">
        <v>3.77</v>
      </c>
      <c r="AP94" s="349">
        <v>3.77</v>
      </c>
      <c r="AQ94" s="349">
        <v>3.77</v>
      </c>
      <c r="AR94" s="349">
        <v>3.77</v>
      </c>
      <c r="AS94" s="349">
        <v>3.77</v>
      </c>
      <c r="AT94" s="349">
        <v>3.76</v>
      </c>
      <c r="AU94" s="349">
        <v>3.76</v>
      </c>
      <c r="AV94" s="349">
        <v>3.76</v>
      </c>
      <c r="AW94" s="349">
        <v>3.76</v>
      </c>
      <c r="AX94" s="349">
        <v>3.76</v>
      </c>
      <c r="AY94" s="349">
        <v>3.76</v>
      </c>
      <c r="AZ94" s="150">
        <v>1.2500000000000001E-2</v>
      </c>
      <c r="BA94" s="104">
        <f t="shared" si="2"/>
        <v>1.25</v>
      </c>
      <c r="BC94" s="437">
        <v>4.29</v>
      </c>
      <c r="BD94" s="680">
        <v>24437</v>
      </c>
      <c r="BE94" s="680">
        <v>17416</v>
      </c>
      <c r="BF94" s="680">
        <v>22082</v>
      </c>
      <c r="BG94" s="680">
        <v>14118</v>
      </c>
    </row>
    <row r="95" spans="1:60">
      <c r="A95" s="107">
        <v>42429</v>
      </c>
      <c r="B95" s="349">
        <v>1.92</v>
      </c>
      <c r="C95" s="349">
        <v>2.0499999999999998</v>
      </c>
      <c r="D95" s="349">
        <v>2.23</v>
      </c>
      <c r="E95" s="349">
        <v>2.4300000000000002</v>
      </c>
      <c r="F95" s="349">
        <v>2.62</v>
      </c>
      <c r="G95" s="349">
        <v>2.8</v>
      </c>
      <c r="H95" s="349">
        <v>2.96</v>
      </c>
      <c r="I95" s="349">
        <v>3.11</v>
      </c>
      <c r="J95" s="349">
        <v>3.24</v>
      </c>
      <c r="K95" s="349">
        <v>3.36</v>
      </c>
      <c r="L95" s="349">
        <v>3.47</v>
      </c>
      <c r="M95" s="349">
        <v>3.56</v>
      </c>
      <c r="N95" s="349">
        <v>3.64</v>
      </c>
      <c r="O95" s="349">
        <v>3.71</v>
      </c>
      <c r="P95" s="2303">
        <v>3.76</v>
      </c>
      <c r="Q95" s="349">
        <v>3.79</v>
      </c>
      <c r="R95" s="349">
        <v>3.82</v>
      </c>
      <c r="S95" s="349">
        <v>3.84</v>
      </c>
      <c r="T95" s="349">
        <v>3.87</v>
      </c>
      <c r="U95" s="349">
        <v>3.88</v>
      </c>
      <c r="V95" s="349">
        <v>3.88</v>
      </c>
      <c r="W95" s="349">
        <v>3.87</v>
      </c>
      <c r="X95" s="349">
        <v>3.87</v>
      </c>
      <c r="Y95" s="349">
        <v>3.87</v>
      </c>
      <c r="Z95" s="349">
        <v>3.86</v>
      </c>
      <c r="AA95" s="349">
        <v>3.85</v>
      </c>
      <c r="AB95" s="349">
        <v>3.83</v>
      </c>
      <c r="AC95" s="349">
        <v>3.82</v>
      </c>
      <c r="AD95" s="349">
        <v>3.81</v>
      </c>
      <c r="AE95" s="349">
        <v>3.8</v>
      </c>
      <c r="AF95" s="349">
        <v>3.79</v>
      </c>
      <c r="AG95" s="349">
        <v>3.78</v>
      </c>
      <c r="AH95" s="349">
        <v>3.77</v>
      </c>
      <c r="AI95" s="349">
        <v>3.76</v>
      </c>
      <c r="AJ95" s="349">
        <v>3.76</v>
      </c>
      <c r="AK95" s="349">
        <v>3.75</v>
      </c>
      <c r="AL95" s="349">
        <v>3.74</v>
      </c>
      <c r="AM95" s="349">
        <v>3.74</v>
      </c>
      <c r="AN95" s="349">
        <v>3.73</v>
      </c>
      <c r="AO95" s="349">
        <v>3.73</v>
      </c>
      <c r="AP95" s="349">
        <v>3.72</v>
      </c>
      <c r="AQ95" s="349">
        <v>3.72</v>
      </c>
      <c r="AR95" s="349">
        <v>3.72</v>
      </c>
      <c r="AS95" s="349">
        <v>3.72</v>
      </c>
      <c r="AT95" s="349">
        <v>3.72</v>
      </c>
      <c r="AU95" s="349">
        <v>3.71</v>
      </c>
      <c r="AV95" s="349">
        <v>3.71</v>
      </c>
      <c r="AW95" s="349">
        <v>3.71</v>
      </c>
      <c r="AX95" s="349">
        <v>3.71</v>
      </c>
      <c r="AY95" s="349">
        <v>3.71</v>
      </c>
      <c r="AZ95" s="150">
        <v>1.2500000000000001E-2</v>
      </c>
      <c r="BA95" s="104">
        <f t="shared" si="2"/>
        <v>1.25</v>
      </c>
      <c r="BC95" s="437">
        <v>4.2699999999999996</v>
      </c>
      <c r="BD95" s="679">
        <f>BD$94+(BD$106-BD$94)/12*$BH95</f>
        <v>24802.916666666668</v>
      </c>
      <c r="BE95" s="679">
        <f>BE$94+(BE$106-BE$94)/12*$BH95</f>
        <v>18048.833333333332</v>
      </c>
      <c r="BF95" s="679">
        <f>BF$94+(BF$106-BF$94)/12*$BH95</f>
        <v>22231.833333333332</v>
      </c>
      <c r="BG95" s="679">
        <f>BG$94+(BG$106-BG$94)/12*$BH95</f>
        <v>14352.75</v>
      </c>
      <c r="BH95" s="679">
        <v>1</v>
      </c>
    </row>
    <row r="96" spans="1:60">
      <c r="A96" s="107">
        <v>42460</v>
      </c>
      <c r="B96" s="349">
        <v>1.87</v>
      </c>
      <c r="C96" s="349">
        <v>2</v>
      </c>
      <c r="D96" s="349">
        <v>2.17</v>
      </c>
      <c r="E96" s="349">
        <v>2.37</v>
      </c>
      <c r="F96" s="349">
        <v>2.56</v>
      </c>
      <c r="G96" s="349">
        <v>2.74</v>
      </c>
      <c r="H96" s="349">
        <v>2.9</v>
      </c>
      <c r="I96" s="349">
        <v>3.05</v>
      </c>
      <c r="J96" s="349">
        <v>3.18</v>
      </c>
      <c r="K96" s="349">
        <v>3.29</v>
      </c>
      <c r="L96" s="349">
        <v>3.4</v>
      </c>
      <c r="M96" s="349">
        <v>3.49</v>
      </c>
      <c r="N96" s="349">
        <v>3.57</v>
      </c>
      <c r="O96" s="349">
        <v>3.64</v>
      </c>
      <c r="P96" s="2303">
        <v>3.7</v>
      </c>
      <c r="Q96" s="349">
        <v>3.73</v>
      </c>
      <c r="R96" s="349">
        <v>3.75</v>
      </c>
      <c r="S96" s="349">
        <v>3.78</v>
      </c>
      <c r="T96" s="349">
        <v>3.8</v>
      </c>
      <c r="U96" s="349">
        <v>3.82</v>
      </c>
      <c r="V96" s="349">
        <v>3.81</v>
      </c>
      <c r="W96" s="349">
        <v>3.81</v>
      </c>
      <c r="X96" s="349">
        <v>3.81</v>
      </c>
      <c r="Y96" s="349">
        <v>3.8</v>
      </c>
      <c r="Z96" s="349">
        <v>3.8</v>
      </c>
      <c r="AA96" s="349">
        <v>3.78</v>
      </c>
      <c r="AB96" s="349">
        <v>3.77</v>
      </c>
      <c r="AC96" s="349">
        <v>3.76</v>
      </c>
      <c r="AD96" s="349">
        <v>3.75</v>
      </c>
      <c r="AE96" s="349">
        <v>3.74</v>
      </c>
      <c r="AF96" s="349">
        <v>3.73</v>
      </c>
      <c r="AG96" s="349">
        <v>3.72</v>
      </c>
      <c r="AH96" s="349">
        <v>3.71</v>
      </c>
      <c r="AI96" s="349">
        <v>3.7</v>
      </c>
      <c r="AJ96" s="349">
        <v>3.7</v>
      </c>
      <c r="AK96" s="349">
        <v>3.69</v>
      </c>
      <c r="AL96" s="349">
        <v>3.68</v>
      </c>
      <c r="AM96" s="349">
        <v>3.68</v>
      </c>
      <c r="AN96" s="349">
        <v>3.67</v>
      </c>
      <c r="AO96" s="349">
        <v>3.67</v>
      </c>
      <c r="AP96" s="349">
        <v>3.66</v>
      </c>
      <c r="AQ96" s="349">
        <v>3.66</v>
      </c>
      <c r="AR96" s="349">
        <v>3.66</v>
      </c>
      <c r="AS96" s="349">
        <v>3.66</v>
      </c>
      <c r="AT96" s="349">
        <v>3.66</v>
      </c>
      <c r="AU96" s="349">
        <v>3.66</v>
      </c>
      <c r="AV96" s="349">
        <v>3.65</v>
      </c>
      <c r="AW96" s="349">
        <v>3.65</v>
      </c>
      <c r="AX96" s="349">
        <v>3.65</v>
      </c>
      <c r="AY96" s="349">
        <v>3.65</v>
      </c>
      <c r="AZ96" s="150">
        <v>1.2500000000000001E-2</v>
      </c>
      <c r="BA96" s="104">
        <f t="shared" si="2"/>
        <v>1.25</v>
      </c>
      <c r="BC96" s="437">
        <v>4.24</v>
      </c>
      <c r="BD96" s="679">
        <f t="shared" ref="BD96:BG105" si="5">BD$94+(BD$106-BD$94)/12*$BH96</f>
        <v>25168.833333333332</v>
      </c>
      <c r="BE96" s="679">
        <f t="shared" si="5"/>
        <v>18681.666666666668</v>
      </c>
      <c r="BF96" s="679">
        <f t="shared" si="5"/>
        <v>22381.666666666668</v>
      </c>
      <c r="BG96" s="679">
        <f t="shared" si="5"/>
        <v>14587.5</v>
      </c>
      <c r="BH96" s="679">
        <v>2</v>
      </c>
    </row>
    <row r="97" spans="1:60">
      <c r="A97" s="107">
        <v>42490</v>
      </c>
      <c r="B97" s="349">
        <v>1.82</v>
      </c>
      <c r="C97" s="349">
        <v>1.95</v>
      </c>
      <c r="D97" s="349">
        <v>2.12</v>
      </c>
      <c r="E97" s="349">
        <v>2.31</v>
      </c>
      <c r="F97" s="349">
        <v>2.5</v>
      </c>
      <c r="G97" s="349">
        <v>2.68</v>
      </c>
      <c r="H97" s="349">
        <v>2.84</v>
      </c>
      <c r="I97" s="349">
        <v>2.99</v>
      </c>
      <c r="J97" s="349">
        <v>3.12</v>
      </c>
      <c r="K97" s="349">
        <v>3.24</v>
      </c>
      <c r="L97" s="349">
        <v>3.34</v>
      </c>
      <c r="M97" s="349">
        <v>3.44</v>
      </c>
      <c r="N97" s="349">
        <v>3.51</v>
      </c>
      <c r="O97" s="349">
        <v>3.58</v>
      </c>
      <c r="P97" s="2303">
        <v>3.64</v>
      </c>
      <c r="Q97" s="349">
        <v>3.67</v>
      </c>
      <c r="R97" s="349">
        <v>3.7</v>
      </c>
      <c r="S97" s="349">
        <v>3.72</v>
      </c>
      <c r="T97" s="349">
        <v>3.74</v>
      </c>
      <c r="U97" s="349">
        <v>3.76</v>
      </c>
      <c r="V97" s="349">
        <v>3.76</v>
      </c>
      <c r="W97" s="349">
        <v>3.75</v>
      </c>
      <c r="X97" s="349">
        <v>3.75</v>
      </c>
      <c r="Y97" s="349">
        <v>3.75</v>
      </c>
      <c r="Z97" s="349">
        <v>3.74</v>
      </c>
      <c r="AA97" s="349">
        <v>3.73</v>
      </c>
      <c r="AB97" s="349">
        <v>3.72</v>
      </c>
      <c r="AC97" s="349">
        <v>3.7</v>
      </c>
      <c r="AD97" s="349">
        <v>3.69</v>
      </c>
      <c r="AE97" s="349">
        <v>3.68</v>
      </c>
      <c r="AF97" s="349">
        <v>3.67</v>
      </c>
      <c r="AG97" s="349">
        <v>3.66</v>
      </c>
      <c r="AH97" s="349">
        <v>3.66</v>
      </c>
      <c r="AI97" s="349">
        <v>3.65</v>
      </c>
      <c r="AJ97" s="349">
        <v>3.64</v>
      </c>
      <c r="AK97" s="349">
        <v>3.64</v>
      </c>
      <c r="AL97" s="349">
        <v>3.63</v>
      </c>
      <c r="AM97" s="349">
        <v>3.63</v>
      </c>
      <c r="AN97" s="349">
        <v>3.62</v>
      </c>
      <c r="AO97" s="349">
        <v>3.61</v>
      </c>
      <c r="AP97" s="349">
        <v>3.61</v>
      </c>
      <c r="AQ97" s="349">
        <v>3.61</v>
      </c>
      <c r="AR97" s="349">
        <v>3.61</v>
      </c>
      <c r="AS97" s="349">
        <v>3.61</v>
      </c>
      <c r="AT97" s="349">
        <v>3.61</v>
      </c>
      <c r="AU97" s="349">
        <v>3.6</v>
      </c>
      <c r="AV97" s="349">
        <v>3.6</v>
      </c>
      <c r="AW97" s="349">
        <v>3.6</v>
      </c>
      <c r="AX97" s="349">
        <v>3.6</v>
      </c>
      <c r="AY97" s="349">
        <v>3.6</v>
      </c>
      <c r="AZ97" s="150">
        <v>1.2500000000000001E-2</v>
      </c>
      <c r="BA97" s="104">
        <f t="shared" si="2"/>
        <v>1.25</v>
      </c>
      <c r="BC97" s="437">
        <v>4.22</v>
      </c>
      <c r="BD97" s="679">
        <f t="shared" si="5"/>
        <v>25534.75</v>
      </c>
      <c r="BE97" s="679">
        <f t="shared" si="5"/>
        <v>19314.5</v>
      </c>
      <c r="BF97" s="679">
        <f t="shared" si="5"/>
        <v>22531.5</v>
      </c>
      <c r="BG97" s="679">
        <f t="shared" si="5"/>
        <v>14822.25</v>
      </c>
      <c r="BH97" s="679">
        <v>3</v>
      </c>
    </row>
    <row r="98" spans="1:60">
      <c r="A98" s="107">
        <v>42521</v>
      </c>
      <c r="B98" s="349">
        <v>1.78</v>
      </c>
      <c r="C98" s="349">
        <v>1.91</v>
      </c>
      <c r="D98" s="349">
        <v>2.0699999999999998</v>
      </c>
      <c r="E98" s="349">
        <v>2.2599999999999998</v>
      </c>
      <c r="F98" s="349">
        <v>2.4500000000000002</v>
      </c>
      <c r="G98" s="349">
        <v>2.63</v>
      </c>
      <c r="H98" s="349">
        <v>2.78</v>
      </c>
      <c r="I98" s="349">
        <v>2.93</v>
      </c>
      <c r="J98" s="349">
        <v>3.06</v>
      </c>
      <c r="K98" s="349">
        <v>3.18</v>
      </c>
      <c r="L98" s="349">
        <v>3.29</v>
      </c>
      <c r="M98" s="349">
        <v>3.38</v>
      </c>
      <c r="N98" s="349">
        <v>3.46</v>
      </c>
      <c r="O98" s="349">
        <v>3.52</v>
      </c>
      <c r="P98" s="2303">
        <v>3.58</v>
      </c>
      <c r="Q98" s="349">
        <v>3.61</v>
      </c>
      <c r="R98" s="349">
        <v>3.64</v>
      </c>
      <c r="S98" s="349">
        <v>3.66</v>
      </c>
      <c r="T98" s="349">
        <v>3.68</v>
      </c>
      <c r="U98" s="349">
        <v>3.7</v>
      </c>
      <c r="V98" s="349">
        <v>3.7</v>
      </c>
      <c r="W98" s="349">
        <v>3.7</v>
      </c>
      <c r="X98" s="349">
        <v>3.69</v>
      </c>
      <c r="Y98" s="349">
        <v>3.69</v>
      </c>
      <c r="Z98" s="349">
        <v>3.69</v>
      </c>
      <c r="AA98" s="349">
        <v>3.67</v>
      </c>
      <c r="AB98" s="349">
        <v>3.66</v>
      </c>
      <c r="AC98" s="349">
        <v>3.65</v>
      </c>
      <c r="AD98" s="349">
        <v>3.64</v>
      </c>
      <c r="AE98" s="349">
        <v>3.63</v>
      </c>
      <c r="AF98" s="349">
        <v>3.62</v>
      </c>
      <c r="AG98" s="349">
        <v>3.61</v>
      </c>
      <c r="AH98" s="349">
        <v>3.61</v>
      </c>
      <c r="AI98" s="349">
        <v>3.6</v>
      </c>
      <c r="AJ98" s="349">
        <v>3.59</v>
      </c>
      <c r="AK98" s="349">
        <v>3.59</v>
      </c>
      <c r="AL98" s="349">
        <v>3.58</v>
      </c>
      <c r="AM98" s="349">
        <v>3.58</v>
      </c>
      <c r="AN98" s="349">
        <v>3.57</v>
      </c>
      <c r="AO98" s="349">
        <v>3.57</v>
      </c>
      <c r="AP98" s="349">
        <v>3.56</v>
      </c>
      <c r="AQ98" s="349">
        <v>3.56</v>
      </c>
      <c r="AR98" s="349">
        <v>3.56</v>
      </c>
      <c r="AS98" s="349">
        <v>3.56</v>
      </c>
      <c r="AT98" s="349">
        <v>3.56</v>
      </c>
      <c r="AU98" s="349">
        <v>3.56</v>
      </c>
      <c r="AV98" s="349">
        <v>3.55</v>
      </c>
      <c r="AW98" s="349">
        <v>3.55</v>
      </c>
      <c r="AX98" s="349">
        <v>3.55</v>
      </c>
      <c r="AY98" s="349">
        <v>3.55</v>
      </c>
      <c r="AZ98" s="150">
        <v>1.2500000000000001E-2</v>
      </c>
      <c r="BA98" s="104">
        <f t="shared" si="2"/>
        <v>1.25</v>
      </c>
      <c r="BC98" s="437">
        <v>4.2</v>
      </c>
      <c r="BD98" s="679">
        <f t="shared" si="5"/>
        <v>25900.666666666668</v>
      </c>
      <c r="BE98" s="679">
        <f t="shared" si="5"/>
        <v>19947.333333333332</v>
      </c>
      <c r="BF98" s="679">
        <f t="shared" si="5"/>
        <v>22681.333333333332</v>
      </c>
      <c r="BG98" s="679">
        <f t="shared" si="5"/>
        <v>15057</v>
      </c>
      <c r="BH98" s="679">
        <v>4</v>
      </c>
    </row>
    <row r="99" spans="1:60">
      <c r="A99" s="107">
        <v>42551</v>
      </c>
      <c r="B99" s="349">
        <v>1.75</v>
      </c>
      <c r="C99" s="349">
        <v>1.87</v>
      </c>
      <c r="D99" s="349">
        <v>2.0299999999999998</v>
      </c>
      <c r="E99" s="349">
        <v>2.21</v>
      </c>
      <c r="F99" s="349">
        <v>2.39</v>
      </c>
      <c r="G99" s="349">
        <v>2.57</v>
      </c>
      <c r="H99" s="349">
        <v>2.73</v>
      </c>
      <c r="I99" s="349">
        <v>2.88</v>
      </c>
      <c r="J99" s="349">
        <v>3.01</v>
      </c>
      <c r="K99" s="349">
        <v>3.12</v>
      </c>
      <c r="L99" s="349">
        <v>3.23</v>
      </c>
      <c r="M99" s="349">
        <v>3.32</v>
      </c>
      <c r="N99" s="349">
        <v>3.4</v>
      </c>
      <c r="O99" s="349">
        <v>3.47</v>
      </c>
      <c r="P99" s="2303">
        <v>3.52</v>
      </c>
      <c r="Q99" s="349">
        <v>3.56</v>
      </c>
      <c r="R99" s="349">
        <v>3.58</v>
      </c>
      <c r="S99" s="349">
        <v>3.61</v>
      </c>
      <c r="T99" s="349">
        <v>3.63</v>
      </c>
      <c r="U99" s="349">
        <v>3.65</v>
      </c>
      <c r="V99" s="349">
        <v>3.64</v>
      </c>
      <c r="W99" s="349">
        <v>3.64</v>
      </c>
      <c r="X99" s="349">
        <v>3.64</v>
      </c>
      <c r="Y99" s="349">
        <v>3.63</v>
      </c>
      <c r="Z99" s="349">
        <v>3.63</v>
      </c>
      <c r="AA99" s="349">
        <v>3.62</v>
      </c>
      <c r="AB99" s="349">
        <v>3.61</v>
      </c>
      <c r="AC99" s="349">
        <v>3.6</v>
      </c>
      <c r="AD99" s="349">
        <v>3.58</v>
      </c>
      <c r="AE99" s="349">
        <v>3.57</v>
      </c>
      <c r="AF99" s="349">
        <v>3.57</v>
      </c>
      <c r="AG99" s="349">
        <v>3.56</v>
      </c>
      <c r="AH99" s="349">
        <v>3.55</v>
      </c>
      <c r="AI99" s="349">
        <v>3.55</v>
      </c>
      <c r="AJ99" s="349">
        <v>3.54</v>
      </c>
      <c r="AK99" s="349">
        <v>3.54</v>
      </c>
      <c r="AL99" s="349">
        <v>3.53</v>
      </c>
      <c r="AM99" s="349">
        <v>3.52</v>
      </c>
      <c r="AN99" s="349">
        <v>3.52</v>
      </c>
      <c r="AO99" s="349">
        <v>3.52</v>
      </c>
      <c r="AP99" s="349">
        <v>3.51</v>
      </c>
      <c r="AQ99" s="349">
        <v>3.51</v>
      </c>
      <c r="AR99" s="349">
        <v>3.51</v>
      </c>
      <c r="AS99" s="349">
        <v>3.51</v>
      </c>
      <c r="AT99" s="349">
        <v>3.51</v>
      </c>
      <c r="AU99" s="349">
        <v>3.51</v>
      </c>
      <c r="AV99" s="349">
        <v>3.5</v>
      </c>
      <c r="AW99" s="349">
        <v>3.5</v>
      </c>
      <c r="AX99" s="349">
        <v>3.5</v>
      </c>
      <c r="AY99" s="349">
        <v>3.5</v>
      </c>
      <c r="AZ99" s="150">
        <v>1.2500000000000001E-2</v>
      </c>
      <c r="BA99" s="104">
        <f t="shared" si="2"/>
        <v>1.25</v>
      </c>
      <c r="BC99" s="437">
        <v>4.17</v>
      </c>
      <c r="BD99" s="679">
        <f t="shared" si="5"/>
        <v>26266.583333333332</v>
      </c>
      <c r="BE99" s="679">
        <f t="shared" si="5"/>
        <v>20580.166666666668</v>
      </c>
      <c r="BF99" s="679">
        <f t="shared" si="5"/>
        <v>22831.166666666668</v>
      </c>
      <c r="BG99" s="679">
        <f t="shared" si="5"/>
        <v>15291.75</v>
      </c>
      <c r="BH99" s="679">
        <v>5</v>
      </c>
    </row>
    <row r="100" spans="1:60">
      <c r="A100" s="107">
        <v>42582</v>
      </c>
      <c r="B100" s="349">
        <v>1.72</v>
      </c>
      <c r="C100" s="349">
        <v>1.84</v>
      </c>
      <c r="D100" s="349">
        <v>1.99</v>
      </c>
      <c r="E100" s="349">
        <v>2.17</v>
      </c>
      <c r="F100" s="349">
        <v>2.35</v>
      </c>
      <c r="G100" s="349">
        <v>2.52</v>
      </c>
      <c r="H100" s="349">
        <v>2.68</v>
      </c>
      <c r="I100" s="349">
        <v>2.82</v>
      </c>
      <c r="J100" s="349">
        <v>2.95</v>
      </c>
      <c r="K100" s="349">
        <v>3.07</v>
      </c>
      <c r="L100" s="349">
        <v>3.18</v>
      </c>
      <c r="M100" s="349">
        <v>3.27</v>
      </c>
      <c r="N100" s="349">
        <v>3.35</v>
      </c>
      <c r="O100" s="349">
        <v>3.41</v>
      </c>
      <c r="P100" s="2303">
        <v>3.47</v>
      </c>
      <c r="Q100" s="349">
        <v>3.5</v>
      </c>
      <c r="R100" s="349">
        <v>3.53</v>
      </c>
      <c r="S100" s="349">
        <v>3.55</v>
      </c>
      <c r="T100" s="349">
        <v>3.57</v>
      </c>
      <c r="U100" s="349">
        <v>3.59</v>
      </c>
      <c r="V100" s="349">
        <v>3.59</v>
      </c>
      <c r="W100" s="349">
        <v>3.59</v>
      </c>
      <c r="X100" s="349">
        <v>3.58</v>
      </c>
      <c r="Y100" s="349">
        <v>3.58</v>
      </c>
      <c r="Z100" s="349">
        <v>3.58</v>
      </c>
      <c r="AA100" s="349">
        <v>3.57</v>
      </c>
      <c r="AB100" s="349">
        <v>3.55</v>
      </c>
      <c r="AC100" s="349">
        <v>3.54</v>
      </c>
      <c r="AD100" s="349">
        <v>3.53</v>
      </c>
      <c r="AE100" s="349">
        <v>3.52</v>
      </c>
      <c r="AF100" s="349">
        <v>3.52</v>
      </c>
      <c r="AG100" s="349">
        <v>3.51</v>
      </c>
      <c r="AH100" s="349">
        <v>3.5</v>
      </c>
      <c r="AI100" s="349">
        <v>3.5</v>
      </c>
      <c r="AJ100" s="349">
        <v>3.49</v>
      </c>
      <c r="AK100" s="349">
        <v>3.49</v>
      </c>
      <c r="AL100" s="349">
        <v>3.48</v>
      </c>
      <c r="AM100" s="349">
        <v>3.48</v>
      </c>
      <c r="AN100" s="349">
        <v>3.47</v>
      </c>
      <c r="AO100" s="349">
        <v>3.47</v>
      </c>
      <c r="AP100" s="349">
        <v>3.47</v>
      </c>
      <c r="AQ100" s="349">
        <v>3.46</v>
      </c>
      <c r="AR100" s="349">
        <v>3.46</v>
      </c>
      <c r="AS100" s="349">
        <v>3.46</v>
      </c>
      <c r="AT100" s="349">
        <v>3.46</v>
      </c>
      <c r="AU100" s="349">
        <v>3.46</v>
      </c>
      <c r="AV100" s="349">
        <v>3.46</v>
      </c>
      <c r="AW100" s="349">
        <v>3.46</v>
      </c>
      <c r="AX100" s="349">
        <v>3.46</v>
      </c>
      <c r="AY100" s="349">
        <v>3.45</v>
      </c>
      <c r="AZ100" s="150">
        <v>1.2500000000000001E-2</v>
      </c>
      <c r="BA100" s="104">
        <f t="shared" si="2"/>
        <v>1.25</v>
      </c>
      <c r="BC100" s="437">
        <v>4.1399999999999997</v>
      </c>
      <c r="BD100" s="679">
        <f t="shared" si="5"/>
        <v>26632.5</v>
      </c>
      <c r="BE100" s="679">
        <f t="shared" si="5"/>
        <v>21213</v>
      </c>
      <c r="BF100" s="679">
        <f t="shared" si="5"/>
        <v>22981</v>
      </c>
      <c r="BG100" s="679">
        <f t="shared" si="5"/>
        <v>15526.5</v>
      </c>
      <c r="BH100" s="679">
        <v>6</v>
      </c>
    </row>
    <row r="101" spans="1:60">
      <c r="A101" s="107">
        <v>42613</v>
      </c>
      <c r="B101" s="349">
        <v>1.69</v>
      </c>
      <c r="C101" s="349">
        <v>1.8</v>
      </c>
      <c r="D101" s="349">
        <v>1.95</v>
      </c>
      <c r="E101" s="349">
        <v>2.12</v>
      </c>
      <c r="F101" s="349">
        <v>2.2999999999999998</v>
      </c>
      <c r="G101" s="349">
        <v>2.4700000000000002</v>
      </c>
      <c r="H101" s="349">
        <v>2.63</v>
      </c>
      <c r="I101" s="349">
        <v>2.77</v>
      </c>
      <c r="J101" s="349">
        <v>2.9</v>
      </c>
      <c r="K101" s="349">
        <v>3.02</v>
      </c>
      <c r="L101" s="349">
        <v>3.13</v>
      </c>
      <c r="M101" s="349">
        <v>3.22</v>
      </c>
      <c r="N101" s="349">
        <v>3.3</v>
      </c>
      <c r="O101" s="349">
        <v>3.36</v>
      </c>
      <c r="P101" s="2303">
        <v>3.42</v>
      </c>
      <c r="Q101" s="349">
        <v>3.45</v>
      </c>
      <c r="R101" s="349">
        <v>3.48</v>
      </c>
      <c r="S101" s="349">
        <v>3.5</v>
      </c>
      <c r="T101" s="349">
        <v>3.52</v>
      </c>
      <c r="U101" s="349">
        <v>3.54</v>
      </c>
      <c r="V101" s="349">
        <v>3.54</v>
      </c>
      <c r="W101" s="349">
        <v>3.53</v>
      </c>
      <c r="X101" s="349">
        <v>3.53</v>
      </c>
      <c r="Y101" s="349">
        <v>3.53</v>
      </c>
      <c r="Z101" s="349">
        <v>3.53</v>
      </c>
      <c r="AA101" s="349">
        <v>3.52</v>
      </c>
      <c r="AB101" s="349">
        <v>3.5</v>
      </c>
      <c r="AC101" s="349">
        <v>3.49</v>
      </c>
      <c r="AD101" s="349">
        <v>3.48</v>
      </c>
      <c r="AE101" s="349">
        <v>3.47</v>
      </c>
      <c r="AF101" s="349">
        <v>3.47</v>
      </c>
      <c r="AG101" s="349">
        <v>3.46</v>
      </c>
      <c r="AH101" s="349">
        <v>3.45</v>
      </c>
      <c r="AI101" s="349">
        <v>3.45</v>
      </c>
      <c r="AJ101" s="349">
        <v>3.44</v>
      </c>
      <c r="AK101" s="349">
        <v>3.44</v>
      </c>
      <c r="AL101" s="349">
        <v>3.43</v>
      </c>
      <c r="AM101" s="349">
        <v>3.43</v>
      </c>
      <c r="AN101" s="349">
        <v>3.43</v>
      </c>
      <c r="AO101" s="349">
        <v>3.42</v>
      </c>
      <c r="AP101" s="349">
        <v>3.42</v>
      </c>
      <c r="AQ101" s="349">
        <v>3.42</v>
      </c>
      <c r="AR101" s="349">
        <v>3.42</v>
      </c>
      <c r="AS101" s="349">
        <v>3.42</v>
      </c>
      <c r="AT101" s="349">
        <v>3.41</v>
      </c>
      <c r="AU101" s="349">
        <v>3.41</v>
      </c>
      <c r="AV101" s="349">
        <v>3.41</v>
      </c>
      <c r="AW101" s="349">
        <v>3.41</v>
      </c>
      <c r="AX101" s="349">
        <v>3.41</v>
      </c>
      <c r="AY101" s="349">
        <v>3.41</v>
      </c>
      <c r="AZ101" s="150">
        <v>1.2500000000000001E-2</v>
      </c>
      <c r="BA101" s="104">
        <f t="shared" si="2"/>
        <v>1.25</v>
      </c>
      <c r="BC101" s="437">
        <v>4.1100000000000003</v>
      </c>
      <c r="BD101" s="679">
        <f t="shared" si="5"/>
        <v>26998.416666666668</v>
      </c>
      <c r="BE101" s="679">
        <f t="shared" si="5"/>
        <v>21845.833333333336</v>
      </c>
      <c r="BF101" s="679">
        <f t="shared" si="5"/>
        <v>23130.833333333332</v>
      </c>
      <c r="BG101" s="679">
        <f t="shared" si="5"/>
        <v>15761.25</v>
      </c>
      <c r="BH101" s="679">
        <v>7</v>
      </c>
    </row>
    <row r="102" spans="1:60">
      <c r="A102" s="107">
        <v>42643</v>
      </c>
      <c r="B102" s="349">
        <v>1.66</v>
      </c>
      <c r="C102" s="349">
        <v>1.77</v>
      </c>
      <c r="D102" s="349">
        <v>1.91</v>
      </c>
      <c r="E102" s="349">
        <v>2.08</v>
      </c>
      <c r="F102" s="349">
        <v>2.2599999999999998</v>
      </c>
      <c r="G102" s="349">
        <v>2.4300000000000002</v>
      </c>
      <c r="H102" s="349">
        <v>2.58</v>
      </c>
      <c r="I102" s="349">
        <v>2.73</v>
      </c>
      <c r="J102" s="349">
        <v>2.85</v>
      </c>
      <c r="K102" s="349">
        <v>2.97</v>
      </c>
      <c r="L102" s="349">
        <v>3.08</v>
      </c>
      <c r="M102" s="349">
        <v>3.17</v>
      </c>
      <c r="N102" s="349">
        <v>3.25</v>
      </c>
      <c r="O102" s="349">
        <v>3.31</v>
      </c>
      <c r="P102" s="2303">
        <v>3.37</v>
      </c>
      <c r="Q102" s="349">
        <v>3.4</v>
      </c>
      <c r="R102" s="349">
        <v>3.42</v>
      </c>
      <c r="S102" s="349">
        <v>3.45</v>
      </c>
      <c r="T102" s="349">
        <v>3.47</v>
      </c>
      <c r="U102" s="349">
        <v>3.49</v>
      </c>
      <c r="V102" s="349">
        <v>3.49</v>
      </c>
      <c r="W102" s="349">
        <v>3.48</v>
      </c>
      <c r="X102" s="349">
        <v>3.48</v>
      </c>
      <c r="Y102" s="349">
        <v>3.48</v>
      </c>
      <c r="Z102" s="349">
        <v>3.48</v>
      </c>
      <c r="AA102" s="349">
        <v>3.47</v>
      </c>
      <c r="AB102" s="349">
        <v>3.45</v>
      </c>
      <c r="AC102" s="349">
        <v>3.44</v>
      </c>
      <c r="AD102" s="349">
        <v>3.43</v>
      </c>
      <c r="AE102" s="349">
        <v>3.43</v>
      </c>
      <c r="AF102" s="349">
        <v>3.42</v>
      </c>
      <c r="AG102" s="349">
        <v>3.41</v>
      </c>
      <c r="AH102" s="349">
        <v>3.41</v>
      </c>
      <c r="AI102" s="349">
        <v>3.4</v>
      </c>
      <c r="AJ102" s="349">
        <v>3.4</v>
      </c>
      <c r="AK102" s="349">
        <v>3.39</v>
      </c>
      <c r="AL102" s="349">
        <v>3.39</v>
      </c>
      <c r="AM102" s="349">
        <v>3.38</v>
      </c>
      <c r="AN102" s="349">
        <v>3.38</v>
      </c>
      <c r="AO102" s="349">
        <v>3.38</v>
      </c>
      <c r="AP102" s="349">
        <v>3.37</v>
      </c>
      <c r="AQ102" s="349">
        <v>3.37</v>
      </c>
      <c r="AR102" s="349">
        <v>3.37</v>
      </c>
      <c r="AS102" s="349">
        <v>3.37</v>
      </c>
      <c r="AT102" s="349">
        <v>3.37</v>
      </c>
      <c r="AU102" s="349">
        <v>3.37</v>
      </c>
      <c r="AV102" s="349">
        <v>3.37</v>
      </c>
      <c r="AW102" s="349">
        <v>3.37</v>
      </c>
      <c r="AX102" s="349">
        <v>3.36</v>
      </c>
      <c r="AY102" s="349">
        <v>3.36</v>
      </c>
      <c r="AZ102" s="150">
        <v>1.2500000000000001E-2</v>
      </c>
      <c r="BA102" s="104">
        <f t="shared" si="2"/>
        <v>1.25</v>
      </c>
      <c r="BC102" s="437">
        <v>4.08</v>
      </c>
      <c r="BD102" s="679">
        <f t="shared" si="5"/>
        <v>27364.333333333332</v>
      </c>
      <c r="BE102" s="679">
        <f t="shared" si="5"/>
        <v>22478.666666666668</v>
      </c>
      <c r="BF102" s="679">
        <f t="shared" si="5"/>
        <v>23280.666666666668</v>
      </c>
      <c r="BG102" s="679">
        <f t="shared" si="5"/>
        <v>15996</v>
      </c>
      <c r="BH102" s="679">
        <v>8</v>
      </c>
    </row>
    <row r="103" spans="1:60" ht="12.75" customHeight="1">
      <c r="A103" s="107">
        <v>42674</v>
      </c>
      <c r="B103" s="349">
        <v>1.64</v>
      </c>
      <c r="C103" s="349">
        <v>1.74</v>
      </c>
      <c r="D103" s="349">
        <v>1.87</v>
      </c>
      <c r="E103" s="349">
        <v>2.04</v>
      </c>
      <c r="F103" s="349">
        <v>2.2200000000000002</v>
      </c>
      <c r="G103" s="349">
        <v>2.39</v>
      </c>
      <c r="H103" s="349">
        <v>2.54</v>
      </c>
      <c r="I103" s="349">
        <v>2.68</v>
      </c>
      <c r="J103" s="349">
        <v>2.81</v>
      </c>
      <c r="K103" s="349">
        <v>2.93</v>
      </c>
      <c r="L103" s="349">
        <v>3.03</v>
      </c>
      <c r="M103" s="349">
        <v>3.12</v>
      </c>
      <c r="N103" s="349">
        <v>3.2</v>
      </c>
      <c r="O103" s="349">
        <v>3.27</v>
      </c>
      <c r="P103" s="2303">
        <v>3.32</v>
      </c>
      <c r="Q103" s="349">
        <v>3.35</v>
      </c>
      <c r="R103" s="349">
        <v>3.38</v>
      </c>
      <c r="S103" s="349">
        <v>3.4</v>
      </c>
      <c r="T103" s="349">
        <v>3.42</v>
      </c>
      <c r="U103" s="349">
        <v>3.44</v>
      </c>
      <c r="V103" s="349">
        <v>3.44</v>
      </c>
      <c r="W103" s="349">
        <v>3.44</v>
      </c>
      <c r="X103" s="349">
        <v>3.44</v>
      </c>
      <c r="Y103" s="349">
        <v>3.43</v>
      </c>
      <c r="Z103" s="349">
        <v>3.43</v>
      </c>
      <c r="AA103" s="349">
        <v>3.42</v>
      </c>
      <c r="AB103" s="349">
        <v>3.41</v>
      </c>
      <c r="AC103" s="349">
        <v>3.4</v>
      </c>
      <c r="AD103" s="349">
        <v>3.39</v>
      </c>
      <c r="AE103" s="349">
        <v>3.38</v>
      </c>
      <c r="AF103" s="349">
        <v>3.38</v>
      </c>
      <c r="AG103" s="349">
        <v>3.37</v>
      </c>
      <c r="AH103" s="349">
        <v>3.37</v>
      </c>
      <c r="AI103" s="349">
        <v>3.36</v>
      </c>
      <c r="AJ103" s="349">
        <v>3.36</v>
      </c>
      <c r="AK103" s="349">
        <v>3.35</v>
      </c>
      <c r="AL103" s="349">
        <v>3.35</v>
      </c>
      <c r="AM103" s="349">
        <v>3.34</v>
      </c>
      <c r="AN103" s="349">
        <v>3.34</v>
      </c>
      <c r="AO103" s="349">
        <v>3.34</v>
      </c>
      <c r="AP103" s="349">
        <v>3.33</v>
      </c>
      <c r="AQ103" s="349">
        <v>3.33</v>
      </c>
      <c r="AR103" s="349">
        <v>3.33</v>
      </c>
      <c r="AS103" s="349">
        <v>3.33</v>
      </c>
      <c r="AT103" s="349">
        <v>3.33</v>
      </c>
      <c r="AU103" s="349">
        <v>3.33</v>
      </c>
      <c r="AV103" s="349">
        <v>3.33</v>
      </c>
      <c r="AW103" s="349">
        <v>3.33</v>
      </c>
      <c r="AX103" s="349">
        <v>3.32</v>
      </c>
      <c r="AY103" s="349">
        <v>3.32</v>
      </c>
      <c r="AZ103" s="150">
        <v>1.2500000000000001E-2</v>
      </c>
      <c r="BA103" s="104">
        <f t="shared" si="2"/>
        <v>1.25</v>
      </c>
      <c r="BC103" s="437">
        <v>4.0599999999999996</v>
      </c>
      <c r="BD103" s="679">
        <f t="shared" si="5"/>
        <v>27730.25</v>
      </c>
      <c r="BE103" s="679">
        <f t="shared" si="5"/>
        <v>23111.5</v>
      </c>
      <c r="BF103" s="679">
        <f t="shared" si="5"/>
        <v>23430.5</v>
      </c>
      <c r="BG103" s="679">
        <f t="shared" si="5"/>
        <v>16230.75</v>
      </c>
      <c r="BH103" s="679">
        <v>9</v>
      </c>
    </row>
    <row r="104" spans="1:60" ht="12.75" customHeight="1">
      <c r="A104" s="107">
        <v>42704</v>
      </c>
      <c r="B104" s="349">
        <v>1.61</v>
      </c>
      <c r="C104" s="349">
        <v>1.71</v>
      </c>
      <c r="D104" s="349">
        <v>1.84</v>
      </c>
      <c r="E104" s="349">
        <v>2.0099999999999998</v>
      </c>
      <c r="F104" s="349">
        <v>2.1800000000000002</v>
      </c>
      <c r="G104" s="349">
        <v>2.35</v>
      </c>
      <c r="H104" s="349">
        <v>2.5</v>
      </c>
      <c r="I104" s="349">
        <v>2.64</v>
      </c>
      <c r="J104" s="349">
        <v>2.77</v>
      </c>
      <c r="K104" s="349">
        <v>2.89</v>
      </c>
      <c r="L104" s="349">
        <v>2.99</v>
      </c>
      <c r="M104" s="349">
        <v>3.08</v>
      </c>
      <c r="N104" s="349">
        <v>3.16</v>
      </c>
      <c r="O104" s="349">
        <v>3.22</v>
      </c>
      <c r="P104" s="2303">
        <v>3.28</v>
      </c>
      <c r="Q104" s="349">
        <v>3.31</v>
      </c>
      <c r="R104" s="349">
        <v>3.34</v>
      </c>
      <c r="S104" s="349">
        <v>3.36</v>
      </c>
      <c r="T104" s="349">
        <v>3.38</v>
      </c>
      <c r="U104" s="349">
        <v>3.4</v>
      </c>
      <c r="V104" s="349">
        <v>3.4</v>
      </c>
      <c r="W104" s="349">
        <v>3.4</v>
      </c>
      <c r="X104" s="349">
        <v>3.4</v>
      </c>
      <c r="Y104" s="349">
        <v>3.39</v>
      </c>
      <c r="Z104" s="349">
        <v>3.39</v>
      </c>
      <c r="AA104" s="349">
        <v>3.38</v>
      </c>
      <c r="AB104" s="349">
        <v>3.37</v>
      </c>
      <c r="AC104" s="349">
        <v>3.36</v>
      </c>
      <c r="AD104" s="349">
        <v>3.35</v>
      </c>
      <c r="AE104" s="349">
        <v>3.34</v>
      </c>
      <c r="AF104" s="349">
        <v>3.34</v>
      </c>
      <c r="AG104" s="349">
        <v>3.33</v>
      </c>
      <c r="AH104" s="349">
        <v>3.33</v>
      </c>
      <c r="AI104" s="349">
        <v>3.32</v>
      </c>
      <c r="AJ104" s="349">
        <v>3.32</v>
      </c>
      <c r="AK104" s="349">
        <v>3.32</v>
      </c>
      <c r="AL104" s="349">
        <v>3.31</v>
      </c>
      <c r="AM104" s="349">
        <v>3.31</v>
      </c>
      <c r="AN104" s="349">
        <v>3.3</v>
      </c>
      <c r="AO104" s="349">
        <v>3.3</v>
      </c>
      <c r="AP104" s="349">
        <v>3.3</v>
      </c>
      <c r="AQ104" s="349">
        <v>3.3</v>
      </c>
      <c r="AR104" s="349">
        <v>3.3</v>
      </c>
      <c r="AS104" s="349">
        <v>3.3</v>
      </c>
      <c r="AT104" s="349">
        <v>3.29</v>
      </c>
      <c r="AU104" s="349">
        <v>3.29</v>
      </c>
      <c r="AV104" s="349">
        <v>3.29</v>
      </c>
      <c r="AW104" s="349">
        <v>3.29</v>
      </c>
      <c r="AX104" s="349">
        <v>3.29</v>
      </c>
      <c r="AY104" s="349">
        <v>3.29</v>
      </c>
      <c r="AZ104" s="150">
        <v>1.2500000000000001E-2</v>
      </c>
      <c r="BA104" s="104">
        <f t="shared" si="2"/>
        <v>1.25</v>
      </c>
      <c r="BC104" s="437">
        <v>4.03</v>
      </c>
      <c r="BD104" s="679">
        <f t="shared" si="5"/>
        <v>28096.166666666668</v>
      </c>
      <c r="BE104" s="679">
        <f t="shared" si="5"/>
        <v>23744.333333333336</v>
      </c>
      <c r="BF104" s="679">
        <f t="shared" si="5"/>
        <v>23580.333333333332</v>
      </c>
      <c r="BG104" s="679">
        <f t="shared" si="5"/>
        <v>16465.5</v>
      </c>
      <c r="BH104" s="679">
        <v>10</v>
      </c>
    </row>
    <row r="105" spans="1:60">
      <c r="A105" s="107">
        <v>42735</v>
      </c>
      <c r="B105" s="349">
        <v>1.59</v>
      </c>
      <c r="C105" s="349">
        <v>1.67</v>
      </c>
      <c r="D105" s="349">
        <v>1.81</v>
      </c>
      <c r="E105" s="349">
        <v>1.97</v>
      </c>
      <c r="F105" s="349">
        <v>2.14</v>
      </c>
      <c r="G105" s="349">
        <v>2.2999999999999998</v>
      </c>
      <c r="H105" s="349">
        <v>2.46</v>
      </c>
      <c r="I105" s="349">
        <v>2.6</v>
      </c>
      <c r="J105" s="349">
        <v>2.73</v>
      </c>
      <c r="K105" s="349">
        <v>2.84</v>
      </c>
      <c r="L105" s="349">
        <v>2.95</v>
      </c>
      <c r="M105" s="349">
        <v>3.04</v>
      </c>
      <c r="N105" s="349">
        <v>3.12</v>
      </c>
      <c r="O105" s="349">
        <v>3.18</v>
      </c>
      <c r="P105" s="2303">
        <v>3.24</v>
      </c>
      <c r="Q105" s="349">
        <v>3.27</v>
      </c>
      <c r="R105" s="349">
        <v>3.29</v>
      </c>
      <c r="S105" s="349">
        <v>3.32</v>
      </c>
      <c r="T105" s="349">
        <v>3.34</v>
      </c>
      <c r="U105" s="349">
        <v>3.36</v>
      </c>
      <c r="V105" s="349">
        <v>3.36</v>
      </c>
      <c r="W105" s="349">
        <v>3.36</v>
      </c>
      <c r="X105" s="349">
        <v>3.35</v>
      </c>
      <c r="Y105" s="349">
        <v>3.35</v>
      </c>
      <c r="Z105" s="349">
        <v>3.35</v>
      </c>
      <c r="AA105" s="349">
        <v>3.34</v>
      </c>
      <c r="AB105" s="349">
        <v>3.33</v>
      </c>
      <c r="AC105" s="349">
        <v>3.32</v>
      </c>
      <c r="AD105" s="349">
        <v>3.31</v>
      </c>
      <c r="AE105" s="349">
        <v>3.31</v>
      </c>
      <c r="AF105" s="349">
        <v>3.3</v>
      </c>
      <c r="AG105" s="349">
        <v>3.29</v>
      </c>
      <c r="AH105" s="349">
        <v>3.29</v>
      </c>
      <c r="AI105" s="349">
        <v>3.29</v>
      </c>
      <c r="AJ105" s="349">
        <v>3.28</v>
      </c>
      <c r="AK105" s="349">
        <v>3.28</v>
      </c>
      <c r="AL105" s="349">
        <v>3.27</v>
      </c>
      <c r="AM105" s="349">
        <v>3.27</v>
      </c>
      <c r="AN105" s="349">
        <v>3.27</v>
      </c>
      <c r="AO105" s="349">
        <v>3.26</v>
      </c>
      <c r="AP105" s="349">
        <v>3.26</v>
      </c>
      <c r="AQ105" s="349">
        <v>3.26</v>
      </c>
      <c r="AR105" s="349">
        <v>3.26</v>
      </c>
      <c r="AS105" s="349">
        <v>3.26</v>
      </c>
      <c r="AT105" s="349">
        <v>3.26</v>
      </c>
      <c r="AU105" s="349">
        <v>3.26</v>
      </c>
      <c r="AV105" s="349">
        <v>3.26</v>
      </c>
      <c r="AW105" s="349">
        <v>3.26</v>
      </c>
      <c r="AX105" s="349">
        <v>3.25</v>
      </c>
      <c r="AY105" s="349">
        <v>3.25</v>
      </c>
      <c r="AZ105" s="150">
        <v>1.2500000000000001E-2</v>
      </c>
      <c r="BA105" s="104">
        <f t="shared" si="2"/>
        <v>1.25</v>
      </c>
      <c r="BC105" s="437">
        <v>4.01</v>
      </c>
      <c r="BD105" s="679">
        <f t="shared" si="5"/>
        <v>28462.083333333332</v>
      </c>
      <c r="BE105" s="679">
        <f t="shared" si="5"/>
        <v>24377.166666666668</v>
      </c>
      <c r="BF105" s="679">
        <f t="shared" si="5"/>
        <v>23730.166666666668</v>
      </c>
      <c r="BG105" s="679">
        <f t="shared" si="5"/>
        <v>16700.25</v>
      </c>
      <c r="BH105" s="679">
        <v>11</v>
      </c>
    </row>
    <row r="106" spans="1:60">
      <c r="A106" s="107">
        <v>42766</v>
      </c>
      <c r="B106" s="349">
        <v>1.57</v>
      </c>
      <c r="C106" s="349">
        <v>1.65</v>
      </c>
      <c r="D106" s="349">
        <v>1.77</v>
      </c>
      <c r="E106" s="349">
        <v>1.93</v>
      </c>
      <c r="F106" s="349">
        <v>2.1</v>
      </c>
      <c r="G106" s="349">
        <v>2.27</v>
      </c>
      <c r="H106" s="349">
        <v>2.42</v>
      </c>
      <c r="I106" s="349">
        <v>2.56</v>
      </c>
      <c r="J106" s="349">
        <v>2.69</v>
      </c>
      <c r="K106" s="349">
        <v>2.8</v>
      </c>
      <c r="L106" s="349">
        <v>2.91</v>
      </c>
      <c r="M106" s="349">
        <v>3</v>
      </c>
      <c r="N106" s="349">
        <v>3.08</v>
      </c>
      <c r="O106" s="349">
        <v>3.14</v>
      </c>
      <c r="P106" s="2303">
        <v>3.2</v>
      </c>
      <c r="Q106" s="349">
        <v>3.23</v>
      </c>
      <c r="R106" s="349">
        <v>3.26</v>
      </c>
      <c r="S106" s="349">
        <v>3.28</v>
      </c>
      <c r="T106" s="349">
        <v>3.3</v>
      </c>
      <c r="U106" s="349">
        <v>3.32</v>
      </c>
      <c r="V106" s="349">
        <v>3.32</v>
      </c>
      <c r="W106" s="349">
        <v>3.32</v>
      </c>
      <c r="X106" s="349">
        <v>3.32</v>
      </c>
      <c r="Y106" s="349">
        <v>3.32</v>
      </c>
      <c r="Z106" s="349">
        <v>3.32</v>
      </c>
      <c r="AA106" s="349">
        <v>3.3</v>
      </c>
      <c r="AB106" s="349">
        <v>3.3</v>
      </c>
      <c r="AC106" s="349">
        <v>3.29</v>
      </c>
      <c r="AD106" s="349">
        <v>3.28</v>
      </c>
      <c r="AE106" s="349">
        <v>3.27</v>
      </c>
      <c r="AF106" s="349">
        <v>3.27</v>
      </c>
      <c r="AG106" s="349">
        <v>3.26</v>
      </c>
      <c r="AH106" s="349">
        <v>3.26</v>
      </c>
      <c r="AI106" s="349">
        <v>3.25</v>
      </c>
      <c r="AJ106" s="349">
        <v>3.25</v>
      </c>
      <c r="AK106" s="349">
        <v>3.24</v>
      </c>
      <c r="AL106" s="349">
        <v>3.24</v>
      </c>
      <c r="AM106" s="349">
        <v>3.24</v>
      </c>
      <c r="AN106" s="349">
        <v>3.24</v>
      </c>
      <c r="AO106" s="349">
        <v>3.23</v>
      </c>
      <c r="AP106" s="349">
        <v>3.23</v>
      </c>
      <c r="AQ106" s="349">
        <v>3.23</v>
      </c>
      <c r="AR106" s="349">
        <v>3.23</v>
      </c>
      <c r="AS106" s="349">
        <v>3.23</v>
      </c>
      <c r="AT106" s="349">
        <v>3.23</v>
      </c>
      <c r="AU106" s="349">
        <v>3.23</v>
      </c>
      <c r="AV106" s="349">
        <v>3.23</v>
      </c>
      <c r="AW106" s="349">
        <v>3.22</v>
      </c>
      <c r="AX106" s="349">
        <v>3.22</v>
      </c>
      <c r="AY106" s="349">
        <v>3.22</v>
      </c>
      <c r="AZ106" s="150">
        <v>1.2500000000000001E-2</v>
      </c>
      <c r="BA106" s="104">
        <f t="shared" si="2"/>
        <v>1.25</v>
      </c>
      <c r="BC106" s="437">
        <v>3.99</v>
      </c>
      <c r="BD106" s="680">
        <v>28828</v>
      </c>
      <c r="BE106" s="680">
        <v>25010</v>
      </c>
      <c r="BF106" s="680">
        <v>23880</v>
      </c>
      <c r="BG106" s="680">
        <v>16935</v>
      </c>
      <c r="BH106" s="25"/>
    </row>
    <row r="107" spans="1:60" ht="12.75" customHeight="1">
      <c r="A107" s="107">
        <v>42794</v>
      </c>
      <c r="B107" s="349">
        <v>1.54</v>
      </c>
      <c r="C107" s="349">
        <v>1.62</v>
      </c>
      <c r="D107" s="349">
        <v>1.74</v>
      </c>
      <c r="E107" s="349">
        <v>1.9</v>
      </c>
      <c r="F107" s="349">
        <v>2.06</v>
      </c>
      <c r="G107" s="349">
        <v>2.23</v>
      </c>
      <c r="H107" s="349">
        <v>2.38</v>
      </c>
      <c r="I107" s="349">
        <v>2.52</v>
      </c>
      <c r="J107" s="349">
        <v>2.65</v>
      </c>
      <c r="K107" s="349">
        <v>2.76</v>
      </c>
      <c r="L107" s="349">
        <v>2.87</v>
      </c>
      <c r="M107" s="349">
        <v>2.96</v>
      </c>
      <c r="N107" s="349">
        <v>3.03</v>
      </c>
      <c r="O107" s="349">
        <v>3.1</v>
      </c>
      <c r="P107" s="2303">
        <v>3.16</v>
      </c>
      <c r="Q107" s="349">
        <v>3.19</v>
      </c>
      <c r="R107" s="349">
        <v>3.21</v>
      </c>
      <c r="S107" s="349">
        <v>3.24</v>
      </c>
      <c r="T107" s="349">
        <v>3.26</v>
      </c>
      <c r="U107" s="349">
        <v>3.28</v>
      </c>
      <c r="V107" s="349">
        <v>3.28</v>
      </c>
      <c r="W107" s="349">
        <v>3.28</v>
      </c>
      <c r="X107" s="349">
        <v>3.28</v>
      </c>
      <c r="Y107" s="349">
        <v>3.28</v>
      </c>
      <c r="Z107" s="349">
        <v>3.28</v>
      </c>
      <c r="AA107" s="349">
        <v>3.27</v>
      </c>
      <c r="AB107" s="349">
        <v>3.26</v>
      </c>
      <c r="AC107" s="349">
        <v>3.25</v>
      </c>
      <c r="AD107" s="349">
        <v>3.24</v>
      </c>
      <c r="AE107" s="349">
        <v>3.23</v>
      </c>
      <c r="AF107" s="349">
        <v>3.23</v>
      </c>
      <c r="AG107" s="349">
        <v>3.22</v>
      </c>
      <c r="AH107" s="349">
        <v>3.22</v>
      </c>
      <c r="AI107" s="349">
        <v>3.22</v>
      </c>
      <c r="AJ107" s="349">
        <v>3.21</v>
      </c>
      <c r="AK107" s="349">
        <v>3.21</v>
      </c>
      <c r="AL107" s="349">
        <v>3.21</v>
      </c>
      <c r="AM107" s="349">
        <v>3.2</v>
      </c>
      <c r="AN107" s="349">
        <v>3.2</v>
      </c>
      <c r="AO107" s="349">
        <v>3.2</v>
      </c>
      <c r="AP107" s="349">
        <v>3.2</v>
      </c>
      <c r="AQ107" s="349">
        <v>3.2</v>
      </c>
      <c r="AR107" s="349">
        <v>3.19</v>
      </c>
      <c r="AS107" s="349">
        <v>3.19</v>
      </c>
      <c r="AT107" s="349">
        <v>3.19</v>
      </c>
      <c r="AU107" s="349">
        <v>3.19</v>
      </c>
      <c r="AV107" s="349">
        <v>3.19</v>
      </c>
      <c r="AW107" s="349">
        <v>3.19</v>
      </c>
      <c r="AX107" s="349">
        <v>3.19</v>
      </c>
      <c r="AY107" s="349">
        <v>3.19</v>
      </c>
      <c r="AZ107" s="59">
        <v>8.9999999999999993E-3</v>
      </c>
      <c r="BA107" s="104">
        <f t="shared" si="2"/>
        <v>0.89999999999999991</v>
      </c>
      <c r="BC107" s="437">
        <v>3.96</v>
      </c>
      <c r="BD107" s="679">
        <f>BD$106+(BD$118-BD$106)/12*$BH107</f>
        <v>29123.916666666668</v>
      </c>
      <c r="BE107" s="679">
        <f t="shared" ref="BE107:BG117" si="6">BE$106+(BE$118-BE$106)/12*$BH107</f>
        <v>25587.5</v>
      </c>
      <c r="BF107" s="679">
        <f t="shared" si="6"/>
        <v>24060.333333333332</v>
      </c>
      <c r="BG107" s="679">
        <f t="shared" si="6"/>
        <v>17220</v>
      </c>
      <c r="BH107" s="679">
        <v>1</v>
      </c>
    </row>
    <row r="108" spans="1:60" ht="12.75" customHeight="1">
      <c r="A108" s="107">
        <v>42825</v>
      </c>
      <c r="B108" s="349">
        <v>1.52</v>
      </c>
      <c r="C108" s="349">
        <v>1.59</v>
      </c>
      <c r="D108" s="349">
        <v>1.71</v>
      </c>
      <c r="E108" s="349">
        <v>1.87</v>
      </c>
      <c r="F108" s="349">
        <v>2.0299999999999998</v>
      </c>
      <c r="G108" s="349">
        <v>2.19</v>
      </c>
      <c r="H108" s="349">
        <v>2.34</v>
      </c>
      <c r="I108" s="349">
        <v>2.48</v>
      </c>
      <c r="J108" s="349">
        <v>2.61</v>
      </c>
      <c r="K108" s="349">
        <v>2.72</v>
      </c>
      <c r="L108" s="349">
        <v>2.83</v>
      </c>
      <c r="M108" s="349">
        <v>2.92</v>
      </c>
      <c r="N108" s="349">
        <v>2.99</v>
      </c>
      <c r="O108" s="349">
        <v>3.06</v>
      </c>
      <c r="P108" s="2303">
        <v>3.12</v>
      </c>
      <c r="Q108" s="349">
        <v>3.15</v>
      </c>
      <c r="R108" s="349">
        <v>3.17</v>
      </c>
      <c r="S108" s="349">
        <v>3.2</v>
      </c>
      <c r="T108" s="349">
        <v>3.22</v>
      </c>
      <c r="U108" s="349">
        <v>3.24</v>
      </c>
      <c r="V108" s="349">
        <v>3.24</v>
      </c>
      <c r="W108" s="349">
        <v>3.24</v>
      </c>
      <c r="X108" s="349">
        <v>3.24</v>
      </c>
      <c r="Y108" s="349">
        <v>3.24</v>
      </c>
      <c r="Z108" s="349">
        <v>3.24</v>
      </c>
      <c r="AA108" s="349">
        <v>3.23</v>
      </c>
      <c r="AB108" s="349">
        <v>3.22</v>
      </c>
      <c r="AC108" s="349">
        <v>3.21</v>
      </c>
      <c r="AD108" s="349">
        <v>3.2</v>
      </c>
      <c r="AE108" s="349">
        <v>3.2</v>
      </c>
      <c r="AF108" s="349">
        <v>3.19</v>
      </c>
      <c r="AG108" s="349">
        <v>3.19</v>
      </c>
      <c r="AH108" s="349">
        <v>3.19</v>
      </c>
      <c r="AI108" s="349">
        <v>3.18</v>
      </c>
      <c r="AJ108" s="349">
        <v>3.18</v>
      </c>
      <c r="AK108" s="349">
        <v>3.18</v>
      </c>
      <c r="AL108" s="349">
        <v>3.17</v>
      </c>
      <c r="AM108" s="349">
        <v>3.17</v>
      </c>
      <c r="AN108" s="349">
        <v>3.17</v>
      </c>
      <c r="AO108" s="349">
        <v>3.17</v>
      </c>
      <c r="AP108" s="349">
        <v>3.16</v>
      </c>
      <c r="AQ108" s="349">
        <v>3.16</v>
      </c>
      <c r="AR108" s="349">
        <v>3.16</v>
      </c>
      <c r="AS108" s="349">
        <v>3.16</v>
      </c>
      <c r="AT108" s="349">
        <v>3.16</v>
      </c>
      <c r="AU108" s="349">
        <v>3.16</v>
      </c>
      <c r="AV108" s="349">
        <v>3.16</v>
      </c>
      <c r="AW108" s="349">
        <v>3.16</v>
      </c>
      <c r="AX108" s="349">
        <v>3.16</v>
      </c>
      <c r="AY108" s="349">
        <v>3.16</v>
      </c>
      <c r="AZ108" s="59">
        <v>8.9999999999999993E-3</v>
      </c>
      <c r="BA108" s="104">
        <f t="shared" si="2"/>
        <v>0.89999999999999991</v>
      </c>
      <c r="BC108" s="437">
        <v>3.94</v>
      </c>
      <c r="BD108" s="679">
        <f t="shared" ref="BD108:BD117" si="7">BD$106+(BD$118-BD$106)/12*$BH108</f>
        <v>29419.833333333332</v>
      </c>
      <c r="BE108" s="679">
        <f t="shared" si="6"/>
        <v>26165</v>
      </c>
      <c r="BF108" s="679">
        <f t="shared" si="6"/>
        <v>24240.666666666668</v>
      </c>
      <c r="BG108" s="679">
        <f t="shared" si="6"/>
        <v>17505</v>
      </c>
      <c r="BH108" s="679">
        <v>2</v>
      </c>
    </row>
    <row r="109" spans="1:60">
      <c r="A109" s="107">
        <v>42855</v>
      </c>
      <c r="B109" s="349">
        <v>1.49</v>
      </c>
      <c r="C109" s="349">
        <v>1.56</v>
      </c>
      <c r="D109" s="349">
        <v>1.68</v>
      </c>
      <c r="E109" s="349">
        <v>1.83</v>
      </c>
      <c r="F109" s="349">
        <v>1.99</v>
      </c>
      <c r="G109" s="349">
        <v>2.16</v>
      </c>
      <c r="H109" s="349">
        <v>2.2999999999999998</v>
      </c>
      <c r="I109" s="349">
        <v>2.44</v>
      </c>
      <c r="J109" s="349">
        <v>2.57</v>
      </c>
      <c r="K109" s="349">
        <v>2.69</v>
      </c>
      <c r="L109" s="349">
        <v>2.79</v>
      </c>
      <c r="M109" s="349">
        <v>2.88</v>
      </c>
      <c r="N109" s="349">
        <v>2.96</v>
      </c>
      <c r="O109" s="349">
        <v>3.02</v>
      </c>
      <c r="P109" s="2303">
        <v>3.08</v>
      </c>
      <c r="Q109" s="349">
        <v>3.11</v>
      </c>
      <c r="R109" s="349">
        <v>3.14</v>
      </c>
      <c r="S109" s="349">
        <v>3.16</v>
      </c>
      <c r="T109" s="349">
        <v>3.18</v>
      </c>
      <c r="U109" s="349">
        <v>3.2</v>
      </c>
      <c r="V109" s="349">
        <v>3.2</v>
      </c>
      <c r="W109" s="349">
        <v>3.2</v>
      </c>
      <c r="X109" s="349">
        <v>3.2</v>
      </c>
      <c r="Y109" s="349">
        <v>3.2</v>
      </c>
      <c r="Z109" s="349">
        <v>3.2</v>
      </c>
      <c r="AA109" s="349">
        <v>3.19</v>
      </c>
      <c r="AB109" s="349">
        <v>3.18</v>
      </c>
      <c r="AC109" s="349">
        <v>3.18</v>
      </c>
      <c r="AD109" s="349">
        <v>3.17</v>
      </c>
      <c r="AE109" s="349">
        <v>3.16</v>
      </c>
      <c r="AF109" s="349">
        <v>3.16</v>
      </c>
      <c r="AG109" s="349">
        <v>3.16</v>
      </c>
      <c r="AH109" s="349">
        <v>3.15</v>
      </c>
      <c r="AI109" s="349">
        <v>3.15</v>
      </c>
      <c r="AJ109" s="349">
        <v>3.15</v>
      </c>
      <c r="AK109" s="349">
        <v>3.14</v>
      </c>
      <c r="AL109" s="349">
        <v>3.14</v>
      </c>
      <c r="AM109" s="349">
        <v>3.14</v>
      </c>
      <c r="AN109" s="349">
        <v>3.14</v>
      </c>
      <c r="AO109" s="349">
        <v>3.13</v>
      </c>
      <c r="AP109" s="349">
        <v>3.13</v>
      </c>
      <c r="AQ109" s="349">
        <v>3.13</v>
      </c>
      <c r="AR109" s="349">
        <v>3.13</v>
      </c>
      <c r="AS109" s="349">
        <v>3.13</v>
      </c>
      <c r="AT109" s="349">
        <v>3.13</v>
      </c>
      <c r="AU109" s="349">
        <v>3.13</v>
      </c>
      <c r="AV109" s="349">
        <v>3.13</v>
      </c>
      <c r="AW109" s="349">
        <v>3.13</v>
      </c>
      <c r="AX109" s="349">
        <v>3.13</v>
      </c>
      <c r="AY109" s="349">
        <v>3.13</v>
      </c>
      <c r="AZ109" s="59">
        <v>8.9999999999999993E-3</v>
      </c>
      <c r="BA109" s="104">
        <f t="shared" si="2"/>
        <v>0.89999999999999991</v>
      </c>
      <c r="BC109" s="437">
        <v>3.91</v>
      </c>
      <c r="BD109" s="679">
        <f t="shared" si="7"/>
        <v>29715.75</v>
      </c>
      <c r="BE109" s="679">
        <f t="shared" si="6"/>
        <v>26742.5</v>
      </c>
      <c r="BF109" s="679">
        <f t="shared" si="6"/>
        <v>24421</v>
      </c>
      <c r="BG109" s="679">
        <f t="shared" si="6"/>
        <v>17790</v>
      </c>
      <c r="BH109" s="679">
        <v>3</v>
      </c>
    </row>
    <row r="110" spans="1:60">
      <c r="A110" s="107">
        <v>42886</v>
      </c>
      <c r="B110" s="349">
        <v>1.47</v>
      </c>
      <c r="C110" s="349">
        <v>1.54</v>
      </c>
      <c r="D110" s="349">
        <v>1.65</v>
      </c>
      <c r="E110" s="349">
        <v>1.8</v>
      </c>
      <c r="F110" s="349">
        <v>1.96</v>
      </c>
      <c r="G110" s="349">
        <v>2.12</v>
      </c>
      <c r="H110" s="349">
        <v>2.27</v>
      </c>
      <c r="I110" s="349">
        <v>2.41</v>
      </c>
      <c r="J110" s="349">
        <v>2.5299999999999998</v>
      </c>
      <c r="K110" s="349">
        <v>2.65</v>
      </c>
      <c r="L110" s="349">
        <v>2.75</v>
      </c>
      <c r="M110" s="349">
        <v>2.84</v>
      </c>
      <c r="N110" s="349">
        <v>2.92</v>
      </c>
      <c r="O110" s="349">
        <v>2.98</v>
      </c>
      <c r="P110" s="2303">
        <v>3.04</v>
      </c>
      <c r="Q110" s="349">
        <v>3.07</v>
      </c>
      <c r="R110" s="349">
        <v>3.1</v>
      </c>
      <c r="S110" s="349">
        <v>3.12</v>
      </c>
      <c r="T110" s="349">
        <v>3.15</v>
      </c>
      <c r="U110" s="349">
        <v>3.17</v>
      </c>
      <c r="V110" s="349">
        <v>3.17</v>
      </c>
      <c r="W110" s="349">
        <v>3.17</v>
      </c>
      <c r="X110" s="349">
        <v>3.17</v>
      </c>
      <c r="Y110" s="349">
        <v>3.17</v>
      </c>
      <c r="Z110" s="349">
        <v>3.17</v>
      </c>
      <c r="AA110" s="349">
        <v>3.16</v>
      </c>
      <c r="AB110" s="349">
        <v>3.15</v>
      </c>
      <c r="AC110" s="349">
        <v>3.14</v>
      </c>
      <c r="AD110" s="349">
        <v>3.14</v>
      </c>
      <c r="AE110" s="349">
        <v>3.13</v>
      </c>
      <c r="AF110" s="349">
        <v>3.13</v>
      </c>
      <c r="AG110" s="349">
        <v>3.12</v>
      </c>
      <c r="AH110" s="349">
        <v>3.12</v>
      </c>
      <c r="AI110" s="349">
        <v>3.12</v>
      </c>
      <c r="AJ110" s="349">
        <v>3.12</v>
      </c>
      <c r="AK110" s="349">
        <v>3.11</v>
      </c>
      <c r="AL110" s="349">
        <v>3.11</v>
      </c>
      <c r="AM110" s="349">
        <v>3.11</v>
      </c>
      <c r="AN110" s="349">
        <v>3.11</v>
      </c>
      <c r="AO110" s="349">
        <v>3.1</v>
      </c>
      <c r="AP110" s="349">
        <v>3.1</v>
      </c>
      <c r="AQ110" s="349">
        <v>3.1</v>
      </c>
      <c r="AR110" s="349">
        <v>3.1</v>
      </c>
      <c r="AS110" s="349">
        <v>3.1</v>
      </c>
      <c r="AT110" s="349">
        <v>3.1</v>
      </c>
      <c r="AU110" s="349">
        <v>3.1</v>
      </c>
      <c r="AV110" s="349">
        <v>3.1</v>
      </c>
      <c r="AW110" s="349">
        <v>3.1</v>
      </c>
      <c r="AX110" s="349">
        <v>3.1</v>
      </c>
      <c r="AY110" s="349">
        <v>3.1</v>
      </c>
      <c r="AZ110" s="59">
        <v>8.9999999999999993E-3</v>
      </c>
      <c r="BA110" s="104">
        <f t="shared" si="2"/>
        <v>0.89999999999999991</v>
      </c>
      <c r="BC110" s="437">
        <v>3.88</v>
      </c>
      <c r="BD110" s="679">
        <f t="shared" si="7"/>
        <v>30011.666666666668</v>
      </c>
      <c r="BE110" s="679">
        <f t="shared" si="6"/>
        <v>27320</v>
      </c>
      <c r="BF110" s="679">
        <f t="shared" si="6"/>
        <v>24601.333333333332</v>
      </c>
      <c r="BG110" s="679">
        <f t="shared" si="6"/>
        <v>18075</v>
      </c>
      <c r="BH110" s="679">
        <v>4</v>
      </c>
    </row>
    <row r="111" spans="1:60" ht="12.75" customHeight="1">
      <c r="A111" s="107">
        <v>42916</v>
      </c>
      <c r="B111" s="349">
        <v>1.44</v>
      </c>
      <c r="C111" s="349">
        <v>1.51</v>
      </c>
      <c r="D111" s="349">
        <v>1.62</v>
      </c>
      <c r="E111" s="349">
        <v>1.77</v>
      </c>
      <c r="F111" s="349">
        <v>1.93</v>
      </c>
      <c r="G111" s="349">
        <v>2.09</v>
      </c>
      <c r="H111" s="349">
        <v>2.23</v>
      </c>
      <c r="I111" s="349">
        <v>2.37</v>
      </c>
      <c r="J111" s="349">
        <v>2.5</v>
      </c>
      <c r="K111" s="349">
        <v>2.61</v>
      </c>
      <c r="L111" s="349">
        <v>2.72</v>
      </c>
      <c r="M111" s="349">
        <v>2.81</v>
      </c>
      <c r="N111" s="349">
        <v>2.88</v>
      </c>
      <c r="O111" s="349">
        <v>2.95</v>
      </c>
      <c r="P111" s="2303">
        <v>3</v>
      </c>
      <c r="Q111" s="349">
        <v>3.04</v>
      </c>
      <c r="R111" s="349">
        <v>3.06</v>
      </c>
      <c r="S111" s="349">
        <v>3.09</v>
      </c>
      <c r="T111" s="349">
        <v>3.11</v>
      </c>
      <c r="U111" s="349">
        <v>3.13</v>
      </c>
      <c r="V111" s="349">
        <v>3.13</v>
      </c>
      <c r="W111" s="349">
        <v>3.13</v>
      </c>
      <c r="X111" s="349">
        <v>3.13</v>
      </c>
      <c r="Y111" s="349">
        <v>3.13</v>
      </c>
      <c r="Z111" s="349">
        <v>3.14</v>
      </c>
      <c r="AA111" s="349">
        <v>3.13</v>
      </c>
      <c r="AB111" s="349">
        <v>3.12</v>
      </c>
      <c r="AC111" s="349">
        <v>3.11</v>
      </c>
      <c r="AD111" s="349">
        <v>3.11</v>
      </c>
      <c r="AE111" s="349">
        <v>3.1</v>
      </c>
      <c r="AF111" s="349">
        <v>3.1</v>
      </c>
      <c r="AG111" s="349">
        <v>3.09</v>
      </c>
      <c r="AH111" s="349">
        <v>3.09</v>
      </c>
      <c r="AI111" s="349">
        <v>3.09</v>
      </c>
      <c r="AJ111" s="349">
        <v>3.09</v>
      </c>
      <c r="AK111" s="349">
        <v>3.08</v>
      </c>
      <c r="AL111" s="349">
        <v>3.08</v>
      </c>
      <c r="AM111" s="349">
        <v>3.08</v>
      </c>
      <c r="AN111" s="349">
        <v>3.08</v>
      </c>
      <c r="AO111" s="349">
        <v>3.08</v>
      </c>
      <c r="AP111" s="349">
        <v>3.08</v>
      </c>
      <c r="AQ111" s="349">
        <v>3.07</v>
      </c>
      <c r="AR111" s="349">
        <v>3.07</v>
      </c>
      <c r="AS111" s="349">
        <v>3.07</v>
      </c>
      <c r="AT111" s="349">
        <v>3.07</v>
      </c>
      <c r="AU111" s="349">
        <v>3.07</v>
      </c>
      <c r="AV111" s="349">
        <v>3.07</v>
      </c>
      <c r="AW111" s="349">
        <v>3.07</v>
      </c>
      <c r="AX111" s="349">
        <v>3.07</v>
      </c>
      <c r="AY111" s="349">
        <v>3.07</v>
      </c>
      <c r="AZ111" s="59">
        <v>8.9999999999999993E-3</v>
      </c>
      <c r="BA111" s="104">
        <f t="shared" si="2"/>
        <v>0.89999999999999991</v>
      </c>
      <c r="BC111" s="437">
        <v>3.86</v>
      </c>
      <c r="BD111" s="679">
        <f t="shared" si="7"/>
        <v>30307.583333333332</v>
      </c>
      <c r="BE111" s="679">
        <f t="shared" si="6"/>
        <v>27897.5</v>
      </c>
      <c r="BF111" s="679">
        <f t="shared" si="6"/>
        <v>24781.666666666668</v>
      </c>
      <c r="BG111" s="679">
        <f t="shared" si="6"/>
        <v>18360</v>
      </c>
      <c r="BH111" s="679">
        <v>5</v>
      </c>
    </row>
    <row r="112" spans="1:60" ht="12.75" customHeight="1">
      <c r="A112" s="107">
        <v>42947</v>
      </c>
      <c r="B112" s="349">
        <v>1.41</v>
      </c>
      <c r="C112" s="349">
        <v>1.48</v>
      </c>
      <c r="D112" s="349">
        <v>1.59</v>
      </c>
      <c r="E112" s="349">
        <v>1.74</v>
      </c>
      <c r="F112" s="349">
        <v>1.89</v>
      </c>
      <c r="G112" s="349">
        <v>2.0499999999999998</v>
      </c>
      <c r="H112" s="349">
        <v>2.2000000000000002</v>
      </c>
      <c r="I112" s="349">
        <v>2.34</v>
      </c>
      <c r="J112" s="349">
        <v>2.46</v>
      </c>
      <c r="K112" s="349">
        <v>2.58</v>
      </c>
      <c r="L112" s="349">
        <v>2.68</v>
      </c>
      <c r="M112" s="349">
        <v>2.77</v>
      </c>
      <c r="N112" s="349">
        <v>2.85</v>
      </c>
      <c r="O112" s="349">
        <v>2.91</v>
      </c>
      <c r="P112" s="2303">
        <v>2.97</v>
      </c>
      <c r="Q112" s="349">
        <v>3</v>
      </c>
      <c r="R112" s="349">
        <v>3.03</v>
      </c>
      <c r="S112" s="349">
        <v>3.05</v>
      </c>
      <c r="T112" s="349">
        <v>3.08</v>
      </c>
      <c r="U112" s="349">
        <v>3.1</v>
      </c>
      <c r="V112" s="349">
        <v>3.1</v>
      </c>
      <c r="W112" s="349">
        <v>3.1</v>
      </c>
      <c r="X112" s="349">
        <v>3.1</v>
      </c>
      <c r="Y112" s="349">
        <v>3.1</v>
      </c>
      <c r="Z112" s="349">
        <v>3.1</v>
      </c>
      <c r="AA112" s="349">
        <v>3.1</v>
      </c>
      <c r="AB112" s="349">
        <v>3.09</v>
      </c>
      <c r="AC112" s="349">
        <v>3.08</v>
      </c>
      <c r="AD112" s="349">
        <v>3.08</v>
      </c>
      <c r="AE112" s="349">
        <v>3.07</v>
      </c>
      <c r="AF112" s="349">
        <v>3.07</v>
      </c>
      <c r="AG112" s="349">
        <v>3.06</v>
      </c>
      <c r="AH112" s="349">
        <v>3.06</v>
      </c>
      <c r="AI112" s="349">
        <v>3.06</v>
      </c>
      <c r="AJ112" s="349">
        <v>3.06</v>
      </c>
      <c r="AK112" s="349">
        <v>3.06</v>
      </c>
      <c r="AL112" s="349">
        <v>3.05</v>
      </c>
      <c r="AM112" s="349">
        <v>3.05</v>
      </c>
      <c r="AN112" s="349">
        <v>3.05</v>
      </c>
      <c r="AO112" s="349">
        <v>3.05</v>
      </c>
      <c r="AP112" s="349">
        <v>3.05</v>
      </c>
      <c r="AQ112" s="349">
        <v>3.05</v>
      </c>
      <c r="AR112" s="349">
        <v>3.05</v>
      </c>
      <c r="AS112" s="349">
        <v>3.04</v>
      </c>
      <c r="AT112" s="349">
        <v>3.04</v>
      </c>
      <c r="AU112" s="349">
        <v>3.04</v>
      </c>
      <c r="AV112" s="349">
        <v>3.04</v>
      </c>
      <c r="AW112" s="349">
        <v>3.04</v>
      </c>
      <c r="AX112" s="349">
        <v>3.04</v>
      </c>
      <c r="AY112" s="349">
        <v>3.04</v>
      </c>
      <c r="AZ112" s="59">
        <v>8.9999999999999993E-3</v>
      </c>
      <c r="BA112" s="104">
        <f t="shared" si="2"/>
        <v>0.89999999999999991</v>
      </c>
      <c r="BC112" s="437">
        <v>3.83</v>
      </c>
      <c r="BD112" s="679">
        <f t="shared" si="7"/>
        <v>30603.5</v>
      </c>
      <c r="BE112" s="679">
        <f t="shared" si="6"/>
        <v>28475</v>
      </c>
      <c r="BF112" s="679">
        <f t="shared" si="6"/>
        <v>24962</v>
      </c>
      <c r="BG112" s="679">
        <f t="shared" si="6"/>
        <v>18645</v>
      </c>
      <c r="BH112" s="679">
        <v>6</v>
      </c>
    </row>
    <row r="113" spans="1:60">
      <c r="A113" s="107">
        <v>42978</v>
      </c>
      <c r="B113" s="349">
        <v>1.38</v>
      </c>
      <c r="C113" s="349">
        <v>1.45</v>
      </c>
      <c r="D113" s="349">
        <v>1.56</v>
      </c>
      <c r="E113" s="349">
        <v>1.71</v>
      </c>
      <c r="F113" s="349">
        <v>1.87</v>
      </c>
      <c r="G113" s="349">
        <v>2.02</v>
      </c>
      <c r="H113" s="349">
        <v>2.17</v>
      </c>
      <c r="I113" s="349">
        <v>2.31</v>
      </c>
      <c r="J113" s="349">
        <v>2.4300000000000002</v>
      </c>
      <c r="K113" s="349">
        <v>2.5499999999999998</v>
      </c>
      <c r="L113" s="349">
        <v>2.66</v>
      </c>
      <c r="M113" s="349">
        <v>2.74</v>
      </c>
      <c r="N113" s="349">
        <v>2.82</v>
      </c>
      <c r="O113" s="349">
        <v>2.89</v>
      </c>
      <c r="P113" s="2303">
        <v>2.94</v>
      </c>
      <c r="Q113" s="349">
        <v>2.97</v>
      </c>
      <c r="R113" s="349">
        <v>3</v>
      </c>
      <c r="S113" s="349">
        <v>3.03</v>
      </c>
      <c r="T113" s="349">
        <v>3.05</v>
      </c>
      <c r="U113" s="349">
        <v>3.07</v>
      </c>
      <c r="V113" s="349">
        <v>3.07</v>
      </c>
      <c r="W113" s="349">
        <v>3.07</v>
      </c>
      <c r="X113" s="349">
        <v>3.08</v>
      </c>
      <c r="Y113" s="349">
        <v>3.08</v>
      </c>
      <c r="Z113" s="349">
        <v>3.08</v>
      </c>
      <c r="AA113" s="349">
        <v>3.07</v>
      </c>
      <c r="AB113" s="349">
        <v>3.06</v>
      </c>
      <c r="AC113" s="349">
        <v>3.06</v>
      </c>
      <c r="AD113" s="349">
        <v>3.05</v>
      </c>
      <c r="AE113" s="349">
        <v>3.05</v>
      </c>
      <c r="AF113" s="349">
        <v>3.05</v>
      </c>
      <c r="AG113" s="349">
        <v>3.04</v>
      </c>
      <c r="AH113" s="349">
        <v>3.04</v>
      </c>
      <c r="AI113" s="349">
        <v>3.04</v>
      </c>
      <c r="AJ113" s="349">
        <v>3.04</v>
      </c>
      <c r="AK113" s="349">
        <v>3.03</v>
      </c>
      <c r="AL113" s="349">
        <v>3.03</v>
      </c>
      <c r="AM113" s="349">
        <v>3.03</v>
      </c>
      <c r="AN113" s="349">
        <v>3.03</v>
      </c>
      <c r="AO113" s="349">
        <v>3.03</v>
      </c>
      <c r="AP113" s="349">
        <v>3.03</v>
      </c>
      <c r="AQ113" s="349">
        <v>3.03</v>
      </c>
      <c r="AR113" s="349">
        <v>3.02</v>
      </c>
      <c r="AS113" s="349">
        <v>3.02</v>
      </c>
      <c r="AT113" s="349">
        <v>3.02</v>
      </c>
      <c r="AU113" s="349">
        <v>3.02</v>
      </c>
      <c r="AV113" s="349">
        <v>3.02</v>
      </c>
      <c r="AW113" s="349">
        <v>3.02</v>
      </c>
      <c r="AX113" s="349">
        <v>3.02</v>
      </c>
      <c r="AY113" s="349">
        <v>3.02</v>
      </c>
      <c r="AZ113" s="59">
        <v>8.9999999999999993E-3</v>
      </c>
      <c r="BA113" s="104">
        <f t="shared" si="2"/>
        <v>0.89999999999999991</v>
      </c>
      <c r="BC113" s="437">
        <v>3.8</v>
      </c>
      <c r="BD113" s="679">
        <f t="shared" si="7"/>
        <v>30899.416666666668</v>
      </c>
      <c r="BE113" s="679">
        <f t="shared" si="6"/>
        <v>29052.5</v>
      </c>
      <c r="BF113" s="679">
        <f t="shared" si="6"/>
        <v>25142.333333333332</v>
      </c>
      <c r="BG113" s="679">
        <f t="shared" si="6"/>
        <v>18930</v>
      </c>
      <c r="BH113" s="679">
        <v>7</v>
      </c>
    </row>
    <row r="114" spans="1:60">
      <c r="A114" s="107">
        <v>43008</v>
      </c>
      <c r="B114" s="349">
        <v>1.36</v>
      </c>
      <c r="C114" s="349">
        <v>1.42</v>
      </c>
      <c r="D114" s="349">
        <v>1.53</v>
      </c>
      <c r="E114" s="349">
        <v>1.68</v>
      </c>
      <c r="F114" s="349">
        <v>1.84</v>
      </c>
      <c r="G114" s="349">
        <v>1.99</v>
      </c>
      <c r="H114" s="349">
        <v>2.14</v>
      </c>
      <c r="I114" s="349">
        <v>2.2799999999999998</v>
      </c>
      <c r="J114" s="349">
        <v>2.4</v>
      </c>
      <c r="K114" s="349">
        <v>2.52</v>
      </c>
      <c r="L114" s="349">
        <v>2.63</v>
      </c>
      <c r="M114" s="349">
        <v>2.71</v>
      </c>
      <c r="N114" s="349">
        <v>2.79</v>
      </c>
      <c r="O114" s="349">
        <v>2.86</v>
      </c>
      <c r="P114" s="2303">
        <v>2.91</v>
      </c>
      <c r="Q114" s="349">
        <v>2.95</v>
      </c>
      <c r="R114" s="349">
        <v>2.97</v>
      </c>
      <c r="S114" s="349">
        <v>3</v>
      </c>
      <c r="T114" s="349">
        <v>3.02</v>
      </c>
      <c r="U114" s="349">
        <v>3.04</v>
      </c>
      <c r="V114" s="349">
        <v>3.05</v>
      </c>
      <c r="W114" s="349">
        <v>3.05</v>
      </c>
      <c r="X114" s="349">
        <v>3.05</v>
      </c>
      <c r="Y114" s="349">
        <v>3.05</v>
      </c>
      <c r="Z114" s="349">
        <v>3.05</v>
      </c>
      <c r="AA114" s="349">
        <v>3.05</v>
      </c>
      <c r="AB114" s="349">
        <v>3.04</v>
      </c>
      <c r="AC114" s="349">
        <v>3.03</v>
      </c>
      <c r="AD114" s="349">
        <v>3.03</v>
      </c>
      <c r="AE114" s="349">
        <v>3.02</v>
      </c>
      <c r="AF114" s="349">
        <v>3.02</v>
      </c>
      <c r="AG114" s="349">
        <v>3.02</v>
      </c>
      <c r="AH114" s="349">
        <v>3.02</v>
      </c>
      <c r="AI114" s="349">
        <v>3.02</v>
      </c>
      <c r="AJ114" s="349">
        <v>3.01</v>
      </c>
      <c r="AK114" s="349">
        <v>3.01</v>
      </c>
      <c r="AL114" s="349">
        <v>3.01</v>
      </c>
      <c r="AM114" s="349">
        <v>3.01</v>
      </c>
      <c r="AN114" s="349">
        <v>3.01</v>
      </c>
      <c r="AO114" s="349">
        <v>3.01</v>
      </c>
      <c r="AP114" s="349">
        <v>3.01</v>
      </c>
      <c r="AQ114" s="349">
        <v>3</v>
      </c>
      <c r="AR114" s="349">
        <v>3</v>
      </c>
      <c r="AS114" s="349">
        <v>3</v>
      </c>
      <c r="AT114" s="349">
        <v>3</v>
      </c>
      <c r="AU114" s="349">
        <v>3</v>
      </c>
      <c r="AV114" s="349">
        <v>3</v>
      </c>
      <c r="AW114" s="349">
        <v>3</v>
      </c>
      <c r="AX114" s="349">
        <v>3</v>
      </c>
      <c r="AY114" s="349">
        <v>3</v>
      </c>
      <c r="AZ114" s="59">
        <v>8.9999999999999993E-3</v>
      </c>
      <c r="BA114" s="104">
        <f t="shared" si="2"/>
        <v>0.89999999999999991</v>
      </c>
      <c r="BC114" s="437">
        <v>3.77</v>
      </c>
      <c r="BD114" s="679">
        <f t="shared" si="7"/>
        <v>31195.333333333332</v>
      </c>
      <c r="BE114" s="679">
        <f t="shared" si="6"/>
        <v>29630</v>
      </c>
      <c r="BF114" s="679">
        <f t="shared" si="6"/>
        <v>25322.666666666668</v>
      </c>
      <c r="BG114" s="679">
        <f t="shared" si="6"/>
        <v>19215</v>
      </c>
      <c r="BH114" s="679">
        <v>8</v>
      </c>
    </row>
    <row r="115" spans="1:60">
      <c r="A115" s="107">
        <v>43039</v>
      </c>
      <c r="B115" s="349">
        <v>1.33</v>
      </c>
      <c r="C115" s="349">
        <v>1.39</v>
      </c>
      <c r="D115" s="349">
        <v>1.5</v>
      </c>
      <c r="E115" s="349">
        <v>1.65</v>
      </c>
      <c r="F115" s="349">
        <v>1.8</v>
      </c>
      <c r="G115" s="349">
        <v>1.96</v>
      </c>
      <c r="H115" s="349">
        <v>2.11</v>
      </c>
      <c r="I115" s="349">
        <v>2.2400000000000002</v>
      </c>
      <c r="J115" s="349">
        <v>2.37</v>
      </c>
      <c r="K115" s="349">
        <v>2.4900000000000002</v>
      </c>
      <c r="L115" s="349">
        <v>2.59</v>
      </c>
      <c r="M115" s="349">
        <v>2.68</v>
      </c>
      <c r="N115" s="349">
        <v>2.76</v>
      </c>
      <c r="O115" s="349">
        <v>2.82</v>
      </c>
      <c r="P115" s="2303">
        <v>2.88</v>
      </c>
      <c r="Q115" s="349">
        <v>2.91</v>
      </c>
      <c r="R115" s="349">
        <v>2.94</v>
      </c>
      <c r="S115" s="349">
        <v>2.97</v>
      </c>
      <c r="T115" s="349">
        <v>2.99</v>
      </c>
      <c r="U115" s="349">
        <v>3.01</v>
      </c>
      <c r="V115" s="349">
        <v>3.02</v>
      </c>
      <c r="W115" s="349">
        <v>3.02</v>
      </c>
      <c r="X115" s="349">
        <v>3.02</v>
      </c>
      <c r="Y115" s="349">
        <v>3.02</v>
      </c>
      <c r="Z115" s="349">
        <v>3.02</v>
      </c>
      <c r="AA115" s="349">
        <v>3.02</v>
      </c>
      <c r="AB115" s="349">
        <v>3.01</v>
      </c>
      <c r="AC115" s="349">
        <v>3.01</v>
      </c>
      <c r="AD115" s="349">
        <v>3</v>
      </c>
      <c r="AE115" s="349">
        <v>3</v>
      </c>
      <c r="AF115" s="349">
        <v>3</v>
      </c>
      <c r="AG115" s="349">
        <v>3</v>
      </c>
      <c r="AH115" s="349">
        <v>2.99</v>
      </c>
      <c r="AI115" s="349">
        <v>2.99</v>
      </c>
      <c r="AJ115" s="349">
        <v>2.99</v>
      </c>
      <c r="AK115" s="349">
        <v>2.99</v>
      </c>
      <c r="AL115" s="349">
        <v>2.99</v>
      </c>
      <c r="AM115" s="349">
        <v>2.99</v>
      </c>
      <c r="AN115" s="349">
        <v>2.99</v>
      </c>
      <c r="AO115" s="349">
        <v>2.98</v>
      </c>
      <c r="AP115" s="349">
        <v>2.98</v>
      </c>
      <c r="AQ115" s="349">
        <v>2.98</v>
      </c>
      <c r="AR115" s="349">
        <v>2.98</v>
      </c>
      <c r="AS115" s="349">
        <v>2.98</v>
      </c>
      <c r="AT115" s="349">
        <v>2.98</v>
      </c>
      <c r="AU115" s="349">
        <v>2.98</v>
      </c>
      <c r="AV115" s="349">
        <v>2.98</v>
      </c>
      <c r="AW115" s="349">
        <v>2.98</v>
      </c>
      <c r="AX115" s="349">
        <v>2.98</v>
      </c>
      <c r="AY115" s="349">
        <v>2.98</v>
      </c>
      <c r="AZ115" s="59">
        <v>8.9999999999999993E-3</v>
      </c>
      <c r="BA115" s="104">
        <f t="shared" si="2"/>
        <v>0.89999999999999991</v>
      </c>
      <c r="BC115" s="437">
        <v>3.74</v>
      </c>
      <c r="BD115" s="679">
        <f t="shared" si="7"/>
        <v>31491.25</v>
      </c>
      <c r="BE115" s="679">
        <f t="shared" si="6"/>
        <v>30207.5</v>
      </c>
      <c r="BF115" s="679">
        <f t="shared" si="6"/>
        <v>25503</v>
      </c>
      <c r="BG115" s="679">
        <f t="shared" si="6"/>
        <v>19500</v>
      </c>
      <c r="BH115" s="679">
        <v>9</v>
      </c>
    </row>
    <row r="116" spans="1:60">
      <c r="A116" s="107">
        <v>43069</v>
      </c>
      <c r="B116" s="349">
        <v>1.29</v>
      </c>
      <c r="C116" s="349">
        <v>1.36</v>
      </c>
      <c r="D116" s="349">
        <v>1.47</v>
      </c>
      <c r="E116" s="349">
        <v>1.61</v>
      </c>
      <c r="F116" s="349">
        <v>1.76</v>
      </c>
      <c r="G116" s="349">
        <v>1.92</v>
      </c>
      <c r="H116" s="349">
        <v>2.0699999999999998</v>
      </c>
      <c r="I116" s="349">
        <v>2.2000000000000002</v>
      </c>
      <c r="J116" s="349">
        <v>2.33</v>
      </c>
      <c r="K116" s="349">
        <v>2.4500000000000002</v>
      </c>
      <c r="L116" s="349">
        <v>2.5499999999999998</v>
      </c>
      <c r="M116" s="349">
        <v>2.64</v>
      </c>
      <c r="N116" s="349">
        <v>2.72</v>
      </c>
      <c r="O116" s="349">
        <v>2.79</v>
      </c>
      <c r="P116" s="2303">
        <v>2.84</v>
      </c>
      <c r="Q116" s="349">
        <v>2.88</v>
      </c>
      <c r="R116" s="349">
        <v>2.91</v>
      </c>
      <c r="S116" s="349">
        <v>2.93</v>
      </c>
      <c r="T116" s="349">
        <v>2.95</v>
      </c>
      <c r="U116" s="349">
        <v>2.98</v>
      </c>
      <c r="V116" s="349">
        <v>2.98</v>
      </c>
      <c r="W116" s="349">
        <v>2.98</v>
      </c>
      <c r="X116" s="349">
        <v>2.99</v>
      </c>
      <c r="Y116" s="349">
        <v>2.99</v>
      </c>
      <c r="Z116" s="349">
        <v>2.99</v>
      </c>
      <c r="AA116" s="349">
        <v>2.99</v>
      </c>
      <c r="AB116" s="349">
        <v>2.98</v>
      </c>
      <c r="AC116" s="349">
        <v>2.98</v>
      </c>
      <c r="AD116" s="349">
        <v>2.97</v>
      </c>
      <c r="AE116" s="349">
        <v>2.97</v>
      </c>
      <c r="AF116" s="349">
        <v>2.97</v>
      </c>
      <c r="AG116" s="349">
        <v>2.97</v>
      </c>
      <c r="AH116" s="349">
        <v>2.96</v>
      </c>
      <c r="AI116" s="349">
        <v>2.96</v>
      </c>
      <c r="AJ116" s="349">
        <v>2.96</v>
      </c>
      <c r="AK116" s="349">
        <v>2.96</v>
      </c>
      <c r="AL116" s="349">
        <v>2.96</v>
      </c>
      <c r="AM116" s="349">
        <v>2.96</v>
      </c>
      <c r="AN116" s="349">
        <v>2.96</v>
      </c>
      <c r="AO116" s="349">
        <v>2.96</v>
      </c>
      <c r="AP116" s="349">
        <v>2.96</v>
      </c>
      <c r="AQ116" s="349">
        <v>2.95</v>
      </c>
      <c r="AR116" s="349">
        <v>2.95</v>
      </c>
      <c r="AS116" s="349">
        <v>2.95</v>
      </c>
      <c r="AT116" s="349">
        <v>2.95</v>
      </c>
      <c r="AU116" s="349">
        <v>2.95</v>
      </c>
      <c r="AV116" s="349">
        <v>2.95</v>
      </c>
      <c r="AW116" s="349">
        <v>2.95</v>
      </c>
      <c r="AX116" s="349">
        <v>2.95</v>
      </c>
      <c r="AY116" s="349">
        <v>2.95</v>
      </c>
      <c r="AZ116" s="59">
        <v>8.9999999999999993E-3</v>
      </c>
      <c r="BA116" s="104">
        <f t="shared" si="2"/>
        <v>0.89999999999999991</v>
      </c>
      <c r="BC116" s="437">
        <v>3.71</v>
      </c>
      <c r="BD116" s="679">
        <f t="shared" si="7"/>
        <v>31787.166666666668</v>
      </c>
      <c r="BE116" s="679">
        <f t="shared" si="6"/>
        <v>30785</v>
      </c>
      <c r="BF116" s="679">
        <f t="shared" si="6"/>
        <v>25683.333333333332</v>
      </c>
      <c r="BG116" s="679">
        <f t="shared" si="6"/>
        <v>19785</v>
      </c>
      <c r="BH116" s="679">
        <v>10</v>
      </c>
    </row>
    <row r="117" spans="1:60">
      <c r="A117" s="107">
        <v>43100</v>
      </c>
      <c r="B117" s="349">
        <v>1.26</v>
      </c>
      <c r="C117" s="349">
        <v>1.33</v>
      </c>
      <c r="D117" s="349">
        <v>1.43</v>
      </c>
      <c r="E117" s="349">
        <v>1.58</v>
      </c>
      <c r="F117" s="349">
        <v>1.73</v>
      </c>
      <c r="G117" s="349">
        <v>1.88</v>
      </c>
      <c r="H117" s="349">
        <v>2.02</v>
      </c>
      <c r="I117" s="349">
        <v>2.16</v>
      </c>
      <c r="J117" s="349">
        <v>2.29</v>
      </c>
      <c r="K117" s="349">
        <v>2.4</v>
      </c>
      <c r="L117" s="349">
        <v>2.5099999999999998</v>
      </c>
      <c r="M117" s="349">
        <v>2.6</v>
      </c>
      <c r="N117" s="349">
        <v>2.68</v>
      </c>
      <c r="O117" s="349">
        <v>2.74</v>
      </c>
      <c r="P117" s="2303">
        <v>2.8</v>
      </c>
      <c r="Q117" s="349">
        <v>2.83</v>
      </c>
      <c r="R117" s="349">
        <v>2.86</v>
      </c>
      <c r="S117" s="349">
        <v>2.89</v>
      </c>
      <c r="T117" s="349">
        <v>2.91</v>
      </c>
      <c r="U117" s="349">
        <v>2.94</v>
      </c>
      <c r="V117" s="349">
        <v>2.94</v>
      </c>
      <c r="W117" s="349">
        <v>2.94</v>
      </c>
      <c r="X117" s="349">
        <v>2.95</v>
      </c>
      <c r="Y117" s="349">
        <v>2.95</v>
      </c>
      <c r="Z117" s="349">
        <v>2.95</v>
      </c>
      <c r="AA117" s="349">
        <v>2.95</v>
      </c>
      <c r="AB117" s="349">
        <v>2.94</v>
      </c>
      <c r="AC117" s="349">
        <v>2.94</v>
      </c>
      <c r="AD117" s="349">
        <v>2.94</v>
      </c>
      <c r="AE117" s="349">
        <v>2.93</v>
      </c>
      <c r="AF117" s="349">
        <v>2.93</v>
      </c>
      <c r="AG117" s="349">
        <v>2.93</v>
      </c>
      <c r="AH117" s="349">
        <v>2.93</v>
      </c>
      <c r="AI117" s="349">
        <v>2.93</v>
      </c>
      <c r="AJ117" s="349">
        <v>2.93</v>
      </c>
      <c r="AK117" s="349">
        <v>2.93</v>
      </c>
      <c r="AL117" s="349">
        <v>2.93</v>
      </c>
      <c r="AM117" s="349">
        <v>2.93</v>
      </c>
      <c r="AN117" s="349">
        <v>2.93</v>
      </c>
      <c r="AO117" s="349">
        <v>2.92</v>
      </c>
      <c r="AP117" s="349">
        <v>2.92</v>
      </c>
      <c r="AQ117" s="349">
        <v>2.92</v>
      </c>
      <c r="AR117" s="349">
        <v>2.92</v>
      </c>
      <c r="AS117" s="349">
        <v>2.92</v>
      </c>
      <c r="AT117" s="349">
        <v>2.92</v>
      </c>
      <c r="AU117" s="349">
        <v>2.92</v>
      </c>
      <c r="AV117" s="349">
        <v>2.92</v>
      </c>
      <c r="AW117" s="349">
        <v>2.92</v>
      </c>
      <c r="AX117" s="349">
        <v>2.92</v>
      </c>
      <c r="AY117" s="349">
        <v>2.92</v>
      </c>
      <c r="AZ117" s="59">
        <v>8.9999999999999993E-3</v>
      </c>
      <c r="BA117" s="104">
        <f t="shared" si="2"/>
        <v>0.89999999999999991</v>
      </c>
      <c r="BC117" s="437">
        <v>3.68</v>
      </c>
      <c r="BD117" s="679">
        <f t="shared" si="7"/>
        <v>32083.083333333332</v>
      </c>
      <c r="BE117" s="679">
        <f t="shared" si="6"/>
        <v>31362.5</v>
      </c>
      <c r="BF117" s="679">
        <f t="shared" si="6"/>
        <v>25863.666666666668</v>
      </c>
      <c r="BG117" s="679">
        <f t="shared" si="6"/>
        <v>20070</v>
      </c>
      <c r="BH117" s="679">
        <v>11</v>
      </c>
    </row>
    <row r="118" spans="1:60" ht="12.75" customHeight="1">
      <c r="A118" s="107">
        <v>43131</v>
      </c>
      <c r="B118" s="349">
        <v>1.23</v>
      </c>
      <c r="C118" s="349">
        <v>1.29</v>
      </c>
      <c r="D118" s="349">
        <v>1.39</v>
      </c>
      <c r="E118" s="349">
        <v>1.54</v>
      </c>
      <c r="F118" s="349">
        <v>1.68</v>
      </c>
      <c r="G118" s="349">
        <v>1.84</v>
      </c>
      <c r="H118" s="349">
        <v>1.98</v>
      </c>
      <c r="I118" s="349">
        <v>2.12</v>
      </c>
      <c r="J118" s="349">
        <v>2.25</v>
      </c>
      <c r="K118" s="349">
        <v>2.36</v>
      </c>
      <c r="L118" s="349">
        <v>2.4700000000000002</v>
      </c>
      <c r="M118" s="349">
        <v>2.56</v>
      </c>
      <c r="N118" s="349">
        <v>2.63</v>
      </c>
      <c r="O118" s="349">
        <v>2.7</v>
      </c>
      <c r="P118" s="2303">
        <v>2.76</v>
      </c>
      <c r="Q118" s="349">
        <v>2.79</v>
      </c>
      <c r="R118" s="349">
        <v>2.82</v>
      </c>
      <c r="S118" s="349">
        <v>2.85</v>
      </c>
      <c r="T118" s="349">
        <v>2.87</v>
      </c>
      <c r="U118" s="349">
        <v>2.89</v>
      </c>
      <c r="V118" s="349">
        <v>2.9</v>
      </c>
      <c r="W118" s="349">
        <v>2.9</v>
      </c>
      <c r="X118" s="349">
        <v>2.91</v>
      </c>
      <c r="Y118" s="349">
        <v>2.91</v>
      </c>
      <c r="Z118" s="349">
        <v>2.91</v>
      </c>
      <c r="AA118" s="349">
        <v>2.91</v>
      </c>
      <c r="AB118" s="349">
        <v>2.91</v>
      </c>
      <c r="AC118" s="349">
        <v>2.9</v>
      </c>
      <c r="AD118" s="349">
        <v>2.9</v>
      </c>
      <c r="AE118" s="349">
        <v>2.9</v>
      </c>
      <c r="AF118" s="349">
        <v>2.89</v>
      </c>
      <c r="AG118" s="349">
        <v>2.89</v>
      </c>
      <c r="AH118" s="349">
        <v>2.89</v>
      </c>
      <c r="AI118" s="349">
        <v>2.89</v>
      </c>
      <c r="AJ118" s="349">
        <v>2.89</v>
      </c>
      <c r="AK118" s="349">
        <v>2.89</v>
      </c>
      <c r="AL118" s="349">
        <v>2.89</v>
      </c>
      <c r="AM118" s="349">
        <v>2.89</v>
      </c>
      <c r="AN118" s="349">
        <v>2.89</v>
      </c>
      <c r="AO118" s="349">
        <v>2.89</v>
      </c>
      <c r="AP118" s="349">
        <v>2.89</v>
      </c>
      <c r="AQ118" s="349">
        <v>2.89</v>
      </c>
      <c r="AR118" s="349">
        <v>2.89</v>
      </c>
      <c r="AS118" s="349">
        <v>2.89</v>
      </c>
      <c r="AT118" s="349">
        <v>2.89</v>
      </c>
      <c r="AU118" s="349">
        <v>2.88</v>
      </c>
      <c r="AV118" s="349">
        <v>2.88</v>
      </c>
      <c r="AW118" s="349">
        <v>2.88</v>
      </c>
      <c r="AX118" s="349">
        <v>2.88</v>
      </c>
      <c r="AY118" s="349">
        <v>2.88</v>
      </c>
      <c r="AZ118" s="59">
        <v>8.9999999999999993E-3</v>
      </c>
      <c r="BA118" s="104">
        <f t="shared" si="2"/>
        <v>0.89999999999999991</v>
      </c>
      <c r="BC118" s="437">
        <v>3.64</v>
      </c>
      <c r="BD118" s="680">
        <v>32379</v>
      </c>
      <c r="BE118" s="680">
        <v>31940</v>
      </c>
      <c r="BF118" s="680">
        <v>26044</v>
      </c>
      <c r="BG118" s="680">
        <v>20355</v>
      </c>
    </row>
    <row r="119" spans="1:60">
      <c r="A119" s="107">
        <v>43159</v>
      </c>
      <c r="B119" s="349">
        <v>1.19</v>
      </c>
      <c r="C119" s="349">
        <v>1.25</v>
      </c>
      <c r="D119" s="349">
        <v>1.35</v>
      </c>
      <c r="E119" s="349">
        <v>1.5</v>
      </c>
      <c r="F119" s="349">
        <v>1.64</v>
      </c>
      <c r="G119" s="349">
        <v>1.8</v>
      </c>
      <c r="H119" s="349">
        <v>1.94</v>
      </c>
      <c r="I119" s="349">
        <v>2.08</v>
      </c>
      <c r="J119" s="349">
        <v>2.21</v>
      </c>
      <c r="K119" s="349">
        <v>2.3199999999999998</v>
      </c>
      <c r="L119" s="349">
        <v>2.4300000000000002</v>
      </c>
      <c r="M119" s="349">
        <v>2.52</v>
      </c>
      <c r="N119" s="349">
        <v>2.59</v>
      </c>
      <c r="O119" s="349">
        <v>2.66</v>
      </c>
      <c r="P119" s="2303">
        <v>2.72</v>
      </c>
      <c r="Q119" s="349">
        <v>2.75</v>
      </c>
      <c r="R119" s="349">
        <v>2.78</v>
      </c>
      <c r="S119" s="349">
        <v>2.81</v>
      </c>
      <c r="T119" s="349">
        <v>2.83</v>
      </c>
      <c r="U119" s="349">
        <v>2.85</v>
      </c>
      <c r="V119" s="349">
        <v>2.86</v>
      </c>
      <c r="W119" s="349">
        <v>2.86</v>
      </c>
      <c r="X119" s="349">
        <v>2.87</v>
      </c>
      <c r="Y119" s="349">
        <v>2.87</v>
      </c>
      <c r="Z119" s="349">
        <v>2.88</v>
      </c>
      <c r="AA119" s="349">
        <v>2.87</v>
      </c>
      <c r="AB119" s="349">
        <v>2.87</v>
      </c>
      <c r="AC119" s="349">
        <v>2.87</v>
      </c>
      <c r="AD119" s="349">
        <v>2.86</v>
      </c>
      <c r="AE119" s="349">
        <v>2.86</v>
      </c>
      <c r="AF119" s="349">
        <v>2.86</v>
      </c>
      <c r="AG119" s="349">
        <v>2.86</v>
      </c>
      <c r="AH119" s="349">
        <v>2.86</v>
      </c>
      <c r="AI119" s="349">
        <v>2.86</v>
      </c>
      <c r="AJ119" s="349">
        <v>2.86</v>
      </c>
      <c r="AK119" s="349">
        <v>2.86</v>
      </c>
      <c r="AL119" s="349">
        <v>2.86</v>
      </c>
      <c r="AM119" s="349">
        <v>2.86</v>
      </c>
      <c r="AN119" s="349">
        <v>2.86</v>
      </c>
      <c r="AO119" s="349">
        <v>2.86</v>
      </c>
      <c r="AP119" s="349">
        <v>2.86</v>
      </c>
      <c r="AQ119" s="349">
        <v>2.86</v>
      </c>
      <c r="AR119" s="349">
        <v>2.85</v>
      </c>
      <c r="AS119" s="349">
        <v>2.85</v>
      </c>
      <c r="AT119" s="349">
        <v>2.85</v>
      </c>
      <c r="AU119" s="349">
        <v>2.85</v>
      </c>
      <c r="AV119" s="349">
        <v>2.85</v>
      </c>
      <c r="AW119" s="349">
        <v>2.85</v>
      </c>
      <c r="AX119" s="349">
        <v>2.85</v>
      </c>
      <c r="AY119" s="349">
        <v>2.85</v>
      </c>
      <c r="AZ119" s="59">
        <v>8.9999999999999993E-3</v>
      </c>
      <c r="BA119" s="104">
        <f t="shared" si="2"/>
        <v>0.89999999999999991</v>
      </c>
      <c r="BC119" s="437">
        <v>3.61</v>
      </c>
      <c r="BD119" s="679">
        <f>BD$118+(BD$130-BD$118)/12*$BH119</f>
        <v>32746.916666666668</v>
      </c>
      <c r="BE119" s="679">
        <f t="shared" ref="BE119:BG129" si="8">BE$118+(BE$130-BE$118)/12*$BH119</f>
        <v>32764.333333333332</v>
      </c>
      <c r="BF119" s="679">
        <f t="shared" si="8"/>
        <v>26326.25</v>
      </c>
      <c r="BG119" s="679">
        <f t="shared" si="8"/>
        <v>20855.583333333332</v>
      </c>
      <c r="BH119" s="679">
        <v>1</v>
      </c>
    </row>
    <row r="120" spans="1:60" ht="12.75" customHeight="1">
      <c r="A120" s="107">
        <v>43190</v>
      </c>
      <c r="B120" s="349">
        <v>1.1599999999999999</v>
      </c>
      <c r="C120" s="349">
        <v>1.21</v>
      </c>
      <c r="D120" s="349">
        <v>1.31</v>
      </c>
      <c r="E120" s="349">
        <v>1.45</v>
      </c>
      <c r="F120" s="349">
        <v>1.6</v>
      </c>
      <c r="G120" s="349">
        <v>1.76</v>
      </c>
      <c r="H120" s="349">
        <v>1.9</v>
      </c>
      <c r="I120" s="349">
        <v>2.04</v>
      </c>
      <c r="J120" s="349">
        <v>2.16</v>
      </c>
      <c r="K120" s="349">
        <v>2.2799999999999998</v>
      </c>
      <c r="L120" s="349">
        <v>2.39</v>
      </c>
      <c r="M120" s="349">
        <v>2.48</v>
      </c>
      <c r="N120" s="349">
        <v>2.5499999999999998</v>
      </c>
      <c r="O120" s="349">
        <v>2.62</v>
      </c>
      <c r="P120" s="2303">
        <v>2.68</v>
      </c>
      <c r="Q120" s="349">
        <v>2.71</v>
      </c>
      <c r="R120" s="349">
        <v>2.74</v>
      </c>
      <c r="S120" s="349">
        <v>2.77</v>
      </c>
      <c r="T120" s="349">
        <v>2.79</v>
      </c>
      <c r="U120" s="349">
        <v>2.81</v>
      </c>
      <c r="V120" s="349">
        <v>2.82</v>
      </c>
      <c r="W120" s="349">
        <v>2.82</v>
      </c>
      <c r="X120" s="349">
        <v>2.83</v>
      </c>
      <c r="Y120" s="349">
        <v>2.83</v>
      </c>
      <c r="Z120" s="349">
        <v>2.84</v>
      </c>
      <c r="AA120" s="349">
        <v>2.83</v>
      </c>
      <c r="AB120" s="349">
        <v>2.83</v>
      </c>
      <c r="AC120" s="349">
        <v>2.83</v>
      </c>
      <c r="AD120" s="349">
        <v>2.82</v>
      </c>
      <c r="AE120" s="349">
        <v>2.82</v>
      </c>
      <c r="AF120" s="349">
        <v>2.82</v>
      </c>
      <c r="AG120" s="349">
        <v>2.82</v>
      </c>
      <c r="AH120" s="349">
        <v>2.82</v>
      </c>
      <c r="AI120" s="349">
        <v>2.82</v>
      </c>
      <c r="AJ120" s="349">
        <v>2.82</v>
      </c>
      <c r="AK120" s="349">
        <v>2.82</v>
      </c>
      <c r="AL120" s="349">
        <v>2.82</v>
      </c>
      <c r="AM120" s="349">
        <v>2.82</v>
      </c>
      <c r="AN120" s="349">
        <v>2.82</v>
      </c>
      <c r="AO120" s="349">
        <v>2.82</v>
      </c>
      <c r="AP120" s="349">
        <v>2.82</v>
      </c>
      <c r="AQ120" s="349">
        <v>2.82</v>
      </c>
      <c r="AR120" s="349">
        <v>2.82</v>
      </c>
      <c r="AS120" s="349">
        <v>2.82</v>
      </c>
      <c r="AT120" s="349">
        <v>2.82</v>
      </c>
      <c r="AU120" s="349">
        <v>2.82</v>
      </c>
      <c r="AV120" s="349">
        <v>2.82</v>
      </c>
      <c r="AW120" s="349">
        <v>2.82</v>
      </c>
      <c r="AX120" s="349">
        <v>2.82</v>
      </c>
      <c r="AY120" s="349">
        <v>2.82</v>
      </c>
      <c r="AZ120" s="59">
        <v>8.9999999999999993E-3</v>
      </c>
      <c r="BA120" s="104">
        <f t="shared" si="2"/>
        <v>0.89999999999999991</v>
      </c>
      <c r="BC120" s="437">
        <v>3.57</v>
      </c>
      <c r="BD120" s="679">
        <f t="shared" ref="BD120:BD129" si="9">BD$118+(BD$130-BD$118)/12*$BH120</f>
        <v>33114.833333333336</v>
      </c>
      <c r="BE120" s="679">
        <f t="shared" si="8"/>
        <v>33588.666666666664</v>
      </c>
      <c r="BF120" s="679">
        <f t="shared" si="8"/>
        <v>26608.5</v>
      </c>
      <c r="BG120" s="679">
        <f t="shared" si="8"/>
        <v>21356.166666666668</v>
      </c>
      <c r="BH120" s="679">
        <v>2</v>
      </c>
    </row>
    <row r="121" spans="1:60">
      <c r="A121" s="107">
        <v>43220</v>
      </c>
      <c r="B121" s="349">
        <v>1.1200000000000001</v>
      </c>
      <c r="C121" s="349">
        <v>1.17</v>
      </c>
      <c r="D121" s="349">
        <v>1.27</v>
      </c>
      <c r="E121" s="349">
        <v>1.41</v>
      </c>
      <c r="F121" s="349">
        <v>1.56</v>
      </c>
      <c r="G121" s="349">
        <v>1.72</v>
      </c>
      <c r="H121" s="349">
        <v>1.86</v>
      </c>
      <c r="I121" s="349">
        <v>2</v>
      </c>
      <c r="J121" s="349">
        <v>2.12</v>
      </c>
      <c r="K121" s="349">
        <v>2.2400000000000002</v>
      </c>
      <c r="L121" s="349">
        <v>2.35</v>
      </c>
      <c r="M121" s="349">
        <v>2.44</v>
      </c>
      <c r="N121" s="349">
        <v>2.5099999999999998</v>
      </c>
      <c r="O121" s="349">
        <v>2.58</v>
      </c>
      <c r="P121" s="2303">
        <v>2.64</v>
      </c>
      <c r="Q121" s="349">
        <v>2.67</v>
      </c>
      <c r="R121" s="349">
        <v>2.7</v>
      </c>
      <c r="S121" s="349">
        <v>2.73</v>
      </c>
      <c r="T121" s="349">
        <v>2.75</v>
      </c>
      <c r="U121" s="349">
        <v>2.77</v>
      </c>
      <c r="V121" s="349">
        <v>2.78</v>
      </c>
      <c r="W121" s="349">
        <v>2.79</v>
      </c>
      <c r="X121" s="349">
        <v>2.79</v>
      </c>
      <c r="Y121" s="349">
        <v>2.8</v>
      </c>
      <c r="Z121" s="349">
        <v>2.8</v>
      </c>
      <c r="AA121" s="349">
        <v>2.8</v>
      </c>
      <c r="AB121" s="349">
        <v>2.79</v>
      </c>
      <c r="AC121" s="349">
        <v>2.79</v>
      </c>
      <c r="AD121" s="349">
        <v>2.79</v>
      </c>
      <c r="AE121" s="349">
        <v>2.79</v>
      </c>
      <c r="AF121" s="349">
        <v>2.79</v>
      </c>
      <c r="AG121" s="349">
        <v>2.79</v>
      </c>
      <c r="AH121" s="349">
        <v>2.79</v>
      </c>
      <c r="AI121" s="349">
        <v>2.79</v>
      </c>
      <c r="AJ121" s="349">
        <v>2.79</v>
      </c>
      <c r="AK121" s="349">
        <v>2.79</v>
      </c>
      <c r="AL121" s="349">
        <v>2.79</v>
      </c>
      <c r="AM121" s="349">
        <v>2.79</v>
      </c>
      <c r="AN121" s="349">
        <v>2.79</v>
      </c>
      <c r="AO121" s="349">
        <v>2.79</v>
      </c>
      <c r="AP121" s="349">
        <v>2.79</v>
      </c>
      <c r="AQ121" s="349">
        <v>2.79</v>
      </c>
      <c r="AR121" s="349">
        <v>2.79</v>
      </c>
      <c r="AS121" s="349">
        <v>2.79</v>
      </c>
      <c r="AT121" s="349">
        <v>2.79</v>
      </c>
      <c r="AU121" s="349">
        <v>2.79</v>
      </c>
      <c r="AV121" s="349">
        <v>2.78</v>
      </c>
      <c r="AW121" s="349">
        <v>2.78</v>
      </c>
      <c r="AX121" s="349">
        <v>2.78</v>
      </c>
      <c r="AY121" s="349">
        <v>2.78</v>
      </c>
      <c r="AZ121" s="59">
        <v>8.9999999999999993E-3</v>
      </c>
      <c r="BA121" s="104">
        <f t="shared" si="2"/>
        <v>0.89999999999999991</v>
      </c>
      <c r="BC121" s="437">
        <v>3.53</v>
      </c>
      <c r="BD121" s="679">
        <f t="shared" si="9"/>
        <v>33482.75</v>
      </c>
      <c r="BE121" s="679">
        <f t="shared" si="8"/>
        <v>34413</v>
      </c>
      <c r="BF121" s="679">
        <f t="shared" si="8"/>
        <v>26890.75</v>
      </c>
      <c r="BG121" s="679">
        <f t="shared" si="8"/>
        <v>21856.75</v>
      </c>
      <c r="BH121" s="679">
        <v>3</v>
      </c>
    </row>
    <row r="122" spans="1:60">
      <c r="A122" s="107">
        <v>43251</v>
      </c>
      <c r="B122" s="349">
        <v>1.0900000000000001</v>
      </c>
      <c r="C122" s="349">
        <v>1.1399999999999999</v>
      </c>
      <c r="D122" s="349">
        <v>1.24</v>
      </c>
      <c r="E122" s="349">
        <v>1.38</v>
      </c>
      <c r="F122" s="349">
        <v>1.52</v>
      </c>
      <c r="G122" s="349">
        <v>1.68</v>
      </c>
      <c r="H122" s="349">
        <v>1.82</v>
      </c>
      <c r="I122" s="349">
        <v>1.96</v>
      </c>
      <c r="J122" s="349">
        <v>2.08</v>
      </c>
      <c r="K122" s="349">
        <v>2.2000000000000002</v>
      </c>
      <c r="L122" s="349">
        <v>2.31</v>
      </c>
      <c r="M122" s="349">
        <v>2.4</v>
      </c>
      <c r="N122" s="349">
        <v>2.4700000000000002</v>
      </c>
      <c r="O122" s="349">
        <v>2.54</v>
      </c>
      <c r="P122" s="2303">
        <v>2.6</v>
      </c>
      <c r="Q122" s="349">
        <v>2.63</v>
      </c>
      <c r="R122" s="349">
        <v>2.66</v>
      </c>
      <c r="S122" s="349">
        <v>2.69</v>
      </c>
      <c r="T122" s="349">
        <v>2.71</v>
      </c>
      <c r="U122" s="349">
        <v>2.74</v>
      </c>
      <c r="V122" s="349">
        <v>2.74</v>
      </c>
      <c r="W122" s="349">
        <v>2.75</v>
      </c>
      <c r="X122" s="349">
        <v>2.75</v>
      </c>
      <c r="Y122" s="349">
        <v>2.76</v>
      </c>
      <c r="Z122" s="349">
        <v>2.76</v>
      </c>
      <c r="AA122" s="349">
        <v>2.76</v>
      </c>
      <c r="AB122" s="349">
        <v>2.76</v>
      </c>
      <c r="AC122" s="349">
        <v>2.76</v>
      </c>
      <c r="AD122" s="349">
        <v>2.75</v>
      </c>
      <c r="AE122" s="349">
        <v>2.75</v>
      </c>
      <c r="AF122" s="349">
        <v>2.75</v>
      </c>
      <c r="AG122" s="349">
        <v>2.75</v>
      </c>
      <c r="AH122" s="349">
        <v>2.75</v>
      </c>
      <c r="AI122" s="349">
        <v>2.75</v>
      </c>
      <c r="AJ122" s="349">
        <v>2.75</v>
      </c>
      <c r="AK122" s="349">
        <v>2.76</v>
      </c>
      <c r="AL122" s="349">
        <v>2.76</v>
      </c>
      <c r="AM122" s="349">
        <v>2.76</v>
      </c>
      <c r="AN122" s="349">
        <v>2.76</v>
      </c>
      <c r="AO122" s="349">
        <v>2.76</v>
      </c>
      <c r="AP122" s="349">
        <v>2.76</v>
      </c>
      <c r="AQ122" s="349">
        <v>2.76</v>
      </c>
      <c r="AR122" s="349">
        <v>2.75</v>
      </c>
      <c r="AS122" s="349">
        <v>2.75</v>
      </c>
      <c r="AT122" s="349">
        <v>2.75</v>
      </c>
      <c r="AU122" s="349">
        <v>2.75</v>
      </c>
      <c r="AV122" s="349">
        <v>2.75</v>
      </c>
      <c r="AW122" s="349">
        <v>2.75</v>
      </c>
      <c r="AX122" s="349">
        <v>2.75</v>
      </c>
      <c r="AY122" s="349">
        <v>2.75</v>
      </c>
      <c r="AZ122" s="59">
        <v>8.9999999999999993E-3</v>
      </c>
      <c r="BA122" s="104">
        <f t="shared" si="2"/>
        <v>0.89999999999999991</v>
      </c>
      <c r="BC122" s="437">
        <v>3.5</v>
      </c>
      <c r="BD122" s="679">
        <f t="shared" si="9"/>
        <v>33850.666666666664</v>
      </c>
      <c r="BE122" s="679">
        <f t="shared" si="8"/>
        <v>35237.333333333336</v>
      </c>
      <c r="BF122" s="679">
        <f t="shared" si="8"/>
        <v>27173</v>
      </c>
      <c r="BG122" s="679">
        <f t="shared" si="8"/>
        <v>22357.333333333332</v>
      </c>
      <c r="BH122" s="679">
        <v>4</v>
      </c>
    </row>
    <row r="123" spans="1:60">
      <c r="A123" s="107">
        <v>43281</v>
      </c>
      <c r="B123" s="349">
        <v>1.05</v>
      </c>
      <c r="C123" s="349">
        <v>1.1000000000000001</v>
      </c>
      <c r="D123" s="349">
        <v>1.2</v>
      </c>
      <c r="E123" s="349">
        <v>1.34</v>
      </c>
      <c r="F123" s="349">
        <v>1.48</v>
      </c>
      <c r="G123" s="349">
        <v>1.64</v>
      </c>
      <c r="H123" s="349">
        <v>1.78</v>
      </c>
      <c r="I123" s="349">
        <v>1.92</v>
      </c>
      <c r="J123" s="349">
        <v>2.04</v>
      </c>
      <c r="K123" s="349">
        <v>2.16</v>
      </c>
      <c r="L123" s="349">
        <v>2.27</v>
      </c>
      <c r="M123" s="349">
        <v>2.35</v>
      </c>
      <c r="N123" s="349">
        <v>2.4300000000000002</v>
      </c>
      <c r="O123" s="349">
        <v>2.5</v>
      </c>
      <c r="P123" s="2303">
        <v>2.56</v>
      </c>
      <c r="Q123" s="349">
        <v>2.59</v>
      </c>
      <c r="R123" s="349">
        <v>2.62</v>
      </c>
      <c r="S123" s="349">
        <v>2.65</v>
      </c>
      <c r="T123" s="349">
        <v>2.67</v>
      </c>
      <c r="U123" s="349">
        <v>2.7</v>
      </c>
      <c r="V123" s="349">
        <v>2.7</v>
      </c>
      <c r="W123" s="349">
        <v>2.71</v>
      </c>
      <c r="X123" s="349">
        <v>2.71</v>
      </c>
      <c r="Y123" s="349">
        <v>2.72</v>
      </c>
      <c r="Z123" s="349">
        <v>2.72</v>
      </c>
      <c r="AA123" s="349">
        <v>2.72</v>
      </c>
      <c r="AB123" s="349">
        <v>2.72</v>
      </c>
      <c r="AC123" s="349">
        <v>2.72</v>
      </c>
      <c r="AD123" s="349">
        <v>2.71</v>
      </c>
      <c r="AE123" s="349">
        <v>2.71</v>
      </c>
      <c r="AF123" s="349">
        <v>2.71</v>
      </c>
      <c r="AG123" s="349">
        <v>2.71</v>
      </c>
      <c r="AH123" s="349">
        <v>2.72</v>
      </c>
      <c r="AI123" s="349">
        <v>2.72</v>
      </c>
      <c r="AJ123" s="349">
        <v>2.72</v>
      </c>
      <c r="AK123" s="349">
        <v>2.72</v>
      </c>
      <c r="AL123" s="349">
        <v>2.72</v>
      </c>
      <c r="AM123" s="349">
        <v>2.72</v>
      </c>
      <c r="AN123" s="349">
        <v>2.72</v>
      </c>
      <c r="AO123" s="349">
        <v>2.72</v>
      </c>
      <c r="AP123" s="349">
        <v>2.72</v>
      </c>
      <c r="AQ123" s="349">
        <v>2.72</v>
      </c>
      <c r="AR123" s="349">
        <v>2.72</v>
      </c>
      <c r="AS123" s="349">
        <v>2.72</v>
      </c>
      <c r="AT123" s="349">
        <v>2.71</v>
      </c>
      <c r="AU123" s="349">
        <v>2.71</v>
      </c>
      <c r="AV123" s="349">
        <v>2.71</v>
      </c>
      <c r="AW123" s="349">
        <v>2.71</v>
      </c>
      <c r="AX123" s="349">
        <v>2.71</v>
      </c>
      <c r="AY123" s="349">
        <v>2.71</v>
      </c>
      <c r="AZ123" s="59">
        <v>8.9999999999999993E-3</v>
      </c>
      <c r="BA123" s="104">
        <f t="shared" si="2"/>
        <v>0.89999999999999991</v>
      </c>
      <c r="BC123" s="437">
        <v>3.46</v>
      </c>
      <c r="BD123" s="679">
        <f t="shared" si="9"/>
        <v>34218.583333333336</v>
      </c>
      <c r="BE123" s="679">
        <f t="shared" si="8"/>
        <v>36061.666666666664</v>
      </c>
      <c r="BF123" s="679">
        <f t="shared" si="8"/>
        <v>27455.25</v>
      </c>
      <c r="BG123" s="679">
        <f t="shared" si="8"/>
        <v>22857.916666666668</v>
      </c>
      <c r="BH123" s="679">
        <v>5</v>
      </c>
    </row>
    <row r="124" spans="1:60" ht="12.75" customHeight="1">
      <c r="A124" s="107">
        <v>43312</v>
      </c>
      <c r="B124" s="349">
        <v>1.02</v>
      </c>
      <c r="C124" s="349">
        <v>1.06</v>
      </c>
      <c r="D124" s="349">
        <v>1.1599999999999999</v>
      </c>
      <c r="E124" s="349">
        <v>1.3</v>
      </c>
      <c r="F124" s="349">
        <v>1.44</v>
      </c>
      <c r="G124" s="349">
        <v>1.6</v>
      </c>
      <c r="H124" s="349">
        <v>1.74</v>
      </c>
      <c r="I124" s="349">
        <v>1.88</v>
      </c>
      <c r="J124" s="349">
        <v>2</v>
      </c>
      <c r="K124" s="349">
        <v>2.12</v>
      </c>
      <c r="L124" s="349">
        <v>2.23</v>
      </c>
      <c r="M124" s="349">
        <v>2.3199999999999998</v>
      </c>
      <c r="N124" s="349">
        <v>2.39</v>
      </c>
      <c r="O124" s="349">
        <v>2.46</v>
      </c>
      <c r="P124" s="2303">
        <v>2.52</v>
      </c>
      <c r="Q124" s="349">
        <v>2.5499999999999998</v>
      </c>
      <c r="R124" s="349">
        <v>2.58</v>
      </c>
      <c r="S124" s="349">
        <v>2.61</v>
      </c>
      <c r="T124" s="349">
        <v>2.64</v>
      </c>
      <c r="U124" s="349">
        <v>2.66</v>
      </c>
      <c r="V124" s="349">
        <v>2.67</v>
      </c>
      <c r="W124" s="349">
        <v>2.67</v>
      </c>
      <c r="X124" s="349">
        <v>2.68</v>
      </c>
      <c r="Y124" s="349">
        <v>2.68</v>
      </c>
      <c r="Z124" s="349">
        <v>2.69</v>
      </c>
      <c r="AA124" s="349">
        <v>2.69</v>
      </c>
      <c r="AB124" s="349">
        <v>2.68</v>
      </c>
      <c r="AC124" s="349">
        <v>2.68</v>
      </c>
      <c r="AD124" s="349">
        <v>2.68</v>
      </c>
      <c r="AE124" s="349">
        <v>2.68</v>
      </c>
      <c r="AF124" s="349">
        <v>2.68</v>
      </c>
      <c r="AG124" s="349">
        <v>2.68</v>
      </c>
      <c r="AH124" s="349">
        <v>2.68</v>
      </c>
      <c r="AI124" s="349">
        <v>2.68</v>
      </c>
      <c r="AJ124" s="349">
        <v>2.68</v>
      </c>
      <c r="AK124" s="349">
        <v>2.68</v>
      </c>
      <c r="AL124" s="349">
        <v>2.68</v>
      </c>
      <c r="AM124" s="349">
        <v>2.68</v>
      </c>
      <c r="AN124" s="349">
        <v>2.69</v>
      </c>
      <c r="AO124" s="349">
        <v>2.69</v>
      </c>
      <c r="AP124" s="349">
        <v>2.68</v>
      </c>
      <c r="AQ124" s="349">
        <v>2.68</v>
      </c>
      <c r="AR124" s="349">
        <v>2.68</v>
      </c>
      <c r="AS124" s="349">
        <v>2.68</v>
      </c>
      <c r="AT124" s="349">
        <v>2.68</v>
      </c>
      <c r="AU124" s="349">
        <v>2.68</v>
      </c>
      <c r="AV124" s="349">
        <v>2.68</v>
      </c>
      <c r="AW124" s="349">
        <v>2.68</v>
      </c>
      <c r="AX124" s="349">
        <v>2.68</v>
      </c>
      <c r="AY124" s="349">
        <v>2.68</v>
      </c>
      <c r="AZ124" s="59">
        <v>8.9999999999999993E-3</v>
      </c>
      <c r="BA124" s="104">
        <f t="shared" si="2"/>
        <v>0.89999999999999991</v>
      </c>
      <c r="BC124" s="437">
        <v>3.42</v>
      </c>
      <c r="BD124" s="679">
        <f t="shared" si="9"/>
        <v>34586.5</v>
      </c>
      <c r="BE124" s="679">
        <f t="shared" si="8"/>
        <v>36886</v>
      </c>
      <c r="BF124" s="679">
        <f t="shared" si="8"/>
        <v>27737.5</v>
      </c>
      <c r="BG124" s="679">
        <f t="shared" si="8"/>
        <v>23358.5</v>
      </c>
      <c r="BH124" s="679">
        <v>6</v>
      </c>
    </row>
    <row r="125" spans="1:60">
      <c r="A125" s="107">
        <v>43343</v>
      </c>
      <c r="B125" s="349">
        <v>0.98</v>
      </c>
      <c r="C125" s="349">
        <v>1.02</v>
      </c>
      <c r="D125" s="349">
        <v>1.1200000000000001</v>
      </c>
      <c r="E125" s="349">
        <v>1.26</v>
      </c>
      <c r="F125" s="349">
        <v>1.4</v>
      </c>
      <c r="G125" s="349">
        <v>1.56</v>
      </c>
      <c r="H125" s="349">
        <v>1.7</v>
      </c>
      <c r="I125" s="349">
        <v>1.84</v>
      </c>
      <c r="J125" s="349">
        <v>1.96</v>
      </c>
      <c r="K125" s="349">
        <v>2.08</v>
      </c>
      <c r="L125" s="349">
        <v>2.19</v>
      </c>
      <c r="M125" s="349">
        <v>2.27</v>
      </c>
      <c r="N125" s="349">
        <v>2.35</v>
      </c>
      <c r="O125" s="349">
        <v>2.42</v>
      </c>
      <c r="P125" s="2303">
        <v>2.48</v>
      </c>
      <c r="Q125" s="349">
        <v>2.5099999999999998</v>
      </c>
      <c r="R125" s="349">
        <v>2.54</v>
      </c>
      <c r="S125" s="349">
        <v>2.57</v>
      </c>
      <c r="T125" s="349">
        <v>2.59</v>
      </c>
      <c r="U125" s="349">
        <v>2.62</v>
      </c>
      <c r="V125" s="349">
        <v>2.62</v>
      </c>
      <c r="W125" s="349">
        <v>2.63</v>
      </c>
      <c r="X125" s="349">
        <v>2.64</v>
      </c>
      <c r="Y125" s="349">
        <v>2.64</v>
      </c>
      <c r="Z125" s="349">
        <v>2.65</v>
      </c>
      <c r="AA125" s="349">
        <v>2.65</v>
      </c>
      <c r="AB125" s="349">
        <v>2.65</v>
      </c>
      <c r="AC125" s="349">
        <v>2.64</v>
      </c>
      <c r="AD125" s="349">
        <v>2.64</v>
      </c>
      <c r="AE125" s="349">
        <v>2.64</v>
      </c>
      <c r="AF125" s="349">
        <v>2.64</v>
      </c>
      <c r="AG125" s="349">
        <v>2.64</v>
      </c>
      <c r="AH125" s="349">
        <v>2.64</v>
      </c>
      <c r="AI125" s="349">
        <v>2.65</v>
      </c>
      <c r="AJ125" s="349">
        <v>2.65</v>
      </c>
      <c r="AK125" s="349">
        <v>2.65</v>
      </c>
      <c r="AL125" s="349">
        <v>2.65</v>
      </c>
      <c r="AM125" s="349">
        <v>2.65</v>
      </c>
      <c r="AN125" s="349">
        <v>2.65</v>
      </c>
      <c r="AO125" s="349">
        <v>2.65</v>
      </c>
      <c r="AP125" s="349">
        <v>2.65</v>
      </c>
      <c r="AQ125" s="349">
        <v>2.65</v>
      </c>
      <c r="AR125" s="349">
        <v>2.65</v>
      </c>
      <c r="AS125" s="349">
        <v>2.64</v>
      </c>
      <c r="AT125" s="349">
        <v>2.64</v>
      </c>
      <c r="AU125" s="349">
        <v>2.64</v>
      </c>
      <c r="AV125" s="349">
        <v>2.64</v>
      </c>
      <c r="AW125" s="349">
        <v>2.64</v>
      </c>
      <c r="AX125" s="349">
        <v>2.64</v>
      </c>
      <c r="AY125" s="349">
        <v>2.64</v>
      </c>
      <c r="AZ125" s="59">
        <v>8.9999999999999993E-3</v>
      </c>
      <c r="BA125" s="104">
        <f t="shared" si="2"/>
        <v>0.89999999999999991</v>
      </c>
      <c r="BC125" s="437">
        <v>3.39</v>
      </c>
      <c r="BD125" s="679">
        <f t="shared" si="9"/>
        <v>34954.416666666664</v>
      </c>
      <c r="BE125" s="679">
        <f t="shared" si="8"/>
        <v>37710.333333333336</v>
      </c>
      <c r="BF125" s="679">
        <f t="shared" si="8"/>
        <v>28019.75</v>
      </c>
      <c r="BG125" s="679">
        <f t="shared" si="8"/>
        <v>23859.083333333332</v>
      </c>
      <c r="BH125" s="679">
        <v>7</v>
      </c>
    </row>
    <row r="126" spans="1:60">
      <c r="A126" s="107">
        <v>43373</v>
      </c>
      <c r="B126" s="349">
        <v>0.93</v>
      </c>
      <c r="C126" s="349">
        <v>0.98</v>
      </c>
      <c r="D126" s="349">
        <v>1.08</v>
      </c>
      <c r="E126" s="349">
        <v>1.22</v>
      </c>
      <c r="F126" s="349">
        <v>1.36</v>
      </c>
      <c r="G126" s="349">
        <v>1.52</v>
      </c>
      <c r="H126" s="349">
        <v>1.66</v>
      </c>
      <c r="I126" s="349">
        <v>1.8</v>
      </c>
      <c r="J126" s="349">
        <v>1.92</v>
      </c>
      <c r="K126" s="349">
        <v>2.04</v>
      </c>
      <c r="L126" s="349">
        <v>2.15</v>
      </c>
      <c r="M126" s="349">
        <v>2.23</v>
      </c>
      <c r="N126" s="349">
        <v>2.31</v>
      </c>
      <c r="O126" s="349">
        <v>2.38</v>
      </c>
      <c r="P126" s="2303">
        <v>2.4300000000000002</v>
      </c>
      <c r="Q126" s="349">
        <v>2.4700000000000002</v>
      </c>
      <c r="R126" s="349">
        <v>2.5</v>
      </c>
      <c r="S126" s="349">
        <v>2.5299999999999998</v>
      </c>
      <c r="T126" s="349">
        <v>2.56</v>
      </c>
      <c r="U126" s="349">
        <v>2.58</v>
      </c>
      <c r="V126" s="349">
        <v>2.59</v>
      </c>
      <c r="W126" s="349">
        <v>2.59</v>
      </c>
      <c r="X126" s="349">
        <v>2.6</v>
      </c>
      <c r="Y126" s="349">
        <v>2.61</v>
      </c>
      <c r="Z126" s="349">
        <v>2.61</v>
      </c>
      <c r="AA126" s="349">
        <v>2.61</v>
      </c>
      <c r="AB126" s="349">
        <v>2.61</v>
      </c>
      <c r="AC126" s="349">
        <v>2.61</v>
      </c>
      <c r="AD126" s="349">
        <v>2.61</v>
      </c>
      <c r="AE126" s="349">
        <v>2.61</v>
      </c>
      <c r="AF126" s="349">
        <v>2.61</v>
      </c>
      <c r="AG126" s="349">
        <v>2.61</v>
      </c>
      <c r="AH126" s="349">
        <v>2.61</v>
      </c>
      <c r="AI126" s="349">
        <v>2.61</v>
      </c>
      <c r="AJ126" s="349">
        <v>2.61</v>
      </c>
      <c r="AK126" s="349">
        <v>2.61</v>
      </c>
      <c r="AL126" s="349">
        <v>2.61</v>
      </c>
      <c r="AM126" s="349">
        <v>2.61</v>
      </c>
      <c r="AN126" s="349">
        <v>2.61</v>
      </c>
      <c r="AO126" s="349">
        <v>2.61</v>
      </c>
      <c r="AP126" s="349">
        <v>2.61</v>
      </c>
      <c r="AQ126" s="349">
        <v>2.61</v>
      </c>
      <c r="AR126" s="349">
        <v>2.61</v>
      </c>
      <c r="AS126" s="349">
        <v>2.61</v>
      </c>
      <c r="AT126" s="349">
        <v>2.61</v>
      </c>
      <c r="AU126" s="349">
        <v>2.61</v>
      </c>
      <c r="AV126" s="349">
        <v>2.61</v>
      </c>
      <c r="AW126" s="349">
        <v>2.61</v>
      </c>
      <c r="AX126" s="349">
        <v>2.61</v>
      </c>
      <c r="AY126" s="349">
        <v>2.6</v>
      </c>
      <c r="AZ126" s="59">
        <v>8.9999999999999993E-3</v>
      </c>
      <c r="BA126" s="104">
        <f t="shared" si="2"/>
        <v>0.89999999999999991</v>
      </c>
      <c r="BC126" s="437">
        <v>3.34</v>
      </c>
      <c r="BD126" s="679">
        <f t="shared" si="9"/>
        <v>35322.333333333336</v>
      </c>
      <c r="BE126" s="679">
        <f t="shared" si="8"/>
        <v>38534.666666666664</v>
      </c>
      <c r="BF126" s="679">
        <f t="shared" si="8"/>
        <v>28302</v>
      </c>
      <c r="BG126" s="679">
        <f t="shared" si="8"/>
        <v>24359.666666666668</v>
      </c>
      <c r="BH126" s="679">
        <v>8</v>
      </c>
    </row>
    <row r="127" spans="1:60">
      <c r="A127" s="107">
        <v>43404</v>
      </c>
      <c r="B127" s="349">
        <v>0.89</v>
      </c>
      <c r="C127" s="349">
        <v>0.95</v>
      </c>
      <c r="D127" s="349">
        <v>1.05</v>
      </c>
      <c r="E127" s="349">
        <v>1.18</v>
      </c>
      <c r="F127" s="349">
        <v>1.33</v>
      </c>
      <c r="G127" s="349">
        <v>1.48</v>
      </c>
      <c r="H127" s="349">
        <v>1.62</v>
      </c>
      <c r="I127" s="349">
        <v>1.76</v>
      </c>
      <c r="J127" s="349">
        <v>1.88</v>
      </c>
      <c r="K127" s="349">
        <v>2</v>
      </c>
      <c r="L127" s="349">
        <v>2.11</v>
      </c>
      <c r="M127" s="349">
        <v>2.2000000000000002</v>
      </c>
      <c r="N127" s="349">
        <v>2.27</v>
      </c>
      <c r="O127" s="349">
        <v>2.34</v>
      </c>
      <c r="P127" s="2303">
        <v>2.4</v>
      </c>
      <c r="Q127" s="349">
        <v>2.4300000000000002</v>
      </c>
      <c r="R127" s="349">
        <v>2.4700000000000002</v>
      </c>
      <c r="S127" s="349">
        <v>2.5</v>
      </c>
      <c r="T127" s="349">
        <v>2.52</v>
      </c>
      <c r="U127" s="349">
        <v>2.54</v>
      </c>
      <c r="V127" s="349">
        <v>2.5499999999999998</v>
      </c>
      <c r="W127" s="349">
        <v>2.56</v>
      </c>
      <c r="X127" s="349">
        <v>2.57</v>
      </c>
      <c r="Y127" s="349">
        <v>2.57</v>
      </c>
      <c r="Z127" s="349">
        <v>2.58</v>
      </c>
      <c r="AA127" s="349">
        <v>2.58</v>
      </c>
      <c r="AB127" s="349">
        <v>2.58</v>
      </c>
      <c r="AC127" s="349">
        <v>2.58</v>
      </c>
      <c r="AD127" s="349">
        <v>2.57</v>
      </c>
      <c r="AE127" s="349">
        <v>2.57</v>
      </c>
      <c r="AF127" s="349">
        <v>2.58</v>
      </c>
      <c r="AG127" s="349">
        <v>2.58</v>
      </c>
      <c r="AH127" s="349">
        <v>2.58</v>
      </c>
      <c r="AI127" s="349">
        <v>2.58</v>
      </c>
      <c r="AJ127" s="349">
        <v>2.58</v>
      </c>
      <c r="AK127" s="349">
        <v>2.58</v>
      </c>
      <c r="AL127" s="349">
        <v>2.58</v>
      </c>
      <c r="AM127" s="349">
        <v>2.58</v>
      </c>
      <c r="AN127" s="349">
        <v>2.58</v>
      </c>
      <c r="AO127" s="349">
        <v>2.58</v>
      </c>
      <c r="AP127" s="349">
        <v>2.58</v>
      </c>
      <c r="AQ127" s="349">
        <v>2.58</v>
      </c>
      <c r="AR127" s="349">
        <v>2.58</v>
      </c>
      <c r="AS127" s="349">
        <v>2.58</v>
      </c>
      <c r="AT127" s="349">
        <v>2.58</v>
      </c>
      <c r="AU127" s="349">
        <v>2.57</v>
      </c>
      <c r="AV127" s="349">
        <v>2.57</v>
      </c>
      <c r="AW127" s="349">
        <v>2.57</v>
      </c>
      <c r="AX127" s="349">
        <v>2.57</v>
      </c>
      <c r="AY127" s="349">
        <v>2.57</v>
      </c>
      <c r="AZ127" s="59">
        <v>8.9999999999999993E-3</v>
      </c>
      <c r="BA127" s="104">
        <f t="shared" si="2"/>
        <v>0.89999999999999991</v>
      </c>
      <c r="BC127" s="437">
        <v>3.29</v>
      </c>
      <c r="BD127" s="679">
        <f t="shared" si="9"/>
        <v>35690.25</v>
      </c>
      <c r="BE127" s="679">
        <f t="shared" si="8"/>
        <v>39359</v>
      </c>
      <c r="BF127" s="679">
        <f t="shared" si="8"/>
        <v>28584.25</v>
      </c>
      <c r="BG127" s="679">
        <f t="shared" si="8"/>
        <v>24860.25</v>
      </c>
      <c r="BH127" s="679">
        <v>9</v>
      </c>
    </row>
    <row r="128" spans="1:60" ht="12.75" customHeight="1">
      <c r="A128" s="107">
        <v>43434</v>
      </c>
      <c r="B128" s="349">
        <v>0.85</v>
      </c>
      <c r="C128" s="349">
        <v>0.91</v>
      </c>
      <c r="D128" s="349">
        <v>1.01</v>
      </c>
      <c r="E128" s="349">
        <v>1.1399999999999999</v>
      </c>
      <c r="F128" s="349">
        <v>1.29</v>
      </c>
      <c r="G128" s="349">
        <v>1.44</v>
      </c>
      <c r="H128" s="349">
        <v>1.58</v>
      </c>
      <c r="I128" s="349">
        <v>1.72</v>
      </c>
      <c r="J128" s="349">
        <v>1.84</v>
      </c>
      <c r="K128" s="349">
        <v>1.96</v>
      </c>
      <c r="L128" s="349">
        <v>2.0699999999999998</v>
      </c>
      <c r="M128" s="349">
        <v>2.16</v>
      </c>
      <c r="N128" s="349">
        <v>2.23</v>
      </c>
      <c r="O128" s="349">
        <v>2.2999999999999998</v>
      </c>
      <c r="P128" s="2303">
        <v>2.36</v>
      </c>
      <c r="Q128" s="349">
        <v>2.39</v>
      </c>
      <c r="R128" s="349">
        <v>2.4300000000000002</v>
      </c>
      <c r="S128" s="349">
        <v>2.46</v>
      </c>
      <c r="T128" s="349">
        <v>2.48</v>
      </c>
      <c r="U128" s="349">
        <v>2.5099999999999998</v>
      </c>
      <c r="V128" s="349">
        <v>2.5099999999999998</v>
      </c>
      <c r="W128" s="349">
        <v>2.52</v>
      </c>
      <c r="X128" s="349">
        <v>2.5299999999999998</v>
      </c>
      <c r="Y128" s="349">
        <v>2.54</v>
      </c>
      <c r="Z128" s="349">
        <v>2.54</v>
      </c>
      <c r="AA128" s="349">
        <v>2.54</v>
      </c>
      <c r="AB128" s="349">
        <v>2.54</v>
      </c>
      <c r="AC128" s="349">
        <v>2.54</v>
      </c>
      <c r="AD128" s="349">
        <v>2.54</v>
      </c>
      <c r="AE128" s="349">
        <v>2.54</v>
      </c>
      <c r="AF128" s="349">
        <v>2.54</v>
      </c>
      <c r="AG128" s="349">
        <v>2.54</v>
      </c>
      <c r="AH128" s="349">
        <v>2.54</v>
      </c>
      <c r="AI128" s="349">
        <v>2.54</v>
      </c>
      <c r="AJ128" s="349">
        <v>2.54</v>
      </c>
      <c r="AK128" s="349">
        <v>2.54</v>
      </c>
      <c r="AL128" s="349">
        <v>2.54</v>
      </c>
      <c r="AM128" s="349">
        <v>2.5499999999999998</v>
      </c>
      <c r="AN128" s="349">
        <v>2.5499999999999998</v>
      </c>
      <c r="AO128" s="349">
        <v>2.5499999999999998</v>
      </c>
      <c r="AP128" s="349">
        <v>2.54</v>
      </c>
      <c r="AQ128" s="349">
        <v>2.54</v>
      </c>
      <c r="AR128" s="349">
        <v>2.54</v>
      </c>
      <c r="AS128" s="349">
        <v>2.54</v>
      </c>
      <c r="AT128" s="349">
        <v>2.54</v>
      </c>
      <c r="AU128" s="349">
        <v>2.54</v>
      </c>
      <c r="AV128" s="349">
        <v>2.54</v>
      </c>
      <c r="AW128" s="349">
        <v>2.54</v>
      </c>
      <c r="AX128" s="349">
        <v>2.54</v>
      </c>
      <c r="AY128" s="349">
        <v>2.54</v>
      </c>
      <c r="AZ128" s="59">
        <v>8.9999999999999993E-3</v>
      </c>
      <c r="BA128" s="104">
        <f t="shared" si="2"/>
        <v>0.89999999999999991</v>
      </c>
      <c r="BC128" s="437">
        <v>3.25</v>
      </c>
      <c r="BD128" s="679">
        <f t="shared" si="9"/>
        <v>36058.166666666664</v>
      </c>
      <c r="BE128" s="679">
        <f t="shared" si="8"/>
        <v>40183.333333333336</v>
      </c>
      <c r="BF128" s="679">
        <f t="shared" si="8"/>
        <v>28866.5</v>
      </c>
      <c r="BG128" s="679">
        <f t="shared" si="8"/>
        <v>25360.833333333332</v>
      </c>
      <c r="BH128" s="679">
        <v>10</v>
      </c>
    </row>
    <row r="129" spans="1:60" ht="12.75" customHeight="1">
      <c r="A129" s="107">
        <v>43465</v>
      </c>
      <c r="B129" s="349">
        <v>0.82</v>
      </c>
      <c r="C129" s="349">
        <v>0.88</v>
      </c>
      <c r="D129" s="349">
        <v>0.98</v>
      </c>
      <c r="E129" s="349">
        <v>1.1100000000000001</v>
      </c>
      <c r="F129" s="349">
        <v>1.25</v>
      </c>
      <c r="G129" s="349">
        <v>1.4</v>
      </c>
      <c r="H129" s="349">
        <v>1.55</v>
      </c>
      <c r="I129" s="349">
        <v>1.68</v>
      </c>
      <c r="J129" s="349">
        <v>1.81</v>
      </c>
      <c r="K129" s="349">
        <v>1.93</v>
      </c>
      <c r="L129" s="349">
        <v>2.0299999999999998</v>
      </c>
      <c r="M129" s="349">
        <v>2.12</v>
      </c>
      <c r="N129" s="349">
        <v>2.2000000000000002</v>
      </c>
      <c r="O129" s="349">
        <v>2.27</v>
      </c>
      <c r="P129" s="2303">
        <v>2.3199999999999998</v>
      </c>
      <c r="Q129" s="349">
        <v>2.36</v>
      </c>
      <c r="R129" s="349">
        <v>2.39</v>
      </c>
      <c r="S129" s="349">
        <v>2.42</v>
      </c>
      <c r="T129" s="349">
        <v>2.4500000000000002</v>
      </c>
      <c r="U129" s="349">
        <v>2.4700000000000002</v>
      </c>
      <c r="V129" s="349">
        <v>2.48</v>
      </c>
      <c r="W129" s="349">
        <v>2.4900000000000002</v>
      </c>
      <c r="X129" s="349">
        <v>2.5</v>
      </c>
      <c r="Y129" s="349">
        <v>2.5099999999999998</v>
      </c>
      <c r="Z129" s="349">
        <v>2.5099999999999998</v>
      </c>
      <c r="AA129" s="349">
        <v>2.5099999999999998</v>
      </c>
      <c r="AB129" s="349">
        <v>2.5099999999999998</v>
      </c>
      <c r="AC129" s="349">
        <v>2.5099999999999998</v>
      </c>
      <c r="AD129" s="349">
        <v>2.5099999999999998</v>
      </c>
      <c r="AE129" s="349">
        <v>2.5099999999999998</v>
      </c>
      <c r="AF129" s="349">
        <v>2.5099999999999998</v>
      </c>
      <c r="AG129" s="349">
        <v>2.5099999999999998</v>
      </c>
      <c r="AH129" s="349">
        <v>2.5099999999999998</v>
      </c>
      <c r="AI129" s="349">
        <v>2.5099999999999998</v>
      </c>
      <c r="AJ129" s="349">
        <v>2.5099999999999998</v>
      </c>
      <c r="AK129" s="349">
        <v>2.52</v>
      </c>
      <c r="AL129" s="349">
        <v>2.52</v>
      </c>
      <c r="AM129" s="349">
        <v>2.52</v>
      </c>
      <c r="AN129" s="349">
        <v>2.52</v>
      </c>
      <c r="AO129" s="349">
        <v>2.52</v>
      </c>
      <c r="AP129" s="349">
        <v>2.52</v>
      </c>
      <c r="AQ129" s="349">
        <v>2.5099999999999998</v>
      </c>
      <c r="AR129" s="349">
        <v>2.5099999999999998</v>
      </c>
      <c r="AS129" s="349">
        <v>2.5099999999999998</v>
      </c>
      <c r="AT129" s="349">
        <v>2.5099999999999998</v>
      </c>
      <c r="AU129" s="349">
        <v>2.5099999999999998</v>
      </c>
      <c r="AV129" s="349">
        <v>2.5099999999999998</v>
      </c>
      <c r="AW129" s="349">
        <v>2.5099999999999998</v>
      </c>
      <c r="AX129" s="349">
        <v>2.5099999999999998</v>
      </c>
      <c r="AY129" s="349">
        <v>2.5099999999999998</v>
      </c>
      <c r="AZ129" s="59">
        <v>8.9999999999999993E-3</v>
      </c>
      <c r="BA129" s="104">
        <f t="shared" si="2"/>
        <v>0.89999999999999991</v>
      </c>
      <c r="BC129" s="437">
        <v>3.21</v>
      </c>
      <c r="BD129" s="679">
        <f t="shared" si="9"/>
        <v>36426.083333333336</v>
      </c>
      <c r="BE129" s="679">
        <f t="shared" si="8"/>
        <v>41007.666666666672</v>
      </c>
      <c r="BF129" s="679">
        <f t="shared" si="8"/>
        <v>29148.75</v>
      </c>
      <c r="BG129" s="679">
        <f t="shared" si="8"/>
        <v>25861.416666666664</v>
      </c>
      <c r="BH129" s="679">
        <v>11</v>
      </c>
    </row>
    <row r="130" spans="1:60" ht="12.75" customHeight="1">
      <c r="A130" s="107">
        <v>43496</v>
      </c>
      <c r="B130" s="349">
        <v>0.79</v>
      </c>
      <c r="C130" s="349">
        <v>0.85</v>
      </c>
      <c r="D130" s="349">
        <v>0.95</v>
      </c>
      <c r="E130" s="349">
        <v>1.08</v>
      </c>
      <c r="F130" s="349">
        <v>1.22</v>
      </c>
      <c r="G130" s="349">
        <v>1.37</v>
      </c>
      <c r="H130" s="349">
        <v>1.51</v>
      </c>
      <c r="I130" s="349">
        <v>1.65</v>
      </c>
      <c r="J130" s="349">
        <v>1.78</v>
      </c>
      <c r="K130" s="349">
        <v>1.9</v>
      </c>
      <c r="L130" s="349">
        <v>2</v>
      </c>
      <c r="M130" s="349">
        <v>2.09</v>
      </c>
      <c r="N130" s="349">
        <v>2.17</v>
      </c>
      <c r="O130" s="349">
        <v>2.2400000000000002</v>
      </c>
      <c r="P130" s="2303">
        <v>2.29</v>
      </c>
      <c r="Q130" s="349">
        <v>2.33</v>
      </c>
      <c r="R130" s="349">
        <v>2.36</v>
      </c>
      <c r="S130" s="349">
        <v>2.39</v>
      </c>
      <c r="T130" s="349">
        <v>2.42</v>
      </c>
      <c r="U130" s="349">
        <v>2.44</v>
      </c>
      <c r="V130" s="349">
        <v>2.4500000000000002</v>
      </c>
      <c r="W130" s="349">
        <v>2.46</v>
      </c>
      <c r="X130" s="349">
        <v>2.4700000000000002</v>
      </c>
      <c r="Y130" s="349">
        <v>2.48</v>
      </c>
      <c r="Z130" s="349">
        <v>2.48</v>
      </c>
      <c r="AA130" s="349">
        <v>2.48</v>
      </c>
      <c r="AB130" s="349">
        <v>2.48</v>
      </c>
      <c r="AC130" s="349">
        <v>2.48</v>
      </c>
      <c r="AD130" s="349">
        <v>2.48</v>
      </c>
      <c r="AE130" s="349">
        <v>2.48</v>
      </c>
      <c r="AF130" s="349">
        <v>2.4900000000000002</v>
      </c>
      <c r="AG130" s="349">
        <v>2.4900000000000002</v>
      </c>
      <c r="AH130" s="349">
        <v>2.4900000000000002</v>
      </c>
      <c r="AI130" s="349">
        <v>2.4900000000000002</v>
      </c>
      <c r="AJ130" s="349">
        <v>2.4900000000000002</v>
      </c>
      <c r="AK130" s="349">
        <v>2.4900000000000002</v>
      </c>
      <c r="AL130" s="349">
        <v>2.4900000000000002</v>
      </c>
      <c r="AM130" s="349">
        <v>2.4900000000000002</v>
      </c>
      <c r="AN130" s="349">
        <v>2.4900000000000002</v>
      </c>
      <c r="AO130" s="349">
        <v>2.4900000000000002</v>
      </c>
      <c r="AP130" s="349">
        <v>2.4900000000000002</v>
      </c>
      <c r="AQ130" s="349">
        <v>2.4900000000000002</v>
      </c>
      <c r="AR130" s="349">
        <v>2.4900000000000002</v>
      </c>
      <c r="AS130" s="349">
        <v>2.4900000000000002</v>
      </c>
      <c r="AT130" s="349">
        <v>2.4900000000000002</v>
      </c>
      <c r="AU130" s="349">
        <v>2.48</v>
      </c>
      <c r="AV130" s="349">
        <v>2.48</v>
      </c>
      <c r="AW130" s="349">
        <v>2.48</v>
      </c>
      <c r="AX130" s="349">
        <v>2.48</v>
      </c>
      <c r="AY130" s="349">
        <v>2.48</v>
      </c>
      <c r="AZ130" s="59">
        <v>8.9999999999999993E-3</v>
      </c>
      <c r="BA130" s="104">
        <f t="shared" si="2"/>
        <v>0.89999999999999991</v>
      </c>
      <c r="BC130" s="437">
        <v>3.16</v>
      </c>
      <c r="BD130" s="680">
        <v>36794</v>
      </c>
      <c r="BE130" s="680">
        <v>41832</v>
      </c>
      <c r="BF130" s="680">
        <v>29431</v>
      </c>
      <c r="BG130" s="680">
        <v>26362</v>
      </c>
    </row>
    <row r="131" spans="1:60">
      <c r="A131" s="107">
        <v>43524</v>
      </c>
      <c r="B131" s="349">
        <v>0.76</v>
      </c>
      <c r="C131" s="349">
        <v>0.82</v>
      </c>
      <c r="D131" s="349">
        <v>0.92</v>
      </c>
      <c r="E131" s="349">
        <v>1.06</v>
      </c>
      <c r="F131" s="349">
        <v>1.2</v>
      </c>
      <c r="G131" s="349">
        <v>1.35</v>
      </c>
      <c r="H131" s="349">
        <v>1.49</v>
      </c>
      <c r="I131" s="349">
        <v>1.62</v>
      </c>
      <c r="J131" s="349">
        <v>1.75</v>
      </c>
      <c r="K131" s="349">
        <v>1.87</v>
      </c>
      <c r="L131" s="349">
        <v>1.97</v>
      </c>
      <c r="M131" s="349">
        <v>2.06</v>
      </c>
      <c r="N131" s="349">
        <v>2.14</v>
      </c>
      <c r="O131" s="349">
        <v>2.21</v>
      </c>
      <c r="P131" s="2303">
        <v>2.2599999999999998</v>
      </c>
      <c r="Q131" s="349">
        <v>2.2999999999999998</v>
      </c>
      <c r="R131" s="349">
        <v>2.34</v>
      </c>
      <c r="S131" s="349">
        <v>2.37</v>
      </c>
      <c r="T131" s="349">
        <v>2.39</v>
      </c>
      <c r="U131" s="349">
        <v>2.42</v>
      </c>
      <c r="V131" s="349">
        <v>2.4300000000000002</v>
      </c>
      <c r="W131" s="349">
        <v>2.44</v>
      </c>
      <c r="X131" s="349">
        <v>2.44</v>
      </c>
      <c r="Y131" s="349">
        <v>2.4500000000000002</v>
      </c>
      <c r="Z131" s="349">
        <v>2.46</v>
      </c>
      <c r="AA131" s="349">
        <v>2.46</v>
      </c>
      <c r="AB131" s="349">
        <v>2.46</v>
      </c>
      <c r="AC131" s="349">
        <v>2.46</v>
      </c>
      <c r="AD131" s="349">
        <v>2.46</v>
      </c>
      <c r="AE131" s="349">
        <v>2.46</v>
      </c>
      <c r="AF131" s="349">
        <v>2.46</v>
      </c>
      <c r="AG131" s="349">
        <v>2.46</v>
      </c>
      <c r="AH131" s="349">
        <v>2.46</v>
      </c>
      <c r="AI131" s="349">
        <v>2.46</v>
      </c>
      <c r="AJ131" s="349">
        <v>2.46</v>
      </c>
      <c r="AK131" s="349">
        <v>2.46</v>
      </c>
      <c r="AL131" s="349">
        <v>2.46</v>
      </c>
      <c r="AM131" s="349">
        <v>2.4700000000000002</v>
      </c>
      <c r="AN131" s="349">
        <v>2.4700000000000002</v>
      </c>
      <c r="AO131" s="349">
        <v>2.4700000000000002</v>
      </c>
      <c r="AP131" s="349">
        <v>2.4700000000000002</v>
      </c>
      <c r="AQ131" s="349">
        <v>2.46</v>
      </c>
      <c r="AR131" s="349">
        <v>2.46</v>
      </c>
      <c r="AS131" s="349">
        <v>2.46</v>
      </c>
      <c r="AT131" s="349">
        <v>2.46</v>
      </c>
      <c r="AU131" s="349">
        <v>2.46</v>
      </c>
      <c r="AV131" s="349">
        <v>2.46</v>
      </c>
      <c r="AW131" s="349">
        <v>2.46</v>
      </c>
      <c r="AX131" s="349">
        <v>2.46</v>
      </c>
      <c r="AY131" s="349">
        <v>2.46</v>
      </c>
      <c r="AZ131" s="59">
        <v>8.9999999999999993E-3</v>
      </c>
      <c r="BA131" s="104">
        <f t="shared" si="2"/>
        <v>0.89999999999999991</v>
      </c>
      <c r="BC131" s="437">
        <v>3.12</v>
      </c>
      <c r="BD131" s="679">
        <f>BD$130+(BD$142-BD$130)/12*$BH131</f>
        <v>37103.25</v>
      </c>
      <c r="BE131" s="679">
        <f t="shared" ref="BE131:BG141" si="10">BE$130+(BE$142-BE$130)/12*$BH131</f>
        <v>42558.416666666664</v>
      </c>
      <c r="BF131" s="679">
        <f t="shared" si="10"/>
        <v>29775.333333333332</v>
      </c>
      <c r="BG131" s="679">
        <f t="shared" si="10"/>
        <v>27021.333333333332</v>
      </c>
      <c r="BH131" s="679">
        <v>1</v>
      </c>
    </row>
    <row r="132" spans="1:60">
      <c r="A132" s="107">
        <v>43555</v>
      </c>
      <c r="B132" s="349">
        <v>0.74</v>
      </c>
      <c r="C132" s="349">
        <v>0.8</v>
      </c>
      <c r="D132" s="349">
        <v>0.9</v>
      </c>
      <c r="E132" s="349">
        <v>1.03</v>
      </c>
      <c r="F132" s="349">
        <v>1.17</v>
      </c>
      <c r="G132" s="349">
        <v>1.32</v>
      </c>
      <c r="H132" s="349">
        <v>1.46</v>
      </c>
      <c r="I132" s="349">
        <v>1.59</v>
      </c>
      <c r="J132" s="349">
        <v>1.72</v>
      </c>
      <c r="K132" s="349">
        <v>1.84</v>
      </c>
      <c r="L132" s="349">
        <v>1.94</v>
      </c>
      <c r="M132" s="349">
        <v>2.0299999999999998</v>
      </c>
      <c r="N132" s="349">
        <v>2.11</v>
      </c>
      <c r="O132" s="349">
        <v>2.17</v>
      </c>
      <c r="P132" s="2303">
        <v>2.23</v>
      </c>
      <c r="Q132" s="349">
        <v>2.27</v>
      </c>
      <c r="R132" s="349">
        <v>2.31</v>
      </c>
      <c r="S132" s="349">
        <v>2.34</v>
      </c>
      <c r="T132" s="349">
        <v>2.36</v>
      </c>
      <c r="U132" s="349">
        <v>2.39</v>
      </c>
      <c r="V132" s="349">
        <v>2.4</v>
      </c>
      <c r="W132" s="349">
        <v>2.41</v>
      </c>
      <c r="X132" s="349">
        <v>2.42</v>
      </c>
      <c r="Y132" s="349">
        <v>2.42</v>
      </c>
      <c r="Z132" s="349">
        <v>2.4300000000000002</v>
      </c>
      <c r="AA132" s="349">
        <v>2.4300000000000002</v>
      </c>
      <c r="AB132" s="349">
        <v>2.4300000000000002</v>
      </c>
      <c r="AC132" s="349">
        <v>2.4300000000000002</v>
      </c>
      <c r="AD132" s="349">
        <v>2.4300000000000002</v>
      </c>
      <c r="AE132" s="349">
        <v>2.4300000000000002</v>
      </c>
      <c r="AF132" s="349">
        <v>2.4300000000000002</v>
      </c>
      <c r="AG132" s="349">
        <v>2.44</v>
      </c>
      <c r="AH132" s="349">
        <v>2.44</v>
      </c>
      <c r="AI132" s="349">
        <v>2.44</v>
      </c>
      <c r="AJ132" s="349">
        <v>2.44</v>
      </c>
      <c r="AK132" s="349">
        <v>2.44</v>
      </c>
      <c r="AL132" s="349">
        <v>2.44</v>
      </c>
      <c r="AM132" s="349">
        <v>2.44</v>
      </c>
      <c r="AN132" s="349">
        <v>2.44</v>
      </c>
      <c r="AO132" s="349">
        <v>2.44</v>
      </c>
      <c r="AP132" s="349">
        <v>2.44</v>
      </c>
      <c r="AQ132" s="349">
        <v>2.44</v>
      </c>
      <c r="AR132" s="349">
        <v>2.44</v>
      </c>
      <c r="AS132" s="349">
        <v>2.44</v>
      </c>
      <c r="AT132" s="349">
        <v>2.4300000000000002</v>
      </c>
      <c r="AU132" s="349">
        <v>2.4300000000000002</v>
      </c>
      <c r="AV132" s="349">
        <v>2.4300000000000002</v>
      </c>
      <c r="AW132" s="349">
        <v>2.4300000000000002</v>
      </c>
      <c r="AX132" s="349">
        <v>2.4300000000000002</v>
      </c>
      <c r="AY132" s="349">
        <v>2.4300000000000002</v>
      </c>
      <c r="AZ132" s="59">
        <v>8.9999999999999993E-3</v>
      </c>
      <c r="BA132" s="104">
        <f t="shared" si="2"/>
        <v>0.89999999999999991</v>
      </c>
      <c r="BC132" s="437">
        <v>3.07</v>
      </c>
      <c r="BD132" s="679">
        <f t="shared" ref="BD132:BD141" si="11">BD$130+(BD$142-BD$130)/12*$BH132</f>
        <v>37412.5</v>
      </c>
      <c r="BE132" s="679">
        <f t="shared" si="10"/>
        <v>43284.833333333336</v>
      </c>
      <c r="BF132" s="679">
        <f t="shared" si="10"/>
        <v>30119.666666666668</v>
      </c>
      <c r="BG132" s="679">
        <f t="shared" si="10"/>
        <v>27680.666666666668</v>
      </c>
      <c r="BH132" s="679">
        <v>2</v>
      </c>
    </row>
    <row r="133" spans="1:60">
      <c r="A133" s="107">
        <v>43585</v>
      </c>
      <c r="B133" s="349">
        <v>0.71</v>
      </c>
      <c r="C133" s="349">
        <v>0.78</v>
      </c>
      <c r="D133" s="349">
        <v>0.87</v>
      </c>
      <c r="E133" s="349">
        <v>1</v>
      </c>
      <c r="F133" s="349">
        <v>1.1399999999999999</v>
      </c>
      <c r="G133" s="349">
        <v>1.29</v>
      </c>
      <c r="H133" s="349">
        <v>1.43</v>
      </c>
      <c r="I133" s="349">
        <v>1.56</v>
      </c>
      <c r="J133" s="349">
        <v>1.69</v>
      </c>
      <c r="K133" s="349">
        <v>1.8</v>
      </c>
      <c r="L133" s="349">
        <v>1.91</v>
      </c>
      <c r="M133" s="349">
        <v>2</v>
      </c>
      <c r="N133" s="349">
        <v>2.08</v>
      </c>
      <c r="O133" s="349">
        <v>2.14</v>
      </c>
      <c r="P133" s="2303">
        <v>2.2000000000000002</v>
      </c>
      <c r="Q133" s="349">
        <v>2.2400000000000002</v>
      </c>
      <c r="R133" s="349">
        <v>2.27</v>
      </c>
      <c r="S133" s="349">
        <v>2.31</v>
      </c>
      <c r="T133" s="349">
        <v>2.33</v>
      </c>
      <c r="U133" s="349">
        <v>2.36</v>
      </c>
      <c r="V133" s="349">
        <v>2.37</v>
      </c>
      <c r="W133" s="349">
        <v>2.38</v>
      </c>
      <c r="X133" s="349">
        <v>2.39</v>
      </c>
      <c r="Y133" s="349">
        <v>2.4</v>
      </c>
      <c r="Z133" s="349">
        <v>2.4</v>
      </c>
      <c r="AA133" s="349">
        <v>2.4</v>
      </c>
      <c r="AB133" s="349">
        <v>2.4</v>
      </c>
      <c r="AC133" s="349">
        <v>2.41</v>
      </c>
      <c r="AD133" s="349">
        <v>2.41</v>
      </c>
      <c r="AE133" s="349">
        <v>2.41</v>
      </c>
      <c r="AF133" s="349">
        <v>2.41</v>
      </c>
      <c r="AG133" s="349">
        <v>2.41</v>
      </c>
      <c r="AH133" s="349">
        <v>2.41</v>
      </c>
      <c r="AI133" s="349">
        <v>2.41</v>
      </c>
      <c r="AJ133" s="349">
        <v>2.41</v>
      </c>
      <c r="AK133" s="349">
        <v>2.41</v>
      </c>
      <c r="AL133" s="349">
        <v>2.41</v>
      </c>
      <c r="AM133" s="349">
        <v>2.41</v>
      </c>
      <c r="AN133" s="349">
        <v>2.41</v>
      </c>
      <c r="AO133" s="349">
        <v>2.41</v>
      </c>
      <c r="AP133" s="349">
        <v>2.41</v>
      </c>
      <c r="AQ133" s="349">
        <v>2.41</v>
      </c>
      <c r="AR133" s="349">
        <v>2.41</v>
      </c>
      <c r="AS133" s="349">
        <v>2.41</v>
      </c>
      <c r="AT133" s="349">
        <v>2.41</v>
      </c>
      <c r="AU133" s="349">
        <v>2.41</v>
      </c>
      <c r="AV133" s="349">
        <v>2.4</v>
      </c>
      <c r="AW133" s="349">
        <v>2.4</v>
      </c>
      <c r="AX133" s="349">
        <v>2.4</v>
      </c>
      <c r="AY133" s="349">
        <v>2.4</v>
      </c>
      <c r="AZ133" s="59">
        <v>8.9999999999999993E-3</v>
      </c>
      <c r="BA133" s="104">
        <f t="shared" si="2"/>
        <v>0.89999999999999991</v>
      </c>
      <c r="BC133" s="437">
        <v>3.03</v>
      </c>
      <c r="BD133" s="679">
        <f t="shared" si="11"/>
        <v>37721.75</v>
      </c>
      <c r="BE133" s="679">
        <f t="shared" si="10"/>
        <v>44011.25</v>
      </c>
      <c r="BF133" s="679">
        <f t="shared" si="10"/>
        <v>30464</v>
      </c>
      <c r="BG133" s="679">
        <f t="shared" si="10"/>
        <v>28340</v>
      </c>
      <c r="BH133" s="679">
        <v>3</v>
      </c>
    </row>
    <row r="134" spans="1:60">
      <c r="A134" s="107">
        <v>43616</v>
      </c>
      <c r="B134" s="349">
        <v>0.69</v>
      </c>
      <c r="C134" s="349">
        <v>0.75</v>
      </c>
      <c r="D134" s="349">
        <v>0.85</v>
      </c>
      <c r="E134" s="349">
        <v>0.98</v>
      </c>
      <c r="F134" s="349">
        <v>1.1200000000000001</v>
      </c>
      <c r="G134" s="349">
        <v>1.27</v>
      </c>
      <c r="H134" s="349">
        <v>1.4</v>
      </c>
      <c r="I134" s="349">
        <v>1.54</v>
      </c>
      <c r="J134" s="349">
        <v>1.66</v>
      </c>
      <c r="K134" s="349">
        <v>1.78</v>
      </c>
      <c r="L134" s="349">
        <v>1.89</v>
      </c>
      <c r="M134" s="349">
        <v>1.97</v>
      </c>
      <c r="N134" s="349">
        <v>2.0499999999999998</v>
      </c>
      <c r="O134" s="349">
        <v>2.12</v>
      </c>
      <c r="P134" s="2303">
        <v>2.1800000000000002</v>
      </c>
      <c r="Q134" s="349">
        <v>2.2200000000000002</v>
      </c>
      <c r="R134" s="349">
        <v>2.25</v>
      </c>
      <c r="S134" s="349">
        <v>2.2799999999999998</v>
      </c>
      <c r="T134" s="349">
        <v>2.31</v>
      </c>
      <c r="U134" s="349">
        <v>2.34</v>
      </c>
      <c r="V134" s="349">
        <v>2.35</v>
      </c>
      <c r="W134" s="349">
        <v>2.36</v>
      </c>
      <c r="X134" s="349">
        <v>2.37</v>
      </c>
      <c r="Y134" s="349">
        <v>2.38</v>
      </c>
      <c r="Z134" s="349">
        <v>2.38</v>
      </c>
      <c r="AA134" s="349">
        <v>2.38</v>
      </c>
      <c r="AB134" s="349">
        <v>2.39</v>
      </c>
      <c r="AC134" s="349">
        <v>2.39</v>
      </c>
      <c r="AD134" s="349">
        <v>2.39</v>
      </c>
      <c r="AE134" s="349">
        <v>2.39</v>
      </c>
      <c r="AF134" s="349">
        <v>2.39</v>
      </c>
      <c r="AG134" s="349">
        <v>2.39</v>
      </c>
      <c r="AH134" s="349">
        <v>2.39</v>
      </c>
      <c r="AI134" s="349">
        <v>2.39</v>
      </c>
      <c r="AJ134" s="349">
        <v>2.39</v>
      </c>
      <c r="AK134" s="349">
        <v>2.39</v>
      </c>
      <c r="AL134" s="349">
        <v>2.39</v>
      </c>
      <c r="AM134" s="349">
        <v>2.39</v>
      </c>
      <c r="AN134" s="349">
        <v>2.39</v>
      </c>
      <c r="AO134" s="349">
        <v>2.39</v>
      </c>
      <c r="AP134" s="349">
        <v>2.39</v>
      </c>
      <c r="AQ134" s="349">
        <v>2.39</v>
      </c>
      <c r="AR134" s="349">
        <v>2.39</v>
      </c>
      <c r="AS134" s="349">
        <v>2.39</v>
      </c>
      <c r="AT134" s="349">
        <v>2.39</v>
      </c>
      <c r="AU134" s="349">
        <v>2.39</v>
      </c>
      <c r="AV134" s="349">
        <v>2.38</v>
      </c>
      <c r="AW134" s="349">
        <v>2.38</v>
      </c>
      <c r="AX134" s="349">
        <v>2.38</v>
      </c>
      <c r="AY134" s="349">
        <v>2.38</v>
      </c>
      <c r="AZ134" s="59">
        <v>8.9999999999999993E-3</v>
      </c>
      <c r="BA134" s="104">
        <f t="shared" si="2"/>
        <v>0.89999999999999991</v>
      </c>
      <c r="BC134" s="437">
        <v>2.98</v>
      </c>
      <c r="BD134" s="679">
        <f t="shared" si="11"/>
        <v>38031</v>
      </c>
      <c r="BE134" s="679">
        <f t="shared" si="10"/>
        <v>44737.666666666664</v>
      </c>
      <c r="BF134" s="679">
        <f t="shared" si="10"/>
        <v>30808.333333333332</v>
      </c>
      <c r="BG134" s="679">
        <f t="shared" si="10"/>
        <v>28999.333333333332</v>
      </c>
      <c r="BH134" s="679">
        <v>4</v>
      </c>
    </row>
    <row r="135" spans="1:60" s="113" customFormat="1" ht="12.75" customHeight="1">
      <c r="A135" s="107">
        <v>43646</v>
      </c>
      <c r="B135" s="349">
        <v>0.67</v>
      </c>
      <c r="C135" s="349">
        <v>0.73</v>
      </c>
      <c r="D135" s="349">
        <v>0.83</v>
      </c>
      <c r="E135" s="349">
        <v>0.96</v>
      </c>
      <c r="F135" s="349">
        <v>1.0900000000000001</v>
      </c>
      <c r="G135" s="349">
        <v>1.24</v>
      </c>
      <c r="H135" s="349">
        <v>1.37</v>
      </c>
      <c r="I135" s="349">
        <v>1.51</v>
      </c>
      <c r="J135" s="349">
        <v>1.63</v>
      </c>
      <c r="K135" s="349">
        <v>1.75</v>
      </c>
      <c r="L135" s="349">
        <v>1.86</v>
      </c>
      <c r="M135" s="349">
        <v>1.94</v>
      </c>
      <c r="N135" s="349">
        <v>2.02</v>
      </c>
      <c r="O135" s="349">
        <v>2.09</v>
      </c>
      <c r="P135" s="2303">
        <v>2.15</v>
      </c>
      <c r="Q135" s="349">
        <v>2.19</v>
      </c>
      <c r="R135" s="349">
        <v>2.2200000000000002</v>
      </c>
      <c r="S135" s="349">
        <v>2.25</v>
      </c>
      <c r="T135" s="349">
        <v>2.2799999999999998</v>
      </c>
      <c r="U135" s="349">
        <v>2.31</v>
      </c>
      <c r="V135" s="349">
        <v>2.3199999999999998</v>
      </c>
      <c r="W135" s="349">
        <v>2.33</v>
      </c>
      <c r="X135" s="349">
        <v>2.34</v>
      </c>
      <c r="Y135" s="349">
        <v>2.35</v>
      </c>
      <c r="Z135" s="349">
        <v>2.35</v>
      </c>
      <c r="AA135" s="349">
        <v>2.36</v>
      </c>
      <c r="AB135" s="349">
        <v>2.36</v>
      </c>
      <c r="AC135" s="349">
        <v>2.36</v>
      </c>
      <c r="AD135" s="349">
        <v>2.36</v>
      </c>
      <c r="AE135" s="349">
        <v>2.36</v>
      </c>
      <c r="AF135" s="349">
        <v>2.36</v>
      </c>
      <c r="AG135" s="349">
        <v>2.36</v>
      </c>
      <c r="AH135" s="349">
        <v>2.36</v>
      </c>
      <c r="AI135" s="349">
        <v>2.36</v>
      </c>
      <c r="AJ135" s="349">
        <v>2.36</v>
      </c>
      <c r="AK135" s="349">
        <v>2.36</v>
      </c>
      <c r="AL135" s="349">
        <v>2.36</v>
      </c>
      <c r="AM135" s="349">
        <v>2.37</v>
      </c>
      <c r="AN135" s="349">
        <v>2.37</v>
      </c>
      <c r="AO135" s="349">
        <v>2.37</v>
      </c>
      <c r="AP135" s="349">
        <v>2.36</v>
      </c>
      <c r="AQ135" s="349">
        <v>2.36</v>
      </c>
      <c r="AR135" s="349">
        <v>2.36</v>
      </c>
      <c r="AS135" s="349">
        <v>2.36</v>
      </c>
      <c r="AT135" s="349">
        <v>2.36</v>
      </c>
      <c r="AU135" s="349">
        <v>2.36</v>
      </c>
      <c r="AV135" s="349">
        <v>2.36</v>
      </c>
      <c r="AW135" s="349">
        <v>2.35</v>
      </c>
      <c r="AX135" s="349">
        <v>2.35</v>
      </c>
      <c r="AY135" s="349">
        <v>2.35</v>
      </c>
      <c r="AZ135" s="59">
        <v>8.9999999999999993E-3</v>
      </c>
      <c r="BA135" s="104">
        <f t="shared" si="2"/>
        <v>0.89999999999999991</v>
      </c>
      <c r="BC135" s="437">
        <v>2.94</v>
      </c>
      <c r="BD135" s="679">
        <f t="shared" si="11"/>
        <v>38340.25</v>
      </c>
      <c r="BE135" s="679">
        <f t="shared" si="10"/>
        <v>45464.083333333336</v>
      </c>
      <c r="BF135" s="679">
        <f t="shared" si="10"/>
        <v>31152.666666666668</v>
      </c>
      <c r="BG135" s="679">
        <f t="shared" si="10"/>
        <v>29658.666666666668</v>
      </c>
      <c r="BH135" s="679">
        <v>5</v>
      </c>
    </row>
    <row r="136" spans="1:60" ht="12.75" customHeight="1">
      <c r="A136" s="107">
        <v>43677</v>
      </c>
      <c r="B136" s="349">
        <v>0.65</v>
      </c>
      <c r="C136" s="349">
        <v>0.71</v>
      </c>
      <c r="D136" s="349">
        <v>0.81</v>
      </c>
      <c r="E136" s="349">
        <v>0.93</v>
      </c>
      <c r="F136" s="349">
        <v>1.07</v>
      </c>
      <c r="G136" s="349">
        <v>1.21</v>
      </c>
      <c r="H136" s="349">
        <v>1.35</v>
      </c>
      <c r="I136" s="349">
        <v>1.48</v>
      </c>
      <c r="J136" s="349">
        <v>1.6</v>
      </c>
      <c r="K136" s="349">
        <v>1.72</v>
      </c>
      <c r="L136" s="349">
        <v>1.83</v>
      </c>
      <c r="M136" s="349">
        <v>1.91</v>
      </c>
      <c r="N136" s="349">
        <v>1.99</v>
      </c>
      <c r="O136" s="349">
        <v>2.06</v>
      </c>
      <c r="P136" s="2303">
        <v>2.12</v>
      </c>
      <c r="Q136" s="349">
        <v>2.16</v>
      </c>
      <c r="R136" s="349">
        <v>2.19</v>
      </c>
      <c r="S136" s="349">
        <v>2.23</v>
      </c>
      <c r="T136" s="349">
        <v>2.25</v>
      </c>
      <c r="U136" s="349">
        <v>2.2799999999999998</v>
      </c>
      <c r="V136" s="349">
        <v>2.29</v>
      </c>
      <c r="W136" s="349">
        <v>2.2999999999999998</v>
      </c>
      <c r="X136" s="349">
        <v>2.31</v>
      </c>
      <c r="Y136" s="349">
        <v>2.3199999999999998</v>
      </c>
      <c r="Z136" s="349">
        <v>2.33</v>
      </c>
      <c r="AA136" s="349">
        <v>2.33</v>
      </c>
      <c r="AB136" s="349">
        <v>2.33</v>
      </c>
      <c r="AC136" s="349">
        <v>2.33</v>
      </c>
      <c r="AD136" s="349">
        <v>2.33</v>
      </c>
      <c r="AE136" s="349">
        <v>2.33</v>
      </c>
      <c r="AF136" s="349">
        <v>2.33</v>
      </c>
      <c r="AG136" s="349">
        <v>2.33</v>
      </c>
      <c r="AH136" s="349">
        <v>2.33</v>
      </c>
      <c r="AI136" s="349">
        <v>2.34</v>
      </c>
      <c r="AJ136" s="349">
        <v>2.34</v>
      </c>
      <c r="AK136" s="349">
        <v>2.34</v>
      </c>
      <c r="AL136" s="349">
        <v>2.34</v>
      </c>
      <c r="AM136" s="349">
        <v>2.34</v>
      </c>
      <c r="AN136" s="349">
        <v>2.34</v>
      </c>
      <c r="AO136" s="349">
        <v>2.34</v>
      </c>
      <c r="AP136" s="349">
        <v>2.33</v>
      </c>
      <c r="AQ136" s="349">
        <v>2.33</v>
      </c>
      <c r="AR136" s="349">
        <v>2.33</v>
      </c>
      <c r="AS136" s="349">
        <v>2.33</v>
      </c>
      <c r="AT136" s="349">
        <v>2.33</v>
      </c>
      <c r="AU136" s="349">
        <v>2.33</v>
      </c>
      <c r="AV136" s="349">
        <v>2.3199999999999998</v>
      </c>
      <c r="AW136" s="349">
        <v>2.3199999999999998</v>
      </c>
      <c r="AX136" s="349">
        <v>2.3199999999999998</v>
      </c>
      <c r="AY136" s="349">
        <v>2.3199999999999998</v>
      </c>
      <c r="AZ136" s="59">
        <v>8.9999999999999993E-3</v>
      </c>
      <c r="BA136" s="104">
        <f t="shared" si="2"/>
        <v>0.89999999999999991</v>
      </c>
      <c r="BC136" s="437">
        <v>2.9</v>
      </c>
      <c r="BD136" s="679">
        <f t="shared" si="11"/>
        <v>38649.5</v>
      </c>
      <c r="BE136" s="679">
        <f t="shared" si="10"/>
        <v>46190.5</v>
      </c>
      <c r="BF136" s="679">
        <f t="shared" si="10"/>
        <v>31497</v>
      </c>
      <c r="BG136" s="679">
        <f t="shared" si="10"/>
        <v>30318</v>
      </c>
      <c r="BH136" s="679">
        <v>6</v>
      </c>
    </row>
    <row r="137" spans="1:60" ht="12.75" customHeight="1">
      <c r="A137" s="107">
        <v>43708</v>
      </c>
      <c r="B137" s="349">
        <v>0.63</v>
      </c>
      <c r="C137" s="349">
        <v>0.69</v>
      </c>
      <c r="D137" s="349">
        <v>0.79</v>
      </c>
      <c r="E137" s="349">
        <v>0.91</v>
      </c>
      <c r="F137" s="349">
        <v>1.04</v>
      </c>
      <c r="G137" s="349">
        <v>1.19</v>
      </c>
      <c r="H137" s="349">
        <v>1.32</v>
      </c>
      <c r="I137" s="349">
        <v>1.45</v>
      </c>
      <c r="J137" s="349">
        <v>1.57</v>
      </c>
      <c r="K137" s="349">
        <v>1.69</v>
      </c>
      <c r="L137" s="349">
        <v>1.8</v>
      </c>
      <c r="M137" s="349">
        <v>1.88</v>
      </c>
      <c r="N137" s="349">
        <v>1.96</v>
      </c>
      <c r="O137" s="349">
        <v>2.0299999999999998</v>
      </c>
      <c r="P137" s="2303">
        <v>2.08</v>
      </c>
      <c r="Q137" s="349">
        <v>2.13</v>
      </c>
      <c r="R137" s="349">
        <v>2.16</v>
      </c>
      <c r="S137" s="349">
        <v>2.19</v>
      </c>
      <c r="T137" s="349">
        <v>2.2200000000000002</v>
      </c>
      <c r="U137" s="349">
        <v>2.25</v>
      </c>
      <c r="V137" s="349">
        <v>2.2599999999999998</v>
      </c>
      <c r="W137" s="349">
        <v>2.27</v>
      </c>
      <c r="X137" s="349">
        <v>2.2799999999999998</v>
      </c>
      <c r="Y137" s="349">
        <v>2.29</v>
      </c>
      <c r="Z137" s="349">
        <v>2.2999999999999998</v>
      </c>
      <c r="AA137" s="349">
        <v>2.2999999999999998</v>
      </c>
      <c r="AB137" s="349">
        <v>2.2999999999999998</v>
      </c>
      <c r="AC137" s="349">
        <v>2.2999999999999998</v>
      </c>
      <c r="AD137" s="349">
        <v>2.2999999999999998</v>
      </c>
      <c r="AE137" s="349">
        <v>2.2999999999999998</v>
      </c>
      <c r="AF137" s="349">
        <v>2.2999999999999998</v>
      </c>
      <c r="AG137" s="349">
        <v>2.2999999999999998</v>
      </c>
      <c r="AH137" s="349">
        <v>2.2999999999999998</v>
      </c>
      <c r="AI137" s="349">
        <v>2.2999999999999998</v>
      </c>
      <c r="AJ137" s="349">
        <v>2.2999999999999998</v>
      </c>
      <c r="AK137" s="349">
        <v>2.2999999999999998</v>
      </c>
      <c r="AL137" s="349">
        <v>2.2999999999999998</v>
      </c>
      <c r="AM137" s="349">
        <v>2.2999999999999998</v>
      </c>
      <c r="AN137" s="349">
        <v>2.2999999999999998</v>
      </c>
      <c r="AO137" s="349">
        <v>2.2999999999999998</v>
      </c>
      <c r="AP137" s="349">
        <v>2.2999999999999998</v>
      </c>
      <c r="AQ137" s="349">
        <v>2.2999999999999998</v>
      </c>
      <c r="AR137" s="349">
        <v>2.2999999999999998</v>
      </c>
      <c r="AS137" s="349">
        <v>2.29</v>
      </c>
      <c r="AT137" s="349">
        <v>2.29</v>
      </c>
      <c r="AU137" s="349">
        <v>2.29</v>
      </c>
      <c r="AV137" s="349">
        <v>2.29</v>
      </c>
      <c r="AW137" s="349">
        <v>2.29</v>
      </c>
      <c r="AX137" s="349">
        <v>2.29</v>
      </c>
      <c r="AY137" s="349">
        <v>2.29</v>
      </c>
      <c r="AZ137" s="59">
        <v>8.9999999999999993E-3</v>
      </c>
      <c r="BA137" s="104">
        <f t="shared" si="2"/>
        <v>0.89999999999999991</v>
      </c>
      <c r="BC137" s="437">
        <v>2.86</v>
      </c>
      <c r="BD137" s="679">
        <f t="shared" si="11"/>
        <v>38958.75</v>
      </c>
      <c r="BE137" s="679">
        <f t="shared" si="10"/>
        <v>46916.916666666664</v>
      </c>
      <c r="BF137" s="679">
        <f t="shared" si="10"/>
        <v>31841.333333333332</v>
      </c>
      <c r="BG137" s="679">
        <f t="shared" si="10"/>
        <v>30977.333333333336</v>
      </c>
      <c r="BH137" s="679">
        <v>7</v>
      </c>
    </row>
    <row r="138" spans="1:60" ht="12.75" customHeight="1">
      <c r="A138" s="107">
        <v>43738</v>
      </c>
      <c r="B138" s="349">
        <v>0.62</v>
      </c>
      <c r="C138" s="349">
        <v>0.68</v>
      </c>
      <c r="D138" s="349">
        <v>0.77</v>
      </c>
      <c r="E138" s="349">
        <v>0.89</v>
      </c>
      <c r="F138" s="349">
        <v>1.02</v>
      </c>
      <c r="G138" s="349">
        <v>1.1599999999999999</v>
      </c>
      <c r="H138" s="349">
        <v>1.29</v>
      </c>
      <c r="I138" s="349">
        <v>1.42</v>
      </c>
      <c r="J138" s="349">
        <v>1.55</v>
      </c>
      <c r="K138" s="349">
        <v>1.66</v>
      </c>
      <c r="L138" s="349">
        <v>1.77</v>
      </c>
      <c r="M138" s="349">
        <v>1.85</v>
      </c>
      <c r="N138" s="349">
        <v>1.93</v>
      </c>
      <c r="O138" s="349">
        <v>2</v>
      </c>
      <c r="P138" s="2303">
        <v>2.0499999999999998</v>
      </c>
      <c r="Q138" s="349">
        <v>2.09</v>
      </c>
      <c r="R138" s="349">
        <v>2.13</v>
      </c>
      <c r="S138" s="349">
        <v>2.16</v>
      </c>
      <c r="T138" s="349">
        <v>2.19</v>
      </c>
      <c r="U138" s="349">
        <v>2.2200000000000002</v>
      </c>
      <c r="V138" s="349">
        <v>2.23</v>
      </c>
      <c r="W138" s="349">
        <v>2.2400000000000002</v>
      </c>
      <c r="X138" s="349">
        <v>2.25</v>
      </c>
      <c r="Y138" s="349">
        <v>2.2599999999999998</v>
      </c>
      <c r="Z138" s="349">
        <v>2.2599999999999998</v>
      </c>
      <c r="AA138" s="349">
        <v>2.27</v>
      </c>
      <c r="AB138" s="349">
        <v>2.27</v>
      </c>
      <c r="AC138" s="349">
        <v>2.27</v>
      </c>
      <c r="AD138" s="349">
        <v>2.27</v>
      </c>
      <c r="AE138" s="349">
        <v>2.27</v>
      </c>
      <c r="AF138" s="349">
        <v>2.27</v>
      </c>
      <c r="AG138" s="349">
        <v>2.27</v>
      </c>
      <c r="AH138" s="349">
        <v>2.27</v>
      </c>
      <c r="AI138" s="349">
        <v>2.27</v>
      </c>
      <c r="AJ138" s="349">
        <v>2.27</v>
      </c>
      <c r="AK138" s="349">
        <v>2.27</v>
      </c>
      <c r="AL138" s="349">
        <v>2.27</v>
      </c>
      <c r="AM138" s="349">
        <v>2.27</v>
      </c>
      <c r="AN138" s="349">
        <v>2.27</v>
      </c>
      <c r="AO138" s="349">
        <v>2.27</v>
      </c>
      <c r="AP138" s="349">
        <v>2.27</v>
      </c>
      <c r="AQ138" s="349">
        <v>2.2599999999999998</v>
      </c>
      <c r="AR138" s="349">
        <v>2.2599999999999998</v>
      </c>
      <c r="AS138" s="349">
        <v>2.2599999999999998</v>
      </c>
      <c r="AT138" s="349">
        <v>2.2599999999999998</v>
      </c>
      <c r="AU138" s="349">
        <v>2.2599999999999998</v>
      </c>
      <c r="AV138" s="349">
        <v>2.25</v>
      </c>
      <c r="AW138" s="349">
        <v>2.25</v>
      </c>
      <c r="AX138" s="349">
        <v>2.25</v>
      </c>
      <c r="AY138" s="349">
        <v>2.25</v>
      </c>
      <c r="AZ138" s="59">
        <v>8.9999999999999993E-3</v>
      </c>
      <c r="BA138" s="104">
        <f t="shared" ref="BA138:BA147" si="12">+AZ138*100</f>
        <v>0.89999999999999991</v>
      </c>
      <c r="BC138" s="437">
        <v>2.82</v>
      </c>
      <c r="BD138" s="679">
        <f t="shared" si="11"/>
        <v>39268</v>
      </c>
      <c r="BE138" s="679">
        <f t="shared" si="10"/>
        <v>47643.333333333336</v>
      </c>
      <c r="BF138" s="679">
        <f t="shared" si="10"/>
        <v>32185.666666666668</v>
      </c>
      <c r="BG138" s="679">
        <f t="shared" si="10"/>
        <v>31636.666666666668</v>
      </c>
      <c r="BH138" s="679">
        <v>8</v>
      </c>
    </row>
    <row r="139" spans="1:60" ht="12.75" customHeight="1">
      <c r="A139" s="107">
        <v>43769</v>
      </c>
      <c r="B139" s="349">
        <v>0.6</v>
      </c>
      <c r="C139" s="349">
        <v>0.66</v>
      </c>
      <c r="D139" s="349">
        <v>0.75</v>
      </c>
      <c r="E139" s="349">
        <v>0.87</v>
      </c>
      <c r="F139" s="349">
        <v>1</v>
      </c>
      <c r="G139" s="349">
        <v>1.1399999999999999</v>
      </c>
      <c r="H139" s="349">
        <v>1.27</v>
      </c>
      <c r="I139" s="349">
        <v>1.4</v>
      </c>
      <c r="J139" s="349">
        <v>1.52</v>
      </c>
      <c r="K139" s="349">
        <v>1.64</v>
      </c>
      <c r="L139" s="349">
        <v>1.74</v>
      </c>
      <c r="M139" s="349">
        <v>1.82</v>
      </c>
      <c r="N139" s="349">
        <v>1.9</v>
      </c>
      <c r="O139" s="349">
        <v>1.97</v>
      </c>
      <c r="P139" s="2303">
        <v>2.02</v>
      </c>
      <c r="Q139" s="349">
        <v>2.06</v>
      </c>
      <c r="R139" s="349">
        <v>2.1</v>
      </c>
      <c r="S139" s="349">
        <v>2.13</v>
      </c>
      <c r="T139" s="349">
        <v>2.16</v>
      </c>
      <c r="U139" s="349">
        <v>2.19</v>
      </c>
      <c r="V139" s="349">
        <v>2.2000000000000002</v>
      </c>
      <c r="W139" s="349">
        <v>2.21</v>
      </c>
      <c r="X139" s="349">
        <v>2.2200000000000002</v>
      </c>
      <c r="Y139" s="349">
        <v>2.23</v>
      </c>
      <c r="Z139" s="349">
        <v>2.23</v>
      </c>
      <c r="AA139" s="349">
        <v>2.2400000000000002</v>
      </c>
      <c r="AB139" s="349">
        <v>2.2400000000000002</v>
      </c>
      <c r="AC139" s="349">
        <v>2.2400000000000002</v>
      </c>
      <c r="AD139" s="349">
        <v>2.2400000000000002</v>
      </c>
      <c r="AE139" s="349">
        <v>2.2400000000000002</v>
      </c>
      <c r="AF139" s="349">
        <v>2.2400000000000002</v>
      </c>
      <c r="AG139" s="349">
        <v>2.2400000000000002</v>
      </c>
      <c r="AH139" s="349">
        <v>2.2400000000000002</v>
      </c>
      <c r="AI139" s="349">
        <v>2.2400000000000002</v>
      </c>
      <c r="AJ139" s="349">
        <v>2.2400000000000002</v>
      </c>
      <c r="AK139" s="349">
        <v>2.2400000000000002</v>
      </c>
      <c r="AL139" s="349">
        <v>2.2400000000000002</v>
      </c>
      <c r="AM139" s="349">
        <v>2.2400000000000002</v>
      </c>
      <c r="AN139" s="349">
        <v>2.2400000000000002</v>
      </c>
      <c r="AO139" s="349">
        <v>2.2400000000000002</v>
      </c>
      <c r="AP139" s="349">
        <v>2.2400000000000002</v>
      </c>
      <c r="AQ139" s="349">
        <v>2.23</v>
      </c>
      <c r="AR139" s="349">
        <v>2.23</v>
      </c>
      <c r="AS139" s="349">
        <v>2.23</v>
      </c>
      <c r="AT139" s="349">
        <v>2.23</v>
      </c>
      <c r="AU139" s="349">
        <v>2.2200000000000002</v>
      </c>
      <c r="AV139" s="349">
        <v>2.2200000000000002</v>
      </c>
      <c r="AW139" s="349">
        <v>2.2200000000000002</v>
      </c>
      <c r="AX139" s="349">
        <v>2.2200000000000002</v>
      </c>
      <c r="AY139" s="349">
        <v>2.2200000000000002</v>
      </c>
      <c r="AZ139" s="59">
        <v>8.9999999999999993E-3</v>
      </c>
      <c r="BA139" s="104">
        <f t="shared" si="12"/>
        <v>0.89999999999999991</v>
      </c>
      <c r="BC139" s="437">
        <v>2.79</v>
      </c>
      <c r="BD139" s="679">
        <f t="shared" si="11"/>
        <v>39577.25</v>
      </c>
      <c r="BE139" s="679">
        <f t="shared" si="10"/>
        <v>48369.75</v>
      </c>
      <c r="BF139" s="679">
        <f t="shared" si="10"/>
        <v>32530</v>
      </c>
      <c r="BG139" s="679">
        <f t="shared" si="10"/>
        <v>32296</v>
      </c>
      <c r="BH139" s="679">
        <v>9</v>
      </c>
    </row>
    <row r="140" spans="1:60" ht="12.75" customHeight="1">
      <c r="A140" s="107">
        <v>43799</v>
      </c>
      <c r="B140" s="349">
        <v>0.59</v>
      </c>
      <c r="C140" s="349">
        <v>0.65</v>
      </c>
      <c r="D140" s="349">
        <v>0.74</v>
      </c>
      <c r="E140" s="349">
        <v>0.86</v>
      </c>
      <c r="F140" s="349">
        <v>0.98</v>
      </c>
      <c r="G140" s="349">
        <v>1.1200000000000001</v>
      </c>
      <c r="H140" s="349">
        <v>1.25</v>
      </c>
      <c r="I140" s="349">
        <v>1.38</v>
      </c>
      <c r="J140" s="349">
        <v>1.5</v>
      </c>
      <c r="K140" s="349">
        <v>1.61</v>
      </c>
      <c r="L140" s="349">
        <v>1.71</v>
      </c>
      <c r="M140" s="349">
        <v>1.8</v>
      </c>
      <c r="N140" s="349">
        <v>1.87</v>
      </c>
      <c r="O140" s="349">
        <v>1.94</v>
      </c>
      <c r="P140" s="2303">
        <v>2</v>
      </c>
      <c r="Q140" s="349">
        <v>2.04</v>
      </c>
      <c r="R140" s="349">
        <v>2.0699999999999998</v>
      </c>
      <c r="S140" s="349">
        <v>2.1</v>
      </c>
      <c r="T140" s="349">
        <v>2.13</v>
      </c>
      <c r="U140" s="349">
        <v>2.16</v>
      </c>
      <c r="V140" s="349">
        <v>2.17</v>
      </c>
      <c r="W140" s="349">
        <v>2.1800000000000002</v>
      </c>
      <c r="X140" s="349">
        <v>2.19</v>
      </c>
      <c r="Y140" s="349">
        <v>2.2000000000000002</v>
      </c>
      <c r="Z140" s="349">
        <v>2.21</v>
      </c>
      <c r="AA140" s="349">
        <v>2.21</v>
      </c>
      <c r="AB140" s="349">
        <v>2.21</v>
      </c>
      <c r="AC140" s="349">
        <v>2.21</v>
      </c>
      <c r="AD140" s="349">
        <v>2.21</v>
      </c>
      <c r="AE140" s="349">
        <v>2.21</v>
      </c>
      <c r="AF140" s="349">
        <v>2.21</v>
      </c>
      <c r="AG140" s="349">
        <v>2.21</v>
      </c>
      <c r="AH140" s="349">
        <v>2.21</v>
      </c>
      <c r="AI140" s="349">
        <v>2.21</v>
      </c>
      <c r="AJ140" s="349">
        <v>2.21</v>
      </c>
      <c r="AK140" s="349">
        <v>2.21</v>
      </c>
      <c r="AL140" s="349">
        <v>2.21</v>
      </c>
      <c r="AM140" s="349">
        <v>2.21</v>
      </c>
      <c r="AN140" s="349">
        <v>2.21</v>
      </c>
      <c r="AO140" s="349">
        <v>2.21</v>
      </c>
      <c r="AP140" s="349">
        <v>2.21</v>
      </c>
      <c r="AQ140" s="349">
        <v>2.2000000000000002</v>
      </c>
      <c r="AR140" s="349">
        <v>2.2000000000000002</v>
      </c>
      <c r="AS140" s="349">
        <v>2.2000000000000002</v>
      </c>
      <c r="AT140" s="349">
        <v>2.19</v>
      </c>
      <c r="AU140" s="349">
        <v>2.19</v>
      </c>
      <c r="AV140" s="349">
        <v>2.19</v>
      </c>
      <c r="AW140" s="349">
        <v>2.19</v>
      </c>
      <c r="AX140" s="349">
        <v>2.19</v>
      </c>
      <c r="AY140" s="349">
        <v>2.1800000000000002</v>
      </c>
      <c r="AZ140" s="59">
        <v>8.9999999999999993E-3</v>
      </c>
      <c r="BA140" s="104">
        <f t="shared" si="12"/>
        <v>0.89999999999999991</v>
      </c>
      <c r="BC140" s="437">
        <v>2.75</v>
      </c>
      <c r="BD140" s="679">
        <f t="shared" si="11"/>
        <v>39886.5</v>
      </c>
      <c r="BE140" s="679">
        <f t="shared" si="10"/>
        <v>49096.166666666664</v>
      </c>
      <c r="BF140" s="679">
        <f t="shared" si="10"/>
        <v>32874.333333333336</v>
      </c>
      <c r="BG140" s="679">
        <f t="shared" si="10"/>
        <v>32955.333333333336</v>
      </c>
      <c r="BH140" s="679">
        <v>10</v>
      </c>
    </row>
    <row r="141" spans="1:60" s="113" customFormat="1" ht="12.75" customHeight="1">
      <c r="A141" s="107">
        <v>43830</v>
      </c>
      <c r="B141" s="349">
        <v>0.57999999999999996</v>
      </c>
      <c r="C141" s="349">
        <v>0.63</v>
      </c>
      <c r="D141" s="349">
        <v>0.72</v>
      </c>
      <c r="E141" s="349">
        <v>0.84</v>
      </c>
      <c r="F141" s="349">
        <v>0.97</v>
      </c>
      <c r="G141" s="349">
        <v>1.1000000000000001</v>
      </c>
      <c r="H141" s="349">
        <v>1.23</v>
      </c>
      <c r="I141" s="349">
        <v>1.36</v>
      </c>
      <c r="J141" s="349">
        <v>1.48</v>
      </c>
      <c r="K141" s="349">
        <v>1.59</v>
      </c>
      <c r="L141" s="349">
        <v>1.69</v>
      </c>
      <c r="M141" s="349">
        <v>1.77</v>
      </c>
      <c r="N141" s="349">
        <v>1.85</v>
      </c>
      <c r="O141" s="349">
        <v>1.91</v>
      </c>
      <c r="P141" s="2303">
        <v>1.97</v>
      </c>
      <c r="Q141" s="349">
        <v>2.0099999999999998</v>
      </c>
      <c r="R141" s="349">
        <v>2.0499999999999998</v>
      </c>
      <c r="S141" s="349">
        <v>2.08</v>
      </c>
      <c r="T141" s="349">
        <v>2.11</v>
      </c>
      <c r="U141" s="349">
        <v>2.13</v>
      </c>
      <c r="V141" s="349">
        <v>2.15</v>
      </c>
      <c r="W141" s="349">
        <v>2.16</v>
      </c>
      <c r="X141" s="349">
        <v>2.16</v>
      </c>
      <c r="Y141" s="349">
        <v>2.17</v>
      </c>
      <c r="Z141" s="349">
        <v>2.1800000000000002</v>
      </c>
      <c r="AA141" s="349">
        <v>2.1800000000000002</v>
      </c>
      <c r="AB141" s="349">
        <v>2.1800000000000002</v>
      </c>
      <c r="AC141" s="349">
        <v>2.19</v>
      </c>
      <c r="AD141" s="349">
        <v>2.19</v>
      </c>
      <c r="AE141" s="349">
        <v>2.19</v>
      </c>
      <c r="AF141" s="349">
        <v>2.19</v>
      </c>
      <c r="AG141" s="349">
        <v>2.19</v>
      </c>
      <c r="AH141" s="349">
        <v>2.19</v>
      </c>
      <c r="AI141" s="349">
        <v>2.1800000000000002</v>
      </c>
      <c r="AJ141" s="349">
        <v>2.1800000000000002</v>
      </c>
      <c r="AK141" s="349">
        <v>2.1800000000000002</v>
      </c>
      <c r="AL141" s="349">
        <v>2.1800000000000002</v>
      </c>
      <c r="AM141" s="349">
        <v>2.1800000000000002</v>
      </c>
      <c r="AN141" s="349">
        <v>2.1800000000000002</v>
      </c>
      <c r="AO141" s="349">
        <v>2.1800000000000002</v>
      </c>
      <c r="AP141" s="349">
        <v>2.1800000000000002</v>
      </c>
      <c r="AQ141" s="349">
        <v>2.17</v>
      </c>
      <c r="AR141" s="349">
        <v>2.17</v>
      </c>
      <c r="AS141" s="349">
        <v>2.17</v>
      </c>
      <c r="AT141" s="349">
        <v>2.17</v>
      </c>
      <c r="AU141" s="349">
        <v>2.16</v>
      </c>
      <c r="AV141" s="349">
        <v>2.16</v>
      </c>
      <c r="AW141" s="349">
        <v>2.16</v>
      </c>
      <c r="AX141" s="349">
        <v>2.16</v>
      </c>
      <c r="AY141" s="349">
        <v>2.15</v>
      </c>
      <c r="AZ141" s="59">
        <v>8.9999999999999993E-3</v>
      </c>
      <c r="BA141" s="104">
        <f t="shared" si="12"/>
        <v>0.89999999999999991</v>
      </c>
      <c r="BC141" s="437">
        <v>2.71</v>
      </c>
      <c r="BD141" s="679">
        <f t="shared" si="11"/>
        <v>40195.75</v>
      </c>
      <c r="BE141" s="679">
        <f t="shared" si="10"/>
        <v>49822.583333333336</v>
      </c>
      <c r="BF141" s="679">
        <f t="shared" si="10"/>
        <v>33218.666666666664</v>
      </c>
      <c r="BG141" s="679">
        <f t="shared" si="10"/>
        <v>33614.666666666664</v>
      </c>
      <c r="BH141" s="679">
        <v>11</v>
      </c>
    </row>
    <row r="142" spans="1:60">
      <c r="A142" s="107">
        <v>43861</v>
      </c>
      <c r="B142" s="349">
        <v>0.56000000000000005</v>
      </c>
      <c r="C142" s="349">
        <v>0.61</v>
      </c>
      <c r="D142" s="349">
        <v>0.7</v>
      </c>
      <c r="E142" s="349">
        <v>0.82</v>
      </c>
      <c r="F142" s="349">
        <v>0.95</v>
      </c>
      <c r="G142" s="349">
        <v>1.08</v>
      </c>
      <c r="H142" s="349">
        <v>1.2</v>
      </c>
      <c r="I142" s="349">
        <v>1.33</v>
      </c>
      <c r="J142" s="349">
        <v>1.45</v>
      </c>
      <c r="K142" s="349">
        <v>1.56</v>
      </c>
      <c r="L142" s="349">
        <v>1.66</v>
      </c>
      <c r="M142" s="349">
        <v>1.74</v>
      </c>
      <c r="N142" s="349">
        <v>1.82</v>
      </c>
      <c r="O142" s="349">
        <v>1.88</v>
      </c>
      <c r="P142" s="2303">
        <v>1.94</v>
      </c>
      <c r="Q142" s="349">
        <v>1.98</v>
      </c>
      <c r="R142" s="349">
        <v>2.02</v>
      </c>
      <c r="S142" s="349">
        <v>2.0499999999999998</v>
      </c>
      <c r="T142" s="349">
        <v>2.08</v>
      </c>
      <c r="U142" s="349">
        <v>2.1</v>
      </c>
      <c r="V142" s="349">
        <v>2.11</v>
      </c>
      <c r="W142" s="349">
        <v>2.12</v>
      </c>
      <c r="X142" s="349">
        <v>2.13</v>
      </c>
      <c r="Y142" s="349">
        <v>2.14</v>
      </c>
      <c r="Z142" s="349">
        <v>2.15</v>
      </c>
      <c r="AA142" s="349">
        <v>2.15</v>
      </c>
      <c r="AB142" s="349">
        <v>2.15</v>
      </c>
      <c r="AC142" s="349">
        <v>2.15</v>
      </c>
      <c r="AD142" s="349">
        <v>2.16</v>
      </c>
      <c r="AE142" s="349">
        <v>2.16</v>
      </c>
      <c r="AF142" s="349">
        <v>2.16</v>
      </c>
      <c r="AG142" s="349">
        <v>2.15</v>
      </c>
      <c r="AH142" s="349">
        <v>2.15</v>
      </c>
      <c r="AI142" s="349">
        <v>2.15</v>
      </c>
      <c r="AJ142" s="349">
        <v>2.15</v>
      </c>
      <c r="AK142" s="349">
        <v>2.15</v>
      </c>
      <c r="AL142" s="349">
        <v>2.15</v>
      </c>
      <c r="AM142" s="349">
        <v>2.15</v>
      </c>
      <c r="AN142" s="349">
        <v>2.15</v>
      </c>
      <c r="AO142" s="349">
        <v>2.15</v>
      </c>
      <c r="AP142" s="349">
        <v>2.14</v>
      </c>
      <c r="AQ142" s="349">
        <v>2.14</v>
      </c>
      <c r="AR142" s="349">
        <v>2.14</v>
      </c>
      <c r="AS142" s="349">
        <v>2.14</v>
      </c>
      <c r="AT142" s="349">
        <v>2.13</v>
      </c>
      <c r="AU142" s="349">
        <v>2.13</v>
      </c>
      <c r="AV142" s="349">
        <v>2.13</v>
      </c>
      <c r="AW142" s="349">
        <v>2.12</v>
      </c>
      <c r="AX142" s="349">
        <v>2.12</v>
      </c>
      <c r="AY142" s="349">
        <v>2.12</v>
      </c>
      <c r="AZ142" s="59">
        <v>8.9999999999999993E-3</v>
      </c>
      <c r="BA142" s="104">
        <f t="shared" si="12"/>
        <v>0.89999999999999991</v>
      </c>
      <c r="BC142" s="437">
        <v>2.68</v>
      </c>
      <c r="BD142" s="680">
        <v>40505</v>
      </c>
      <c r="BE142" s="680">
        <v>50549</v>
      </c>
      <c r="BF142" s="680">
        <v>33563</v>
      </c>
      <c r="BG142" s="680">
        <v>34274</v>
      </c>
      <c r="BH142" s="25"/>
    </row>
    <row r="143" spans="1:60">
      <c r="A143" s="107">
        <v>43890</v>
      </c>
      <c r="B143" s="349">
        <v>0.55000000000000004</v>
      </c>
      <c r="C143" s="349">
        <v>0.6</v>
      </c>
      <c r="D143" s="349">
        <v>0.69</v>
      </c>
      <c r="E143" s="349">
        <v>0.8</v>
      </c>
      <c r="F143" s="349">
        <v>0.93</v>
      </c>
      <c r="G143" s="349">
        <v>1.06</v>
      </c>
      <c r="H143" s="349">
        <v>1.18</v>
      </c>
      <c r="I143" s="349">
        <v>1.3</v>
      </c>
      <c r="J143" s="349">
        <v>1.42</v>
      </c>
      <c r="K143" s="349">
        <v>1.53</v>
      </c>
      <c r="L143" s="349">
        <v>1.63</v>
      </c>
      <c r="M143" s="349">
        <v>1.71</v>
      </c>
      <c r="N143" s="349">
        <v>1.79</v>
      </c>
      <c r="O143" s="349">
        <v>1.85</v>
      </c>
      <c r="P143" s="2303">
        <v>1.91</v>
      </c>
      <c r="Q143" s="349">
        <v>1.95</v>
      </c>
      <c r="R143" s="349">
        <v>1.98</v>
      </c>
      <c r="S143" s="349">
        <v>2.02</v>
      </c>
      <c r="T143" s="349">
        <v>2.04</v>
      </c>
      <c r="U143" s="349">
        <v>2.0699999999999998</v>
      </c>
      <c r="V143" s="349">
        <v>2.08</v>
      </c>
      <c r="W143" s="349">
        <v>2.09</v>
      </c>
      <c r="X143" s="349">
        <v>2.1</v>
      </c>
      <c r="Y143" s="349">
        <v>2.11</v>
      </c>
      <c r="Z143" s="349">
        <v>2.12</v>
      </c>
      <c r="AA143" s="349">
        <v>2.12</v>
      </c>
      <c r="AB143" s="349">
        <v>2.12</v>
      </c>
      <c r="AC143" s="349">
        <v>2.12</v>
      </c>
      <c r="AD143" s="349">
        <v>2.12</v>
      </c>
      <c r="AE143" s="349">
        <v>2.12</v>
      </c>
      <c r="AF143" s="349">
        <v>2.12</v>
      </c>
      <c r="AG143" s="349">
        <v>2.12</v>
      </c>
      <c r="AH143" s="349">
        <v>2.12</v>
      </c>
      <c r="AI143" s="349">
        <v>2.12</v>
      </c>
      <c r="AJ143" s="349">
        <v>2.12</v>
      </c>
      <c r="AK143" s="349">
        <v>2.12</v>
      </c>
      <c r="AL143" s="349">
        <v>2.12</v>
      </c>
      <c r="AM143" s="349">
        <v>2.12</v>
      </c>
      <c r="AN143" s="349">
        <v>2.11</v>
      </c>
      <c r="AO143" s="349">
        <v>2.11</v>
      </c>
      <c r="AP143" s="349">
        <v>2.11</v>
      </c>
      <c r="AQ143" s="349">
        <v>2.11</v>
      </c>
      <c r="AR143" s="349">
        <v>2.1</v>
      </c>
      <c r="AS143" s="349">
        <v>2.1</v>
      </c>
      <c r="AT143" s="349">
        <v>2.1</v>
      </c>
      <c r="AU143" s="349">
        <v>2.09</v>
      </c>
      <c r="AV143" s="349">
        <v>2.09</v>
      </c>
      <c r="AW143" s="349">
        <v>2.09</v>
      </c>
      <c r="AX143" s="349">
        <v>2.09</v>
      </c>
      <c r="AY143" s="349">
        <v>2.08</v>
      </c>
      <c r="AZ143" s="59">
        <v>8.9999999999999993E-3</v>
      </c>
      <c r="BA143" s="104">
        <f t="shared" si="12"/>
        <v>0.89999999999999991</v>
      </c>
      <c r="BC143" s="437">
        <v>2.64</v>
      </c>
      <c r="BD143" s="679">
        <f>BD$142+(BD$154-BD$142)/12*$BH143</f>
        <v>40870.166666666664</v>
      </c>
      <c r="BE143" s="679">
        <f t="shared" ref="BE143:BG153" si="13">BE$142+(BE$154-BE$142)/12*$BH143</f>
        <v>51598.083333333336</v>
      </c>
      <c r="BF143" s="679">
        <f t="shared" si="13"/>
        <v>33890.5</v>
      </c>
      <c r="BG143" s="679">
        <f t="shared" si="13"/>
        <v>35045.666666666664</v>
      </c>
      <c r="BH143" s="679">
        <v>1</v>
      </c>
    </row>
    <row r="144" spans="1:60">
      <c r="A144" s="107">
        <v>43921</v>
      </c>
      <c r="B144" s="349">
        <v>0.54</v>
      </c>
      <c r="C144" s="349">
        <v>0.6</v>
      </c>
      <c r="D144" s="349">
        <v>0.68</v>
      </c>
      <c r="E144" s="349">
        <v>0.8</v>
      </c>
      <c r="F144" s="349">
        <v>0.92</v>
      </c>
      <c r="G144" s="349">
        <v>1.05</v>
      </c>
      <c r="H144" s="349">
        <v>1.17</v>
      </c>
      <c r="I144" s="349">
        <v>1.29</v>
      </c>
      <c r="J144" s="349">
        <v>1.41</v>
      </c>
      <c r="K144" s="349">
        <v>1.52</v>
      </c>
      <c r="L144" s="349">
        <v>1.62</v>
      </c>
      <c r="M144" s="349">
        <v>1.7</v>
      </c>
      <c r="N144" s="349">
        <v>1.77</v>
      </c>
      <c r="O144" s="349">
        <v>1.84</v>
      </c>
      <c r="P144" s="2303">
        <v>1.89</v>
      </c>
      <c r="Q144" s="349">
        <v>1.93</v>
      </c>
      <c r="R144" s="349">
        <v>1.97</v>
      </c>
      <c r="S144" s="349">
        <v>2</v>
      </c>
      <c r="T144" s="349">
        <v>2.0299999999999998</v>
      </c>
      <c r="U144" s="349">
        <v>2.0499999999999998</v>
      </c>
      <c r="V144" s="349">
        <v>2.06</v>
      </c>
      <c r="W144" s="349">
        <v>2.0699999999999998</v>
      </c>
      <c r="X144" s="349">
        <v>2.08</v>
      </c>
      <c r="Y144" s="349">
        <v>2.09</v>
      </c>
      <c r="Z144" s="349">
        <v>2.1</v>
      </c>
      <c r="AA144" s="349">
        <v>2.1</v>
      </c>
      <c r="AB144" s="349">
        <v>2.1</v>
      </c>
      <c r="AC144" s="349">
        <v>2.1</v>
      </c>
      <c r="AD144" s="349">
        <v>2.1</v>
      </c>
      <c r="AE144" s="349">
        <v>2.1</v>
      </c>
      <c r="AF144" s="349">
        <v>2.1</v>
      </c>
      <c r="AG144" s="349">
        <v>2.1</v>
      </c>
      <c r="AH144" s="349">
        <v>2.1</v>
      </c>
      <c r="AI144" s="349">
        <v>2.1</v>
      </c>
      <c r="AJ144" s="349">
        <v>2.1</v>
      </c>
      <c r="AK144" s="349">
        <v>2.1</v>
      </c>
      <c r="AL144" s="349">
        <v>2.1</v>
      </c>
      <c r="AM144" s="349">
        <v>2.09</v>
      </c>
      <c r="AN144" s="349">
        <v>2.09</v>
      </c>
      <c r="AO144" s="349">
        <v>2.09</v>
      </c>
      <c r="AP144" s="349">
        <v>2.09</v>
      </c>
      <c r="AQ144" s="349">
        <v>2.08</v>
      </c>
      <c r="AR144" s="349">
        <v>2.08</v>
      </c>
      <c r="AS144" s="349">
        <v>2.08</v>
      </c>
      <c r="AT144" s="349">
        <v>2.0699999999999998</v>
      </c>
      <c r="AU144" s="349">
        <v>2.0699999999999998</v>
      </c>
      <c r="AV144" s="349">
        <v>2.0699999999999998</v>
      </c>
      <c r="AW144" s="349">
        <v>2.0699999999999998</v>
      </c>
      <c r="AX144" s="349">
        <v>2.06</v>
      </c>
      <c r="AY144" s="349">
        <v>2.06</v>
      </c>
      <c r="AZ144" s="59">
        <v>8.9999999999999993E-3</v>
      </c>
      <c r="BA144" s="104">
        <f t="shared" si="12"/>
        <v>0.89999999999999991</v>
      </c>
      <c r="BC144" s="437">
        <v>2.61</v>
      </c>
      <c r="BD144" s="679">
        <f t="shared" ref="BD144:BD153" si="14">BD$142+(BD$154-BD$142)/12*$BH144</f>
        <v>41235.333333333336</v>
      </c>
      <c r="BE144" s="679">
        <f t="shared" si="13"/>
        <v>52647.166666666664</v>
      </c>
      <c r="BF144" s="679">
        <f t="shared" si="13"/>
        <v>34218</v>
      </c>
      <c r="BG144" s="679">
        <f t="shared" si="13"/>
        <v>35817.333333333336</v>
      </c>
      <c r="BH144" s="679">
        <v>2</v>
      </c>
    </row>
    <row r="145" spans="1:60">
      <c r="A145" s="107">
        <v>43951</v>
      </c>
      <c r="B145" s="349">
        <v>0.54</v>
      </c>
      <c r="C145" s="349">
        <v>0.59</v>
      </c>
      <c r="D145" s="349">
        <v>0.67</v>
      </c>
      <c r="E145" s="349">
        <v>0.79</v>
      </c>
      <c r="F145" s="349">
        <v>0.91</v>
      </c>
      <c r="G145" s="349">
        <v>1.03</v>
      </c>
      <c r="H145" s="349">
        <v>1.1499999999999999</v>
      </c>
      <c r="I145" s="349">
        <v>1.28</v>
      </c>
      <c r="J145" s="349">
        <v>1.39</v>
      </c>
      <c r="K145" s="349">
        <v>1.5</v>
      </c>
      <c r="L145" s="349">
        <v>1.59</v>
      </c>
      <c r="M145" s="349">
        <v>1.68</v>
      </c>
      <c r="N145" s="349">
        <v>1.75</v>
      </c>
      <c r="O145" s="349">
        <v>1.81</v>
      </c>
      <c r="P145" s="2303">
        <v>1.87</v>
      </c>
      <c r="Q145" s="349">
        <v>1.91</v>
      </c>
      <c r="R145" s="349">
        <v>1.94</v>
      </c>
      <c r="S145" s="349">
        <v>1.97</v>
      </c>
      <c r="T145" s="349">
        <v>2</v>
      </c>
      <c r="U145" s="349">
        <v>2.0299999999999998</v>
      </c>
      <c r="V145" s="349">
        <v>2.04</v>
      </c>
      <c r="W145" s="349">
        <v>2.0499999999999998</v>
      </c>
      <c r="X145" s="349">
        <v>2.06</v>
      </c>
      <c r="Y145" s="349">
        <v>2.06</v>
      </c>
      <c r="Z145" s="349">
        <v>2.0699999999999998</v>
      </c>
      <c r="AA145" s="349">
        <v>2.0699999999999998</v>
      </c>
      <c r="AB145" s="349">
        <v>2.0699999999999998</v>
      </c>
      <c r="AC145" s="349">
        <v>2.0699999999999998</v>
      </c>
      <c r="AD145" s="349">
        <v>2.08</v>
      </c>
      <c r="AE145" s="349">
        <v>2.08</v>
      </c>
      <c r="AF145" s="349">
        <v>2.0699999999999998</v>
      </c>
      <c r="AG145" s="349">
        <v>2.0699999999999998</v>
      </c>
      <c r="AH145" s="349">
        <v>2.0699999999999998</v>
      </c>
      <c r="AI145" s="349">
        <v>2.0699999999999998</v>
      </c>
      <c r="AJ145" s="349">
        <v>2.0699999999999998</v>
      </c>
      <c r="AK145" s="349">
        <v>2.0699999999999998</v>
      </c>
      <c r="AL145" s="349">
        <v>2.0699999999999998</v>
      </c>
      <c r="AM145" s="349">
        <v>2.06</v>
      </c>
      <c r="AN145" s="349">
        <v>2.06</v>
      </c>
      <c r="AO145" s="349">
        <v>2.06</v>
      </c>
      <c r="AP145" s="349">
        <v>2.06</v>
      </c>
      <c r="AQ145" s="349">
        <v>2.0499999999999998</v>
      </c>
      <c r="AR145" s="349">
        <v>2.0499999999999998</v>
      </c>
      <c r="AS145" s="349">
        <v>2.0499999999999998</v>
      </c>
      <c r="AT145" s="349">
        <v>2.04</v>
      </c>
      <c r="AU145" s="349">
        <v>2.04</v>
      </c>
      <c r="AV145" s="349">
        <v>2.04</v>
      </c>
      <c r="AW145" s="349">
        <v>2.0299999999999998</v>
      </c>
      <c r="AX145" s="349">
        <v>2.0299999999999998</v>
      </c>
      <c r="AY145" s="349">
        <v>2.0299999999999998</v>
      </c>
      <c r="AZ145" s="59">
        <v>8.9999999999999993E-3</v>
      </c>
      <c r="BA145" s="104">
        <f t="shared" si="12"/>
        <v>0.89999999999999991</v>
      </c>
      <c r="BC145" s="437">
        <v>2.58</v>
      </c>
      <c r="BD145" s="679">
        <f t="shared" si="14"/>
        <v>41600.5</v>
      </c>
      <c r="BE145" s="679">
        <f t="shared" si="13"/>
        <v>53696.25</v>
      </c>
      <c r="BF145" s="679">
        <f t="shared" si="13"/>
        <v>34545.5</v>
      </c>
      <c r="BG145" s="679">
        <f t="shared" si="13"/>
        <v>36589</v>
      </c>
      <c r="BH145" s="679">
        <v>3</v>
      </c>
    </row>
    <row r="146" spans="1:60">
      <c r="A146" s="107">
        <v>43982</v>
      </c>
      <c r="B146" s="349">
        <v>0.53</v>
      </c>
      <c r="C146" s="349">
        <v>0.57999999999999996</v>
      </c>
      <c r="D146" s="349">
        <v>0.66</v>
      </c>
      <c r="E146" s="349">
        <v>0.77</v>
      </c>
      <c r="F146" s="349">
        <v>0.89</v>
      </c>
      <c r="G146" s="349">
        <v>1.02</v>
      </c>
      <c r="H146" s="349">
        <v>1.1399999999999999</v>
      </c>
      <c r="I146" s="349">
        <v>1.25</v>
      </c>
      <c r="J146" s="349">
        <v>1.37</v>
      </c>
      <c r="K146" s="349">
        <v>1.47</v>
      </c>
      <c r="L146" s="349">
        <v>1.57</v>
      </c>
      <c r="M146" s="349">
        <v>1.65</v>
      </c>
      <c r="N146" s="349">
        <v>1.72</v>
      </c>
      <c r="O146" s="349">
        <v>1.79</v>
      </c>
      <c r="P146" s="2303">
        <v>1.84</v>
      </c>
      <c r="Q146" s="349">
        <v>1.88</v>
      </c>
      <c r="R146" s="349">
        <v>1.91</v>
      </c>
      <c r="S146" s="349">
        <v>1.95</v>
      </c>
      <c r="T146" s="349">
        <v>1.97</v>
      </c>
      <c r="U146" s="349">
        <v>2</v>
      </c>
      <c r="V146" s="349">
        <v>2.0099999999999998</v>
      </c>
      <c r="W146" s="349">
        <v>2.02</v>
      </c>
      <c r="X146" s="349">
        <v>2.0299999999999998</v>
      </c>
      <c r="Y146" s="349">
        <v>2.04</v>
      </c>
      <c r="Z146" s="349">
        <v>2.04</v>
      </c>
      <c r="AA146" s="349">
        <v>2.04</v>
      </c>
      <c r="AB146" s="349">
        <v>2.04</v>
      </c>
      <c r="AC146" s="349">
        <v>2.0499999999999998</v>
      </c>
      <c r="AD146" s="349">
        <v>2.0499999999999998</v>
      </c>
      <c r="AE146" s="349">
        <v>2.0499999999999998</v>
      </c>
      <c r="AF146" s="349">
        <v>2.04</v>
      </c>
      <c r="AG146" s="349">
        <v>2.04</v>
      </c>
      <c r="AH146" s="349">
        <v>2.04</v>
      </c>
      <c r="AI146" s="349">
        <v>2.04</v>
      </c>
      <c r="AJ146" s="349">
        <v>2.04</v>
      </c>
      <c r="AK146" s="349">
        <v>2.04</v>
      </c>
      <c r="AL146" s="349">
        <v>2.04</v>
      </c>
      <c r="AM146" s="349">
        <v>2.0299999999999998</v>
      </c>
      <c r="AN146" s="349">
        <v>2.0299999999999998</v>
      </c>
      <c r="AO146" s="349">
        <v>2.0299999999999998</v>
      </c>
      <c r="AP146" s="349">
        <v>2.0299999999999998</v>
      </c>
      <c r="AQ146" s="349">
        <v>2.02</v>
      </c>
      <c r="AR146" s="349">
        <v>2.02</v>
      </c>
      <c r="AS146" s="349">
        <v>2.0099999999999998</v>
      </c>
      <c r="AT146" s="349">
        <v>2.0099999999999998</v>
      </c>
      <c r="AU146" s="349">
        <v>2.0099999999999998</v>
      </c>
      <c r="AV146" s="349">
        <v>2</v>
      </c>
      <c r="AW146" s="349">
        <v>2</v>
      </c>
      <c r="AX146" s="349">
        <v>2</v>
      </c>
      <c r="AY146" s="349">
        <v>1.99</v>
      </c>
      <c r="AZ146" s="59">
        <v>8.9999999999999993E-3</v>
      </c>
      <c r="BA146" s="104">
        <f t="shared" si="12"/>
        <v>0.89999999999999991</v>
      </c>
      <c r="BC146" s="437">
        <v>2.54</v>
      </c>
      <c r="BD146" s="679">
        <f t="shared" si="14"/>
        <v>41965.666666666664</v>
      </c>
      <c r="BE146" s="679">
        <f t="shared" si="13"/>
        <v>54745.333333333336</v>
      </c>
      <c r="BF146" s="679">
        <f t="shared" si="13"/>
        <v>34873</v>
      </c>
      <c r="BG146" s="679">
        <f t="shared" si="13"/>
        <v>37360.666666666664</v>
      </c>
      <c r="BH146" s="679">
        <v>4</v>
      </c>
    </row>
    <row r="147" spans="1:60">
      <c r="A147" s="107">
        <v>44012</v>
      </c>
      <c r="B147" s="349">
        <v>0.52</v>
      </c>
      <c r="C147" s="349">
        <v>0.56999999999999995</v>
      </c>
      <c r="D147" s="349">
        <v>0.65</v>
      </c>
      <c r="E147" s="349">
        <v>0.76</v>
      </c>
      <c r="F147" s="349">
        <v>0.87</v>
      </c>
      <c r="G147" s="349">
        <v>0.99</v>
      </c>
      <c r="H147" s="349">
        <v>1.1100000000000001</v>
      </c>
      <c r="I147" s="349">
        <v>1.23</v>
      </c>
      <c r="J147" s="349">
        <v>1.34</v>
      </c>
      <c r="K147" s="349">
        <v>1.45</v>
      </c>
      <c r="L147" s="349">
        <v>1.54</v>
      </c>
      <c r="M147" s="349">
        <v>1.62</v>
      </c>
      <c r="N147" s="349">
        <v>1.69</v>
      </c>
      <c r="O147" s="349">
        <v>1.76</v>
      </c>
      <c r="P147" s="2303">
        <v>1.81</v>
      </c>
      <c r="Q147" s="349">
        <v>1.85</v>
      </c>
      <c r="R147" s="349">
        <v>1.88</v>
      </c>
      <c r="S147" s="349">
        <v>1.91</v>
      </c>
      <c r="T147" s="349">
        <v>1.94</v>
      </c>
      <c r="U147" s="349">
        <v>1.97</v>
      </c>
      <c r="V147" s="349">
        <v>1.98</v>
      </c>
      <c r="W147" s="349">
        <v>1.99</v>
      </c>
      <c r="X147" s="349">
        <v>2</v>
      </c>
      <c r="Y147" s="349">
        <v>2</v>
      </c>
      <c r="Z147" s="349">
        <v>2.0099999999999998</v>
      </c>
      <c r="AA147" s="349">
        <v>2.0099999999999998</v>
      </c>
      <c r="AB147" s="349">
        <v>2.0099999999999998</v>
      </c>
      <c r="AC147" s="349">
        <v>2.0099999999999998</v>
      </c>
      <c r="AD147" s="349">
        <v>2.0099999999999998</v>
      </c>
      <c r="AE147" s="349">
        <v>2.0099999999999998</v>
      </c>
      <c r="AF147" s="349">
        <v>2.0099999999999998</v>
      </c>
      <c r="AG147" s="349">
        <v>2.0099999999999998</v>
      </c>
      <c r="AH147" s="349">
        <v>2.0099999999999998</v>
      </c>
      <c r="AI147" s="349">
        <v>2.0099999999999998</v>
      </c>
      <c r="AJ147" s="349">
        <v>2.0099999999999998</v>
      </c>
      <c r="AK147" s="349">
        <v>2</v>
      </c>
      <c r="AL147" s="349">
        <v>2</v>
      </c>
      <c r="AM147" s="349">
        <v>2</v>
      </c>
      <c r="AN147" s="349">
        <v>2</v>
      </c>
      <c r="AO147" s="349">
        <v>2</v>
      </c>
      <c r="AP147" s="349">
        <v>1.99</v>
      </c>
      <c r="AQ147" s="349">
        <v>1.99</v>
      </c>
      <c r="AR147" s="349">
        <v>1.98</v>
      </c>
      <c r="AS147" s="349">
        <v>1.98</v>
      </c>
      <c r="AT147" s="349">
        <v>1.98</v>
      </c>
      <c r="AU147" s="349">
        <v>1.97</v>
      </c>
      <c r="AV147" s="349">
        <v>1.97</v>
      </c>
      <c r="AW147" s="349">
        <v>1.97</v>
      </c>
      <c r="AX147" s="349">
        <v>1.96</v>
      </c>
      <c r="AY147" s="349">
        <v>1.96</v>
      </c>
      <c r="AZ147" s="59">
        <v>8.9999999999999993E-3</v>
      </c>
      <c r="BA147" s="104">
        <f t="shared" si="12"/>
        <v>0.89999999999999991</v>
      </c>
      <c r="BC147" s="437">
        <v>2.5099999999999998</v>
      </c>
      <c r="BD147" s="679">
        <f t="shared" si="14"/>
        <v>42330.833333333336</v>
      </c>
      <c r="BE147" s="679">
        <f t="shared" si="13"/>
        <v>55794.416666666664</v>
      </c>
      <c r="BF147" s="679">
        <f t="shared" si="13"/>
        <v>35200.5</v>
      </c>
      <c r="BG147" s="679">
        <f t="shared" si="13"/>
        <v>38132.333333333336</v>
      </c>
      <c r="BH147" s="679">
        <v>5</v>
      </c>
    </row>
    <row r="148" spans="1:60" s="113" customFormat="1" ht="12.75" customHeight="1">
      <c r="A148" s="107">
        <v>44043</v>
      </c>
      <c r="B148" s="349">
        <v>0.51</v>
      </c>
      <c r="C148" s="349">
        <v>0.55000000000000004</v>
      </c>
      <c r="D148" s="349">
        <v>0.63</v>
      </c>
      <c r="E148" s="349">
        <v>0.74</v>
      </c>
      <c r="F148" s="349">
        <v>0.85</v>
      </c>
      <c r="G148" s="349">
        <v>0.97</v>
      </c>
      <c r="H148" s="349">
        <v>1.0900000000000001</v>
      </c>
      <c r="I148" s="349">
        <v>1.2</v>
      </c>
      <c r="J148" s="349">
        <v>1.31</v>
      </c>
      <c r="K148" s="349">
        <v>1.42</v>
      </c>
      <c r="L148" s="349">
        <v>1.51</v>
      </c>
      <c r="M148" s="349">
        <v>1.59</v>
      </c>
      <c r="N148" s="349">
        <v>1.66</v>
      </c>
      <c r="O148" s="349">
        <v>1.72</v>
      </c>
      <c r="P148" s="2303">
        <v>1.78</v>
      </c>
      <c r="Q148" s="349">
        <v>1.82</v>
      </c>
      <c r="R148" s="349">
        <v>1.85</v>
      </c>
      <c r="S148" s="349">
        <v>1.88</v>
      </c>
      <c r="T148" s="349">
        <v>1.91</v>
      </c>
      <c r="U148" s="349">
        <v>1.93</v>
      </c>
      <c r="V148" s="349">
        <v>1.94</v>
      </c>
      <c r="W148" s="349">
        <v>1.95</v>
      </c>
      <c r="X148" s="349">
        <v>1.96</v>
      </c>
      <c r="Y148" s="349">
        <v>1.97</v>
      </c>
      <c r="Z148" s="349">
        <v>1.98</v>
      </c>
      <c r="AA148" s="349">
        <v>1.98</v>
      </c>
      <c r="AB148" s="349">
        <v>1.98</v>
      </c>
      <c r="AC148" s="349">
        <v>1.98</v>
      </c>
      <c r="AD148" s="349">
        <v>1.98</v>
      </c>
      <c r="AE148" s="349">
        <v>1.98</v>
      </c>
      <c r="AF148" s="349">
        <v>1.98</v>
      </c>
      <c r="AG148" s="349">
        <v>1.98</v>
      </c>
      <c r="AH148" s="349">
        <v>1.97</v>
      </c>
      <c r="AI148" s="349">
        <v>1.97</v>
      </c>
      <c r="AJ148" s="349">
        <v>1.97</v>
      </c>
      <c r="AK148" s="349">
        <v>1.97</v>
      </c>
      <c r="AL148" s="349">
        <v>1.97</v>
      </c>
      <c r="AM148" s="349">
        <v>1.97</v>
      </c>
      <c r="AN148" s="349">
        <v>1.96</v>
      </c>
      <c r="AO148" s="349">
        <v>1.96</v>
      </c>
      <c r="AP148" s="349">
        <v>1.96</v>
      </c>
      <c r="AQ148" s="349">
        <v>1.95</v>
      </c>
      <c r="AR148" s="349">
        <v>1.95</v>
      </c>
      <c r="AS148" s="349">
        <v>1.94</v>
      </c>
      <c r="AT148" s="349">
        <v>1.94</v>
      </c>
      <c r="AU148" s="349">
        <v>1.94</v>
      </c>
      <c r="AV148" s="349">
        <v>1.93</v>
      </c>
      <c r="AW148" s="349">
        <v>1.93</v>
      </c>
      <c r="AX148" s="349">
        <v>1.93</v>
      </c>
      <c r="AY148" s="349">
        <v>1.92</v>
      </c>
      <c r="BC148" s="437">
        <v>2.4700000000000002</v>
      </c>
      <c r="BD148" s="679">
        <f t="shared" si="14"/>
        <v>42696</v>
      </c>
      <c r="BE148" s="679">
        <f t="shared" si="13"/>
        <v>56843.5</v>
      </c>
      <c r="BF148" s="679">
        <f t="shared" si="13"/>
        <v>35528</v>
      </c>
      <c r="BG148" s="679">
        <f t="shared" si="13"/>
        <v>38904</v>
      </c>
      <c r="BH148" s="679">
        <v>6</v>
      </c>
    </row>
    <row r="149" spans="1:60">
      <c r="A149" s="107">
        <v>44074</v>
      </c>
      <c r="B149" s="349">
        <v>0.49</v>
      </c>
      <c r="C149" s="349">
        <v>0.54</v>
      </c>
      <c r="D149" s="349">
        <v>0.61</v>
      </c>
      <c r="E149" s="349">
        <v>0.72</v>
      </c>
      <c r="F149" s="349">
        <v>0.83</v>
      </c>
      <c r="G149" s="349">
        <v>0.95</v>
      </c>
      <c r="H149" s="349">
        <v>1.06</v>
      </c>
      <c r="I149" s="349">
        <v>1.17</v>
      </c>
      <c r="J149" s="349">
        <v>1.28</v>
      </c>
      <c r="K149" s="349">
        <v>1.39</v>
      </c>
      <c r="L149" s="349">
        <v>1.48</v>
      </c>
      <c r="M149" s="349">
        <v>1.56</v>
      </c>
      <c r="N149" s="349">
        <v>1.63</v>
      </c>
      <c r="O149" s="349">
        <v>1.69</v>
      </c>
      <c r="P149" s="2303">
        <v>1.74</v>
      </c>
      <c r="Q149" s="349">
        <v>1.78</v>
      </c>
      <c r="R149" s="349">
        <v>1.82</v>
      </c>
      <c r="S149" s="349">
        <v>1.85</v>
      </c>
      <c r="T149" s="349">
        <v>1.87</v>
      </c>
      <c r="U149" s="349">
        <v>1.9</v>
      </c>
      <c r="V149" s="349">
        <v>1.91</v>
      </c>
      <c r="W149" s="349">
        <v>1.92</v>
      </c>
      <c r="X149" s="349">
        <v>1.93</v>
      </c>
      <c r="Y149" s="349">
        <v>1.94</v>
      </c>
      <c r="Z149" s="349">
        <v>1.94</v>
      </c>
      <c r="AA149" s="349">
        <v>1.95</v>
      </c>
      <c r="AB149" s="349">
        <v>1.95</v>
      </c>
      <c r="AC149" s="349">
        <v>1.95</v>
      </c>
      <c r="AD149" s="349">
        <v>1.95</v>
      </c>
      <c r="AE149" s="349">
        <v>1.95</v>
      </c>
      <c r="AF149" s="349">
        <v>1.94</v>
      </c>
      <c r="AG149" s="349">
        <v>1.94</v>
      </c>
      <c r="AH149" s="349">
        <v>1.94</v>
      </c>
      <c r="AI149" s="349">
        <v>1.94</v>
      </c>
      <c r="AJ149" s="349">
        <v>1.94</v>
      </c>
      <c r="AK149" s="349">
        <v>1.94</v>
      </c>
      <c r="AL149" s="349">
        <v>1.93</v>
      </c>
      <c r="AM149" s="349">
        <v>1.93</v>
      </c>
      <c r="AN149" s="349">
        <v>1.93</v>
      </c>
      <c r="AO149" s="349">
        <v>1.93</v>
      </c>
      <c r="AP149" s="349">
        <v>1.92</v>
      </c>
      <c r="AQ149" s="349">
        <v>1.92</v>
      </c>
      <c r="AR149" s="349">
        <v>1.91</v>
      </c>
      <c r="AS149" s="349">
        <v>1.91</v>
      </c>
      <c r="AT149" s="349">
        <v>1.91</v>
      </c>
      <c r="AU149" s="349">
        <v>1.9</v>
      </c>
      <c r="AV149" s="349">
        <v>1.9</v>
      </c>
      <c r="AW149" s="349">
        <v>1.89</v>
      </c>
      <c r="AX149" s="349">
        <v>1.89</v>
      </c>
      <c r="AY149" s="349">
        <v>1.89</v>
      </c>
      <c r="BC149" s="437">
        <v>2.4500000000000002</v>
      </c>
      <c r="BD149" s="679">
        <f t="shared" si="14"/>
        <v>43061.166666666664</v>
      </c>
      <c r="BE149" s="679">
        <f t="shared" si="13"/>
        <v>57892.583333333336</v>
      </c>
      <c r="BF149" s="679">
        <f t="shared" si="13"/>
        <v>35855.5</v>
      </c>
      <c r="BG149" s="679">
        <f t="shared" si="13"/>
        <v>39675.666666666664</v>
      </c>
      <c r="BH149" s="679">
        <v>7</v>
      </c>
    </row>
    <row r="150" spans="1:60">
      <c r="A150" s="107">
        <v>44104</v>
      </c>
      <c r="B150" s="349">
        <v>0.48</v>
      </c>
      <c r="C150" s="349">
        <v>0.52</v>
      </c>
      <c r="D150" s="349">
        <v>0.6</v>
      </c>
      <c r="E150" s="349">
        <v>0.7</v>
      </c>
      <c r="F150" s="349">
        <v>0.8</v>
      </c>
      <c r="G150" s="349">
        <v>0.92</v>
      </c>
      <c r="H150" s="349">
        <v>1.03</v>
      </c>
      <c r="I150" s="349">
        <v>1.1499999999999999</v>
      </c>
      <c r="J150" s="349">
        <v>1.25</v>
      </c>
      <c r="K150" s="349">
        <v>1.36</v>
      </c>
      <c r="L150" s="349">
        <v>1.45</v>
      </c>
      <c r="M150" s="349">
        <v>1.53</v>
      </c>
      <c r="N150" s="349">
        <v>1.6</v>
      </c>
      <c r="O150" s="349">
        <v>1.66</v>
      </c>
      <c r="P150" s="2303">
        <v>1.71</v>
      </c>
      <c r="Q150" s="349">
        <v>1.75</v>
      </c>
      <c r="R150" s="349">
        <v>1.78</v>
      </c>
      <c r="S150" s="349">
        <v>1.81</v>
      </c>
      <c r="T150" s="349">
        <v>1.84</v>
      </c>
      <c r="U150" s="349">
        <v>1.86</v>
      </c>
      <c r="V150" s="349">
        <v>1.88</v>
      </c>
      <c r="W150" s="349">
        <v>1.89</v>
      </c>
      <c r="X150" s="349">
        <v>1.89</v>
      </c>
      <c r="Y150" s="349">
        <v>1.9</v>
      </c>
      <c r="Z150" s="349">
        <v>1.91</v>
      </c>
      <c r="AA150" s="349">
        <v>1.91</v>
      </c>
      <c r="AB150" s="349">
        <v>1.91</v>
      </c>
      <c r="AC150" s="349">
        <v>1.91</v>
      </c>
      <c r="AD150" s="349">
        <v>1.91</v>
      </c>
      <c r="AE150" s="349">
        <v>1.91</v>
      </c>
      <c r="AF150" s="349">
        <v>1.91</v>
      </c>
      <c r="AG150" s="349">
        <v>1.91</v>
      </c>
      <c r="AH150" s="349">
        <v>1.91</v>
      </c>
      <c r="AI150" s="349">
        <v>1.9</v>
      </c>
      <c r="AJ150" s="349">
        <v>1.9</v>
      </c>
      <c r="AK150" s="349">
        <v>1.9</v>
      </c>
      <c r="AL150" s="349">
        <v>1.9</v>
      </c>
      <c r="AM150" s="349">
        <v>1.9</v>
      </c>
      <c r="AN150" s="349">
        <v>1.9</v>
      </c>
      <c r="AO150" s="349">
        <v>1.89</v>
      </c>
      <c r="AP150" s="349">
        <v>1.89</v>
      </c>
      <c r="AQ150" s="349">
        <v>1.88</v>
      </c>
      <c r="AR150" s="349">
        <v>1.88</v>
      </c>
      <c r="AS150" s="349">
        <v>1.87</v>
      </c>
      <c r="AT150" s="349">
        <v>1.87</v>
      </c>
      <c r="AU150" s="349">
        <v>1.87</v>
      </c>
      <c r="AV150" s="349">
        <v>1.86</v>
      </c>
      <c r="AW150" s="349">
        <v>1.86</v>
      </c>
      <c r="AX150" s="349">
        <v>1.85</v>
      </c>
      <c r="AY150" s="349">
        <v>1.85</v>
      </c>
      <c r="BC150" s="437">
        <v>2.41</v>
      </c>
      <c r="BD150" s="679">
        <f t="shared" si="14"/>
        <v>43426.333333333336</v>
      </c>
      <c r="BE150" s="679">
        <f t="shared" si="13"/>
        <v>58941.666666666664</v>
      </c>
      <c r="BF150" s="679">
        <f t="shared" si="13"/>
        <v>36183</v>
      </c>
      <c r="BG150" s="679">
        <f t="shared" si="13"/>
        <v>40447.333333333336</v>
      </c>
      <c r="BH150" s="679">
        <v>8</v>
      </c>
    </row>
    <row r="151" spans="1:60">
      <c r="A151" s="107">
        <v>44135</v>
      </c>
      <c r="B151" s="349">
        <v>0.47</v>
      </c>
      <c r="C151" s="349">
        <v>0.51</v>
      </c>
      <c r="D151" s="349">
        <v>0.57999999999999996</v>
      </c>
      <c r="E151" s="349">
        <v>0.68</v>
      </c>
      <c r="F151" s="349">
        <v>0.78</v>
      </c>
      <c r="G151" s="349">
        <v>0.9</v>
      </c>
      <c r="H151" s="349">
        <v>1.01</v>
      </c>
      <c r="I151" s="349">
        <v>1.1200000000000001</v>
      </c>
      <c r="J151" s="349">
        <v>1.22</v>
      </c>
      <c r="K151" s="349">
        <v>1.33</v>
      </c>
      <c r="L151" s="349">
        <v>1.42</v>
      </c>
      <c r="M151" s="349">
        <v>1.49</v>
      </c>
      <c r="N151" s="349">
        <v>1.56</v>
      </c>
      <c r="O151" s="349">
        <v>1.62</v>
      </c>
      <c r="P151" s="2303">
        <v>1.68</v>
      </c>
      <c r="Q151" s="349">
        <v>1.71</v>
      </c>
      <c r="R151" s="349">
        <v>1.75</v>
      </c>
      <c r="S151" s="349">
        <v>1.78</v>
      </c>
      <c r="T151" s="349">
        <v>1.81</v>
      </c>
      <c r="U151" s="349">
        <v>1.83</v>
      </c>
      <c r="V151" s="349">
        <v>1.84</v>
      </c>
      <c r="W151" s="349">
        <v>1.85</v>
      </c>
      <c r="X151" s="349">
        <v>1.86</v>
      </c>
      <c r="Y151" s="349">
        <v>1.87</v>
      </c>
      <c r="Z151" s="349">
        <v>1.87</v>
      </c>
      <c r="AA151" s="349">
        <v>1.88</v>
      </c>
      <c r="AB151" s="349">
        <v>1.88</v>
      </c>
      <c r="AC151" s="349">
        <v>1.88</v>
      </c>
      <c r="AD151" s="349">
        <v>1.88</v>
      </c>
      <c r="AE151" s="349">
        <v>1.88</v>
      </c>
      <c r="AF151" s="349">
        <v>1.87</v>
      </c>
      <c r="AG151" s="349">
        <v>1.87</v>
      </c>
      <c r="AH151" s="349">
        <v>1.87</v>
      </c>
      <c r="AI151" s="349">
        <v>1.87</v>
      </c>
      <c r="AJ151" s="349">
        <v>1.87</v>
      </c>
      <c r="AK151" s="349">
        <v>1.86</v>
      </c>
      <c r="AL151" s="349">
        <v>1.86</v>
      </c>
      <c r="AM151" s="349">
        <v>1.86</v>
      </c>
      <c r="AN151" s="349">
        <v>1.86</v>
      </c>
      <c r="AO151" s="349">
        <v>1.86</v>
      </c>
      <c r="AP151" s="349">
        <v>1.85</v>
      </c>
      <c r="AQ151" s="349">
        <v>1.85</v>
      </c>
      <c r="AR151" s="349">
        <v>1.84</v>
      </c>
      <c r="AS151" s="349">
        <v>1.84</v>
      </c>
      <c r="AT151" s="349">
        <v>1.83</v>
      </c>
      <c r="AU151" s="349">
        <v>1.83</v>
      </c>
      <c r="AV151" s="349">
        <v>1.82</v>
      </c>
      <c r="AW151" s="349">
        <v>1.82</v>
      </c>
      <c r="AX151" s="349">
        <v>1.82</v>
      </c>
      <c r="AY151" s="349">
        <v>1.81</v>
      </c>
      <c r="BC151" s="437">
        <v>2.38</v>
      </c>
      <c r="BD151" s="679">
        <f t="shared" si="14"/>
        <v>43791.5</v>
      </c>
      <c r="BE151" s="679">
        <f t="shared" si="13"/>
        <v>59990.75</v>
      </c>
      <c r="BF151" s="679">
        <f t="shared" si="13"/>
        <v>36510.5</v>
      </c>
      <c r="BG151" s="679">
        <f t="shared" si="13"/>
        <v>41219</v>
      </c>
      <c r="BH151" s="679">
        <v>9</v>
      </c>
    </row>
    <row r="152" spans="1:60">
      <c r="A152" s="107">
        <v>44165</v>
      </c>
      <c r="B152" s="349">
        <v>0.45</v>
      </c>
      <c r="C152" s="349">
        <v>0.49</v>
      </c>
      <c r="D152" s="349">
        <v>0.56000000000000005</v>
      </c>
      <c r="E152" s="349">
        <v>0.66</v>
      </c>
      <c r="F152" s="349">
        <v>0.76</v>
      </c>
      <c r="G152" s="349">
        <v>0.87</v>
      </c>
      <c r="H152" s="349">
        <v>0.98</v>
      </c>
      <c r="I152" s="349">
        <v>1.0900000000000001</v>
      </c>
      <c r="J152" s="349">
        <v>1.19</v>
      </c>
      <c r="K152" s="349">
        <v>1.29</v>
      </c>
      <c r="L152" s="349">
        <v>1.38</v>
      </c>
      <c r="M152" s="349">
        <v>1.46</v>
      </c>
      <c r="N152" s="349">
        <v>1.53</v>
      </c>
      <c r="O152" s="349">
        <v>1.59</v>
      </c>
      <c r="P152" s="2303">
        <v>1.64</v>
      </c>
      <c r="Q152" s="349">
        <v>1.68</v>
      </c>
      <c r="R152" s="349">
        <v>1.71</v>
      </c>
      <c r="S152" s="349">
        <v>1.74</v>
      </c>
      <c r="T152" s="349">
        <v>1.77</v>
      </c>
      <c r="U152" s="349">
        <v>1.79</v>
      </c>
      <c r="V152" s="349">
        <v>1.8</v>
      </c>
      <c r="W152" s="349">
        <v>1.81</v>
      </c>
      <c r="X152" s="349">
        <v>1.82</v>
      </c>
      <c r="Y152" s="349">
        <v>1.83</v>
      </c>
      <c r="Z152" s="349">
        <v>1.84</v>
      </c>
      <c r="AA152" s="349">
        <v>1.84</v>
      </c>
      <c r="AB152" s="349">
        <v>1.84</v>
      </c>
      <c r="AC152" s="349">
        <v>1.84</v>
      </c>
      <c r="AD152" s="349">
        <v>1.84</v>
      </c>
      <c r="AE152" s="349">
        <v>1.84</v>
      </c>
      <c r="AF152" s="349">
        <v>1.84</v>
      </c>
      <c r="AG152" s="349">
        <v>1.83</v>
      </c>
      <c r="AH152" s="349">
        <v>1.83</v>
      </c>
      <c r="AI152" s="349">
        <v>1.83</v>
      </c>
      <c r="AJ152" s="349">
        <v>1.83</v>
      </c>
      <c r="AK152" s="349">
        <v>1.83</v>
      </c>
      <c r="AL152" s="349">
        <v>1.82</v>
      </c>
      <c r="AM152" s="349">
        <v>1.82</v>
      </c>
      <c r="AN152" s="349">
        <v>1.82</v>
      </c>
      <c r="AO152" s="349">
        <v>1.82</v>
      </c>
      <c r="AP152" s="349">
        <v>1.81</v>
      </c>
      <c r="AQ152" s="349">
        <v>1.81</v>
      </c>
      <c r="AR152" s="349">
        <v>1.8</v>
      </c>
      <c r="AS152" s="349">
        <v>1.8</v>
      </c>
      <c r="AT152" s="349">
        <v>1.79</v>
      </c>
      <c r="AU152" s="349">
        <v>1.79</v>
      </c>
      <c r="AV152" s="349">
        <v>1.79</v>
      </c>
      <c r="AW152" s="349">
        <v>1.78</v>
      </c>
      <c r="AX152" s="349">
        <v>1.78</v>
      </c>
      <c r="AY152" s="349">
        <v>1.77</v>
      </c>
      <c r="BC152" s="437">
        <v>2.34</v>
      </c>
      <c r="BD152" s="679">
        <f t="shared" si="14"/>
        <v>44156.666666666664</v>
      </c>
      <c r="BE152" s="679">
        <f t="shared" si="13"/>
        <v>61039.833333333328</v>
      </c>
      <c r="BF152" s="679">
        <f t="shared" si="13"/>
        <v>36838</v>
      </c>
      <c r="BG152" s="679">
        <f t="shared" si="13"/>
        <v>41990.666666666664</v>
      </c>
      <c r="BH152" s="679">
        <v>10</v>
      </c>
    </row>
    <row r="153" spans="1:60">
      <c r="A153" s="107">
        <v>44196</v>
      </c>
      <c r="B153" s="349">
        <v>0.44</v>
      </c>
      <c r="C153" s="349">
        <v>0.47</v>
      </c>
      <c r="D153" s="349">
        <v>0.54</v>
      </c>
      <c r="E153" s="349">
        <v>0.64</v>
      </c>
      <c r="F153" s="349">
        <v>0.74</v>
      </c>
      <c r="G153" s="349">
        <v>0.84</v>
      </c>
      <c r="H153" s="349">
        <v>0.95</v>
      </c>
      <c r="I153" s="349">
        <v>1.06</v>
      </c>
      <c r="J153" s="349">
        <v>1.1599999999999999</v>
      </c>
      <c r="K153" s="349">
        <v>1.26</v>
      </c>
      <c r="L153" s="349">
        <v>1.35</v>
      </c>
      <c r="M153" s="349">
        <v>1.42</v>
      </c>
      <c r="N153" s="349">
        <v>1.49</v>
      </c>
      <c r="O153" s="349">
        <v>1.55</v>
      </c>
      <c r="P153" s="2303">
        <v>1.6</v>
      </c>
      <c r="Q153" s="349">
        <v>1.64</v>
      </c>
      <c r="R153" s="349">
        <v>1.67</v>
      </c>
      <c r="S153" s="349">
        <v>1.7</v>
      </c>
      <c r="T153" s="349">
        <v>1.73</v>
      </c>
      <c r="U153" s="349">
        <v>1.75</v>
      </c>
      <c r="V153" s="349">
        <v>1.77</v>
      </c>
      <c r="W153" s="349">
        <v>1.77</v>
      </c>
      <c r="X153" s="349">
        <v>1.78</v>
      </c>
      <c r="Y153" s="349">
        <v>1.79</v>
      </c>
      <c r="Z153" s="349">
        <v>1.8</v>
      </c>
      <c r="AA153" s="349">
        <v>1.8</v>
      </c>
      <c r="AB153" s="349">
        <v>1.8</v>
      </c>
      <c r="AC153" s="349">
        <v>1.8</v>
      </c>
      <c r="AD153" s="349">
        <v>1.8</v>
      </c>
      <c r="AE153" s="349">
        <v>1.8</v>
      </c>
      <c r="AF153" s="349">
        <v>1.8</v>
      </c>
      <c r="AG153" s="349">
        <v>1.8</v>
      </c>
      <c r="AH153" s="349">
        <v>1.79</v>
      </c>
      <c r="AI153" s="349">
        <v>1.79</v>
      </c>
      <c r="AJ153" s="349">
        <v>1.79</v>
      </c>
      <c r="AK153" s="349">
        <v>1.79</v>
      </c>
      <c r="AL153" s="349">
        <v>1.79</v>
      </c>
      <c r="AM153" s="349">
        <v>1.78</v>
      </c>
      <c r="AN153" s="349">
        <v>1.78</v>
      </c>
      <c r="AO153" s="349">
        <v>1.78</v>
      </c>
      <c r="AP153" s="349">
        <v>1.77</v>
      </c>
      <c r="AQ153" s="349">
        <v>1.77</v>
      </c>
      <c r="AR153" s="349">
        <v>1.76</v>
      </c>
      <c r="AS153" s="349">
        <v>1.76</v>
      </c>
      <c r="AT153" s="349">
        <v>1.75</v>
      </c>
      <c r="AU153" s="349">
        <v>1.75</v>
      </c>
      <c r="AV153" s="349">
        <v>1.75</v>
      </c>
      <c r="AW153" s="349">
        <v>1.74</v>
      </c>
      <c r="AX153" s="349">
        <v>1.74</v>
      </c>
      <c r="AY153" s="349">
        <v>1.73</v>
      </c>
      <c r="BC153" s="437">
        <v>2.2999999999999998</v>
      </c>
      <c r="BD153" s="679">
        <f t="shared" si="14"/>
        <v>44521.833333333336</v>
      </c>
      <c r="BE153" s="679">
        <f t="shared" si="13"/>
        <v>62088.916666666664</v>
      </c>
      <c r="BF153" s="679">
        <f t="shared" si="13"/>
        <v>37165.5</v>
      </c>
      <c r="BG153" s="679">
        <f t="shared" si="13"/>
        <v>42762.333333333328</v>
      </c>
      <c r="BH153" s="679">
        <v>11</v>
      </c>
    </row>
    <row r="154" spans="1:60" s="113" customFormat="1" ht="12.75" customHeight="1">
      <c r="A154" s="107">
        <v>44227</v>
      </c>
      <c r="B154" s="349">
        <v>0.42</v>
      </c>
      <c r="C154" s="349">
        <v>0.46</v>
      </c>
      <c r="D154" s="349">
        <v>0.52</v>
      </c>
      <c r="E154" s="349">
        <v>0.62</v>
      </c>
      <c r="F154" s="349">
        <v>0.71</v>
      </c>
      <c r="G154" s="349">
        <v>0.82</v>
      </c>
      <c r="H154" s="349">
        <v>0.93</v>
      </c>
      <c r="I154" s="349">
        <v>1.03</v>
      </c>
      <c r="J154" s="349">
        <v>1.1299999999999999</v>
      </c>
      <c r="K154" s="349">
        <v>1.23</v>
      </c>
      <c r="L154" s="349">
        <v>1.32</v>
      </c>
      <c r="M154" s="349">
        <v>1.39</v>
      </c>
      <c r="N154" s="349">
        <v>1.46</v>
      </c>
      <c r="O154" s="349">
        <v>1.52</v>
      </c>
      <c r="P154" s="2303">
        <v>1.57</v>
      </c>
      <c r="Q154" s="349">
        <v>1.61</v>
      </c>
      <c r="R154" s="349">
        <v>1.64</v>
      </c>
      <c r="S154" s="349">
        <v>1.67</v>
      </c>
      <c r="T154" s="349">
        <v>1.7</v>
      </c>
      <c r="U154" s="349">
        <v>1.72</v>
      </c>
      <c r="V154" s="349">
        <v>1.73</v>
      </c>
      <c r="W154" s="349">
        <v>1.74</v>
      </c>
      <c r="X154" s="349">
        <v>1.75</v>
      </c>
      <c r="Y154" s="349">
        <v>1.76</v>
      </c>
      <c r="Z154" s="349">
        <v>1.77</v>
      </c>
      <c r="AA154" s="349">
        <v>1.77</v>
      </c>
      <c r="AB154" s="349">
        <v>1.77</v>
      </c>
      <c r="AC154" s="349">
        <v>1.77</v>
      </c>
      <c r="AD154" s="349">
        <v>1.77</v>
      </c>
      <c r="AE154" s="349">
        <v>1.77</v>
      </c>
      <c r="AF154" s="349">
        <v>1.77</v>
      </c>
      <c r="AG154" s="349">
        <v>1.76</v>
      </c>
      <c r="AH154" s="349">
        <v>1.76</v>
      </c>
      <c r="AI154" s="349">
        <v>1.76</v>
      </c>
      <c r="AJ154" s="349">
        <v>1.76</v>
      </c>
      <c r="AK154" s="349">
        <v>1.75</v>
      </c>
      <c r="AL154" s="349">
        <v>1.75</v>
      </c>
      <c r="AM154" s="349">
        <v>1.75</v>
      </c>
      <c r="AN154" s="349">
        <v>1.75</v>
      </c>
      <c r="AO154" s="349">
        <v>1.75</v>
      </c>
      <c r="AP154" s="349">
        <v>1.74</v>
      </c>
      <c r="AQ154" s="349">
        <v>1.74</v>
      </c>
      <c r="AR154" s="349">
        <v>1.73</v>
      </c>
      <c r="AS154" s="349">
        <v>1.72</v>
      </c>
      <c r="AT154" s="349">
        <v>1.72</v>
      </c>
      <c r="AU154" s="349">
        <v>1.72</v>
      </c>
      <c r="AV154" s="349">
        <v>1.71</v>
      </c>
      <c r="AW154" s="349">
        <v>1.71</v>
      </c>
      <c r="AX154" s="349">
        <v>1.7</v>
      </c>
      <c r="AY154" s="349">
        <v>1.7</v>
      </c>
      <c r="BC154" s="437">
        <v>2.2599999999999998</v>
      </c>
      <c r="BD154" s="680">
        <v>44887</v>
      </c>
      <c r="BE154" s="680">
        <v>63138</v>
      </c>
      <c r="BF154" s="680">
        <v>37493</v>
      </c>
      <c r="BG154" s="680">
        <v>43534</v>
      </c>
    </row>
    <row r="155" spans="1:60">
      <c r="A155" s="107">
        <v>44255</v>
      </c>
      <c r="B155" s="349">
        <v>0.41</v>
      </c>
      <c r="C155" s="349">
        <v>0.44</v>
      </c>
      <c r="D155" s="349">
        <v>0.51</v>
      </c>
      <c r="E155" s="349">
        <v>0.6</v>
      </c>
      <c r="F155" s="349">
        <v>0.69</v>
      </c>
      <c r="G155" s="349">
        <v>0.8</v>
      </c>
      <c r="H155" s="349">
        <v>0.9</v>
      </c>
      <c r="I155" s="349">
        <v>1.01</v>
      </c>
      <c r="J155" s="349">
        <v>1.1100000000000001</v>
      </c>
      <c r="K155" s="349">
        <v>1.21</v>
      </c>
      <c r="L155" s="349">
        <v>1.29</v>
      </c>
      <c r="M155" s="349">
        <v>1.37</v>
      </c>
      <c r="N155" s="349">
        <v>1.43</v>
      </c>
      <c r="O155" s="349">
        <v>1.49</v>
      </c>
      <c r="P155" s="2303">
        <v>1.54</v>
      </c>
      <c r="Q155" s="349">
        <v>1.58</v>
      </c>
      <c r="R155" s="349">
        <v>1.61</v>
      </c>
      <c r="S155" s="349">
        <v>1.64</v>
      </c>
      <c r="T155" s="349">
        <v>1.67</v>
      </c>
      <c r="U155" s="349">
        <v>1.69</v>
      </c>
      <c r="V155" s="349">
        <v>1.7</v>
      </c>
      <c r="W155" s="349">
        <v>1.71</v>
      </c>
      <c r="X155" s="349">
        <v>1.72</v>
      </c>
      <c r="Y155" s="349">
        <v>1.73</v>
      </c>
      <c r="Z155" s="349">
        <v>1.74</v>
      </c>
      <c r="AA155" s="349">
        <v>1.74</v>
      </c>
      <c r="AB155" s="349">
        <v>1.74</v>
      </c>
      <c r="AC155" s="349">
        <v>1.74</v>
      </c>
      <c r="AD155" s="349">
        <v>1.74</v>
      </c>
      <c r="AE155" s="349">
        <v>1.74</v>
      </c>
      <c r="AF155" s="349">
        <v>1.74</v>
      </c>
      <c r="AG155" s="349">
        <v>1.73</v>
      </c>
      <c r="AH155" s="349">
        <v>1.73</v>
      </c>
      <c r="AI155" s="349">
        <v>1.73</v>
      </c>
      <c r="AJ155" s="349">
        <v>1.73</v>
      </c>
      <c r="AK155" s="349">
        <v>1.72</v>
      </c>
      <c r="AL155" s="349">
        <v>1.72</v>
      </c>
      <c r="AM155" s="349">
        <v>1.72</v>
      </c>
      <c r="AN155" s="349">
        <v>1.72</v>
      </c>
      <c r="AO155" s="349">
        <v>1.72</v>
      </c>
      <c r="AP155" s="349">
        <v>1.71</v>
      </c>
      <c r="AQ155" s="349">
        <v>1.7</v>
      </c>
      <c r="AR155" s="349">
        <v>1.7</v>
      </c>
      <c r="AS155" s="349">
        <v>1.69</v>
      </c>
      <c r="AT155" s="349">
        <v>1.69</v>
      </c>
      <c r="AU155" s="349">
        <v>1.68</v>
      </c>
      <c r="AV155" s="349">
        <v>1.68</v>
      </c>
      <c r="AW155" s="349">
        <v>1.68</v>
      </c>
      <c r="AX155" s="349">
        <v>1.67</v>
      </c>
      <c r="AY155" s="349">
        <v>1.67</v>
      </c>
      <c r="BC155" s="437">
        <v>2.23</v>
      </c>
      <c r="BD155" s="679">
        <f>BD$154+(BD$166-BD$154)/12*$BH155</f>
        <v>45168.25</v>
      </c>
      <c r="BE155" s="679">
        <f t="shared" ref="BE155:BG165" si="15">BE$154+(BE$166-BE$154)/12*$BH155</f>
        <v>64405.916666666664</v>
      </c>
      <c r="BF155" s="679">
        <f t="shared" si="15"/>
        <v>37881.833333333336</v>
      </c>
      <c r="BG155" s="679">
        <f t="shared" si="15"/>
        <v>44845.5</v>
      </c>
      <c r="BH155" s="679">
        <v>1</v>
      </c>
    </row>
    <row r="156" spans="1:60">
      <c r="A156" s="107">
        <v>44286</v>
      </c>
      <c r="B156" s="349">
        <v>0.4</v>
      </c>
      <c r="C156" s="349">
        <v>0.43</v>
      </c>
      <c r="D156" s="349">
        <v>0.49</v>
      </c>
      <c r="E156" s="349">
        <v>0.57999999999999996</v>
      </c>
      <c r="F156" s="349">
        <v>0.68</v>
      </c>
      <c r="G156" s="349">
        <v>0.78</v>
      </c>
      <c r="H156" s="349">
        <v>0.88</v>
      </c>
      <c r="I156" s="349">
        <v>0.99</v>
      </c>
      <c r="J156" s="349">
        <v>1.08</v>
      </c>
      <c r="K156" s="349">
        <v>1.18</v>
      </c>
      <c r="L156" s="349">
        <v>1.27</v>
      </c>
      <c r="M156" s="349">
        <v>1.34</v>
      </c>
      <c r="N156" s="349">
        <v>1.41</v>
      </c>
      <c r="O156" s="349">
        <v>1.46</v>
      </c>
      <c r="P156" s="2303">
        <v>1.51</v>
      </c>
      <c r="Q156" s="349">
        <v>1.55</v>
      </c>
      <c r="R156" s="349">
        <v>1.58</v>
      </c>
      <c r="S156" s="349">
        <v>1.61</v>
      </c>
      <c r="T156" s="349">
        <v>1.64</v>
      </c>
      <c r="U156" s="349">
        <v>1.66</v>
      </c>
      <c r="V156" s="349">
        <v>1.67</v>
      </c>
      <c r="W156" s="349">
        <v>1.68</v>
      </c>
      <c r="X156" s="349">
        <v>1.69</v>
      </c>
      <c r="Y156" s="349">
        <v>1.7</v>
      </c>
      <c r="Z156" s="349">
        <v>1.71</v>
      </c>
      <c r="AA156" s="349">
        <v>1.71</v>
      </c>
      <c r="AB156" s="349">
        <v>1.71</v>
      </c>
      <c r="AC156" s="349">
        <v>1.71</v>
      </c>
      <c r="AD156" s="349">
        <v>1.71</v>
      </c>
      <c r="AE156" s="349">
        <v>1.71</v>
      </c>
      <c r="AF156" s="349">
        <v>1.71</v>
      </c>
      <c r="AG156" s="349">
        <v>1.7</v>
      </c>
      <c r="AH156" s="349">
        <v>1.7</v>
      </c>
      <c r="AI156" s="349">
        <v>1.7</v>
      </c>
      <c r="AJ156" s="349">
        <v>1.7</v>
      </c>
      <c r="AK156" s="349">
        <v>1.7</v>
      </c>
      <c r="AL156" s="349">
        <v>1.69</v>
      </c>
      <c r="AM156" s="349">
        <v>1.69</v>
      </c>
      <c r="AN156" s="349">
        <v>1.69</v>
      </c>
      <c r="AO156" s="349">
        <v>1.69</v>
      </c>
      <c r="AP156" s="349">
        <v>1.68</v>
      </c>
      <c r="AQ156" s="349">
        <v>1.68</v>
      </c>
      <c r="AR156" s="349">
        <v>1.67</v>
      </c>
      <c r="AS156" s="349">
        <v>1.67</v>
      </c>
      <c r="AT156" s="349">
        <v>1.66</v>
      </c>
      <c r="AU156" s="349">
        <v>1.66</v>
      </c>
      <c r="AV156" s="349">
        <v>1.65</v>
      </c>
      <c r="AW156" s="349">
        <v>1.65</v>
      </c>
      <c r="AX156" s="349">
        <v>1.64</v>
      </c>
      <c r="AY156" s="349">
        <v>1.64</v>
      </c>
      <c r="BC156" s="437">
        <v>2.19</v>
      </c>
      <c r="BD156" s="679">
        <f t="shared" ref="BD156:BD165" si="16">BD$154+(BD$166-BD$154)/12*$BH156</f>
        <v>45449.5</v>
      </c>
      <c r="BE156" s="679">
        <f t="shared" si="15"/>
        <v>65673.833333333328</v>
      </c>
      <c r="BF156" s="679">
        <f t="shared" si="15"/>
        <v>38270.666666666664</v>
      </c>
      <c r="BG156" s="679">
        <f t="shared" si="15"/>
        <v>46157</v>
      </c>
      <c r="BH156" s="679">
        <v>2</v>
      </c>
    </row>
    <row r="157" spans="1:60">
      <c r="A157" s="107">
        <v>44316</v>
      </c>
      <c r="B157" s="349">
        <v>0.38</v>
      </c>
      <c r="C157" s="349">
        <v>0.42</v>
      </c>
      <c r="D157" s="349">
        <v>0.48</v>
      </c>
      <c r="E157" s="349">
        <v>0.56999999999999995</v>
      </c>
      <c r="F157" s="349">
        <v>0.66</v>
      </c>
      <c r="G157" s="349">
        <v>0.76</v>
      </c>
      <c r="H157" s="349">
        <v>0.86</v>
      </c>
      <c r="I157" s="349">
        <v>0.97</v>
      </c>
      <c r="J157" s="349">
        <v>1.06</v>
      </c>
      <c r="K157" s="349">
        <v>1.1599999999999999</v>
      </c>
      <c r="L157" s="349">
        <v>1.25</v>
      </c>
      <c r="M157" s="349">
        <v>1.32</v>
      </c>
      <c r="N157" s="349">
        <v>1.38</v>
      </c>
      <c r="O157" s="349">
        <v>1.44</v>
      </c>
      <c r="P157" s="2303">
        <v>1.49</v>
      </c>
      <c r="Q157" s="349">
        <v>1.53</v>
      </c>
      <c r="R157" s="349">
        <v>1.56</v>
      </c>
      <c r="S157" s="349">
        <v>1.59</v>
      </c>
      <c r="T157" s="349">
        <v>1.62</v>
      </c>
      <c r="U157" s="349">
        <v>1.64</v>
      </c>
      <c r="V157" s="349">
        <v>1.65</v>
      </c>
      <c r="W157" s="349">
        <v>1.66</v>
      </c>
      <c r="X157" s="349">
        <v>1.67</v>
      </c>
      <c r="Y157" s="349">
        <v>1.68</v>
      </c>
      <c r="Z157" s="349">
        <v>1.68</v>
      </c>
      <c r="AA157" s="349">
        <v>1.68</v>
      </c>
      <c r="AB157" s="349">
        <v>1.68</v>
      </c>
      <c r="AC157" s="349">
        <v>1.68</v>
      </c>
      <c r="AD157" s="349">
        <v>1.68</v>
      </c>
      <c r="AE157" s="349">
        <v>1.69</v>
      </c>
      <c r="AF157" s="349">
        <v>1.68</v>
      </c>
      <c r="AG157" s="349">
        <v>1.68</v>
      </c>
      <c r="AH157" s="349">
        <v>1.68</v>
      </c>
      <c r="AI157" s="349">
        <v>1.67</v>
      </c>
      <c r="AJ157" s="349">
        <v>1.67</v>
      </c>
      <c r="AK157" s="349">
        <v>1.67</v>
      </c>
      <c r="AL157" s="349">
        <v>1.67</v>
      </c>
      <c r="AM157" s="349">
        <v>1.67</v>
      </c>
      <c r="AN157" s="349">
        <v>1.66</v>
      </c>
      <c r="AO157" s="349">
        <v>1.66</v>
      </c>
      <c r="AP157" s="349">
        <v>1.66</v>
      </c>
      <c r="AQ157" s="349">
        <v>1.65</v>
      </c>
      <c r="AR157" s="349">
        <v>1.64</v>
      </c>
      <c r="AS157" s="349">
        <v>1.64</v>
      </c>
      <c r="AT157" s="349">
        <v>1.63</v>
      </c>
      <c r="AU157" s="349">
        <v>1.63</v>
      </c>
      <c r="AV157" s="349">
        <v>1.62</v>
      </c>
      <c r="AW157" s="349">
        <v>1.62</v>
      </c>
      <c r="AX157" s="349">
        <v>1.62</v>
      </c>
      <c r="AY157" s="349">
        <v>1.61</v>
      </c>
      <c r="BC157" s="437">
        <v>2.16</v>
      </c>
      <c r="BD157" s="679">
        <f t="shared" si="16"/>
        <v>45730.75</v>
      </c>
      <c r="BE157" s="679">
        <f t="shared" si="15"/>
        <v>66941.75</v>
      </c>
      <c r="BF157" s="679">
        <f t="shared" si="15"/>
        <v>38659.5</v>
      </c>
      <c r="BG157" s="679">
        <f t="shared" si="15"/>
        <v>47468.5</v>
      </c>
      <c r="BH157" s="679">
        <v>3</v>
      </c>
    </row>
    <row r="158" spans="1:60">
      <c r="A158" s="107">
        <v>44347</v>
      </c>
      <c r="B158" s="349">
        <v>0.37</v>
      </c>
      <c r="C158" s="349">
        <v>0.4</v>
      </c>
      <c r="D158" s="349">
        <v>0.47</v>
      </c>
      <c r="E158" s="349">
        <v>0.55000000000000004</v>
      </c>
      <c r="F158" s="349">
        <v>0.65</v>
      </c>
      <c r="G158" s="349">
        <v>0.75</v>
      </c>
      <c r="H158" s="349">
        <v>0.85</v>
      </c>
      <c r="I158" s="349">
        <v>0.95</v>
      </c>
      <c r="J158" s="349">
        <v>1.05</v>
      </c>
      <c r="K158" s="349">
        <v>1.1399999999999999</v>
      </c>
      <c r="L158" s="349">
        <v>1.22</v>
      </c>
      <c r="M158" s="349">
        <v>1.3</v>
      </c>
      <c r="N158" s="349">
        <v>1.36</v>
      </c>
      <c r="O158" s="349">
        <v>1.42</v>
      </c>
      <c r="P158" s="2303">
        <v>1.47</v>
      </c>
      <c r="Q158" s="349">
        <v>1.5</v>
      </c>
      <c r="R158" s="349">
        <v>1.54</v>
      </c>
      <c r="S158" s="349">
        <v>1.57</v>
      </c>
      <c r="T158" s="349">
        <v>1.59</v>
      </c>
      <c r="U158" s="349">
        <v>1.62</v>
      </c>
      <c r="V158" s="349">
        <v>1.63</v>
      </c>
      <c r="W158" s="349">
        <v>1.64</v>
      </c>
      <c r="X158" s="349">
        <v>1.64</v>
      </c>
      <c r="Y158" s="349">
        <v>1.65</v>
      </c>
      <c r="Z158" s="349">
        <v>1.66</v>
      </c>
      <c r="AA158" s="349">
        <v>1.66</v>
      </c>
      <c r="AB158" s="349">
        <v>1.66</v>
      </c>
      <c r="AC158" s="349">
        <v>1.66</v>
      </c>
      <c r="AD158" s="349">
        <v>1.66</v>
      </c>
      <c r="AE158" s="349">
        <v>1.66</v>
      </c>
      <c r="AF158" s="349">
        <v>1.66</v>
      </c>
      <c r="AG158" s="349">
        <v>1.66</v>
      </c>
      <c r="AH158" s="349">
        <v>1.65</v>
      </c>
      <c r="AI158" s="349">
        <v>1.65</v>
      </c>
      <c r="AJ158" s="349">
        <v>1.65</v>
      </c>
      <c r="AK158" s="349">
        <v>1.65</v>
      </c>
      <c r="AL158" s="349">
        <v>1.64</v>
      </c>
      <c r="AM158" s="349">
        <v>1.64</v>
      </c>
      <c r="AN158" s="349">
        <v>1.64</v>
      </c>
      <c r="AO158" s="349">
        <v>1.64</v>
      </c>
      <c r="AP158" s="349">
        <v>1.63</v>
      </c>
      <c r="AQ158" s="349">
        <v>1.62</v>
      </c>
      <c r="AR158" s="349">
        <v>1.62</v>
      </c>
      <c r="AS158" s="349">
        <v>1.61</v>
      </c>
      <c r="AT158" s="349">
        <v>1.61</v>
      </c>
      <c r="AU158" s="349">
        <v>1.6</v>
      </c>
      <c r="AV158" s="349">
        <v>1.6</v>
      </c>
      <c r="AW158" s="349">
        <v>1.6</v>
      </c>
      <c r="AX158" s="349">
        <v>1.59</v>
      </c>
      <c r="AY158" s="349">
        <v>1.59</v>
      </c>
      <c r="BC158" s="437">
        <v>2.12</v>
      </c>
      <c r="BD158" s="679">
        <f t="shared" si="16"/>
        <v>46012</v>
      </c>
      <c r="BE158" s="679">
        <f t="shared" si="15"/>
        <v>68209.666666666672</v>
      </c>
      <c r="BF158" s="679">
        <f t="shared" si="15"/>
        <v>39048.333333333336</v>
      </c>
      <c r="BG158" s="679">
        <f t="shared" si="15"/>
        <v>48780</v>
      </c>
      <c r="BH158" s="679">
        <v>4</v>
      </c>
    </row>
    <row r="159" spans="1:60" s="113" customFormat="1" ht="12.75" customHeight="1">
      <c r="A159" s="107">
        <v>44377</v>
      </c>
      <c r="B159" s="349">
        <v>0.36</v>
      </c>
      <c r="C159" s="349">
        <v>0.39</v>
      </c>
      <c r="D159" s="349">
        <v>0.45</v>
      </c>
      <c r="E159" s="349">
        <v>0.54</v>
      </c>
      <c r="F159" s="349">
        <v>0.63</v>
      </c>
      <c r="G159" s="349">
        <v>0.73</v>
      </c>
      <c r="H159" s="349">
        <v>0.83</v>
      </c>
      <c r="I159" s="349">
        <v>0.93</v>
      </c>
      <c r="J159" s="349">
        <v>1.03</v>
      </c>
      <c r="K159" s="349">
        <v>1.1200000000000001</v>
      </c>
      <c r="L159" s="349">
        <v>1.2</v>
      </c>
      <c r="M159" s="349">
        <v>1.28</v>
      </c>
      <c r="N159" s="349">
        <v>1.34</v>
      </c>
      <c r="O159" s="349">
        <v>1.4</v>
      </c>
      <c r="P159" s="2303">
        <v>1.45</v>
      </c>
      <c r="Q159" s="349">
        <v>1.48</v>
      </c>
      <c r="R159" s="349">
        <v>1.51</v>
      </c>
      <c r="S159" s="349">
        <v>1.54</v>
      </c>
      <c r="T159" s="349">
        <v>1.57</v>
      </c>
      <c r="U159" s="349">
        <v>1.59</v>
      </c>
      <c r="V159" s="349">
        <v>1.6</v>
      </c>
      <c r="W159" s="349">
        <v>1.61</v>
      </c>
      <c r="X159" s="349">
        <v>1.62</v>
      </c>
      <c r="Y159" s="349">
        <v>1.63</v>
      </c>
      <c r="Z159" s="349">
        <v>1.64</v>
      </c>
      <c r="AA159" s="349">
        <v>1.64</v>
      </c>
      <c r="AB159" s="349">
        <v>1.64</v>
      </c>
      <c r="AC159" s="349">
        <v>1.64</v>
      </c>
      <c r="AD159" s="349">
        <v>1.64</v>
      </c>
      <c r="AE159" s="349">
        <v>1.64</v>
      </c>
      <c r="AF159" s="349">
        <v>1.63</v>
      </c>
      <c r="AG159" s="349">
        <v>1.63</v>
      </c>
      <c r="AH159" s="349">
        <v>1.63</v>
      </c>
      <c r="AI159" s="349">
        <v>1.63</v>
      </c>
      <c r="AJ159" s="349">
        <v>1.62</v>
      </c>
      <c r="AK159" s="349">
        <v>1.62</v>
      </c>
      <c r="AL159" s="349">
        <v>1.62</v>
      </c>
      <c r="AM159" s="349">
        <v>1.62</v>
      </c>
      <c r="AN159" s="349">
        <v>1.61</v>
      </c>
      <c r="AO159" s="349">
        <v>1.61</v>
      </c>
      <c r="AP159" s="349">
        <v>1.61</v>
      </c>
      <c r="AQ159" s="349">
        <v>1.6</v>
      </c>
      <c r="AR159" s="349">
        <v>1.59</v>
      </c>
      <c r="AS159" s="349">
        <v>1.59</v>
      </c>
      <c r="AT159" s="349">
        <v>1.58</v>
      </c>
      <c r="AU159" s="349">
        <v>1.58</v>
      </c>
      <c r="AV159" s="349">
        <v>1.57</v>
      </c>
      <c r="AW159" s="349">
        <v>1.57</v>
      </c>
      <c r="AX159" s="349">
        <v>1.57</v>
      </c>
      <c r="AY159" s="349">
        <v>1.56</v>
      </c>
      <c r="BC159" s="437">
        <v>2.09</v>
      </c>
      <c r="BD159" s="679">
        <f t="shared" si="16"/>
        <v>46293.25</v>
      </c>
      <c r="BE159" s="679">
        <f t="shared" si="15"/>
        <v>69477.583333333328</v>
      </c>
      <c r="BF159" s="679">
        <f t="shared" si="15"/>
        <v>39437.166666666664</v>
      </c>
      <c r="BG159" s="679">
        <f t="shared" si="15"/>
        <v>50091.5</v>
      </c>
      <c r="BH159" s="679">
        <v>5</v>
      </c>
    </row>
    <row r="160" spans="1:60">
      <c r="A160" s="107">
        <v>44408</v>
      </c>
      <c r="B160" s="349">
        <v>0.34</v>
      </c>
      <c r="C160" s="349">
        <v>0.38</v>
      </c>
      <c r="D160" s="349">
        <v>0.44</v>
      </c>
      <c r="E160" s="349">
        <v>0.53</v>
      </c>
      <c r="F160" s="349">
        <v>0.62</v>
      </c>
      <c r="G160" s="349">
        <v>0.72</v>
      </c>
      <c r="H160" s="349">
        <v>0.81</v>
      </c>
      <c r="I160" s="349">
        <v>0.91</v>
      </c>
      <c r="J160" s="349">
        <v>1.01</v>
      </c>
      <c r="K160" s="349">
        <v>1.1000000000000001</v>
      </c>
      <c r="L160" s="349">
        <v>1.18</v>
      </c>
      <c r="M160" s="349">
        <v>1.25</v>
      </c>
      <c r="N160" s="349">
        <v>1.32</v>
      </c>
      <c r="O160" s="349">
        <v>1.37</v>
      </c>
      <c r="P160" s="2303">
        <v>1.42</v>
      </c>
      <c r="Q160" s="349">
        <v>1.46</v>
      </c>
      <c r="R160" s="349">
        <v>1.49</v>
      </c>
      <c r="S160" s="349">
        <v>1.52</v>
      </c>
      <c r="T160" s="349">
        <v>1.55</v>
      </c>
      <c r="U160" s="349">
        <v>1.57</v>
      </c>
      <c r="V160" s="349">
        <v>1.58</v>
      </c>
      <c r="W160" s="349">
        <v>1.59</v>
      </c>
      <c r="X160" s="349">
        <v>1.6</v>
      </c>
      <c r="Y160" s="349">
        <v>1.6</v>
      </c>
      <c r="Z160" s="349">
        <v>1.61</v>
      </c>
      <c r="AA160" s="349">
        <v>1.61</v>
      </c>
      <c r="AB160" s="349">
        <v>1.61</v>
      </c>
      <c r="AC160" s="349">
        <v>1.61</v>
      </c>
      <c r="AD160" s="349">
        <v>1.61</v>
      </c>
      <c r="AE160" s="349">
        <v>1.61</v>
      </c>
      <c r="AF160" s="349">
        <v>1.61</v>
      </c>
      <c r="AG160" s="349">
        <v>1.6</v>
      </c>
      <c r="AH160" s="349">
        <v>1.6</v>
      </c>
      <c r="AI160" s="349">
        <v>1.6</v>
      </c>
      <c r="AJ160" s="349">
        <v>1.6</v>
      </c>
      <c r="AK160" s="349">
        <v>1.59</v>
      </c>
      <c r="AL160" s="349">
        <v>1.59</v>
      </c>
      <c r="AM160" s="349">
        <v>1.59</v>
      </c>
      <c r="AN160" s="349">
        <v>1.59</v>
      </c>
      <c r="AO160" s="349">
        <v>1.59</v>
      </c>
      <c r="AP160" s="349">
        <v>1.58</v>
      </c>
      <c r="AQ160" s="349">
        <v>1.57</v>
      </c>
      <c r="AR160" s="349">
        <v>1.57</v>
      </c>
      <c r="AS160" s="349">
        <v>1.56</v>
      </c>
      <c r="AT160" s="349">
        <v>1.56</v>
      </c>
      <c r="AU160" s="349">
        <v>1.55</v>
      </c>
      <c r="AV160" s="349">
        <v>1.55</v>
      </c>
      <c r="AW160" s="349">
        <v>1.54</v>
      </c>
      <c r="AX160" s="349">
        <v>1.54</v>
      </c>
      <c r="AY160" s="349">
        <v>1.53</v>
      </c>
      <c r="BC160" s="437">
        <v>2.0499999999999998</v>
      </c>
      <c r="BD160" s="679">
        <f t="shared" si="16"/>
        <v>46574.5</v>
      </c>
      <c r="BE160" s="679">
        <f t="shared" si="15"/>
        <v>70745.5</v>
      </c>
      <c r="BF160" s="679">
        <f t="shared" si="15"/>
        <v>39826</v>
      </c>
      <c r="BG160" s="679">
        <f t="shared" si="15"/>
        <v>51403</v>
      </c>
      <c r="BH160" s="679">
        <v>6</v>
      </c>
    </row>
    <row r="161" spans="1:60">
      <c r="A161" s="107">
        <v>44439</v>
      </c>
      <c r="B161" s="349">
        <v>0.33</v>
      </c>
      <c r="C161" s="349">
        <v>0.37</v>
      </c>
      <c r="D161" s="349">
        <v>0.43</v>
      </c>
      <c r="E161" s="349">
        <v>0.52</v>
      </c>
      <c r="F161" s="349">
        <v>0.61</v>
      </c>
      <c r="G161" s="349">
        <v>0.7</v>
      </c>
      <c r="H161" s="349">
        <v>0.8</v>
      </c>
      <c r="I161" s="349">
        <v>0.9</v>
      </c>
      <c r="J161" s="349">
        <v>0.99</v>
      </c>
      <c r="K161" s="349">
        <v>1.0900000000000001</v>
      </c>
      <c r="L161" s="349">
        <v>1.17</v>
      </c>
      <c r="M161" s="349">
        <v>1.24</v>
      </c>
      <c r="N161" s="349">
        <v>1.3</v>
      </c>
      <c r="O161" s="349">
        <v>1.36</v>
      </c>
      <c r="P161" s="2303">
        <v>1.41</v>
      </c>
      <c r="Q161" s="349">
        <v>1.44</v>
      </c>
      <c r="R161" s="349">
        <v>1.47</v>
      </c>
      <c r="S161" s="349">
        <v>1.5</v>
      </c>
      <c r="T161" s="349">
        <v>1.53</v>
      </c>
      <c r="U161" s="349">
        <v>1.55</v>
      </c>
      <c r="V161" s="349">
        <v>1.56</v>
      </c>
      <c r="W161" s="349">
        <v>1.57</v>
      </c>
      <c r="X161" s="349">
        <v>1.58</v>
      </c>
      <c r="Y161" s="349">
        <v>1.59</v>
      </c>
      <c r="Z161" s="349">
        <v>1.59</v>
      </c>
      <c r="AA161" s="349">
        <v>1.59</v>
      </c>
      <c r="AB161" s="349">
        <v>1.59</v>
      </c>
      <c r="AC161" s="349">
        <v>1.59</v>
      </c>
      <c r="AD161" s="349">
        <v>1.59</v>
      </c>
      <c r="AE161" s="349">
        <v>1.59</v>
      </c>
      <c r="AF161" s="349">
        <v>1.59</v>
      </c>
      <c r="AG161" s="349">
        <v>1.58</v>
      </c>
      <c r="AH161" s="349">
        <v>1.58</v>
      </c>
      <c r="AI161" s="349">
        <v>1.58</v>
      </c>
      <c r="AJ161" s="349">
        <v>1.58</v>
      </c>
      <c r="AK161" s="349">
        <v>1.57</v>
      </c>
      <c r="AL161" s="349">
        <v>1.57</v>
      </c>
      <c r="AM161" s="349">
        <v>1.57</v>
      </c>
      <c r="AN161" s="349">
        <v>1.57</v>
      </c>
      <c r="AO161" s="349">
        <v>1.56</v>
      </c>
      <c r="AP161" s="349">
        <v>1.56</v>
      </c>
      <c r="AQ161" s="349">
        <v>1.55</v>
      </c>
      <c r="AR161" s="349">
        <v>1.55</v>
      </c>
      <c r="AS161" s="349">
        <v>1.54</v>
      </c>
      <c r="AT161" s="349">
        <v>1.54</v>
      </c>
      <c r="AU161" s="349">
        <v>1.53</v>
      </c>
      <c r="AV161" s="349">
        <v>1.53</v>
      </c>
      <c r="AW161" s="349">
        <v>1.52</v>
      </c>
      <c r="AX161" s="349">
        <v>1.52</v>
      </c>
      <c r="AY161" s="349">
        <v>1.51</v>
      </c>
      <c r="BC161" s="437">
        <v>2.0099999999999998</v>
      </c>
      <c r="BD161" s="679">
        <f t="shared" si="16"/>
        <v>46855.75</v>
      </c>
      <c r="BE161" s="679">
        <f t="shared" si="15"/>
        <v>72013.416666666672</v>
      </c>
      <c r="BF161" s="679">
        <f t="shared" si="15"/>
        <v>40214.833333333336</v>
      </c>
      <c r="BG161" s="679">
        <f t="shared" si="15"/>
        <v>52714.5</v>
      </c>
      <c r="BH161" s="679">
        <v>7</v>
      </c>
    </row>
    <row r="162" spans="1:60">
      <c r="A162" s="107">
        <v>44469</v>
      </c>
      <c r="B162" s="349">
        <v>0.32</v>
      </c>
      <c r="C162" s="349">
        <v>0.36</v>
      </c>
      <c r="D162" s="349">
        <v>0.42</v>
      </c>
      <c r="E162" s="349">
        <v>0.51</v>
      </c>
      <c r="F162" s="349">
        <v>0.6</v>
      </c>
      <c r="G162" s="349">
        <v>0.69</v>
      </c>
      <c r="H162" s="349">
        <v>0.79</v>
      </c>
      <c r="I162" s="349">
        <v>0.89</v>
      </c>
      <c r="J162" s="349">
        <v>0.98</v>
      </c>
      <c r="K162" s="349">
        <v>1.07</v>
      </c>
      <c r="L162" s="349">
        <v>1.1499999999999999</v>
      </c>
      <c r="M162" s="349">
        <v>1.22</v>
      </c>
      <c r="N162" s="349">
        <v>1.29</v>
      </c>
      <c r="O162" s="349">
        <v>1.34</v>
      </c>
      <c r="P162" s="2303">
        <v>1.39</v>
      </c>
      <c r="Q162" s="349">
        <v>1.42</v>
      </c>
      <c r="R162" s="349">
        <v>1.46</v>
      </c>
      <c r="S162" s="349">
        <v>1.48</v>
      </c>
      <c r="T162" s="349">
        <v>1.51</v>
      </c>
      <c r="U162" s="349">
        <v>1.53</v>
      </c>
      <c r="V162" s="349">
        <v>1.54</v>
      </c>
      <c r="W162" s="349">
        <v>1.55</v>
      </c>
      <c r="X162" s="349">
        <v>1.56</v>
      </c>
      <c r="Y162" s="349">
        <v>1.57</v>
      </c>
      <c r="Z162" s="349">
        <v>1.57</v>
      </c>
      <c r="AA162" s="349">
        <v>1.57</v>
      </c>
      <c r="AB162" s="349">
        <v>1.57</v>
      </c>
      <c r="AC162" s="349">
        <v>1.57</v>
      </c>
      <c r="AD162" s="349">
        <v>1.57</v>
      </c>
      <c r="AE162" s="349">
        <v>1.57</v>
      </c>
      <c r="AF162" s="349">
        <v>1.57</v>
      </c>
      <c r="AG162" s="349">
        <v>1.56</v>
      </c>
      <c r="AH162" s="349">
        <v>1.56</v>
      </c>
      <c r="AI162" s="349">
        <v>1.56</v>
      </c>
      <c r="AJ162" s="349">
        <v>1.56</v>
      </c>
      <c r="AK162" s="349">
        <v>1.55</v>
      </c>
      <c r="AL162" s="349">
        <v>1.55</v>
      </c>
      <c r="AM162" s="349">
        <v>1.55</v>
      </c>
      <c r="AN162" s="349">
        <v>1.55</v>
      </c>
      <c r="AO162" s="349">
        <v>1.54</v>
      </c>
      <c r="AP162" s="349">
        <v>1.54</v>
      </c>
      <c r="AQ162" s="349">
        <v>1.53</v>
      </c>
      <c r="AR162" s="349">
        <v>1.52</v>
      </c>
      <c r="AS162" s="349">
        <v>1.52</v>
      </c>
      <c r="AT162" s="349">
        <v>1.51</v>
      </c>
      <c r="AU162" s="349">
        <v>1.51</v>
      </c>
      <c r="AV162" s="349">
        <v>1.5</v>
      </c>
      <c r="AW162" s="349">
        <v>1.5</v>
      </c>
      <c r="AX162" s="349">
        <v>1.49</v>
      </c>
      <c r="AY162" s="349">
        <v>1.49</v>
      </c>
      <c r="BC162" s="437">
        <v>1.98</v>
      </c>
      <c r="BD162" s="679">
        <f t="shared" si="16"/>
        <v>47137</v>
      </c>
      <c r="BE162" s="679">
        <f t="shared" si="15"/>
        <v>73281.333333333328</v>
      </c>
      <c r="BF162" s="679">
        <f t="shared" si="15"/>
        <v>40603.666666666664</v>
      </c>
      <c r="BG162" s="679">
        <f t="shared" si="15"/>
        <v>54026</v>
      </c>
      <c r="BH162" s="679">
        <v>8</v>
      </c>
    </row>
    <row r="163" spans="1:60">
      <c r="A163" s="107">
        <v>44500</v>
      </c>
      <c r="B163" s="349">
        <v>0.31</v>
      </c>
      <c r="C163" s="349">
        <v>0.35</v>
      </c>
      <c r="D163" s="349">
        <v>0.42</v>
      </c>
      <c r="E163" s="349">
        <v>0.5</v>
      </c>
      <c r="F163" s="349">
        <v>0.59</v>
      </c>
      <c r="G163" s="349">
        <v>0.68</v>
      </c>
      <c r="H163" s="349">
        <v>0.78</v>
      </c>
      <c r="I163" s="349">
        <v>0.88</v>
      </c>
      <c r="J163" s="349">
        <v>0.97</v>
      </c>
      <c r="K163" s="349">
        <v>1.06</v>
      </c>
      <c r="L163" s="349">
        <v>1.1399999999999999</v>
      </c>
      <c r="M163" s="349">
        <v>1.21</v>
      </c>
      <c r="N163" s="349">
        <v>1.27</v>
      </c>
      <c r="O163" s="349">
        <v>1.33</v>
      </c>
      <c r="P163" s="2303">
        <v>1.37</v>
      </c>
      <c r="Q163" s="349">
        <v>1.41</v>
      </c>
      <c r="R163" s="349">
        <v>1.44</v>
      </c>
      <c r="S163" s="349">
        <v>1.47</v>
      </c>
      <c r="T163" s="349">
        <v>1.49</v>
      </c>
      <c r="U163" s="349">
        <v>1.51</v>
      </c>
      <c r="V163" s="349">
        <v>1.52</v>
      </c>
      <c r="W163" s="349">
        <v>1.53</v>
      </c>
      <c r="X163" s="349">
        <v>1.54</v>
      </c>
      <c r="Y163" s="349">
        <v>1.55</v>
      </c>
      <c r="Z163" s="349">
        <v>1.55</v>
      </c>
      <c r="AA163" s="349">
        <v>1.55</v>
      </c>
      <c r="AB163" s="349">
        <v>1.55</v>
      </c>
      <c r="AC163" s="349">
        <v>1.55</v>
      </c>
      <c r="AD163" s="349">
        <v>1.55</v>
      </c>
      <c r="AE163" s="349">
        <v>1.55</v>
      </c>
      <c r="AF163" s="349">
        <v>1.55</v>
      </c>
      <c r="AG163" s="349">
        <v>1.54</v>
      </c>
      <c r="AH163" s="349">
        <v>1.54</v>
      </c>
      <c r="AI163" s="349">
        <v>1.54</v>
      </c>
      <c r="AJ163" s="349">
        <v>1.53</v>
      </c>
      <c r="AK163" s="349">
        <v>1.53</v>
      </c>
      <c r="AL163" s="349">
        <v>1.53</v>
      </c>
      <c r="AM163" s="349">
        <v>1.52</v>
      </c>
      <c r="AN163" s="349">
        <v>1.52</v>
      </c>
      <c r="AO163" s="349">
        <v>1.52</v>
      </c>
      <c r="AP163" s="349">
        <v>1.51</v>
      </c>
      <c r="AQ163" s="349">
        <v>1.51</v>
      </c>
      <c r="AR163" s="349">
        <v>1.5</v>
      </c>
      <c r="AS163" s="349">
        <v>1.49</v>
      </c>
      <c r="AT163" s="349">
        <v>1.49</v>
      </c>
      <c r="AU163" s="349">
        <v>1.48</v>
      </c>
      <c r="AV163" s="349">
        <v>1.48</v>
      </c>
      <c r="AW163" s="349">
        <v>1.47</v>
      </c>
      <c r="AX163" s="349">
        <v>1.47</v>
      </c>
      <c r="AY163" s="349">
        <v>1.47</v>
      </c>
      <c r="BC163" s="437">
        <v>1.94</v>
      </c>
      <c r="BD163" s="679">
        <f t="shared" si="16"/>
        <v>47418.25</v>
      </c>
      <c r="BE163" s="679">
        <f t="shared" si="15"/>
        <v>74549.25</v>
      </c>
      <c r="BF163" s="679">
        <f t="shared" si="15"/>
        <v>40992.5</v>
      </c>
      <c r="BG163" s="679">
        <f t="shared" si="15"/>
        <v>55337.5</v>
      </c>
      <c r="BH163" s="679">
        <v>9</v>
      </c>
    </row>
    <row r="164" spans="1:60">
      <c r="A164" s="107">
        <v>44530</v>
      </c>
      <c r="B164" s="349">
        <v>0.3</v>
      </c>
      <c r="C164" s="349">
        <v>0.34</v>
      </c>
      <c r="D164" s="349">
        <v>0.41</v>
      </c>
      <c r="E164" s="349">
        <v>0.49</v>
      </c>
      <c r="F164" s="349">
        <v>0.57999999999999996</v>
      </c>
      <c r="G164" s="349">
        <v>0.68</v>
      </c>
      <c r="H164" s="349">
        <v>0.77</v>
      </c>
      <c r="I164" s="349">
        <v>0.87</v>
      </c>
      <c r="J164" s="349">
        <v>0.96</v>
      </c>
      <c r="K164" s="349">
        <v>1.05</v>
      </c>
      <c r="L164" s="349">
        <v>1.1299999999999999</v>
      </c>
      <c r="M164" s="349">
        <v>1.2</v>
      </c>
      <c r="N164" s="349">
        <v>1.26</v>
      </c>
      <c r="O164" s="349">
        <v>1.31</v>
      </c>
      <c r="P164" s="2303">
        <v>1.36</v>
      </c>
      <c r="Q164" s="349">
        <v>1.39</v>
      </c>
      <c r="R164" s="349">
        <v>1.42</v>
      </c>
      <c r="S164" s="349">
        <v>1.45</v>
      </c>
      <c r="T164" s="349">
        <v>1.48</v>
      </c>
      <c r="U164" s="349">
        <v>1.5</v>
      </c>
      <c r="V164" s="349">
        <v>1.51</v>
      </c>
      <c r="W164" s="349">
        <v>1.51</v>
      </c>
      <c r="X164" s="349">
        <v>1.52</v>
      </c>
      <c r="Y164" s="349">
        <v>1.53</v>
      </c>
      <c r="Z164" s="349">
        <v>1.53</v>
      </c>
      <c r="AA164" s="349">
        <v>1.53</v>
      </c>
      <c r="AB164" s="349">
        <v>1.53</v>
      </c>
      <c r="AC164" s="349">
        <v>1.53</v>
      </c>
      <c r="AD164" s="349">
        <v>1.53</v>
      </c>
      <c r="AE164" s="349">
        <v>1.53</v>
      </c>
      <c r="AF164" s="349">
        <v>1.53</v>
      </c>
      <c r="AG164" s="349">
        <v>1.52</v>
      </c>
      <c r="AH164" s="349">
        <v>1.52</v>
      </c>
      <c r="AI164" s="349">
        <v>1.52</v>
      </c>
      <c r="AJ164" s="349">
        <v>1.51</v>
      </c>
      <c r="AK164" s="349">
        <v>1.51</v>
      </c>
      <c r="AL164" s="349">
        <v>1.51</v>
      </c>
      <c r="AM164" s="349">
        <v>1.5</v>
      </c>
      <c r="AN164" s="349">
        <v>1.5</v>
      </c>
      <c r="AO164" s="349">
        <v>1.5</v>
      </c>
      <c r="AP164" s="349">
        <v>1.49</v>
      </c>
      <c r="AQ164" s="349">
        <v>1.49</v>
      </c>
      <c r="AR164" s="349">
        <v>1.48</v>
      </c>
      <c r="AS164" s="349">
        <v>1.47</v>
      </c>
      <c r="AT164" s="349">
        <v>1.47</v>
      </c>
      <c r="AU164" s="349">
        <v>1.46</v>
      </c>
      <c r="AV164" s="349">
        <v>1.46</v>
      </c>
      <c r="AW164" s="349">
        <v>1.45</v>
      </c>
      <c r="AX164" s="349">
        <v>1.45</v>
      </c>
      <c r="AY164" s="349">
        <v>1.44</v>
      </c>
      <c r="BC164" s="437">
        <v>1.9</v>
      </c>
      <c r="BD164" s="679">
        <f t="shared" si="16"/>
        <v>47699.5</v>
      </c>
      <c r="BE164" s="679">
        <f t="shared" si="15"/>
        <v>75817.166666666672</v>
      </c>
      <c r="BF164" s="679">
        <f t="shared" si="15"/>
        <v>41381.333333333336</v>
      </c>
      <c r="BG164" s="679">
        <f t="shared" si="15"/>
        <v>56649</v>
      </c>
      <c r="BH164" s="679">
        <v>10</v>
      </c>
    </row>
    <row r="165" spans="1:60">
      <c r="A165" s="107">
        <v>44561</v>
      </c>
      <c r="B165" s="349">
        <v>0.3</v>
      </c>
      <c r="C165" s="349">
        <v>0.34</v>
      </c>
      <c r="D165" s="349">
        <v>0.4</v>
      </c>
      <c r="E165" s="349">
        <v>0.49</v>
      </c>
      <c r="F165" s="349">
        <v>0.57999999999999996</v>
      </c>
      <c r="G165" s="349">
        <v>0.67</v>
      </c>
      <c r="H165" s="349">
        <v>0.77</v>
      </c>
      <c r="I165" s="349">
        <v>0.86</v>
      </c>
      <c r="J165" s="349">
        <v>0.95</v>
      </c>
      <c r="K165" s="349">
        <v>1.04</v>
      </c>
      <c r="L165" s="349">
        <v>1.1200000000000001</v>
      </c>
      <c r="M165" s="349">
        <v>1.19</v>
      </c>
      <c r="N165" s="349">
        <v>1.25</v>
      </c>
      <c r="O165" s="349">
        <v>1.3</v>
      </c>
      <c r="P165" s="2303">
        <v>1.35</v>
      </c>
      <c r="Q165" s="349">
        <v>1.38</v>
      </c>
      <c r="R165" s="349">
        <v>1.41</v>
      </c>
      <c r="S165" s="349">
        <v>1.44</v>
      </c>
      <c r="T165" s="349">
        <v>1.47</v>
      </c>
      <c r="U165" s="349">
        <v>1.49</v>
      </c>
      <c r="V165" s="349">
        <v>1.5</v>
      </c>
      <c r="W165" s="349">
        <v>1.5</v>
      </c>
      <c r="X165" s="349">
        <v>1.51</v>
      </c>
      <c r="Y165" s="349">
        <v>1.52</v>
      </c>
      <c r="Z165" s="349">
        <v>1.52</v>
      </c>
      <c r="AA165" s="349">
        <v>1.52</v>
      </c>
      <c r="AB165" s="349">
        <v>1.52</v>
      </c>
      <c r="AC165" s="349">
        <v>1.52</v>
      </c>
      <c r="AD165" s="349">
        <v>1.52</v>
      </c>
      <c r="AE165" s="349">
        <v>1.52</v>
      </c>
      <c r="AF165" s="349">
        <v>1.51</v>
      </c>
      <c r="AG165" s="349">
        <v>1.51</v>
      </c>
      <c r="AH165" s="349">
        <v>1.5</v>
      </c>
      <c r="AI165" s="349">
        <v>1.5</v>
      </c>
      <c r="AJ165" s="349">
        <v>1.5</v>
      </c>
      <c r="AK165" s="349">
        <v>1.49</v>
      </c>
      <c r="AL165" s="349">
        <v>1.49</v>
      </c>
      <c r="AM165" s="349">
        <v>1.49</v>
      </c>
      <c r="AN165" s="349">
        <v>1.49</v>
      </c>
      <c r="AO165" s="349">
        <v>1.48</v>
      </c>
      <c r="AP165" s="349">
        <v>1.48</v>
      </c>
      <c r="AQ165" s="349">
        <v>1.47</v>
      </c>
      <c r="AR165" s="349">
        <v>1.46</v>
      </c>
      <c r="AS165" s="349">
        <v>1.46</v>
      </c>
      <c r="AT165" s="349">
        <v>1.45</v>
      </c>
      <c r="AU165" s="349">
        <v>1.45</v>
      </c>
      <c r="AV165" s="349">
        <v>1.44</v>
      </c>
      <c r="AW165" s="349">
        <v>1.44</v>
      </c>
      <c r="AX165" s="349">
        <v>1.43</v>
      </c>
      <c r="AY165" s="349">
        <v>1.43</v>
      </c>
      <c r="BC165" s="437">
        <v>1.87</v>
      </c>
      <c r="BD165" s="679">
        <f t="shared" si="16"/>
        <v>47980.75</v>
      </c>
      <c r="BE165" s="679">
        <f t="shared" si="15"/>
        <v>77085.083333333328</v>
      </c>
      <c r="BF165" s="679">
        <f t="shared" si="15"/>
        <v>41770.166666666664</v>
      </c>
      <c r="BG165" s="679">
        <f t="shared" si="15"/>
        <v>57960.5</v>
      </c>
      <c r="BH165" s="679">
        <v>11</v>
      </c>
    </row>
    <row r="166" spans="1:60">
      <c r="A166" s="107">
        <v>44592</v>
      </c>
      <c r="B166" s="349">
        <v>0.28999999999999998</v>
      </c>
      <c r="C166" s="349">
        <v>0.33</v>
      </c>
      <c r="D166" s="349">
        <v>0.4</v>
      </c>
      <c r="E166" s="349">
        <v>0.49</v>
      </c>
      <c r="F166" s="349">
        <v>0.56999999999999995</v>
      </c>
      <c r="G166" s="349">
        <v>0.67</v>
      </c>
      <c r="H166" s="349">
        <v>0.76</v>
      </c>
      <c r="I166" s="349">
        <v>0.86</v>
      </c>
      <c r="J166" s="349">
        <v>0.95</v>
      </c>
      <c r="K166" s="349">
        <v>1.04</v>
      </c>
      <c r="L166" s="349">
        <v>1.1200000000000001</v>
      </c>
      <c r="M166" s="349">
        <v>1.18</v>
      </c>
      <c r="N166" s="349">
        <v>1.24</v>
      </c>
      <c r="O166" s="349">
        <v>1.3</v>
      </c>
      <c r="P166" s="2303">
        <v>1.34</v>
      </c>
      <c r="Q166" s="349">
        <v>1.38</v>
      </c>
      <c r="R166" s="349">
        <v>1.41</v>
      </c>
      <c r="S166" s="349">
        <v>1.43</v>
      </c>
      <c r="T166" s="349">
        <v>1.46</v>
      </c>
      <c r="U166" s="349">
        <v>1.48</v>
      </c>
      <c r="V166" s="349">
        <v>1.49</v>
      </c>
      <c r="W166" s="349">
        <v>1.5</v>
      </c>
      <c r="X166" s="349">
        <v>1.5</v>
      </c>
      <c r="Y166" s="349">
        <v>1.51</v>
      </c>
      <c r="Z166" s="349">
        <v>1.51</v>
      </c>
      <c r="AA166" s="349">
        <v>1.51</v>
      </c>
      <c r="AB166" s="349">
        <v>1.51</v>
      </c>
      <c r="AC166" s="349">
        <v>1.51</v>
      </c>
      <c r="AD166" s="349">
        <v>1.51</v>
      </c>
      <c r="AE166" s="349">
        <v>1.51</v>
      </c>
      <c r="AF166" s="349">
        <v>1.5</v>
      </c>
      <c r="AG166" s="349">
        <v>1.5</v>
      </c>
      <c r="AH166" s="349">
        <v>1.49</v>
      </c>
      <c r="AI166" s="349">
        <v>1.49</v>
      </c>
      <c r="AJ166" s="349">
        <v>1.49</v>
      </c>
      <c r="AK166" s="349">
        <v>1.48</v>
      </c>
      <c r="AL166" s="349">
        <v>1.48</v>
      </c>
      <c r="AM166" s="349">
        <v>1.48</v>
      </c>
      <c r="AN166" s="349">
        <v>1.47</v>
      </c>
      <c r="AO166" s="349">
        <v>1.47</v>
      </c>
      <c r="AP166" s="349">
        <v>1.47</v>
      </c>
      <c r="AQ166" s="349">
        <v>1.46</v>
      </c>
      <c r="AR166" s="349">
        <v>1.45</v>
      </c>
      <c r="AS166" s="349">
        <v>1.45</v>
      </c>
      <c r="AT166" s="349">
        <v>1.44</v>
      </c>
      <c r="AU166" s="349">
        <v>1.44</v>
      </c>
      <c r="AV166" s="349">
        <v>1.43</v>
      </c>
      <c r="AW166" s="349">
        <v>1.43</v>
      </c>
      <c r="AX166" s="349">
        <v>1.42</v>
      </c>
      <c r="AY166" s="349">
        <v>1.42</v>
      </c>
      <c r="AZ166" s="495"/>
      <c r="BC166" s="437">
        <v>1.85</v>
      </c>
      <c r="BD166" s="680">
        <v>48262</v>
      </c>
      <c r="BE166" s="680">
        <v>78353</v>
      </c>
      <c r="BF166" s="680">
        <v>42159</v>
      </c>
      <c r="BG166" s="680">
        <v>59272</v>
      </c>
    </row>
    <row r="167" spans="1:60">
      <c r="A167" s="107">
        <v>44620</v>
      </c>
      <c r="B167" s="349">
        <v>0.28000000000000003</v>
      </c>
      <c r="C167" s="349">
        <v>0.33</v>
      </c>
      <c r="D167" s="349">
        <v>0.4</v>
      </c>
      <c r="E167" s="349">
        <v>0.49</v>
      </c>
      <c r="F167" s="349">
        <v>0.57999999999999996</v>
      </c>
      <c r="G167" s="349">
        <v>0.67</v>
      </c>
      <c r="H167" s="349">
        <v>0.77</v>
      </c>
      <c r="I167" s="349">
        <v>0.86</v>
      </c>
      <c r="J167" s="349">
        <v>0.95</v>
      </c>
      <c r="K167" s="349">
        <v>1.04</v>
      </c>
      <c r="L167" s="349">
        <v>1.1200000000000001</v>
      </c>
      <c r="M167" s="349">
        <v>1.19</v>
      </c>
      <c r="N167" s="349">
        <v>1.25</v>
      </c>
      <c r="O167" s="349">
        <v>1.3</v>
      </c>
      <c r="P167" s="2303">
        <v>1.35</v>
      </c>
      <c r="Q167" s="349">
        <v>1.38</v>
      </c>
      <c r="R167" s="349">
        <v>1.41</v>
      </c>
      <c r="S167" s="349">
        <v>1.43</v>
      </c>
      <c r="T167" s="349">
        <v>1.46</v>
      </c>
      <c r="U167" s="349">
        <v>1.48</v>
      </c>
      <c r="V167" s="349">
        <v>1.49</v>
      </c>
      <c r="W167" s="349">
        <v>1.49</v>
      </c>
      <c r="X167" s="349">
        <v>1.5</v>
      </c>
      <c r="Y167" s="349">
        <v>1.51</v>
      </c>
      <c r="Z167" s="349">
        <v>1.51</v>
      </c>
      <c r="AA167" s="349">
        <v>1.51</v>
      </c>
      <c r="AB167" s="349">
        <v>1.51</v>
      </c>
      <c r="AC167" s="349">
        <v>1.51</v>
      </c>
      <c r="AD167" s="349">
        <v>1.5</v>
      </c>
      <c r="AE167" s="349">
        <v>1.5</v>
      </c>
      <c r="AF167" s="349">
        <v>1.5</v>
      </c>
      <c r="AG167" s="349">
        <v>1.49</v>
      </c>
      <c r="AH167" s="349">
        <v>1.49</v>
      </c>
      <c r="AI167" s="349">
        <v>1.49</v>
      </c>
      <c r="AJ167" s="349">
        <v>1.48</v>
      </c>
      <c r="AK167" s="349">
        <v>1.48</v>
      </c>
      <c r="AL167" s="349">
        <v>1.48</v>
      </c>
      <c r="AM167" s="349">
        <v>1.47</v>
      </c>
      <c r="AN167" s="349">
        <v>1.47</v>
      </c>
      <c r="AO167" s="349">
        <v>1.47</v>
      </c>
      <c r="AP167" s="349">
        <v>1.46</v>
      </c>
      <c r="AQ167" s="349">
        <v>1.45</v>
      </c>
      <c r="AR167" s="349">
        <v>1.45</v>
      </c>
      <c r="AS167" s="349">
        <v>1.44</v>
      </c>
      <c r="AT167" s="349">
        <v>1.43</v>
      </c>
      <c r="AU167" s="349">
        <v>1.43</v>
      </c>
      <c r="AV167" s="349">
        <v>1.42</v>
      </c>
      <c r="AW167" s="349">
        <v>1.42</v>
      </c>
      <c r="AX167" s="349">
        <v>1.41</v>
      </c>
      <c r="AY167" s="349">
        <v>1.41</v>
      </c>
      <c r="BC167" s="437">
        <v>1.82</v>
      </c>
      <c r="BD167" s="679">
        <f>BD$166+(BD$172-BD$166)/7*$BH167</f>
        <v>48255.142857142855</v>
      </c>
      <c r="BE167" s="679">
        <f>BE$166+(BE$172-BE$166)/7*$BH167</f>
        <v>78807.571428571435</v>
      </c>
      <c r="BF167" s="679">
        <f t="shared" ref="BE167:BG171" si="17">BF$166+(BF$172-BF$166)/7*$BH167</f>
        <v>42355.428571428572</v>
      </c>
      <c r="BG167" s="679">
        <f t="shared" si="17"/>
        <v>60237.285714285717</v>
      </c>
      <c r="BH167" s="679">
        <v>1</v>
      </c>
    </row>
    <row r="168" spans="1:60">
      <c r="A168" s="107">
        <v>44651</v>
      </c>
      <c r="B168" s="349">
        <v>0.28000000000000003</v>
      </c>
      <c r="C168" s="349">
        <v>0.34</v>
      </c>
      <c r="D168" s="349">
        <v>0.41</v>
      </c>
      <c r="E168" s="349">
        <v>0.5</v>
      </c>
      <c r="F168" s="349">
        <v>0.57999999999999996</v>
      </c>
      <c r="G168" s="349">
        <v>0.68</v>
      </c>
      <c r="H168" s="349">
        <v>0.77</v>
      </c>
      <c r="I168" s="349">
        <v>0.87</v>
      </c>
      <c r="J168" s="349">
        <v>0.96</v>
      </c>
      <c r="K168" s="349">
        <v>1.05</v>
      </c>
      <c r="L168" s="349">
        <v>1.1200000000000001</v>
      </c>
      <c r="M168" s="349">
        <v>1.19</v>
      </c>
      <c r="N168" s="349">
        <v>1.25</v>
      </c>
      <c r="O168" s="349">
        <v>1.3</v>
      </c>
      <c r="P168" s="2303">
        <v>1.35</v>
      </c>
      <c r="Q168" s="349">
        <v>1.38</v>
      </c>
      <c r="R168" s="349">
        <v>1.41</v>
      </c>
      <c r="S168" s="349">
        <v>1.44</v>
      </c>
      <c r="T168" s="349">
        <v>1.46</v>
      </c>
      <c r="U168" s="349">
        <v>1.48</v>
      </c>
      <c r="V168" s="349">
        <v>1.49</v>
      </c>
      <c r="W168" s="349">
        <v>1.5</v>
      </c>
      <c r="X168" s="349">
        <v>1.5</v>
      </c>
      <c r="Y168" s="349">
        <v>1.51</v>
      </c>
      <c r="Z168" s="349">
        <v>1.51</v>
      </c>
      <c r="AA168" s="349">
        <v>1.51</v>
      </c>
      <c r="AB168" s="349">
        <v>1.51</v>
      </c>
      <c r="AC168" s="349">
        <v>1.51</v>
      </c>
      <c r="AD168" s="349">
        <v>1.5</v>
      </c>
      <c r="AE168" s="349">
        <v>1.5</v>
      </c>
      <c r="AF168" s="349">
        <v>1.5</v>
      </c>
      <c r="AG168" s="349">
        <v>1.49</v>
      </c>
      <c r="AH168" s="349">
        <v>1.49</v>
      </c>
      <c r="AI168" s="349">
        <v>1.48</v>
      </c>
      <c r="AJ168" s="349">
        <v>1.48</v>
      </c>
      <c r="AK168" s="349">
        <v>1.48</v>
      </c>
      <c r="AL168" s="349">
        <v>1.47</v>
      </c>
      <c r="AM168" s="349">
        <v>1.47</v>
      </c>
      <c r="AN168" s="349">
        <v>1.47</v>
      </c>
      <c r="AO168" s="349">
        <v>1.46</v>
      </c>
      <c r="AP168" s="349">
        <v>1.46</v>
      </c>
      <c r="AQ168" s="349">
        <v>1.45</v>
      </c>
      <c r="AR168" s="349">
        <v>1.44</v>
      </c>
      <c r="AS168" s="349">
        <v>1.44</v>
      </c>
      <c r="AT168" s="349">
        <v>1.43</v>
      </c>
      <c r="AU168" s="349">
        <v>1.43</v>
      </c>
      <c r="AV168" s="349">
        <v>1.42</v>
      </c>
      <c r="AW168" s="349">
        <v>1.42</v>
      </c>
      <c r="AX168" s="349">
        <v>1.41</v>
      </c>
      <c r="AY168" s="349">
        <v>1.41</v>
      </c>
      <c r="BC168" s="437">
        <v>1.81</v>
      </c>
      <c r="BD168" s="679">
        <f>BD$166+(BD$172-BD$166)/7*$BH168</f>
        <v>48248.285714285717</v>
      </c>
      <c r="BE168" s="679">
        <f t="shared" si="17"/>
        <v>79262.142857142855</v>
      </c>
      <c r="BF168" s="679">
        <f t="shared" si="17"/>
        <v>42551.857142857145</v>
      </c>
      <c r="BG168" s="679">
        <f t="shared" si="17"/>
        <v>61202.571428571428</v>
      </c>
      <c r="BH168" s="679">
        <v>2</v>
      </c>
    </row>
    <row r="169" spans="1:60">
      <c r="A169" s="107">
        <v>44681</v>
      </c>
      <c r="B169" s="349">
        <v>0.28000000000000003</v>
      </c>
      <c r="C169" s="349">
        <v>0.34</v>
      </c>
      <c r="D169" s="349">
        <v>0.42</v>
      </c>
      <c r="E169" s="349">
        <v>0.51</v>
      </c>
      <c r="F169" s="349">
        <v>0.6</v>
      </c>
      <c r="G169" s="349">
        <v>0.69</v>
      </c>
      <c r="H169" s="349">
        <v>0.78</v>
      </c>
      <c r="I169" s="349">
        <v>0.88</v>
      </c>
      <c r="J169" s="349">
        <v>0.97</v>
      </c>
      <c r="K169" s="349">
        <v>1.06</v>
      </c>
      <c r="L169" s="349">
        <v>1.1299999999999999</v>
      </c>
      <c r="M169" s="349">
        <v>1.2</v>
      </c>
      <c r="N169" s="349">
        <v>1.26</v>
      </c>
      <c r="O169" s="349">
        <v>1.31</v>
      </c>
      <c r="P169" s="2303">
        <v>1.36</v>
      </c>
      <c r="Q169" s="349">
        <v>1.39</v>
      </c>
      <c r="R169" s="349">
        <v>1.42</v>
      </c>
      <c r="S169" s="349">
        <v>1.45</v>
      </c>
      <c r="T169" s="349">
        <v>1.47</v>
      </c>
      <c r="U169" s="349">
        <v>1.49</v>
      </c>
      <c r="V169" s="349">
        <v>1.5</v>
      </c>
      <c r="W169" s="349">
        <v>1.5</v>
      </c>
      <c r="X169" s="349">
        <v>1.51</v>
      </c>
      <c r="Y169" s="349">
        <v>1.51</v>
      </c>
      <c r="Z169" s="349">
        <v>1.52</v>
      </c>
      <c r="AA169" s="349">
        <v>1.51</v>
      </c>
      <c r="AB169" s="349">
        <v>1.51</v>
      </c>
      <c r="AC169" s="349">
        <v>1.51</v>
      </c>
      <c r="AD169" s="349">
        <v>1.51</v>
      </c>
      <c r="AE169" s="349">
        <v>1.51</v>
      </c>
      <c r="AF169" s="349">
        <v>1.5</v>
      </c>
      <c r="AG169" s="349">
        <v>1.49</v>
      </c>
      <c r="AH169" s="349">
        <v>1.49</v>
      </c>
      <c r="AI169" s="349">
        <v>1.49</v>
      </c>
      <c r="AJ169" s="349">
        <v>1.48</v>
      </c>
      <c r="AK169" s="349">
        <v>1.48</v>
      </c>
      <c r="AL169" s="349">
        <v>1.47</v>
      </c>
      <c r="AM169" s="349">
        <v>1.47</v>
      </c>
      <c r="AN169" s="349">
        <v>1.47</v>
      </c>
      <c r="AO169" s="349">
        <v>1.46</v>
      </c>
      <c r="AP169" s="349">
        <v>1.46</v>
      </c>
      <c r="AQ169" s="349">
        <v>1.45</v>
      </c>
      <c r="AR169" s="349">
        <v>1.44</v>
      </c>
      <c r="AS169" s="349">
        <v>1.44</v>
      </c>
      <c r="AT169" s="349">
        <v>1.43</v>
      </c>
      <c r="AU169" s="349">
        <v>1.43</v>
      </c>
      <c r="AV169" s="349">
        <v>1.42</v>
      </c>
      <c r="AW169" s="349">
        <v>1.41</v>
      </c>
      <c r="AX169" s="349">
        <v>1.41</v>
      </c>
      <c r="AY169" s="349">
        <v>1.41</v>
      </c>
      <c r="BC169" s="437">
        <v>1.79</v>
      </c>
      <c r="BD169" s="679">
        <f>BD$166+(BD$172-BD$166)/7*$BH169</f>
        <v>48241.428571428572</v>
      </c>
      <c r="BE169" s="679">
        <f t="shared" si="17"/>
        <v>79716.71428571429</v>
      </c>
      <c r="BF169" s="679">
        <f t="shared" si="17"/>
        <v>42748.285714285717</v>
      </c>
      <c r="BG169" s="679">
        <f t="shared" si="17"/>
        <v>62167.857142857145</v>
      </c>
      <c r="BH169" s="679">
        <v>3</v>
      </c>
    </row>
    <row r="170" spans="1:60">
      <c r="A170" s="107">
        <v>44712</v>
      </c>
      <c r="B170" s="349">
        <v>0.28000000000000003</v>
      </c>
      <c r="C170" s="349">
        <v>0.35</v>
      </c>
      <c r="D170" s="349">
        <v>0.43</v>
      </c>
      <c r="E170" s="349">
        <v>0.52</v>
      </c>
      <c r="F170" s="349">
        <v>0.61</v>
      </c>
      <c r="G170" s="349">
        <v>0.7</v>
      </c>
      <c r="H170" s="349">
        <v>0.79</v>
      </c>
      <c r="I170" s="349">
        <v>0.89</v>
      </c>
      <c r="J170" s="349">
        <v>0.98</v>
      </c>
      <c r="K170" s="349">
        <v>1.07</v>
      </c>
      <c r="L170" s="349">
        <v>1.1399999999999999</v>
      </c>
      <c r="M170" s="349">
        <v>1.21</v>
      </c>
      <c r="N170" s="349">
        <v>1.27</v>
      </c>
      <c r="O170" s="349">
        <v>1.32</v>
      </c>
      <c r="P170" s="2303">
        <v>1.37</v>
      </c>
      <c r="Q170" s="349">
        <v>1.4</v>
      </c>
      <c r="R170" s="349">
        <v>1.43</v>
      </c>
      <c r="S170" s="349">
        <v>1.45</v>
      </c>
      <c r="T170" s="349">
        <v>1.48</v>
      </c>
      <c r="U170" s="349">
        <v>1.5</v>
      </c>
      <c r="V170" s="349">
        <v>1.5</v>
      </c>
      <c r="W170" s="349">
        <v>1.51</v>
      </c>
      <c r="X170" s="349">
        <v>1.51</v>
      </c>
      <c r="Y170" s="349">
        <v>1.52</v>
      </c>
      <c r="Z170" s="349">
        <v>1.52</v>
      </c>
      <c r="AA170" s="349">
        <v>1.52</v>
      </c>
      <c r="AB170" s="349">
        <v>1.52</v>
      </c>
      <c r="AC170" s="349">
        <v>1.51</v>
      </c>
      <c r="AD170" s="349">
        <v>1.51</v>
      </c>
      <c r="AE170" s="349">
        <v>1.51</v>
      </c>
      <c r="AF170" s="349">
        <v>1.5</v>
      </c>
      <c r="AG170" s="349">
        <v>1.5</v>
      </c>
      <c r="AH170" s="349">
        <v>1.49</v>
      </c>
      <c r="AI170" s="349">
        <v>1.49</v>
      </c>
      <c r="AJ170" s="349">
        <v>1.48</v>
      </c>
      <c r="AK170" s="349">
        <v>1.48</v>
      </c>
      <c r="AL170" s="349">
        <v>1.47</v>
      </c>
      <c r="AM170" s="349">
        <v>1.47</v>
      </c>
      <c r="AN170" s="349">
        <v>1.47</v>
      </c>
      <c r="AO170" s="349">
        <v>1.46</v>
      </c>
      <c r="AP170" s="349">
        <v>1.46</v>
      </c>
      <c r="AQ170" s="349">
        <v>1.45</v>
      </c>
      <c r="AR170" s="349">
        <v>1.44</v>
      </c>
      <c r="AS170" s="349">
        <v>1.44</v>
      </c>
      <c r="AT170" s="349">
        <v>1.43</v>
      </c>
      <c r="AU170" s="349">
        <v>1.43</v>
      </c>
      <c r="AV170" s="349">
        <v>1.42</v>
      </c>
      <c r="AW170" s="349">
        <v>1.42</v>
      </c>
      <c r="AX170" s="349">
        <v>1.41</v>
      </c>
      <c r="AY170" s="349">
        <v>1.41</v>
      </c>
      <c r="BC170" s="437">
        <v>1.79</v>
      </c>
      <c r="BD170" s="679">
        <f>BD$166+(BD$172-BD$166)/7*$BH170</f>
        <v>48234.571428571428</v>
      </c>
      <c r="BE170" s="679">
        <f t="shared" si="17"/>
        <v>80171.28571428571</v>
      </c>
      <c r="BF170" s="679">
        <f t="shared" si="17"/>
        <v>42944.714285714283</v>
      </c>
      <c r="BG170" s="679">
        <f t="shared" si="17"/>
        <v>63133.142857142855</v>
      </c>
      <c r="BH170" s="679">
        <v>4</v>
      </c>
    </row>
    <row r="171" spans="1:60">
      <c r="A171" s="107">
        <v>44742</v>
      </c>
      <c r="B171" s="349">
        <v>0.28999999999999998</v>
      </c>
      <c r="C171" s="349">
        <v>0.37</v>
      </c>
      <c r="D171" s="349">
        <v>0.45</v>
      </c>
      <c r="E171" s="349">
        <v>0.53</v>
      </c>
      <c r="F171" s="349">
        <v>0.62</v>
      </c>
      <c r="G171" s="349">
        <v>0.72</v>
      </c>
      <c r="H171" s="349">
        <v>0.81</v>
      </c>
      <c r="I171" s="349">
        <v>0.9</v>
      </c>
      <c r="J171" s="349">
        <v>0.99</v>
      </c>
      <c r="K171" s="349">
        <v>1.08</v>
      </c>
      <c r="L171" s="349">
        <v>1.1599999999999999</v>
      </c>
      <c r="M171" s="349">
        <v>1.22</v>
      </c>
      <c r="N171" s="349">
        <v>1.28</v>
      </c>
      <c r="O171" s="349">
        <v>1.33</v>
      </c>
      <c r="P171" s="2303">
        <v>1.38</v>
      </c>
      <c r="Q171" s="349">
        <v>1.41</v>
      </c>
      <c r="R171" s="349">
        <v>1.44</v>
      </c>
      <c r="S171" s="349">
        <v>1.46</v>
      </c>
      <c r="T171" s="349">
        <v>1.48</v>
      </c>
      <c r="U171" s="349">
        <v>1.5</v>
      </c>
      <c r="V171" s="349">
        <v>1.51</v>
      </c>
      <c r="W171" s="349">
        <v>1.51</v>
      </c>
      <c r="X171" s="349">
        <v>1.52</v>
      </c>
      <c r="Y171" s="349">
        <v>1.52</v>
      </c>
      <c r="Z171" s="349">
        <v>1.53</v>
      </c>
      <c r="AA171" s="349">
        <v>1.52</v>
      </c>
      <c r="AB171" s="349">
        <v>1.52</v>
      </c>
      <c r="AC171" s="349">
        <v>1.52</v>
      </c>
      <c r="AD171" s="349">
        <v>1.51</v>
      </c>
      <c r="AE171" s="349">
        <v>1.51</v>
      </c>
      <c r="AF171" s="349">
        <v>1.5</v>
      </c>
      <c r="AG171" s="349">
        <v>1.5</v>
      </c>
      <c r="AH171" s="349">
        <v>1.49</v>
      </c>
      <c r="AI171" s="349">
        <v>1.49</v>
      </c>
      <c r="AJ171" s="349">
        <v>1.48</v>
      </c>
      <c r="AK171" s="349">
        <v>1.48</v>
      </c>
      <c r="AL171" s="349">
        <v>1.47</v>
      </c>
      <c r="AM171" s="349">
        <v>1.47</v>
      </c>
      <c r="AN171" s="349">
        <v>1.47</v>
      </c>
      <c r="AO171" s="349">
        <v>1.46</v>
      </c>
      <c r="AP171" s="349">
        <v>1.46</v>
      </c>
      <c r="AQ171" s="349">
        <v>1.45</v>
      </c>
      <c r="AR171" s="349">
        <v>1.44</v>
      </c>
      <c r="AS171" s="349">
        <v>1.44</v>
      </c>
      <c r="AT171" s="349">
        <v>1.43</v>
      </c>
      <c r="AU171" s="349">
        <v>1.42</v>
      </c>
      <c r="AV171" s="349">
        <v>1.42</v>
      </c>
      <c r="AW171" s="349">
        <v>1.41</v>
      </c>
      <c r="AX171" s="349">
        <v>1.41</v>
      </c>
      <c r="AY171" s="349">
        <v>1.4</v>
      </c>
      <c r="BC171" s="437">
        <v>1.78</v>
      </c>
      <c r="BD171" s="679">
        <f>BD$166+(BD$172-BD$166)/7*$BH171</f>
        <v>48227.714285714283</v>
      </c>
      <c r="BE171" s="679">
        <f t="shared" si="17"/>
        <v>80625.857142857145</v>
      </c>
      <c r="BF171" s="679">
        <f t="shared" si="17"/>
        <v>43141.142857142855</v>
      </c>
      <c r="BG171" s="679">
        <f t="shared" si="17"/>
        <v>64098.428571428572</v>
      </c>
      <c r="BH171" s="679">
        <v>5</v>
      </c>
    </row>
    <row r="172" spans="1:60">
      <c r="A172" s="107">
        <v>44773</v>
      </c>
      <c r="B172" s="349">
        <v>0.3</v>
      </c>
      <c r="C172" s="349">
        <v>0.38</v>
      </c>
      <c r="D172" s="349">
        <v>0.45</v>
      </c>
      <c r="E172" s="349">
        <v>0.54</v>
      </c>
      <c r="F172" s="349">
        <v>0.63</v>
      </c>
      <c r="G172" s="349">
        <v>0.72</v>
      </c>
      <c r="H172" s="349">
        <v>0.82</v>
      </c>
      <c r="I172" s="349">
        <v>0.91</v>
      </c>
      <c r="J172" s="349">
        <v>1</v>
      </c>
      <c r="K172" s="349">
        <v>1.08</v>
      </c>
      <c r="L172" s="349">
        <v>1.1599999999999999</v>
      </c>
      <c r="M172" s="349">
        <v>1.22</v>
      </c>
      <c r="N172" s="349">
        <v>1.29</v>
      </c>
      <c r="O172" s="349">
        <v>1.34</v>
      </c>
      <c r="P172" s="2303">
        <v>1.38</v>
      </c>
      <c r="Q172" s="349">
        <v>1.41</v>
      </c>
      <c r="R172" s="349">
        <v>1.44</v>
      </c>
      <c r="S172" s="349">
        <v>1.46</v>
      </c>
      <c r="T172" s="349">
        <v>1.48</v>
      </c>
      <c r="U172" s="349">
        <v>1.5</v>
      </c>
      <c r="V172" s="349">
        <v>1.51</v>
      </c>
      <c r="W172" s="349">
        <v>1.51</v>
      </c>
      <c r="X172" s="349">
        <v>1.52</v>
      </c>
      <c r="Y172" s="349">
        <v>1.52</v>
      </c>
      <c r="Z172" s="349">
        <v>1.52</v>
      </c>
      <c r="AA172" s="349">
        <v>1.52</v>
      </c>
      <c r="AB172" s="349">
        <v>1.52</v>
      </c>
      <c r="AC172" s="349">
        <v>1.51</v>
      </c>
      <c r="AD172" s="349">
        <v>1.51</v>
      </c>
      <c r="AE172" s="349">
        <v>1.51</v>
      </c>
      <c r="AF172" s="349">
        <v>1.5</v>
      </c>
      <c r="AG172" s="349">
        <v>1.49</v>
      </c>
      <c r="AH172" s="349">
        <v>1.49</v>
      </c>
      <c r="AI172" s="349">
        <v>1.48</v>
      </c>
      <c r="AJ172" s="349">
        <v>1.48</v>
      </c>
      <c r="AK172" s="349">
        <v>1.47</v>
      </c>
      <c r="AL172" s="349">
        <v>1.47</v>
      </c>
      <c r="AM172" s="349">
        <v>1.47</v>
      </c>
      <c r="AN172" s="349">
        <v>1.46</v>
      </c>
      <c r="AO172" s="349">
        <v>1.46</v>
      </c>
      <c r="AP172" s="349">
        <v>1.45</v>
      </c>
      <c r="AQ172" s="349">
        <v>1.44</v>
      </c>
      <c r="AR172" s="349">
        <v>1.44</v>
      </c>
      <c r="AS172" s="349">
        <v>1.43</v>
      </c>
      <c r="AT172" s="349">
        <v>1.42</v>
      </c>
      <c r="AU172" s="349">
        <v>1.42</v>
      </c>
      <c r="AV172" s="349">
        <v>1.41</v>
      </c>
      <c r="AW172" s="349">
        <v>1.41</v>
      </c>
      <c r="AX172" s="349">
        <v>1.4</v>
      </c>
      <c r="AY172" s="349">
        <v>1.4</v>
      </c>
      <c r="BC172" s="437">
        <v>1.78</v>
      </c>
      <c r="BD172" s="679">
        <v>48214</v>
      </c>
      <c r="BE172" s="679">
        <v>81535</v>
      </c>
      <c r="BF172" s="679">
        <v>43534</v>
      </c>
      <c r="BG172" s="679">
        <v>66029</v>
      </c>
      <c r="BH172" s="679">
        <v>6</v>
      </c>
    </row>
    <row r="173" spans="1:60">
      <c r="A173" s="761">
        <v>44804</v>
      </c>
      <c r="B173" s="349">
        <v>0.32</v>
      </c>
      <c r="C173" s="349">
        <v>0.4</v>
      </c>
      <c r="D173" s="349">
        <v>0.47</v>
      </c>
      <c r="E173" s="349">
        <v>0.56000000000000005</v>
      </c>
      <c r="F173" s="349">
        <v>0.65</v>
      </c>
      <c r="G173" s="349">
        <v>0.74</v>
      </c>
      <c r="H173" s="349">
        <v>0.83</v>
      </c>
      <c r="I173" s="349">
        <v>0.92</v>
      </c>
      <c r="J173" s="349">
        <v>1.01</v>
      </c>
      <c r="K173" s="349">
        <v>1.0900000000000001</v>
      </c>
      <c r="L173" s="349">
        <v>1.17</v>
      </c>
      <c r="M173" s="349">
        <v>1.23</v>
      </c>
      <c r="N173" s="349">
        <v>1.29</v>
      </c>
      <c r="O173" s="349">
        <v>1.34</v>
      </c>
      <c r="P173" s="2303">
        <v>1.39</v>
      </c>
      <c r="Q173" s="349">
        <v>1.42</v>
      </c>
      <c r="R173" s="349">
        <v>1.44</v>
      </c>
      <c r="S173" s="349">
        <v>1.47</v>
      </c>
      <c r="T173" s="349">
        <v>1.49</v>
      </c>
      <c r="U173" s="349">
        <v>1.51</v>
      </c>
      <c r="V173" s="349">
        <v>1.51</v>
      </c>
      <c r="W173" s="349">
        <v>1.51</v>
      </c>
      <c r="X173" s="349">
        <v>1.52</v>
      </c>
      <c r="Y173" s="349">
        <v>1.52</v>
      </c>
      <c r="Z173" s="349">
        <v>1.52</v>
      </c>
      <c r="AA173" s="349">
        <v>1.52</v>
      </c>
      <c r="AB173" s="349">
        <v>1.52</v>
      </c>
      <c r="AC173" s="349">
        <v>1.51</v>
      </c>
      <c r="AD173" s="349">
        <v>1.51</v>
      </c>
      <c r="AE173" s="349">
        <v>1.51</v>
      </c>
      <c r="AF173" s="349">
        <v>1.5</v>
      </c>
      <c r="AG173" s="349">
        <v>1.49</v>
      </c>
      <c r="AH173" s="349">
        <v>1.49</v>
      </c>
      <c r="AI173" s="349">
        <v>1.48</v>
      </c>
      <c r="AJ173" s="349">
        <v>1.48</v>
      </c>
      <c r="AK173" s="349">
        <v>1.47</v>
      </c>
      <c r="AL173" s="349">
        <v>1.47</v>
      </c>
      <c r="AM173" s="349">
        <v>1.46</v>
      </c>
      <c r="AN173" s="349">
        <v>1.46</v>
      </c>
      <c r="AO173" s="349">
        <v>1.45</v>
      </c>
      <c r="AP173" s="349">
        <v>1.45</v>
      </c>
      <c r="AQ173" s="349">
        <v>1.44</v>
      </c>
      <c r="AR173" s="349">
        <v>1.43</v>
      </c>
      <c r="AS173" s="349">
        <v>1.43</v>
      </c>
      <c r="AT173" s="349">
        <v>1.42</v>
      </c>
      <c r="AU173" s="349">
        <v>1.41</v>
      </c>
      <c r="AV173" s="349">
        <v>1.41</v>
      </c>
      <c r="AW173" s="349">
        <v>1.4</v>
      </c>
      <c r="AX173" s="349">
        <v>1.4</v>
      </c>
      <c r="AY173" s="349">
        <v>1.39</v>
      </c>
      <c r="BH173" s="679">
        <v>7</v>
      </c>
    </row>
    <row r="174" spans="1:60">
      <c r="A174" s="761">
        <v>44834</v>
      </c>
      <c r="B174" s="349">
        <v>0.34</v>
      </c>
      <c r="C174" s="349">
        <v>0.43</v>
      </c>
      <c r="D174" s="349">
        <v>0.5</v>
      </c>
      <c r="E174" s="349">
        <v>0.59</v>
      </c>
      <c r="F174" s="349">
        <v>0.67</v>
      </c>
      <c r="G174" s="349">
        <v>0.76</v>
      </c>
      <c r="H174" s="349">
        <v>0.85</v>
      </c>
      <c r="I174" s="349">
        <v>0.94</v>
      </c>
      <c r="J174" s="349">
        <v>1.03</v>
      </c>
      <c r="K174" s="349">
        <v>1.1100000000000001</v>
      </c>
      <c r="L174" s="349">
        <v>1.19</v>
      </c>
      <c r="M174" s="349">
        <v>1.25</v>
      </c>
      <c r="N174" s="349">
        <v>1.31</v>
      </c>
      <c r="O174" s="349">
        <v>1.36</v>
      </c>
      <c r="P174" s="2303">
        <v>1.4</v>
      </c>
      <c r="Q174" s="349">
        <v>1.43</v>
      </c>
      <c r="R174" s="349">
        <v>1.46</v>
      </c>
      <c r="S174" s="349">
        <v>1.48</v>
      </c>
      <c r="T174" s="349">
        <v>1.5</v>
      </c>
      <c r="U174" s="349">
        <v>1.52</v>
      </c>
      <c r="V174" s="349">
        <v>1.52</v>
      </c>
      <c r="W174" s="349">
        <v>1.52</v>
      </c>
      <c r="X174" s="349">
        <v>1.52</v>
      </c>
      <c r="Y174" s="349">
        <v>1.53</v>
      </c>
      <c r="Z174" s="349">
        <v>1.53</v>
      </c>
      <c r="AA174" s="349">
        <v>1.52</v>
      </c>
      <c r="AB174" s="349">
        <v>1.52</v>
      </c>
      <c r="AC174" s="349">
        <v>1.52</v>
      </c>
      <c r="AD174" s="349">
        <v>1.51</v>
      </c>
      <c r="AE174" s="349">
        <v>1.51</v>
      </c>
      <c r="AF174" s="349">
        <v>1.5</v>
      </c>
      <c r="AG174" s="349">
        <v>1.49</v>
      </c>
      <c r="AH174" s="349">
        <v>1.49</v>
      </c>
      <c r="AI174" s="349">
        <v>1.48</v>
      </c>
      <c r="AJ174" s="349">
        <v>1.48</v>
      </c>
      <c r="AK174" s="349">
        <v>1.47</v>
      </c>
      <c r="AL174" s="349">
        <v>1.47</v>
      </c>
      <c r="AM174" s="349">
        <v>1.46</v>
      </c>
      <c r="AN174" s="349">
        <v>1.46</v>
      </c>
      <c r="AO174" s="349">
        <v>1.45</v>
      </c>
      <c r="AP174" s="349">
        <v>1.45</v>
      </c>
      <c r="AQ174" s="349">
        <v>1.44</v>
      </c>
      <c r="AR174" s="349">
        <v>1.43</v>
      </c>
      <c r="AS174" s="349">
        <v>1.42</v>
      </c>
      <c r="AT174" s="349">
        <v>1.42</v>
      </c>
      <c r="AU174" s="349">
        <v>1.41</v>
      </c>
      <c r="AV174" s="349">
        <v>1.4</v>
      </c>
      <c r="AW174" s="349">
        <v>1.4</v>
      </c>
      <c r="AX174" s="349">
        <v>1.39</v>
      </c>
      <c r="AY174" s="349">
        <v>1.39</v>
      </c>
      <c r="BH174" s="679">
        <v>8</v>
      </c>
    </row>
    <row r="175" spans="1:60">
      <c r="A175" s="761">
        <v>44865</v>
      </c>
      <c r="B175" s="349">
        <v>0.37</v>
      </c>
      <c r="C175" s="349">
        <v>0.46</v>
      </c>
      <c r="D175" s="349">
        <v>0.53</v>
      </c>
      <c r="E175" s="349">
        <v>0.62</v>
      </c>
      <c r="F175" s="349">
        <v>0.7</v>
      </c>
      <c r="G175" s="349">
        <v>0.79</v>
      </c>
      <c r="H175" s="349">
        <v>0.88</v>
      </c>
      <c r="I175" s="349">
        <v>0.97</v>
      </c>
      <c r="J175" s="349">
        <v>1.05</v>
      </c>
      <c r="K175" s="349">
        <v>1.1299999999999999</v>
      </c>
      <c r="L175" s="349">
        <v>1.21</v>
      </c>
      <c r="M175" s="349">
        <v>1.27</v>
      </c>
      <c r="N175" s="349">
        <v>1.33</v>
      </c>
      <c r="O175" s="349">
        <v>1.38</v>
      </c>
      <c r="P175" s="2303">
        <v>1.42</v>
      </c>
      <c r="Q175" s="349">
        <v>1.45</v>
      </c>
      <c r="R175" s="349">
        <v>1.47</v>
      </c>
      <c r="S175" s="349">
        <v>1.49</v>
      </c>
      <c r="T175" s="349">
        <v>1.51</v>
      </c>
      <c r="U175" s="349">
        <v>1.53</v>
      </c>
      <c r="V175" s="349">
        <v>1.53</v>
      </c>
      <c r="W175" s="349">
        <v>1.53</v>
      </c>
      <c r="X175" s="349">
        <v>1.53</v>
      </c>
      <c r="Y175" s="349">
        <v>1.54</v>
      </c>
      <c r="Z175" s="349">
        <v>1.54</v>
      </c>
      <c r="AA175" s="349">
        <v>1.53</v>
      </c>
      <c r="AB175" s="349">
        <v>1.53</v>
      </c>
      <c r="AC175" s="349">
        <v>1.52</v>
      </c>
      <c r="AD175" s="349">
        <v>1.52</v>
      </c>
      <c r="AE175" s="349">
        <v>1.51</v>
      </c>
      <c r="AF175" s="349">
        <v>1.51</v>
      </c>
      <c r="AG175" s="349">
        <v>1.5</v>
      </c>
      <c r="AH175" s="349">
        <v>1.49</v>
      </c>
      <c r="AI175" s="349">
        <v>1.49</v>
      </c>
      <c r="AJ175" s="349">
        <v>1.48</v>
      </c>
      <c r="AK175" s="349">
        <v>1.47</v>
      </c>
      <c r="AL175" s="349">
        <v>1.47</v>
      </c>
      <c r="AM175" s="349">
        <v>1.46</v>
      </c>
      <c r="AN175" s="349">
        <v>1.46</v>
      </c>
      <c r="AO175" s="349">
        <v>1.45</v>
      </c>
      <c r="AP175" s="349">
        <v>1.45</v>
      </c>
      <c r="AQ175" s="349">
        <v>1.44</v>
      </c>
      <c r="AR175" s="349">
        <v>1.43</v>
      </c>
      <c r="AS175" s="349">
        <v>1.42</v>
      </c>
      <c r="AT175" s="349">
        <v>1.42</v>
      </c>
      <c r="AU175" s="349">
        <v>1.41</v>
      </c>
      <c r="AV175" s="349">
        <v>1.4</v>
      </c>
      <c r="AW175" s="349">
        <v>1.4</v>
      </c>
      <c r="AX175" s="349">
        <v>1.39</v>
      </c>
      <c r="AY175" s="349">
        <v>1.39</v>
      </c>
      <c r="BH175" s="679">
        <v>9</v>
      </c>
    </row>
    <row r="176" spans="1:60">
      <c r="A176" s="761">
        <v>44895</v>
      </c>
      <c r="B176" s="349">
        <v>0.4</v>
      </c>
      <c r="C176" s="349">
        <v>0.48</v>
      </c>
      <c r="D176" s="349">
        <v>0.56000000000000005</v>
      </c>
      <c r="E176" s="349">
        <v>0.64</v>
      </c>
      <c r="F176" s="349">
        <v>0.72</v>
      </c>
      <c r="G176" s="349">
        <v>0.81</v>
      </c>
      <c r="H176" s="349">
        <v>0.9</v>
      </c>
      <c r="I176" s="349">
        <v>0.98</v>
      </c>
      <c r="J176" s="349">
        <v>1.07</v>
      </c>
      <c r="K176" s="349">
        <v>1.1499999999999999</v>
      </c>
      <c r="L176" s="349">
        <v>1.22</v>
      </c>
      <c r="M176" s="349">
        <v>1.28</v>
      </c>
      <c r="N176" s="349">
        <v>1.34</v>
      </c>
      <c r="O176" s="349">
        <v>1.39</v>
      </c>
      <c r="P176" s="2303">
        <v>1.43</v>
      </c>
      <c r="Q176" s="349">
        <v>1.46</v>
      </c>
      <c r="R176" s="349">
        <v>1.48</v>
      </c>
      <c r="S176" s="349">
        <v>1.5</v>
      </c>
      <c r="T176" s="349">
        <v>1.52</v>
      </c>
      <c r="U176" s="349">
        <v>1.53</v>
      </c>
      <c r="V176" s="349">
        <v>1.53</v>
      </c>
      <c r="W176" s="349">
        <v>1.54</v>
      </c>
      <c r="X176" s="349">
        <v>1.54</v>
      </c>
      <c r="Y176" s="349">
        <v>1.54</v>
      </c>
      <c r="Z176" s="349">
        <v>1.54</v>
      </c>
      <c r="AA176" s="349">
        <v>1.53</v>
      </c>
      <c r="AB176" s="349">
        <v>1.53</v>
      </c>
      <c r="AC176" s="349">
        <v>1.52</v>
      </c>
      <c r="AD176" s="349">
        <v>1.52</v>
      </c>
      <c r="AE176" s="349">
        <v>1.51</v>
      </c>
      <c r="AF176" s="349">
        <v>1.5</v>
      </c>
      <c r="AG176" s="349">
        <v>1.5</v>
      </c>
      <c r="AH176" s="349">
        <v>1.49</v>
      </c>
      <c r="AI176" s="349">
        <v>1.48</v>
      </c>
      <c r="AJ176" s="349">
        <v>1.48</v>
      </c>
      <c r="AK176" s="349">
        <v>1.47</v>
      </c>
      <c r="AL176" s="349">
        <v>1.47</v>
      </c>
      <c r="AM176" s="349">
        <v>1.46</v>
      </c>
      <c r="AN176" s="349">
        <v>1.46</v>
      </c>
      <c r="AO176" s="349">
        <v>1.45</v>
      </c>
      <c r="AP176" s="349">
        <v>1.44</v>
      </c>
      <c r="AQ176" s="349">
        <v>1.43</v>
      </c>
      <c r="AR176" s="349">
        <v>1.43</v>
      </c>
      <c r="AS176" s="349">
        <v>1.42</v>
      </c>
      <c r="AT176" s="349">
        <v>1.41</v>
      </c>
      <c r="AU176" s="349">
        <v>1.41</v>
      </c>
      <c r="AV176" s="349">
        <v>1.4</v>
      </c>
      <c r="AW176" s="349">
        <v>1.39</v>
      </c>
      <c r="AX176" s="349">
        <v>1.39</v>
      </c>
      <c r="AY176" s="349">
        <v>1.38</v>
      </c>
      <c r="BH176" s="679">
        <v>10</v>
      </c>
    </row>
    <row r="177" spans="1:60">
      <c r="A177" s="761">
        <v>44926</v>
      </c>
      <c r="B177" s="349">
        <v>0.43</v>
      </c>
      <c r="C177" s="349">
        <v>0.52</v>
      </c>
      <c r="D177" s="349">
        <v>0.59</v>
      </c>
      <c r="E177" s="349">
        <v>0.67</v>
      </c>
      <c r="F177" s="349">
        <v>0.75</v>
      </c>
      <c r="G177" s="349">
        <v>0.84</v>
      </c>
      <c r="H177" s="349">
        <v>0.92</v>
      </c>
      <c r="I177" s="349">
        <v>1.01</v>
      </c>
      <c r="J177" s="349">
        <v>1.0900000000000001</v>
      </c>
      <c r="K177" s="349">
        <v>1.17</v>
      </c>
      <c r="L177" s="349">
        <v>1.24</v>
      </c>
      <c r="M177" s="349">
        <v>1.3</v>
      </c>
      <c r="N177" s="349">
        <v>1.36</v>
      </c>
      <c r="O177" s="349">
        <v>1.4</v>
      </c>
      <c r="P177" s="2303">
        <v>1.44</v>
      </c>
      <c r="Q177" s="349">
        <v>1.47</v>
      </c>
      <c r="R177" s="349">
        <v>1.49</v>
      </c>
      <c r="S177" s="349">
        <v>1.51</v>
      </c>
      <c r="T177" s="349">
        <v>1.53</v>
      </c>
      <c r="U177" s="349">
        <v>1.54</v>
      </c>
      <c r="V177" s="349">
        <v>1.54</v>
      </c>
      <c r="W177" s="349">
        <v>1.54</v>
      </c>
      <c r="X177" s="349">
        <v>1.54</v>
      </c>
      <c r="Y177" s="349">
        <v>1.54</v>
      </c>
      <c r="Z177" s="349">
        <v>1.54</v>
      </c>
      <c r="AA177" s="349">
        <v>1.54</v>
      </c>
      <c r="AB177" s="349">
        <v>1.53</v>
      </c>
      <c r="AC177" s="349">
        <v>1.53</v>
      </c>
      <c r="AD177" s="349">
        <v>1.52</v>
      </c>
      <c r="AE177" s="349">
        <v>1.51</v>
      </c>
      <c r="AF177" s="349">
        <v>1.51</v>
      </c>
      <c r="AG177" s="349">
        <v>1.5</v>
      </c>
      <c r="AH177" s="349">
        <v>1.49</v>
      </c>
      <c r="AI177" s="349">
        <v>1.48</v>
      </c>
      <c r="AJ177" s="349">
        <v>1.48</v>
      </c>
      <c r="AK177" s="349">
        <v>1.47</v>
      </c>
      <c r="AL177" s="349">
        <v>1.47</v>
      </c>
      <c r="AM177" s="349">
        <v>1.46</v>
      </c>
      <c r="AN177" s="349">
        <v>1.45</v>
      </c>
      <c r="AO177" s="349">
        <v>1.45</v>
      </c>
      <c r="AP177" s="349">
        <v>1.44</v>
      </c>
      <c r="AQ177" s="349">
        <v>1.43</v>
      </c>
      <c r="AR177" s="349">
        <v>1.42</v>
      </c>
      <c r="AS177" s="349">
        <v>1.42</v>
      </c>
      <c r="AT177" s="349">
        <v>1.41</v>
      </c>
      <c r="AU177" s="349">
        <v>1.4</v>
      </c>
      <c r="AV177" s="349">
        <v>1.4</v>
      </c>
      <c r="AW177" s="349">
        <v>1.39</v>
      </c>
      <c r="AX177" s="349">
        <v>1.38</v>
      </c>
      <c r="AY177" s="349">
        <v>1.38</v>
      </c>
      <c r="AZ177" s="495"/>
      <c r="BH177" s="679"/>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2300">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1">
        <v>44957</v>
      </c>
      <c r="B179" s="349">
        <v>0.46</v>
      </c>
      <c r="C179" s="349">
        <v>0.55000000000000004</v>
      </c>
      <c r="D179" s="349">
        <v>0.62</v>
      </c>
      <c r="E179" s="349">
        <v>0.7</v>
      </c>
      <c r="F179" s="349">
        <v>0.78</v>
      </c>
      <c r="G179" s="349">
        <v>0.86</v>
      </c>
      <c r="H179" s="349">
        <v>0.95</v>
      </c>
      <c r="I179" s="349">
        <v>1.03</v>
      </c>
      <c r="J179" s="349">
        <v>1.1100000000000001</v>
      </c>
      <c r="K179" s="349">
        <v>1.19</v>
      </c>
      <c r="L179" s="349">
        <v>1.26</v>
      </c>
      <c r="M179" s="349">
        <v>1.32</v>
      </c>
      <c r="N179" s="349">
        <v>1.37</v>
      </c>
      <c r="O179" s="349">
        <v>1.42</v>
      </c>
      <c r="P179" s="2303">
        <v>1.46</v>
      </c>
      <c r="Q179" s="349">
        <v>1.48</v>
      </c>
      <c r="R179" s="349">
        <v>1.5</v>
      </c>
      <c r="S179" s="349">
        <v>1.52</v>
      </c>
      <c r="T179" s="349">
        <v>1.54</v>
      </c>
      <c r="U179" s="349">
        <v>1.55</v>
      </c>
      <c r="V179" s="349">
        <v>1.55</v>
      </c>
      <c r="W179" s="349">
        <v>1.55</v>
      </c>
      <c r="X179" s="349">
        <v>1.55</v>
      </c>
      <c r="Y179" s="349">
        <v>1.55</v>
      </c>
      <c r="Z179" s="349">
        <v>1.55</v>
      </c>
      <c r="AA179" s="349">
        <v>1.54</v>
      </c>
      <c r="AB179" s="349">
        <v>1.54</v>
      </c>
      <c r="AC179" s="349">
        <v>1.53</v>
      </c>
      <c r="AD179" s="349">
        <v>1.53</v>
      </c>
      <c r="AE179" s="349">
        <v>1.52</v>
      </c>
      <c r="AF179" s="349">
        <v>1.51</v>
      </c>
      <c r="AG179" s="349">
        <v>1.5</v>
      </c>
      <c r="AH179" s="349">
        <v>1.49</v>
      </c>
      <c r="AI179" s="349">
        <v>1.49</v>
      </c>
      <c r="AJ179" s="349">
        <v>1.48</v>
      </c>
      <c r="AK179" s="349">
        <v>1.47</v>
      </c>
      <c r="AL179" s="349">
        <v>1.47</v>
      </c>
      <c r="AM179" s="349">
        <v>1.46</v>
      </c>
      <c r="AN179" s="349">
        <v>1.46</v>
      </c>
      <c r="AO179" s="349">
        <v>1.45</v>
      </c>
      <c r="AP179" s="349">
        <v>1.44</v>
      </c>
      <c r="AQ179" s="349">
        <v>1.43</v>
      </c>
      <c r="AR179" s="349">
        <v>1.43</v>
      </c>
      <c r="AS179" s="349">
        <v>1.42</v>
      </c>
      <c r="AT179" s="349">
        <v>1.41</v>
      </c>
      <c r="AU179" s="349">
        <v>1.4</v>
      </c>
      <c r="AV179" s="349">
        <v>1.4</v>
      </c>
      <c r="AW179" s="349">
        <v>1.39</v>
      </c>
      <c r="AX179" s="349">
        <v>1.38</v>
      </c>
      <c r="AY179" s="349">
        <v>1.38</v>
      </c>
    </row>
    <row r="180" spans="1:60">
      <c r="A180" s="761">
        <v>44985</v>
      </c>
      <c r="B180" s="349">
        <v>0.5</v>
      </c>
      <c r="C180" s="349">
        <v>0.6</v>
      </c>
      <c r="D180" s="349">
        <v>0.66</v>
      </c>
      <c r="E180" s="349">
        <v>0.74</v>
      </c>
      <c r="F180" s="349">
        <v>0.82</v>
      </c>
      <c r="G180" s="349">
        <v>0.9</v>
      </c>
      <c r="H180" s="349">
        <v>0.98</v>
      </c>
      <c r="I180" s="349">
        <v>1.06</v>
      </c>
      <c r="J180" s="349">
        <v>1.1399999999999999</v>
      </c>
      <c r="K180" s="349">
        <v>1.22</v>
      </c>
      <c r="L180" s="349">
        <v>1.28</v>
      </c>
      <c r="M180" s="349">
        <v>1.34</v>
      </c>
      <c r="N180" s="349">
        <v>1.4</v>
      </c>
      <c r="O180" s="349">
        <v>1.44</v>
      </c>
      <c r="P180" s="2303">
        <v>1.48</v>
      </c>
      <c r="Q180" s="349">
        <v>1.5</v>
      </c>
      <c r="R180" s="349">
        <v>1.52</v>
      </c>
      <c r="S180" s="349">
        <v>1.54</v>
      </c>
      <c r="T180" s="349">
        <v>1.55</v>
      </c>
      <c r="U180" s="349">
        <v>1.57</v>
      </c>
      <c r="V180" s="349">
        <v>1.57</v>
      </c>
      <c r="W180" s="349">
        <v>1.57</v>
      </c>
      <c r="X180" s="349">
        <v>1.57</v>
      </c>
      <c r="Y180" s="349">
        <v>1.57</v>
      </c>
      <c r="Z180" s="349">
        <v>1.57</v>
      </c>
      <c r="AA180" s="349">
        <v>1.56</v>
      </c>
      <c r="AB180" s="349">
        <v>1.55</v>
      </c>
      <c r="AC180" s="349">
        <v>1.54</v>
      </c>
      <c r="AD180" s="349">
        <v>1.54</v>
      </c>
      <c r="AE180" s="349">
        <v>1.53</v>
      </c>
      <c r="AF180" s="349">
        <v>1.52</v>
      </c>
      <c r="AG180" s="349">
        <v>1.51</v>
      </c>
      <c r="AH180" s="349">
        <v>1.51</v>
      </c>
      <c r="AI180" s="349">
        <v>1.5</v>
      </c>
      <c r="AJ180" s="349">
        <v>1.49</v>
      </c>
      <c r="AK180" s="349">
        <v>1.48</v>
      </c>
      <c r="AL180" s="349">
        <v>1.48</v>
      </c>
      <c r="AM180" s="349">
        <v>1.47</v>
      </c>
      <c r="AN180" s="349">
        <v>1.47</v>
      </c>
      <c r="AO180" s="349">
        <v>1.46</v>
      </c>
      <c r="AP180" s="349">
        <v>1.45</v>
      </c>
      <c r="AQ180" s="349">
        <v>1.44</v>
      </c>
      <c r="AR180" s="349">
        <v>1.44</v>
      </c>
      <c r="AS180" s="349">
        <v>1.43</v>
      </c>
      <c r="AT180" s="349">
        <v>1.42</v>
      </c>
      <c r="AU180" s="349">
        <v>1.41</v>
      </c>
      <c r="AV180" s="349">
        <v>1.41</v>
      </c>
      <c r="AW180" s="349">
        <v>1.4</v>
      </c>
      <c r="AX180" s="349">
        <v>1.39</v>
      </c>
      <c r="AY180" s="349">
        <v>1.39</v>
      </c>
      <c r="AZ180" s="495"/>
    </row>
    <row r="181" spans="1:60">
      <c r="A181" s="761">
        <v>45016</v>
      </c>
      <c r="B181" s="349">
        <v>0.55000000000000004</v>
      </c>
      <c r="C181" s="349">
        <v>0.64</v>
      </c>
      <c r="D181" s="349">
        <v>0.7</v>
      </c>
      <c r="E181" s="349">
        <v>0.77</v>
      </c>
      <c r="F181" s="349">
        <v>0.85</v>
      </c>
      <c r="G181" s="349">
        <v>0.93</v>
      </c>
      <c r="H181" s="349">
        <v>1.01</v>
      </c>
      <c r="I181" s="349">
        <v>1.0900000000000001</v>
      </c>
      <c r="J181" s="349">
        <v>1.1599999999999999</v>
      </c>
      <c r="K181" s="349">
        <v>1.24</v>
      </c>
      <c r="L181" s="349">
        <v>1.31</v>
      </c>
      <c r="M181" s="349">
        <v>1.37</v>
      </c>
      <c r="N181" s="349">
        <v>1.42</v>
      </c>
      <c r="O181" s="349">
        <v>1.46</v>
      </c>
      <c r="P181" s="2303">
        <v>1.5</v>
      </c>
      <c r="Q181" s="349">
        <v>1.52</v>
      </c>
      <c r="R181" s="349">
        <v>1.54</v>
      </c>
      <c r="S181" s="349">
        <v>1.56</v>
      </c>
      <c r="T181" s="349">
        <v>1.57</v>
      </c>
      <c r="U181" s="349">
        <v>1.59</v>
      </c>
      <c r="V181" s="349">
        <v>1.59</v>
      </c>
      <c r="W181" s="349">
        <v>1.58</v>
      </c>
      <c r="X181" s="349">
        <v>1.58</v>
      </c>
      <c r="Y181" s="349">
        <v>1.58</v>
      </c>
      <c r="Z181" s="349">
        <v>1.58</v>
      </c>
      <c r="AA181" s="349">
        <v>1.57</v>
      </c>
      <c r="AB181" s="349">
        <v>1.57</v>
      </c>
      <c r="AC181" s="349">
        <v>1.56</v>
      </c>
      <c r="AD181" s="349">
        <v>1.55</v>
      </c>
      <c r="AE181" s="349">
        <v>1.55</v>
      </c>
      <c r="AF181" s="349">
        <v>1.54</v>
      </c>
      <c r="AG181" s="349">
        <v>1.53</v>
      </c>
      <c r="AH181" s="349">
        <v>1.52</v>
      </c>
      <c r="AI181" s="349">
        <v>1.51</v>
      </c>
      <c r="AJ181" s="349">
        <v>1.5</v>
      </c>
      <c r="AK181" s="349">
        <v>1.5</v>
      </c>
      <c r="AL181" s="349">
        <v>1.49</v>
      </c>
      <c r="AM181" s="349">
        <v>1.48</v>
      </c>
      <c r="AN181" s="349">
        <v>1.48</v>
      </c>
      <c r="AO181" s="349">
        <v>1.47</v>
      </c>
      <c r="AP181" s="349">
        <v>1.46</v>
      </c>
      <c r="AQ181" s="349">
        <v>1.45</v>
      </c>
      <c r="AR181" s="349">
        <v>1.45</v>
      </c>
      <c r="AS181" s="349">
        <v>1.44</v>
      </c>
      <c r="AT181" s="349">
        <v>1.43</v>
      </c>
      <c r="AU181" s="349">
        <v>1.42</v>
      </c>
      <c r="AV181" s="349">
        <v>1.42</v>
      </c>
      <c r="AW181" s="349">
        <v>1.41</v>
      </c>
      <c r="AX181" s="349">
        <v>1.4</v>
      </c>
      <c r="AY181" s="349">
        <v>1.4</v>
      </c>
      <c r="AZ181" s="495"/>
    </row>
    <row r="182" spans="1:60">
      <c r="A182" s="761">
        <v>45046</v>
      </c>
      <c r="B182" s="349">
        <v>0.59</v>
      </c>
      <c r="C182" s="349">
        <v>0.68</v>
      </c>
      <c r="D182" s="349">
        <v>0.74</v>
      </c>
      <c r="E182" s="349">
        <v>0.81</v>
      </c>
      <c r="F182" s="349">
        <v>0.88</v>
      </c>
      <c r="G182" s="349">
        <v>0.96</v>
      </c>
      <c r="H182" s="349">
        <v>1.03</v>
      </c>
      <c r="I182" s="349">
        <v>1.1100000000000001</v>
      </c>
      <c r="J182" s="349">
        <v>1.19</v>
      </c>
      <c r="K182" s="349">
        <v>1.27</v>
      </c>
      <c r="L182" s="349">
        <v>1.33</v>
      </c>
      <c r="M182" s="349">
        <v>1.39</v>
      </c>
      <c r="N182" s="349">
        <v>1.44</v>
      </c>
      <c r="O182" s="349">
        <v>1.48</v>
      </c>
      <c r="P182" s="2303">
        <v>1.52</v>
      </c>
      <c r="Q182" s="349">
        <v>1.54</v>
      </c>
      <c r="R182" s="349">
        <v>1.56</v>
      </c>
      <c r="S182" s="349">
        <v>1.58</v>
      </c>
      <c r="T182" s="349">
        <v>1.59</v>
      </c>
      <c r="U182" s="349">
        <v>1.6</v>
      </c>
      <c r="V182" s="349">
        <v>1.6</v>
      </c>
      <c r="W182" s="349">
        <v>1.6</v>
      </c>
      <c r="X182" s="349">
        <v>1.6</v>
      </c>
      <c r="Y182" s="349">
        <v>1.6</v>
      </c>
      <c r="Z182" s="349">
        <v>1.59</v>
      </c>
      <c r="AA182" s="349">
        <v>1.59</v>
      </c>
      <c r="AB182" s="349">
        <v>1.58</v>
      </c>
      <c r="AC182" s="349">
        <v>1.57</v>
      </c>
      <c r="AD182" s="349">
        <v>1.56</v>
      </c>
      <c r="AE182" s="349">
        <v>1.56</v>
      </c>
      <c r="AF182" s="349">
        <v>1.55</v>
      </c>
      <c r="AG182" s="349">
        <v>1.54</v>
      </c>
      <c r="AH182" s="349">
        <v>1.53</v>
      </c>
      <c r="AI182" s="349">
        <v>1.52</v>
      </c>
      <c r="AJ182" s="349">
        <v>1.51</v>
      </c>
      <c r="AK182" s="349">
        <v>1.51</v>
      </c>
      <c r="AL182" s="349">
        <v>1.5</v>
      </c>
      <c r="AM182" s="349">
        <v>1.49</v>
      </c>
      <c r="AN182" s="349">
        <v>1.49</v>
      </c>
      <c r="AO182" s="349">
        <v>1.48</v>
      </c>
      <c r="AP182" s="349">
        <v>1.47</v>
      </c>
      <c r="AQ182" s="349">
        <v>1.46</v>
      </c>
      <c r="AR182" s="349">
        <v>1.45</v>
      </c>
      <c r="AS182" s="349">
        <v>1.45</v>
      </c>
      <c r="AT182" s="349">
        <v>1.44</v>
      </c>
      <c r="AU182" s="349">
        <v>1.43</v>
      </c>
      <c r="AV182" s="349">
        <v>1.42</v>
      </c>
      <c r="AW182" s="349">
        <v>1.42</v>
      </c>
      <c r="AX182" s="349">
        <v>1.41</v>
      </c>
      <c r="AY182" s="349">
        <v>1.4</v>
      </c>
      <c r="AZ182" s="495"/>
    </row>
    <row r="183" spans="1:60">
      <c r="A183" s="761">
        <v>45077</v>
      </c>
      <c r="B183" s="349">
        <v>0.64</v>
      </c>
      <c r="C183" s="349">
        <v>0.72</v>
      </c>
      <c r="D183" s="349">
        <v>0.77</v>
      </c>
      <c r="E183" s="349">
        <v>0.84</v>
      </c>
      <c r="F183" s="349">
        <v>0.91</v>
      </c>
      <c r="G183" s="349">
        <v>0.99</v>
      </c>
      <c r="H183" s="349">
        <v>1.07</v>
      </c>
      <c r="I183" s="349">
        <v>1.1399999999999999</v>
      </c>
      <c r="J183" s="349">
        <v>1.22</v>
      </c>
      <c r="K183" s="349">
        <v>1.29</v>
      </c>
      <c r="L183" s="349">
        <v>1.36</v>
      </c>
      <c r="M183" s="349">
        <v>1.41</v>
      </c>
      <c r="N183" s="349">
        <v>1.46</v>
      </c>
      <c r="O183" s="349">
        <v>1.51</v>
      </c>
      <c r="P183" s="2303">
        <v>1.54</v>
      </c>
      <c r="Q183" s="349">
        <v>1.56</v>
      </c>
      <c r="R183" s="349">
        <v>1.58</v>
      </c>
      <c r="S183" s="349">
        <v>1.6</v>
      </c>
      <c r="T183" s="349">
        <v>1.61</v>
      </c>
      <c r="U183" s="349">
        <v>1.62</v>
      </c>
      <c r="V183" s="349">
        <v>1.62</v>
      </c>
      <c r="W183" s="349">
        <v>1.62</v>
      </c>
      <c r="X183" s="349">
        <v>1.61</v>
      </c>
      <c r="Y183" s="349">
        <v>1.61</v>
      </c>
      <c r="Z183" s="349">
        <v>1.61</v>
      </c>
      <c r="AA183" s="349">
        <v>1.6</v>
      </c>
      <c r="AB183" s="349">
        <v>1.59</v>
      </c>
      <c r="AC183" s="349">
        <v>1.58</v>
      </c>
      <c r="AD183" s="349">
        <v>1.58</v>
      </c>
      <c r="AE183" s="349">
        <v>1.57</v>
      </c>
      <c r="AF183" s="349">
        <v>1.56</v>
      </c>
      <c r="AG183" s="349">
        <v>1.55</v>
      </c>
      <c r="AH183" s="349">
        <v>1.54</v>
      </c>
      <c r="AI183" s="349">
        <v>1.53</v>
      </c>
      <c r="AJ183" s="349">
        <v>1.53</v>
      </c>
      <c r="AK183" s="349">
        <v>1.52</v>
      </c>
      <c r="AL183" s="349">
        <v>1.51</v>
      </c>
      <c r="AM183" s="349">
        <v>1.5</v>
      </c>
      <c r="AN183" s="349">
        <v>1.5</v>
      </c>
      <c r="AO183" s="349">
        <v>1.49</v>
      </c>
      <c r="AP183" s="349">
        <v>1.48</v>
      </c>
      <c r="AQ183" s="349">
        <v>1.47</v>
      </c>
      <c r="AR183" s="349">
        <v>1.46</v>
      </c>
      <c r="AS183" s="349">
        <v>1.46</v>
      </c>
      <c r="AT183" s="349">
        <v>1.45</v>
      </c>
      <c r="AU183" s="349">
        <v>1.44</v>
      </c>
      <c r="AV183" s="349">
        <v>1.43</v>
      </c>
      <c r="AW183" s="349">
        <v>1.43</v>
      </c>
      <c r="AX183" s="349">
        <v>1.42</v>
      </c>
      <c r="AY183" s="349">
        <v>1.41</v>
      </c>
      <c r="AZ183" s="495"/>
    </row>
    <row r="184" spans="1:60">
      <c r="A184" s="761">
        <v>45107</v>
      </c>
      <c r="B184" s="349">
        <v>0.69</v>
      </c>
      <c r="C184" s="349">
        <v>0.76</v>
      </c>
      <c r="D184" s="349">
        <v>0.82</v>
      </c>
      <c r="E184" s="349">
        <v>0.88</v>
      </c>
      <c r="F184" s="349">
        <v>0.95</v>
      </c>
      <c r="G184" s="349">
        <v>1.03</v>
      </c>
      <c r="H184" s="349">
        <v>1.1000000000000001</v>
      </c>
      <c r="I184" s="349">
        <v>1.18</v>
      </c>
      <c r="J184" s="349">
        <v>1.25</v>
      </c>
      <c r="K184" s="349">
        <v>1.32</v>
      </c>
      <c r="L184" s="349">
        <v>1.39</v>
      </c>
      <c r="M184" s="349">
        <v>1.44</v>
      </c>
      <c r="N184" s="349">
        <v>1.49</v>
      </c>
      <c r="O184" s="349">
        <v>1.53</v>
      </c>
      <c r="P184" s="2303">
        <v>1.57</v>
      </c>
      <c r="Q184" s="349">
        <v>1.59</v>
      </c>
      <c r="R184" s="349">
        <v>1.6</v>
      </c>
      <c r="S184" s="349">
        <v>1.62</v>
      </c>
      <c r="T184" s="349">
        <v>1.63</v>
      </c>
      <c r="U184" s="349">
        <v>1.64</v>
      </c>
      <c r="V184" s="349">
        <v>1.64</v>
      </c>
      <c r="W184" s="349">
        <v>1.64</v>
      </c>
      <c r="X184" s="349">
        <v>1.63</v>
      </c>
      <c r="Y184" s="349">
        <v>1.63</v>
      </c>
      <c r="Z184" s="349">
        <v>1.63</v>
      </c>
      <c r="AA184" s="349">
        <v>1.62</v>
      </c>
      <c r="AB184" s="349">
        <v>1.61</v>
      </c>
      <c r="AC184" s="349">
        <v>1.6</v>
      </c>
      <c r="AD184" s="349">
        <v>1.6</v>
      </c>
      <c r="AE184" s="349">
        <v>1.59</v>
      </c>
      <c r="AF184" s="349">
        <v>1.58</v>
      </c>
      <c r="AG184" s="349">
        <v>1.57</v>
      </c>
      <c r="AH184" s="349">
        <v>1.56</v>
      </c>
      <c r="AI184" s="349">
        <v>1.55</v>
      </c>
      <c r="AJ184" s="349">
        <v>1.54</v>
      </c>
      <c r="AK184" s="349">
        <v>1.53</v>
      </c>
      <c r="AL184" s="349">
        <v>1.53</v>
      </c>
      <c r="AM184" s="349">
        <v>1.52</v>
      </c>
      <c r="AN184" s="349">
        <v>1.51</v>
      </c>
      <c r="AO184" s="349">
        <v>1.51</v>
      </c>
      <c r="AP184" s="349">
        <v>1.5</v>
      </c>
      <c r="AQ184" s="349">
        <v>1.49</v>
      </c>
      <c r="AR184" s="349">
        <v>1.48</v>
      </c>
      <c r="AS184" s="349">
        <v>1.47</v>
      </c>
      <c r="AT184" s="349">
        <v>1.46</v>
      </c>
      <c r="AU184" s="349">
        <v>1.45</v>
      </c>
      <c r="AV184" s="349">
        <v>1.45</v>
      </c>
      <c r="AW184" s="349">
        <v>1.44</v>
      </c>
      <c r="AX184" s="349">
        <v>1.43</v>
      </c>
      <c r="AY184" s="349">
        <v>1.43</v>
      </c>
      <c r="AZ184" s="495"/>
    </row>
    <row r="185" spans="1:60">
      <c r="A185" s="761">
        <v>45138</v>
      </c>
      <c r="B185" s="349">
        <v>0.74</v>
      </c>
      <c r="C185" s="349">
        <v>0.81</v>
      </c>
      <c r="D185" s="349">
        <v>0.86</v>
      </c>
      <c r="E185" s="349">
        <v>0.93</v>
      </c>
      <c r="F185" s="349">
        <v>0.99</v>
      </c>
      <c r="G185" s="349">
        <v>1.06</v>
      </c>
      <c r="H185" s="349">
        <v>1.1399999999999999</v>
      </c>
      <c r="I185" s="349">
        <v>1.21</v>
      </c>
      <c r="J185" s="349">
        <v>1.28</v>
      </c>
      <c r="K185" s="349">
        <v>1.35</v>
      </c>
      <c r="L185" s="349">
        <v>1.42</v>
      </c>
      <c r="M185" s="349">
        <v>1.47</v>
      </c>
      <c r="N185" s="349">
        <v>1.52</v>
      </c>
      <c r="O185" s="349">
        <v>1.56</v>
      </c>
      <c r="P185" s="2303">
        <v>1.6</v>
      </c>
      <c r="Q185" s="349">
        <v>1.62</v>
      </c>
      <c r="R185" s="349">
        <v>1.63</v>
      </c>
      <c r="S185" s="349">
        <v>1.65</v>
      </c>
      <c r="T185" s="349">
        <v>1.66</v>
      </c>
      <c r="U185" s="349">
        <v>1.67</v>
      </c>
      <c r="V185" s="349">
        <v>1.67</v>
      </c>
      <c r="W185" s="349">
        <v>1.66</v>
      </c>
      <c r="X185" s="349">
        <v>1.66</v>
      </c>
      <c r="Y185" s="349">
        <v>1.66</v>
      </c>
      <c r="Z185" s="349">
        <v>1.65</v>
      </c>
      <c r="AA185" s="349">
        <v>1.64</v>
      </c>
      <c r="AB185" s="349">
        <v>1.63</v>
      </c>
      <c r="AC185" s="349">
        <v>1.63</v>
      </c>
      <c r="AD185" s="349">
        <v>1.62</v>
      </c>
      <c r="AE185" s="349">
        <v>1.61</v>
      </c>
      <c r="AF185" s="349">
        <v>1.6</v>
      </c>
      <c r="AG185" s="349">
        <v>1.59</v>
      </c>
      <c r="AH185" s="349">
        <v>1.58</v>
      </c>
      <c r="AI185" s="349">
        <v>1.57</v>
      </c>
      <c r="AJ185" s="349">
        <v>1.56</v>
      </c>
      <c r="AK185" s="349">
        <v>1.55</v>
      </c>
      <c r="AL185" s="349">
        <v>1.55</v>
      </c>
      <c r="AM185" s="349">
        <v>1.54</v>
      </c>
      <c r="AN185" s="349">
        <v>1.53</v>
      </c>
      <c r="AO185" s="349">
        <v>1.53</v>
      </c>
      <c r="AP185" s="349">
        <v>1.52</v>
      </c>
      <c r="AQ185" s="349">
        <v>1.51</v>
      </c>
      <c r="AR185" s="349">
        <v>1.5</v>
      </c>
      <c r="AS185" s="349">
        <v>1.49</v>
      </c>
      <c r="AT185" s="349">
        <v>1.48</v>
      </c>
      <c r="AU185" s="349">
        <v>1.47</v>
      </c>
      <c r="AV185" s="349">
        <v>1.46</v>
      </c>
      <c r="AW185" s="349">
        <v>1.46</v>
      </c>
      <c r="AX185" s="349">
        <v>1.45</v>
      </c>
      <c r="AY185" s="349">
        <v>1.44</v>
      </c>
      <c r="AZ185" s="495"/>
    </row>
    <row r="186" spans="1:60">
      <c r="A186" s="761">
        <v>45169</v>
      </c>
      <c r="B186" s="349">
        <v>0.79</v>
      </c>
      <c r="C186" s="349">
        <v>0.86</v>
      </c>
      <c r="D186" s="349">
        <v>0.91</v>
      </c>
      <c r="E186" s="349">
        <v>0.97</v>
      </c>
      <c r="F186" s="349">
        <v>1.03</v>
      </c>
      <c r="G186" s="349">
        <v>1.1000000000000001</v>
      </c>
      <c r="H186" s="349">
        <v>1.17</v>
      </c>
      <c r="I186" s="349">
        <v>1.25</v>
      </c>
      <c r="J186" s="349">
        <v>1.32</v>
      </c>
      <c r="K186" s="349">
        <v>1.39</v>
      </c>
      <c r="L186" s="349">
        <v>1.45</v>
      </c>
      <c r="M186" s="349">
        <v>1.5</v>
      </c>
      <c r="N186" s="349">
        <v>1.55</v>
      </c>
      <c r="O186" s="349">
        <v>1.59</v>
      </c>
      <c r="P186" s="2303">
        <v>1.63</v>
      </c>
      <c r="Q186" s="349">
        <v>1.65</v>
      </c>
      <c r="R186" s="349">
        <v>1.66</v>
      </c>
      <c r="S186" s="349">
        <v>1.67</v>
      </c>
      <c r="T186" s="349">
        <v>1.69</v>
      </c>
      <c r="U186" s="349">
        <v>1.7</v>
      </c>
      <c r="V186" s="349">
        <v>1.69</v>
      </c>
      <c r="W186" s="349">
        <v>1.69</v>
      </c>
      <c r="X186" s="349">
        <v>1.68</v>
      </c>
      <c r="Y186" s="349">
        <v>1.68</v>
      </c>
      <c r="Z186" s="349">
        <v>1.68</v>
      </c>
      <c r="AA186" s="349">
        <v>1.67</v>
      </c>
      <c r="AB186" s="349">
        <v>1.66</v>
      </c>
      <c r="AC186" s="349">
        <v>1.65</v>
      </c>
      <c r="AD186" s="349">
        <v>1.64</v>
      </c>
      <c r="AE186" s="349">
        <v>1.63</v>
      </c>
      <c r="AF186" s="349">
        <v>1.62</v>
      </c>
      <c r="AG186" s="349">
        <v>1.61</v>
      </c>
      <c r="AH186" s="349">
        <v>1.6</v>
      </c>
      <c r="AI186" s="349">
        <v>1.59</v>
      </c>
      <c r="AJ186" s="349">
        <v>1.58</v>
      </c>
      <c r="AK186" s="349">
        <v>1.58</v>
      </c>
      <c r="AL186" s="349">
        <v>1.57</v>
      </c>
      <c r="AM186" s="349">
        <v>1.56</v>
      </c>
      <c r="AN186" s="349">
        <v>1.55</v>
      </c>
      <c r="AO186" s="349">
        <v>1.55</v>
      </c>
      <c r="AP186" s="349">
        <v>1.54</v>
      </c>
      <c r="AQ186" s="349">
        <v>1.53</v>
      </c>
      <c r="AR186" s="349">
        <v>1.52</v>
      </c>
      <c r="AS186" s="349">
        <v>1.51</v>
      </c>
      <c r="AT186" s="349">
        <v>1.5</v>
      </c>
      <c r="AU186" s="349">
        <v>1.49</v>
      </c>
      <c r="AV186" s="349">
        <v>1.48</v>
      </c>
      <c r="AW186" s="349">
        <v>1.48</v>
      </c>
      <c r="AX186" s="349">
        <v>1.47</v>
      </c>
      <c r="AY186" s="349">
        <v>1.46</v>
      </c>
      <c r="AZ186" s="495"/>
    </row>
    <row r="187" spans="1:60">
      <c r="A187" s="761">
        <v>45199</v>
      </c>
      <c r="B187" s="349">
        <v>0.84</v>
      </c>
      <c r="C187" s="349">
        <v>0.91</v>
      </c>
      <c r="D187" s="349">
        <v>0.95</v>
      </c>
      <c r="E187" s="349">
        <v>1.01</v>
      </c>
      <c r="F187" s="349">
        <v>1.08</v>
      </c>
      <c r="G187" s="349">
        <v>1.1499999999999999</v>
      </c>
      <c r="H187" s="349">
        <v>1.21</v>
      </c>
      <c r="I187" s="349">
        <v>1.29</v>
      </c>
      <c r="J187" s="349">
        <v>1.36</v>
      </c>
      <c r="K187" s="349">
        <v>1.43</v>
      </c>
      <c r="L187" s="349">
        <v>1.49</v>
      </c>
      <c r="M187" s="349">
        <v>1.54</v>
      </c>
      <c r="N187" s="349">
        <v>1.59</v>
      </c>
      <c r="O187" s="349">
        <v>1.63</v>
      </c>
      <c r="P187" s="2303">
        <v>1.66</v>
      </c>
      <c r="Q187" s="349">
        <v>1.68</v>
      </c>
      <c r="R187" s="349">
        <v>1.69</v>
      </c>
      <c r="S187" s="349">
        <v>1.71</v>
      </c>
      <c r="T187" s="349">
        <v>1.72</v>
      </c>
      <c r="U187" s="349">
        <v>1.73</v>
      </c>
      <c r="V187" s="349">
        <v>1.72</v>
      </c>
      <c r="W187" s="349">
        <v>1.72</v>
      </c>
      <c r="X187" s="349">
        <v>1.71</v>
      </c>
      <c r="Y187" s="349">
        <v>1.71</v>
      </c>
      <c r="Z187" s="349">
        <v>1.71</v>
      </c>
      <c r="AA187" s="349">
        <v>1.7</v>
      </c>
      <c r="AB187" s="349">
        <v>1.69</v>
      </c>
      <c r="AC187" s="349">
        <v>1.68</v>
      </c>
      <c r="AD187" s="349">
        <v>1.67</v>
      </c>
      <c r="AE187" s="349">
        <v>1.66</v>
      </c>
      <c r="AF187" s="349">
        <v>1.65</v>
      </c>
      <c r="AG187" s="349">
        <v>1.64</v>
      </c>
      <c r="AH187" s="349">
        <v>1.63</v>
      </c>
      <c r="AI187" s="349">
        <v>1.62</v>
      </c>
      <c r="AJ187" s="349">
        <v>1.61</v>
      </c>
      <c r="AK187" s="349">
        <v>1.6</v>
      </c>
      <c r="AL187" s="349">
        <v>1.59</v>
      </c>
      <c r="AM187" s="349">
        <v>1.59</v>
      </c>
      <c r="AN187" s="349">
        <v>1.58</v>
      </c>
      <c r="AO187" s="349">
        <v>1.57</v>
      </c>
      <c r="AP187" s="349">
        <v>1.56</v>
      </c>
      <c r="AQ187" s="349">
        <v>1.55</v>
      </c>
      <c r="AR187" s="349">
        <v>1.54</v>
      </c>
      <c r="AS187" s="349">
        <v>1.53</v>
      </c>
      <c r="AT187" s="349">
        <v>1.52</v>
      </c>
      <c r="AU187" s="349">
        <v>1.52</v>
      </c>
      <c r="AV187" s="349">
        <v>1.51</v>
      </c>
      <c r="AW187" s="349">
        <v>1.5</v>
      </c>
      <c r="AX187" s="349">
        <v>1.49</v>
      </c>
      <c r="AY187" s="349">
        <v>1.49</v>
      </c>
      <c r="AZ187" s="495"/>
    </row>
    <row r="188" spans="1:60">
      <c r="A188" s="761">
        <v>45230</v>
      </c>
      <c r="B188" s="349">
        <v>0.89</v>
      </c>
      <c r="C188" s="349">
        <v>0.95</v>
      </c>
      <c r="D188" s="349">
        <v>1</v>
      </c>
      <c r="E188" s="349">
        <v>1.05</v>
      </c>
      <c r="F188" s="349">
        <v>1.1200000000000001</v>
      </c>
      <c r="G188" s="349">
        <v>1.19</v>
      </c>
      <c r="H188" s="349">
        <v>1.25</v>
      </c>
      <c r="I188" s="349">
        <v>1.32</v>
      </c>
      <c r="J188" s="349">
        <v>1.39</v>
      </c>
      <c r="K188" s="349">
        <v>1.46</v>
      </c>
      <c r="L188" s="349">
        <v>1.52</v>
      </c>
      <c r="M188" s="349">
        <v>1.58</v>
      </c>
      <c r="N188" s="349">
        <v>1.62</v>
      </c>
      <c r="O188" s="349">
        <v>1.66</v>
      </c>
      <c r="P188" s="2303">
        <v>1.7</v>
      </c>
      <c r="Q188" s="349">
        <v>1.71</v>
      </c>
      <c r="R188" s="349">
        <v>1.73</v>
      </c>
      <c r="S188" s="349">
        <v>1.74</v>
      </c>
      <c r="T188" s="349">
        <v>1.75</v>
      </c>
      <c r="U188" s="349">
        <v>1.76</v>
      </c>
      <c r="V188" s="349">
        <v>1.75</v>
      </c>
      <c r="W188" s="349">
        <v>1.75</v>
      </c>
      <c r="X188" s="349">
        <v>1.74</v>
      </c>
      <c r="Y188" s="349">
        <v>1.74</v>
      </c>
      <c r="Z188" s="349">
        <v>1.74</v>
      </c>
      <c r="AA188" s="349">
        <v>1.72</v>
      </c>
      <c r="AB188" s="349">
        <v>1.71</v>
      </c>
      <c r="AC188" s="349">
        <v>1.7</v>
      </c>
      <c r="AD188" s="349">
        <v>1.7</v>
      </c>
      <c r="AE188" s="349">
        <v>1.69</v>
      </c>
      <c r="AF188" s="349">
        <v>1.67</v>
      </c>
      <c r="AG188" s="349">
        <v>1.66</v>
      </c>
      <c r="AH188" s="349">
        <v>1.65</v>
      </c>
      <c r="AI188" s="349">
        <v>1.64</v>
      </c>
      <c r="AJ188" s="349">
        <v>1.63</v>
      </c>
      <c r="AK188" s="349">
        <v>1.63</v>
      </c>
      <c r="AL188" s="349">
        <v>1.62</v>
      </c>
      <c r="AM188" s="349">
        <v>1.61</v>
      </c>
      <c r="AN188" s="349">
        <v>1.6</v>
      </c>
      <c r="AO188" s="349">
        <v>1.6</v>
      </c>
      <c r="AP188" s="349">
        <v>1.58</v>
      </c>
      <c r="AQ188" s="349">
        <v>1.57</v>
      </c>
      <c r="AR188" s="349">
        <v>1.57</v>
      </c>
      <c r="AS188" s="349">
        <v>1.56</v>
      </c>
      <c r="AT188" s="349">
        <v>1.55</v>
      </c>
      <c r="AU188" s="349">
        <v>1.54</v>
      </c>
      <c r="AV188" s="349">
        <v>1.53</v>
      </c>
      <c r="AW188" s="349">
        <v>1.52</v>
      </c>
      <c r="AX188" s="349">
        <v>1.52</v>
      </c>
      <c r="AY188" s="349">
        <v>1.51</v>
      </c>
      <c r="AZ188" s="495"/>
    </row>
    <row r="189" spans="1:60">
      <c r="A189" s="761">
        <v>45260</v>
      </c>
      <c r="B189" s="349">
        <v>0.94</v>
      </c>
      <c r="C189" s="349">
        <v>1</v>
      </c>
      <c r="D189" s="349">
        <v>1.03</v>
      </c>
      <c r="E189" s="349">
        <v>1.0900000000000001</v>
      </c>
      <c r="F189" s="349">
        <v>1.1499999999999999</v>
      </c>
      <c r="G189" s="349">
        <v>1.22</v>
      </c>
      <c r="H189" s="349">
        <v>1.28</v>
      </c>
      <c r="I189" s="349">
        <v>1.35</v>
      </c>
      <c r="J189" s="349">
        <v>1.42</v>
      </c>
      <c r="K189" s="349">
        <v>1.49</v>
      </c>
      <c r="L189" s="349">
        <v>1.55</v>
      </c>
      <c r="M189" s="349">
        <v>1.6</v>
      </c>
      <c r="N189" s="349">
        <v>1.65</v>
      </c>
      <c r="O189" s="349">
        <v>1.69</v>
      </c>
      <c r="P189" s="2303">
        <v>1.72</v>
      </c>
      <c r="Q189" s="349">
        <v>1.74</v>
      </c>
      <c r="R189" s="349">
        <v>1.75</v>
      </c>
      <c r="S189" s="349">
        <v>1.76</v>
      </c>
      <c r="T189" s="349">
        <v>1.77</v>
      </c>
      <c r="U189" s="349">
        <v>1.78</v>
      </c>
      <c r="V189" s="349">
        <v>1.77</v>
      </c>
      <c r="W189" s="349">
        <v>1.77</v>
      </c>
      <c r="X189" s="349">
        <v>1.76</v>
      </c>
      <c r="Y189" s="349">
        <v>1.76</v>
      </c>
      <c r="Z189" s="349">
        <v>1.75</v>
      </c>
      <c r="AA189" s="349">
        <v>1.74</v>
      </c>
      <c r="AB189" s="349">
        <v>1.73</v>
      </c>
      <c r="AC189" s="349">
        <v>1.72</v>
      </c>
      <c r="AD189" s="349">
        <v>1.71</v>
      </c>
      <c r="AE189" s="349">
        <v>1.7</v>
      </c>
      <c r="AF189" s="349">
        <v>1.69</v>
      </c>
      <c r="AG189" s="349">
        <v>1.68</v>
      </c>
      <c r="AH189" s="349">
        <v>1.67</v>
      </c>
      <c r="AI189" s="349">
        <v>1.66</v>
      </c>
      <c r="AJ189" s="349">
        <v>1.65</v>
      </c>
      <c r="AK189" s="349">
        <v>1.64</v>
      </c>
      <c r="AL189" s="349">
        <v>1.63</v>
      </c>
      <c r="AM189" s="349">
        <v>1.63</v>
      </c>
      <c r="AN189" s="349">
        <v>1.62</v>
      </c>
      <c r="AO189" s="349">
        <v>1.61</v>
      </c>
      <c r="AP189" s="349">
        <v>1.6</v>
      </c>
      <c r="AQ189" s="349">
        <v>1.59</v>
      </c>
      <c r="AR189" s="349">
        <v>1.58</v>
      </c>
      <c r="AS189" s="349">
        <v>1.57</v>
      </c>
      <c r="AT189" s="349">
        <v>1.56</v>
      </c>
      <c r="AU189" s="349">
        <v>1.55</v>
      </c>
      <c r="AV189" s="349">
        <v>1.54</v>
      </c>
      <c r="AW189" s="349">
        <v>1.54</v>
      </c>
      <c r="AX189" s="349">
        <v>1.53</v>
      </c>
      <c r="AY189" s="349">
        <v>1.52</v>
      </c>
      <c r="AZ189" s="495"/>
    </row>
    <row r="190" spans="1:60">
      <c r="A190" s="761">
        <v>45291</v>
      </c>
      <c r="B190" s="349">
        <v>0.99</v>
      </c>
      <c r="C190" s="349">
        <v>1.03</v>
      </c>
      <c r="D190" s="349">
        <v>1.07</v>
      </c>
      <c r="E190" s="349">
        <v>1.1200000000000001</v>
      </c>
      <c r="F190" s="349">
        <v>1.18</v>
      </c>
      <c r="G190" s="349">
        <v>1.25</v>
      </c>
      <c r="H190" s="349">
        <v>1.31</v>
      </c>
      <c r="I190" s="349">
        <v>1.38</v>
      </c>
      <c r="J190" s="349">
        <v>1.45</v>
      </c>
      <c r="K190" s="349">
        <v>1.51</v>
      </c>
      <c r="L190" s="349">
        <v>1.57</v>
      </c>
      <c r="M190" s="349">
        <v>1.62</v>
      </c>
      <c r="N190" s="349">
        <v>1.67</v>
      </c>
      <c r="O190" s="349">
        <v>1.71</v>
      </c>
      <c r="P190" s="2303">
        <v>1.74</v>
      </c>
      <c r="Q190" s="349">
        <v>1.75</v>
      </c>
      <c r="R190" s="349">
        <v>1.77</v>
      </c>
      <c r="S190" s="349">
        <v>1.78</v>
      </c>
      <c r="T190" s="349">
        <v>1.79</v>
      </c>
      <c r="U190" s="349">
        <v>1.8</v>
      </c>
      <c r="V190" s="349">
        <v>1.79</v>
      </c>
      <c r="W190" s="349">
        <v>1.78</v>
      </c>
      <c r="X190" s="349">
        <v>1.78</v>
      </c>
      <c r="Y190" s="349">
        <v>1.77</v>
      </c>
      <c r="Z190" s="349">
        <v>1.77</v>
      </c>
      <c r="AA190" s="349">
        <v>1.76</v>
      </c>
      <c r="AB190" s="349">
        <v>1.75</v>
      </c>
      <c r="AC190" s="349">
        <v>1.74</v>
      </c>
      <c r="AD190" s="349">
        <v>1.73</v>
      </c>
      <c r="AE190" s="349">
        <v>1.72</v>
      </c>
      <c r="AF190" s="349">
        <v>1.71</v>
      </c>
      <c r="AG190" s="349">
        <v>1.69</v>
      </c>
      <c r="AH190" s="349">
        <v>1.68</v>
      </c>
      <c r="AI190" s="349">
        <v>1.67</v>
      </c>
      <c r="AJ190" s="349">
        <v>1.66</v>
      </c>
      <c r="AK190" s="349">
        <v>1.65</v>
      </c>
      <c r="AL190" s="349">
        <v>1.65</v>
      </c>
      <c r="AM190" s="349">
        <v>1.64</v>
      </c>
      <c r="AN190" s="349">
        <v>1.63</v>
      </c>
      <c r="AO190" s="349">
        <v>1.62</v>
      </c>
      <c r="AP190" s="349">
        <v>1.61</v>
      </c>
      <c r="AQ190" s="349">
        <v>1.6</v>
      </c>
      <c r="AR190" s="349">
        <v>1.59</v>
      </c>
      <c r="AS190" s="349">
        <v>1.58</v>
      </c>
      <c r="AT190" s="349">
        <v>1.57</v>
      </c>
      <c r="AU190" s="349">
        <v>1.56</v>
      </c>
      <c r="AV190" s="349">
        <v>1.56</v>
      </c>
      <c r="AW190" s="349">
        <v>1.55</v>
      </c>
      <c r="AX190" s="349">
        <v>1.54</v>
      </c>
      <c r="AY190" s="349">
        <v>1.53</v>
      </c>
    </row>
    <row r="191" spans="1:60">
      <c r="A191" s="761">
        <v>45322</v>
      </c>
      <c r="B191" s="349">
        <v>1.03</v>
      </c>
      <c r="C191" s="349">
        <v>1.07</v>
      </c>
      <c r="D191" s="349">
        <v>1.1000000000000001</v>
      </c>
      <c r="E191" s="349">
        <v>1.1499999999999999</v>
      </c>
      <c r="F191" s="349">
        <v>1.21</v>
      </c>
      <c r="G191" s="349">
        <v>1.27</v>
      </c>
      <c r="H191" s="349">
        <v>1.34</v>
      </c>
      <c r="I191" s="349">
        <v>1.4</v>
      </c>
      <c r="J191" s="349">
        <v>1.47</v>
      </c>
      <c r="K191" s="349">
        <v>1.53</v>
      </c>
      <c r="L191" s="349">
        <v>1.59</v>
      </c>
      <c r="M191" s="349">
        <v>1.64</v>
      </c>
      <c r="N191" s="349">
        <v>1.69</v>
      </c>
      <c r="O191" s="349">
        <v>1.73</v>
      </c>
      <c r="P191" s="2303">
        <v>1.76</v>
      </c>
      <c r="Q191" s="349">
        <v>1.77</v>
      </c>
      <c r="R191" s="349">
        <v>1.78</v>
      </c>
      <c r="S191" s="349">
        <v>1.79</v>
      </c>
      <c r="T191" s="349">
        <v>1.8</v>
      </c>
      <c r="U191" s="349">
        <v>1.81</v>
      </c>
      <c r="V191" s="349">
        <v>1.8</v>
      </c>
      <c r="W191" s="349">
        <v>1.8</v>
      </c>
      <c r="X191" s="349">
        <v>1.79</v>
      </c>
      <c r="Y191" s="349">
        <v>1.79</v>
      </c>
      <c r="Z191" s="349">
        <v>1.78</v>
      </c>
      <c r="AA191" s="349">
        <v>1.77</v>
      </c>
      <c r="AB191" s="349">
        <v>1.76</v>
      </c>
      <c r="AC191" s="349">
        <v>1.75</v>
      </c>
      <c r="AD191" s="349">
        <v>1.74</v>
      </c>
      <c r="AE191" s="349">
        <v>1.73</v>
      </c>
      <c r="AF191" s="349">
        <v>1.72</v>
      </c>
      <c r="AG191" s="349">
        <v>1.7</v>
      </c>
      <c r="AH191" s="349">
        <v>1.69</v>
      </c>
      <c r="AI191" s="349">
        <v>1.68</v>
      </c>
      <c r="AJ191" s="349">
        <v>1.67</v>
      </c>
      <c r="AK191" s="349">
        <v>1.66</v>
      </c>
      <c r="AL191" s="349">
        <v>1.65</v>
      </c>
      <c r="AM191" s="349">
        <v>1.65</v>
      </c>
      <c r="AN191" s="349">
        <v>1.64</v>
      </c>
      <c r="AO191" s="349">
        <v>1.63</v>
      </c>
      <c r="AP191" s="349">
        <v>1.62</v>
      </c>
      <c r="AQ191" s="349">
        <v>1.61</v>
      </c>
      <c r="AR191" s="349">
        <v>1.6</v>
      </c>
      <c r="AS191" s="349">
        <v>1.59</v>
      </c>
      <c r="AT191" s="349">
        <v>1.58</v>
      </c>
      <c r="AU191" s="349">
        <v>1.57</v>
      </c>
      <c r="AV191" s="349">
        <v>1.56</v>
      </c>
      <c r="AW191" s="349">
        <v>1.56</v>
      </c>
      <c r="AX191" s="349">
        <v>1.55</v>
      </c>
      <c r="AY191" s="349">
        <v>1.54</v>
      </c>
    </row>
    <row r="192" spans="1:60">
      <c r="A192" s="761">
        <v>45351</v>
      </c>
      <c r="B192" s="349">
        <v>1.08</v>
      </c>
      <c r="C192" s="349">
        <v>1.1100000000000001</v>
      </c>
      <c r="D192" s="349">
        <v>1.1399999999999999</v>
      </c>
      <c r="E192" s="349">
        <v>1.19</v>
      </c>
      <c r="F192" s="349">
        <v>1.24</v>
      </c>
      <c r="G192" s="349">
        <v>1.31</v>
      </c>
      <c r="H192" s="349">
        <v>1.37</v>
      </c>
      <c r="I192" s="349">
        <v>1.43</v>
      </c>
      <c r="J192" s="349">
        <v>1.5</v>
      </c>
      <c r="K192" s="349">
        <v>1.56</v>
      </c>
      <c r="L192" s="349">
        <v>1.62</v>
      </c>
      <c r="M192" s="349">
        <v>1.67</v>
      </c>
      <c r="N192" s="349">
        <v>1.71</v>
      </c>
      <c r="O192" s="349">
        <v>1.75</v>
      </c>
      <c r="P192" s="2303">
        <v>1.78</v>
      </c>
      <c r="Q192" s="349">
        <v>1.79</v>
      </c>
      <c r="R192" s="349">
        <v>1.8</v>
      </c>
      <c r="S192" s="349">
        <v>1.81</v>
      </c>
      <c r="T192" s="349">
        <v>1.82</v>
      </c>
      <c r="U192" s="349">
        <v>1.83</v>
      </c>
      <c r="V192" s="349">
        <v>1.82</v>
      </c>
      <c r="W192" s="349">
        <v>1.82</v>
      </c>
      <c r="X192" s="349">
        <v>1.81</v>
      </c>
      <c r="Y192" s="349">
        <v>1.8</v>
      </c>
      <c r="Z192" s="349">
        <v>1.8</v>
      </c>
      <c r="AA192" s="349">
        <v>1.79</v>
      </c>
      <c r="AB192" s="349">
        <v>1.77</v>
      </c>
      <c r="AC192" s="349">
        <v>1.76</v>
      </c>
      <c r="AD192" s="349">
        <v>1.75</v>
      </c>
      <c r="AE192" s="349">
        <v>1.74</v>
      </c>
      <c r="AF192" s="349">
        <v>1.73</v>
      </c>
      <c r="AG192" s="349">
        <v>1.72</v>
      </c>
      <c r="AH192" s="349">
        <v>1.71</v>
      </c>
      <c r="AI192" s="349">
        <v>1.7</v>
      </c>
      <c r="AJ192" s="349">
        <v>1.69</v>
      </c>
      <c r="AK192" s="349">
        <v>1.68</v>
      </c>
      <c r="AL192" s="349">
        <v>1.67</v>
      </c>
      <c r="AM192" s="349">
        <v>1.66</v>
      </c>
      <c r="AN192" s="349">
        <v>1.65</v>
      </c>
      <c r="AO192" s="349">
        <v>1.64</v>
      </c>
      <c r="AP192" s="349">
        <v>1.63</v>
      </c>
      <c r="AQ192" s="349">
        <v>1.62</v>
      </c>
      <c r="AR192" s="349">
        <v>1.61</v>
      </c>
      <c r="AS192" s="349">
        <v>1.6</v>
      </c>
      <c r="AT192" s="349">
        <v>1.59</v>
      </c>
      <c r="AU192" s="349">
        <v>1.58</v>
      </c>
      <c r="AV192" s="349">
        <v>1.57</v>
      </c>
      <c r="AW192" s="349">
        <v>1.57</v>
      </c>
      <c r="AX192" s="349">
        <v>1.56</v>
      </c>
      <c r="AY192" s="349">
        <v>1.55</v>
      </c>
    </row>
    <row r="193" spans="1:51">
      <c r="A193" s="761">
        <v>45382</v>
      </c>
      <c r="B193" s="349">
        <v>1.1299999999999999</v>
      </c>
      <c r="C193" s="349">
        <v>1.1499999999999999</v>
      </c>
      <c r="D193" s="349">
        <v>1.18</v>
      </c>
      <c r="E193" s="349">
        <v>1.22</v>
      </c>
      <c r="F193" s="349">
        <v>1.27</v>
      </c>
      <c r="G193" s="349">
        <v>1.33</v>
      </c>
      <c r="H193" s="349">
        <v>1.39</v>
      </c>
      <c r="I193" s="349">
        <v>1.46</v>
      </c>
      <c r="J193" s="349">
        <v>1.52</v>
      </c>
      <c r="K193" s="349">
        <v>1.58</v>
      </c>
      <c r="L193" s="349">
        <v>1.64</v>
      </c>
      <c r="M193" s="349">
        <v>1.69</v>
      </c>
      <c r="N193" s="349">
        <v>1.73</v>
      </c>
      <c r="O193" s="349">
        <v>1.77</v>
      </c>
      <c r="P193" s="2303">
        <v>1.8</v>
      </c>
      <c r="Q193" s="349">
        <v>1.81</v>
      </c>
      <c r="R193" s="349">
        <v>1.82</v>
      </c>
      <c r="S193" s="349">
        <v>1.83</v>
      </c>
      <c r="T193" s="349">
        <v>1.84</v>
      </c>
      <c r="U193" s="349">
        <v>1.85</v>
      </c>
      <c r="V193" s="349">
        <v>1.84</v>
      </c>
      <c r="W193" s="349">
        <v>1.83</v>
      </c>
      <c r="X193" s="349">
        <v>1.82</v>
      </c>
      <c r="Y193" s="349">
        <v>1.82</v>
      </c>
      <c r="Z193" s="349">
        <v>1.81</v>
      </c>
      <c r="AA193" s="349">
        <v>1.8</v>
      </c>
      <c r="AB193" s="349">
        <v>1.79</v>
      </c>
      <c r="AC193" s="349">
        <v>1.77</v>
      </c>
      <c r="AD193" s="349">
        <v>1.76</v>
      </c>
      <c r="AE193" s="349">
        <v>1.75</v>
      </c>
      <c r="AF193" s="349">
        <v>1.74</v>
      </c>
      <c r="AG193" s="349">
        <v>1.73</v>
      </c>
      <c r="AH193" s="349">
        <v>1.72</v>
      </c>
      <c r="AI193" s="349">
        <v>1.71</v>
      </c>
      <c r="AJ193" s="349">
        <v>1.69</v>
      </c>
      <c r="AK193" s="349">
        <v>1.69</v>
      </c>
      <c r="AL193" s="349">
        <v>1.68</v>
      </c>
      <c r="AM193" s="349">
        <v>1.67</v>
      </c>
      <c r="AN193" s="349">
        <v>1.66</v>
      </c>
      <c r="AO193" s="349">
        <v>1.65</v>
      </c>
      <c r="AP193" s="349">
        <v>1.64</v>
      </c>
      <c r="AQ193" s="349">
        <v>1.63</v>
      </c>
      <c r="AR193" s="349">
        <v>1.62</v>
      </c>
      <c r="AS193" s="349">
        <v>1.61</v>
      </c>
      <c r="AT193" s="349">
        <v>1.6</v>
      </c>
      <c r="AU193" s="349">
        <v>1.59</v>
      </c>
      <c r="AV193" s="349">
        <v>1.58</v>
      </c>
      <c r="AW193" s="349">
        <v>1.57</v>
      </c>
      <c r="AX193" s="349">
        <v>1.56</v>
      </c>
      <c r="AY193" s="349">
        <v>1.56</v>
      </c>
    </row>
    <row r="194" spans="1:51">
      <c r="A194" s="761">
        <v>45412</v>
      </c>
      <c r="B194" s="349">
        <v>1.17</v>
      </c>
      <c r="C194" s="349">
        <v>1.19</v>
      </c>
      <c r="D194" s="349">
        <v>1.21</v>
      </c>
      <c r="E194" s="349">
        <v>1.26</v>
      </c>
      <c r="F194" s="349">
        <v>1.31</v>
      </c>
      <c r="G194" s="349">
        <v>1.37</v>
      </c>
      <c r="H194" s="349">
        <v>1.42</v>
      </c>
      <c r="I194" s="349">
        <v>1.49</v>
      </c>
      <c r="J194" s="349">
        <v>1.55</v>
      </c>
      <c r="K194" s="349">
        <v>1.61</v>
      </c>
      <c r="L194" s="349">
        <v>1.66</v>
      </c>
      <c r="M194" s="349">
        <v>1.71</v>
      </c>
      <c r="N194" s="349">
        <v>1.75</v>
      </c>
      <c r="O194" s="349">
        <v>1.79</v>
      </c>
      <c r="P194" s="2303">
        <v>1.82</v>
      </c>
      <c r="Q194" s="349">
        <v>1.83</v>
      </c>
      <c r="R194" s="349">
        <v>1.84</v>
      </c>
      <c r="S194" s="349">
        <v>1.85</v>
      </c>
      <c r="T194" s="349">
        <v>1.86</v>
      </c>
      <c r="U194" s="349">
        <v>1.86</v>
      </c>
      <c r="V194" s="349">
        <v>1.85</v>
      </c>
      <c r="W194" s="349">
        <v>1.85</v>
      </c>
      <c r="X194" s="349">
        <v>1.84</v>
      </c>
      <c r="Y194" s="349">
        <v>1.83</v>
      </c>
      <c r="Z194" s="349">
        <v>1.83</v>
      </c>
      <c r="AA194" s="349">
        <v>1.81</v>
      </c>
      <c r="AB194" s="349">
        <v>1.8</v>
      </c>
      <c r="AC194" s="349">
        <v>1.79</v>
      </c>
      <c r="AD194" s="349">
        <v>1.78</v>
      </c>
      <c r="AE194" s="349">
        <v>1.77</v>
      </c>
      <c r="AF194" s="349">
        <v>1.75</v>
      </c>
      <c r="AG194" s="349">
        <v>1.74</v>
      </c>
      <c r="AH194" s="349">
        <v>1.73</v>
      </c>
      <c r="AI194" s="349">
        <v>1.72</v>
      </c>
      <c r="AJ194" s="349">
        <v>1.71</v>
      </c>
      <c r="AK194" s="349">
        <v>1.7</v>
      </c>
      <c r="AL194" s="349">
        <v>1.69</v>
      </c>
      <c r="AM194" s="349">
        <v>1.68</v>
      </c>
      <c r="AN194" s="349">
        <v>1.67</v>
      </c>
      <c r="AO194" s="349">
        <v>1.66</v>
      </c>
      <c r="AP194" s="349">
        <v>1.65</v>
      </c>
      <c r="AQ194" s="349">
        <v>1.64</v>
      </c>
      <c r="AR194" s="349">
        <v>1.63</v>
      </c>
      <c r="AS194" s="349">
        <v>1.62</v>
      </c>
      <c r="AT194" s="349">
        <v>1.61</v>
      </c>
      <c r="AU194" s="349">
        <v>1.6</v>
      </c>
      <c r="AV194" s="349">
        <v>1.59</v>
      </c>
      <c r="AW194" s="349">
        <v>1.58</v>
      </c>
      <c r="AX194" s="349">
        <v>1.57</v>
      </c>
      <c r="AY194" s="349">
        <v>1.57</v>
      </c>
    </row>
    <row r="195" spans="1:51">
      <c r="A195" s="761">
        <v>45443</v>
      </c>
      <c r="B195" s="349">
        <v>1.22</v>
      </c>
      <c r="C195" s="349">
        <v>1.24</v>
      </c>
      <c r="D195" s="349">
        <v>1.25</v>
      </c>
      <c r="E195" s="349">
        <v>1.29</v>
      </c>
      <c r="F195" s="349">
        <v>1.34</v>
      </c>
      <c r="G195" s="349">
        <v>1.4</v>
      </c>
      <c r="H195" s="349">
        <v>1.45</v>
      </c>
      <c r="I195" s="349">
        <v>1.51</v>
      </c>
      <c r="J195" s="349">
        <v>1.57</v>
      </c>
      <c r="K195" s="349">
        <v>1.63</v>
      </c>
      <c r="L195" s="349">
        <v>1.69</v>
      </c>
      <c r="M195" s="349">
        <v>1.73</v>
      </c>
      <c r="N195" s="349">
        <v>1.77</v>
      </c>
      <c r="O195" s="349">
        <v>1.81</v>
      </c>
      <c r="P195" s="2303">
        <v>1.84</v>
      </c>
      <c r="Q195" s="349">
        <v>1.85</v>
      </c>
      <c r="R195" s="349">
        <v>1.86</v>
      </c>
      <c r="S195" s="349">
        <v>1.87</v>
      </c>
      <c r="T195" s="349">
        <v>1.87</v>
      </c>
      <c r="U195" s="349">
        <v>1.88</v>
      </c>
      <c r="V195" s="349">
        <v>1.87</v>
      </c>
      <c r="W195" s="349">
        <v>1.86</v>
      </c>
      <c r="X195" s="349">
        <v>1.85</v>
      </c>
      <c r="Y195" s="349">
        <v>1.85</v>
      </c>
      <c r="Z195" s="349">
        <v>1.84</v>
      </c>
      <c r="AA195" s="349">
        <v>1.83</v>
      </c>
      <c r="AB195" s="349">
        <v>1.81</v>
      </c>
      <c r="AC195" s="349">
        <v>1.8</v>
      </c>
      <c r="AD195" s="349">
        <v>1.79</v>
      </c>
      <c r="AE195" s="349">
        <v>1.78</v>
      </c>
      <c r="AF195" s="349">
        <v>1.77</v>
      </c>
      <c r="AG195" s="349">
        <v>1.75</v>
      </c>
      <c r="AH195" s="349">
        <v>1.74</v>
      </c>
      <c r="AI195" s="349">
        <v>1.73</v>
      </c>
      <c r="AJ195" s="349">
        <v>1.72</v>
      </c>
      <c r="AK195" s="349">
        <v>1.71</v>
      </c>
      <c r="AL195" s="349">
        <v>1.7</v>
      </c>
      <c r="AM195" s="349">
        <v>1.69</v>
      </c>
      <c r="AN195" s="349">
        <v>1.68</v>
      </c>
      <c r="AO195" s="349">
        <v>1.67</v>
      </c>
      <c r="AP195" s="349">
        <v>1.66</v>
      </c>
      <c r="AQ195" s="349">
        <v>1.65</v>
      </c>
      <c r="AR195" s="349">
        <v>1.64</v>
      </c>
      <c r="AS195" s="349">
        <v>1.63</v>
      </c>
      <c r="AT195" s="349">
        <v>1.62</v>
      </c>
      <c r="AU195" s="349">
        <v>1.61</v>
      </c>
      <c r="AV195" s="349">
        <v>1.6</v>
      </c>
      <c r="AW195" s="349">
        <v>1.59</v>
      </c>
      <c r="AX195" s="349">
        <v>1.58</v>
      </c>
      <c r="AY195" s="349">
        <v>1.57</v>
      </c>
    </row>
    <row r="196" spans="1:51">
      <c r="A196" s="761">
        <v>45473</v>
      </c>
      <c r="B196" s="349">
        <v>1.27</v>
      </c>
      <c r="C196" s="349">
        <v>1.28</v>
      </c>
      <c r="D196" s="349">
        <v>1.29</v>
      </c>
      <c r="E196" s="349">
        <v>1.33</v>
      </c>
      <c r="F196" s="349">
        <v>1.37</v>
      </c>
      <c r="G196" s="349">
        <v>1.43</v>
      </c>
      <c r="H196" s="349">
        <v>1.48</v>
      </c>
      <c r="I196" s="349">
        <v>1.54</v>
      </c>
      <c r="J196" s="349">
        <v>1.6</v>
      </c>
      <c r="K196" s="349">
        <v>1.66</v>
      </c>
      <c r="L196" s="349">
        <v>1.71</v>
      </c>
      <c r="M196" s="349">
        <v>1.76</v>
      </c>
      <c r="N196" s="349">
        <v>1.79</v>
      </c>
      <c r="O196" s="349">
        <v>1.83</v>
      </c>
      <c r="P196" s="2303">
        <v>1.86</v>
      </c>
      <c r="Q196" s="349">
        <v>1.87</v>
      </c>
      <c r="R196" s="349">
        <v>1.88</v>
      </c>
      <c r="S196" s="349">
        <v>1.88</v>
      </c>
      <c r="T196" s="349">
        <v>1.89</v>
      </c>
      <c r="U196" s="349">
        <v>1.89</v>
      </c>
      <c r="V196" s="349">
        <v>1.88</v>
      </c>
      <c r="W196" s="349">
        <v>1.88</v>
      </c>
      <c r="X196" s="349">
        <v>1.87</v>
      </c>
      <c r="Y196" s="349">
        <v>1.86</v>
      </c>
      <c r="Z196" s="349">
        <v>1.85</v>
      </c>
      <c r="AA196" s="349">
        <v>1.84</v>
      </c>
      <c r="AB196" s="349">
        <v>1.82</v>
      </c>
      <c r="AC196" s="349">
        <v>1.81</v>
      </c>
      <c r="AD196" s="349">
        <v>1.8</v>
      </c>
      <c r="AE196" s="349">
        <v>1.79</v>
      </c>
      <c r="AF196" s="349">
        <v>1.78</v>
      </c>
      <c r="AG196" s="349">
        <v>1.76</v>
      </c>
      <c r="AH196" s="349">
        <v>1.75</v>
      </c>
      <c r="AI196" s="349">
        <v>1.74</v>
      </c>
      <c r="AJ196" s="349">
        <v>1.73</v>
      </c>
      <c r="AK196" s="349">
        <v>1.72</v>
      </c>
      <c r="AL196" s="349">
        <v>1.71</v>
      </c>
      <c r="AM196" s="349">
        <v>1.7</v>
      </c>
      <c r="AN196" s="349">
        <v>1.69</v>
      </c>
      <c r="AO196" s="349">
        <v>1.68</v>
      </c>
      <c r="AP196" s="349">
        <v>1.67</v>
      </c>
      <c r="AQ196" s="349">
        <v>1.66</v>
      </c>
      <c r="AR196" s="349">
        <v>1.64</v>
      </c>
      <c r="AS196" s="349">
        <v>1.63</v>
      </c>
      <c r="AT196" s="349">
        <v>1.62</v>
      </c>
      <c r="AU196" s="349">
        <v>1.61</v>
      </c>
      <c r="AV196" s="349">
        <v>1.61</v>
      </c>
      <c r="AW196" s="349">
        <v>1.6</v>
      </c>
      <c r="AX196" s="349">
        <v>1.59</v>
      </c>
      <c r="AY196" s="349">
        <v>1.58</v>
      </c>
    </row>
    <row r="197" spans="1:51">
      <c r="A197" s="761">
        <v>45504</v>
      </c>
      <c r="B197" s="349">
        <v>1.31</v>
      </c>
      <c r="C197" s="349">
        <v>1.32</v>
      </c>
      <c r="D197" s="349">
        <v>1.32</v>
      </c>
      <c r="E197" s="349">
        <v>1.36</v>
      </c>
      <c r="F197" s="349">
        <v>1.4</v>
      </c>
      <c r="G197" s="349">
        <v>1.45</v>
      </c>
      <c r="H197" s="349">
        <v>1.51</v>
      </c>
      <c r="I197" s="349">
        <v>1.56</v>
      </c>
      <c r="J197" s="349">
        <v>1.62</v>
      </c>
      <c r="K197" s="349">
        <v>1.68</v>
      </c>
      <c r="L197" s="349">
        <v>1.73</v>
      </c>
      <c r="M197" s="349">
        <v>1.77</v>
      </c>
      <c r="N197" s="349">
        <v>1.81</v>
      </c>
      <c r="O197" s="349">
        <v>1.85</v>
      </c>
      <c r="P197" s="2303">
        <v>1.87</v>
      </c>
      <c r="Q197" s="349">
        <v>1.88</v>
      </c>
      <c r="R197" s="349">
        <v>1.89</v>
      </c>
      <c r="S197" s="349">
        <v>1.9</v>
      </c>
      <c r="T197" s="349">
        <v>1.9</v>
      </c>
      <c r="U197" s="349">
        <v>1.91</v>
      </c>
      <c r="V197" s="349">
        <v>1.9</v>
      </c>
      <c r="W197" s="349">
        <v>1.89</v>
      </c>
      <c r="X197" s="349">
        <v>1.88</v>
      </c>
      <c r="Y197" s="349">
        <v>1.87</v>
      </c>
      <c r="Z197" s="349">
        <v>1.86</v>
      </c>
      <c r="AA197" s="349">
        <v>1.85</v>
      </c>
      <c r="AB197" s="349">
        <v>1.83</v>
      </c>
      <c r="AC197" s="349">
        <v>1.82</v>
      </c>
      <c r="AD197" s="349">
        <v>1.81</v>
      </c>
      <c r="AE197" s="349">
        <v>1.8</v>
      </c>
      <c r="AF197" s="349">
        <v>1.78</v>
      </c>
      <c r="AG197" s="349">
        <v>1.77</v>
      </c>
      <c r="AH197" s="349">
        <v>1.76</v>
      </c>
      <c r="AI197" s="349">
        <v>1.75</v>
      </c>
      <c r="AJ197" s="349">
        <v>1.73</v>
      </c>
      <c r="AK197" s="349">
        <v>1.72</v>
      </c>
      <c r="AL197" s="349">
        <v>1.71</v>
      </c>
      <c r="AM197" s="349">
        <v>1.7</v>
      </c>
      <c r="AN197" s="349">
        <v>1.69</v>
      </c>
      <c r="AO197" s="349">
        <v>1.69</v>
      </c>
      <c r="AP197" s="349">
        <v>1.67</v>
      </c>
      <c r="AQ197" s="349">
        <v>1.66</v>
      </c>
      <c r="AR197" s="349">
        <v>1.65</v>
      </c>
      <c r="AS197" s="349">
        <v>1.64</v>
      </c>
      <c r="AT197" s="349">
        <v>1.63</v>
      </c>
      <c r="AU197" s="349">
        <v>1.62</v>
      </c>
      <c r="AV197" s="349">
        <v>1.61</v>
      </c>
      <c r="AW197" s="349">
        <v>1.6</v>
      </c>
      <c r="AX197" s="349">
        <v>1.59</v>
      </c>
      <c r="AY197" s="349">
        <v>1.59</v>
      </c>
    </row>
    <row r="198" spans="1:51">
      <c r="A198" s="761">
        <v>45535</v>
      </c>
      <c r="B198" s="349">
        <v>1.35</v>
      </c>
      <c r="C198" s="349">
        <v>1.35</v>
      </c>
      <c r="D198" s="349">
        <v>1.36</v>
      </c>
      <c r="E198" s="349">
        <v>1.39</v>
      </c>
      <c r="F198" s="349">
        <v>1.43</v>
      </c>
      <c r="G198" s="349">
        <v>1.48</v>
      </c>
      <c r="H198" s="349">
        <v>1.53</v>
      </c>
      <c r="I198" s="349">
        <v>1.59</v>
      </c>
      <c r="J198" s="349">
        <v>1.64</v>
      </c>
      <c r="K198" s="349">
        <v>1.7</v>
      </c>
      <c r="L198" s="349">
        <v>1.75</v>
      </c>
      <c r="M198" s="349">
        <v>1.79</v>
      </c>
      <c r="N198" s="349">
        <v>1.83</v>
      </c>
      <c r="O198" s="349">
        <v>1.86</v>
      </c>
      <c r="P198" s="2303">
        <v>1.89</v>
      </c>
      <c r="Q198" s="349">
        <v>1.9</v>
      </c>
      <c r="R198" s="349">
        <v>1.91</v>
      </c>
      <c r="S198" s="349">
        <v>1.91</v>
      </c>
      <c r="T198" s="349">
        <v>1.92</v>
      </c>
      <c r="U198" s="349">
        <v>1.92</v>
      </c>
      <c r="V198" s="349">
        <v>1.91</v>
      </c>
      <c r="W198" s="349">
        <v>1.9</v>
      </c>
      <c r="X198" s="349">
        <v>1.89</v>
      </c>
      <c r="Y198" s="349">
        <v>1.88</v>
      </c>
      <c r="Z198" s="349">
        <v>1.88</v>
      </c>
      <c r="AA198" s="349">
        <v>1.86</v>
      </c>
      <c r="AB198" s="349">
        <v>1.85</v>
      </c>
      <c r="AC198" s="349">
        <v>1.83</v>
      </c>
      <c r="AD198" s="349">
        <v>1.82</v>
      </c>
      <c r="AE198" s="349">
        <v>1.81</v>
      </c>
      <c r="AF198" s="349">
        <v>1.8</v>
      </c>
      <c r="AG198" s="349">
        <v>1.78</v>
      </c>
      <c r="AH198" s="349">
        <v>1.77</v>
      </c>
      <c r="AI198" s="349">
        <v>1.76</v>
      </c>
      <c r="AJ198" s="349">
        <v>1.74</v>
      </c>
      <c r="AK198" s="349">
        <v>1.73</v>
      </c>
      <c r="AL198" s="349">
        <v>1.72</v>
      </c>
      <c r="AM198" s="349">
        <v>1.71</v>
      </c>
      <c r="AN198" s="349">
        <v>1.7</v>
      </c>
      <c r="AO198" s="349">
        <v>1.7</v>
      </c>
      <c r="AP198" s="349">
        <v>1.68</v>
      </c>
      <c r="AQ198" s="349">
        <v>1.67</v>
      </c>
      <c r="AR198" s="349">
        <v>1.66</v>
      </c>
      <c r="AS198" s="349">
        <v>1.65</v>
      </c>
      <c r="AT198" s="349">
        <v>1.64</v>
      </c>
      <c r="AU198" s="349">
        <v>1.63</v>
      </c>
      <c r="AV198" s="349">
        <v>1.62</v>
      </c>
      <c r="AW198" s="349">
        <v>1.61</v>
      </c>
      <c r="AX198" s="349">
        <v>1.6</v>
      </c>
      <c r="AY198" s="349">
        <v>1.59</v>
      </c>
    </row>
    <row r="199" spans="1:51">
      <c r="A199" s="761">
        <v>45565</v>
      </c>
      <c r="B199" s="349">
        <v>1.39</v>
      </c>
      <c r="C199" s="349">
        <v>1.38</v>
      </c>
      <c r="D199" s="349">
        <v>1.39</v>
      </c>
      <c r="E199" s="349">
        <v>1.42</v>
      </c>
      <c r="F199" s="349">
        <v>1.46</v>
      </c>
      <c r="G199" s="349">
        <v>1.51</v>
      </c>
      <c r="H199" s="349">
        <v>1.56</v>
      </c>
      <c r="I199" s="349">
        <v>1.61</v>
      </c>
      <c r="J199" s="349">
        <v>1.67</v>
      </c>
      <c r="K199" s="349">
        <v>1.72</v>
      </c>
      <c r="L199" s="349">
        <v>1.77</v>
      </c>
      <c r="M199" s="349">
        <v>1.81</v>
      </c>
      <c r="N199" s="349">
        <v>1.85</v>
      </c>
      <c r="O199" s="349">
        <v>1.88</v>
      </c>
      <c r="P199" s="2303">
        <v>1.91</v>
      </c>
      <c r="Q199" s="349">
        <v>1.92</v>
      </c>
      <c r="R199" s="349">
        <v>1.92</v>
      </c>
      <c r="S199" s="349">
        <v>1.93</v>
      </c>
      <c r="T199" s="349">
        <v>1.93</v>
      </c>
      <c r="U199" s="349">
        <v>1.94</v>
      </c>
      <c r="V199" s="349">
        <v>1.93</v>
      </c>
      <c r="W199" s="349">
        <v>1.92</v>
      </c>
      <c r="X199" s="349">
        <v>1.91</v>
      </c>
      <c r="Y199" s="349">
        <v>1.9</v>
      </c>
      <c r="Z199" s="349">
        <v>1.89</v>
      </c>
      <c r="AA199" s="349">
        <v>1.87</v>
      </c>
      <c r="AB199" s="349">
        <v>1.86</v>
      </c>
      <c r="AC199" s="349">
        <v>1.84</v>
      </c>
      <c r="AD199" s="349">
        <v>1.83</v>
      </c>
      <c r="AE199" s="349">
        <v>1.82</v>
      </c>
      <c r="AF199" s="349">
        <v>1.81</v>
      </c>
      <c r="AG199" s="349">
        <v>1.79</v>
      </c>
      <c r="AH199" s="349">
        <v>1.78</v>
      </c>
      <c r="AI199" s="349">
        <v>1.77</v>
      </c>
      <c r="AJ199" s="349">
        <v>1.75</v>
      </c>
      <c r="AK199" s="349">
        <v>1.74</v>
      </c>
      <c r="AL199" s="349">
        <v>1.73</v>
      </c>
      <c r="AM199" s="349">
        <v>1.72</v>
      </c>
      <c r="AN199" s="349">
        <v>1.71</v>
      </c>
      <c r="AO199" s="349">
        <v>1.7</v>
      </c>
      <c r="AP199" s="349">
        <v>1.69</v>
      </c>
      <c r="AQ199" s="349">
        <v>1.68</v>
      </c>
      <c r="AR199" s="349">
        <v>1.67</v>
      </c>
      <c r="AS199" s="349">
        <v>1.66</v>
      </c>
      <c r="AT199" s="349">
        <v>1.65</v>
      </c>
      <c r="AU199" s="349">
        <v>1.64</v>
      </c>
      <c r="AV199" s="349">
        <v>1.63</v>
      </c>
      <c r="AW199" s="349">
        <v>1.62</v>
      </c>
      <c r="AX199" s="349">
        <v>1.61</v>
      </c>
      <c r="AY199" s="349">
        <v>1.6</v>
      </c>
    </row>
    <row r="200" spans="1:51">
      <c r="A200" s="761">
        <v>45596</v>
      </c>
      <c r="B200" s="349">
        <v>1.43</v>
      </c>
      <c r="C200" s="349">
        <v>1.42</v>
      </c>
      <c r="D200" s="349">
        <v>1.42</v>
      </c>
      <c r="E200" s="349">
        <v>1.45</v>
      </c>
      <c r="F200" s="349">
        <v>1.49</v>
      </c>
      <c r="G200" s="349">
        <v>1.54</v>
      </c>
      <c r="H200" s="349">
        <v>1.58</v>
      </c>
      <c r="I200" s="349">
        <v>1.64</v>
      </c>
      <c r="J200" s="349">
        <v>1.69</v>
      </c>
      <c r="K200" s="349">
        <v>1.74</v>
      </c>
      <c r="L200" s="349">
        <v>1.79</v>
      </c>
      <c r="M200" s="349">
        <v>1.83</v>
      </c>
      <c r="N200" s="349">
        <v>1.87</v>
      </c>
      <c r="O200" s="349">
        <v>1.9</v>
      </c>
      <c r="P200" s="2303">
        <v>1.93</v>
      </c>
      <c r="Q200" s="349">
        <v>1.93</v>
      </c>
      <c r="R200" s="349">
        <v>1.94</v>
      </c>
      <c r="S200" s="349">
        <v>1.94</v>
      </c>
      <c r="T200" s="349">
        <v>1.95</v>
      </c>
      <c r="U200" s="349">
        <v>1.95</v>
      </c>
      <c r="V200" s="349">
        <v>1.94</v>
      </c>
      <c r="W200" s="349">
        <v>1.93</v>
      </c>
      <c r="X200" s="349">
        <v>1.92</v>
      </c>
      <c r="Y200" s="349">
        <v>1.91</v>
      </c>
      <c r="Z200" s="349">
        <v>1.9</v>
      </c>
      <c r="AA200" s="349">
        <v>1.88</v>
      </c>
      <c r="AB200" s="349">
        <v>1.87</v>
      </c>
      <c r="AC200" s="349">
        <v>1.86</v>
      </c>
      <c r="AD200" s="349">
        <v>1.84</v>
      </c>
      <c r="AE200" s="349">
        <v>1.83</v>
      </c>
      <c r="AF200" s="349">
        <v>1.82</v>
      </c>
      <c r="AG200" s="349">
        <v>1.8</v>
      </c>
      <c r="AH200" s="349">
        <v>1.79</v>
      </c>
      <c r="AI200" s="349">
        <v>1.77</v>
      </c>
      <c r="AJ200" s="349">
        <v>1.76</v>
      </c>
      <c r="AK200" s="349">
        <v>1.75</v>
      </c>
      <c r="AL200" s="349">
        <v>1.74</v>
      </c>
      <c r="AM200" s="349">
        <v>1.73</v>
      </c>
      <c r="AN200" s="349">
        <v>1.72</v>
      </c>
      <c r="AO200" s="349">
        <v>1.71</v>
      </c>
      <c r="AP200" s="349">
        <v>1.7</v>
      </c>
      <c r="AQ200" s="349">
        <v>1.69</v>
      </c>
      <c r="AR200" s="349">
        <v>1.67</v>
      </c>
      <c r="AS200" s="349">
        <v>1.66</v>
      </c>
      <c r="AT200" s="349">
        <v>1.65</v>
      </c>
      <c r="AU200" s="349">
        <v>1.64</v>
      </c>
      <c r="AV200" s="349">
        <v>1.63</v>
      </c>
      <c r="AW200" s="349">
        <v>1.62</v>
      </c>
      <c r="AX200" s="349">
        <v>1.61</v>
      </c>
      <c r="AY200" s="349">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2300">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2300">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1">
        <v>45688</v>
      </c>
      <c r="B203" s="349">
        <v>1.54</v>
      </c>
      <c r="C203" s="349">
        <v>1.52</v>
      </c>
      <c r="D203" s="349">
        <v>1.51</v>
      </c>
      <c r="E203" s="349">
        <v>1.53</v>
      </c>
      <c r="F203" s="349">
        <v>1.57</v>
      </c>
      <c r="G203" s="349">
        <v>1.61</v>
      </c>
      <c r="H203" s="349">
        <v>1.66</v>
      </c>
      <c r="I203" s="349">
        <v>1.71</v>
      </c>
      <c r="J203" s="349">
        <v>1.76</v>
      </c>
      <c r="K203" s="349">
        <v>1.81</v>
      </c>
      <c r="L203" s="349">
        <v>1.85</v>
      </c>
      <c r="M203" s="349">
        <v>1.89</v>
      </c>
      <c r="N203" s="349">
        <v>1.93</v>
      </c>
      <c r="O203" s="349">
        <v>1.96</v>
      </c>
      <c r="P203" s="2303">
        <v>1.98</v>
      </c>
      <c r="Q203" s="349">
        <v>1.98</v>
      </c>
      <c r="R203" s="349">
        <v>1.99</v>
      </c>
      <c r="S203" s="349">
        <v>1.99</v>
      </c>
      <c r="T203" s="349">
        <v>1.99</v>
      </c>
      <c r="U203" s="349">
        <v>2</v>
      </c>
      <c r="V203" s="349">
        <v>1.98</v>
      </c>
      <c r="W203" s="349">
        <v>1.97</v>
      </c>
      <c r="X203" s="349">
        <v>1.96</v>
      </c>
      <c r="Y203" s="349">
        <v>1.95</v>
      </c>
      <c r="Z203" s="349">
        <v>1.94</v>
      </c>
      <c r="AA203" s="349">
        <v>1.92</v>
      </c>
      <c r="AB203" s="349">
        <v>1.9</v>
      </c>
      <c r="AC203" s="349">
        <v>1.89</v>
      </c>
      <c r="AD203" s="349">
        <v>1.88</v>
      </c>
      <c r="AE203" s="349">
        <v>1.86</v>
      </c>
      <c r="AF203" s="349">
        <v>1.85</v>
      </c>
      <c r="AG203" s="349">
        <v>1.83</v>
      </c>
      <c r="AH203" s="349">
        <v>1.82</v>
      </c>
      <c r="AI203" s="349">
        <v>1.8</v>
      </c>
      <c r="AJ203" s="349">
        <v>1.79</v>
      </c>
      <c r="AK203" s="349">
        <v>1.78</v>
      </c>
      <c r="AL203" s="349">
        <v>1.77</v>
      </c>
      <c r="AM203" s="349">
        <v>1.76</v>
      </c>
      <c r="AN203" s="349">
        <v>1.75</v>
      </c>
      <c r="AO203" s="349">
        <v>1.74</v>
      </c>
      <c r="AP203" s="349">
        <v>1.72</v>
      </c>
      <c r="AQ203" s="349">
        <v>1.71</v>
      </c>
      <c r="AR203" s="349">
        <v>1.7</v>
      </c>
      <c r="AS203" s="349">
        <v>1.69</v>
      </c>
      <c r="AT203" s="349">
        <v>1.68</v>
      </c>
      <c r="AU203" s="349">
        <v>1.66</v>
      </c>
      <c r="AV203" s="349">
        <v>1.65</v>
      </c>
      <c r="AW203" s="349">
        <v>1.64</v>
      </c>
      <c r="AX203" s="349">
        <v>1.64</v>
      </c>
      <c r="AY203" s="349">
        <v>1.63</v>
      </c>
    </row>
    <row r="204" spans="1:51">
      <c r="A204" s="761">
        <v>45716</v>
      </c>
      <c r="B204" s="349">
        <v>1.57</v>
      </c>
      <c r="C204" s="349">
        <v>1.55</v>
      </c>
      <c r="D204" s="349">
        <v>1.54</v>
      </c>
      <c r="E204" s="349">
        <v>1.56</v>
      </c>
      <c r="F204" s="349">
        <v>1.6</v>
      </c>
      <c r="G204" s="349">
        <v>1.64</v>
      </c>
      <c r="H204" s="349">
        <v>1.68</v>
      </c>
      <c r="I204" s="349">
        <v>1.73</v>
      </c>
      <c r="J204" s="349">
        <v>1.78</v>
      </c>
      <c r="K204" s="349">
        <v>1.83</v>
      </c>
      <c r="L204" s="349">
        <v>1.87</v>
      </c>
      <c r="M204" s="349">
        <v>1.91</v>
      </c>
      <c r="N204" s="349">
        <v>1.94</v>
      </c>
      <c r="O204" s="349">
        <v>1.97</v>
      </c>
      <c r="P204" s="2303">
        <v>2</v>
      </c>
      <c r="Q204" s="349">
        <v>2</v>
      </c>
      <c r="R204" s="349">
        <v>2</v>
      </c>
      <c r="S204" s="349">
        <v>2.0099999999999998</v>
      </c>
      <c r="T204" s="349">
        <v>2.0099999999999998</v>
      </c>
      <c r="U204" s="349">
        <v>2.0099999999999998</v>
      </c>
      <c r="V204" s="349">
        <v>2</v>
      </c>
      <c r="W204" s="349">
        <v>1.98</v>
      </c>
      <c r="X204" s="349">
        <v>1.97</v>
      </c>
      <c r="Y204" s="349">
        <v>1.96</v>
      </c>
      <c r="Z204" s="349">
        <v>1.95</v>
      </c>
      <c r="AA204" s="349">
        <v>1.93</v>
      </c>
      <c r="AB204" s="349">
        <v>1.92</v>
      </c>
      <c r="AC204" s="349">
        <v>1.9</v>
      </c>
      <c r="AD204" s="349">
        <v>1.89</v>
      </c>
      <c r="AE204" s="349">
        <v>1.87</v>
      </c>
      <c r="AF204" s="349">
        <v>1.86</v>
      </c>
      <c r="AG204" s="349">
        <v>1.84</v>
      </c>
      <c r="AH204" s="349">
        <v>1.83</v>
      </c>
      <c r="AI204" s="349">
        <v>1.81</v>
      </c>
      <c r="AJ204" s="349">
        <v>1.8</v>
      </c>
      <c r="AK204" s="349">
        <v>1.79</v>
      </c>
      <c r="AL204" s="349">
        <v>1.78</v>
      </c>
      <c r="AM204" s="349">
        <v>1.77</v>
      </c>
      <c r="AN204" s="349">
        <v>1.76</v>
      </c>
      <c r="AO204" s="349">
        <v>1.75</v>
      </c>
      <c r="AP204" s="349">
        <v>1.73</v>
      </c>
      <c r="AQ204" s="349">
        <v>1.72</v>
      </c>
      <c r="AR204" s="349">
        <v>1.71</v>
      </c>
      <c r="AS204" s="349">
        <v>1.7</v>
      </c>
      <c r="AT204" s="349">
        <v>1.69</v>
      </c>
      <c r="AU204" s="349">
        <v>1.68</v>
      </c>
      <c r="AV204" s="349">
        <v>1.66</v>
      </c>
      <c r="AW204" s="349">
        <v>1.65</v>
      </c>
      <c r="AX204" s="349">
        <v>1.65</v>
      </c>
      <c r="AY204" s="349">
        <v>1.64</v>
      </c>
    </row>
    <row r="205" spans="1:51">
      <c r="A205" s="761">
        <v>45747</v>
      </c>
      <c r="B205" s="349">
        <v>1.61</v>
      </c>
      <c r="C205" s="349">
        <v>1.58</v>
      </c>
      <c r="D205" s="349">
        <v>1.57</v>
      </c>
      <c r="E205" s="349">
        <v>1.59</v>
      </c>
      <c r="F205" s="349">
        <v>1.63</v>
      </c>
      <c r="G205" s="349">
        <v>1.67</v>
      </c>
      <c r="H205" s="349">
        <v>1.71</v>
      </c>
      <c r="I205" s="349">
        <v>1.76</v>
      </c>
      <c r="J205" s="349">
        <v>1.8</v>
      </c>
      <c r="K205" s="349">
        <v>1.85</v>
      </c>
      <c r="L205" s="349">
        <v>1.9</v>
      </c>
      <c r="M205" s="349">
        <v>1.93</v>
      </c>
      <c r="N205" s="349">
        <v>1.97</v>
      </c>
      <c r="O205" s="349">
        <v>1.99</v>
      </c>
      <c r="P205" s="2303">
        <v>2.02</v>
      </c>
      <c r="Q205" s="349">
        <v>2.02</v>
      </c>
      <c r="R205" s="349">
        <v>2.02</v>
      </c>
      <c r="S205" s="349">
        <v>2.0299999999999998</v>
      </c>
      <c r="T205" s="349">
        <v>2.0299999999999998</v>
      </c>
      <c r="U205" s="349">
        <v>2.0299999999999998</v>
      </c>
      <c r="V205" s="349">
        <v>2.02</v>
      </c>
      <c r="W205" s="349">
        <v>2</v>
      </c>
      <c r="X205" s="349">
        <v>1.99</v>
      </c>
      <c r="Y205" s="349">
        <v>1.98</v>
      </c>
      <c r="Z205" s="349">
        <v>1.97</v>
      </c>
      <c r="AA205" s="349">
        <v>1.95</v>
      </c>
      <c r="AB205" s="349">
        <v>1.93</v>
      </c>
      <c r="AC205" s="349">
        <v>1.92</v>
      </c>
      <c r="AD205" s="349">
        <v>1.91</v>
      </c>
      <c r="AE205" s="349">
        <v>1.89</v>
      </c>
      <c r="AF205" s="349">
        <v>1.88</v>
      </c>
      <c r="AG205" s="349">
        <v>1.86</v>
      </c>
      <c r="AH205" s="349">
        <v>1.85</v>
      </c>
      <c r="AI205" s="349">
        <v>1.83</v>
      </c>
      <c r="AJ205" s="349">
        <v>1.82</v>
      </c>
      <c r="AK205" s="349">
        <v>1.81</v>
      </c>
      <c r="AL205" s="349">
        <v>1.8</v>
      </c>
      <c r="AM205" s="349">
        <v>1.78</v>
      </c>
      <c r="AN205" s="349">
        <v>1.77</v>
      </c>
      <c r="AO205" s="349">
        <v>1.76</v>
      </c>
      <c r="AP205" s="349">
        <v>1.75</v>
      </c>
      <c r="AQ205" s="349">
        <v>1.74</v>
      </c>
      <c r="AR205" s="349">
        <v>1.72</v>
      </c>
      <c r="AS205" s="349">
        <v>1.71</v>
      </c>
      <c r="AT205" s="349">
        <v>1.7</v>
      </c>
      <c r="AU205" s="349">
        <v>1.69</v>
      </c>
      <c r="AV205" s="349">
        <v>1.68</v>
      </c>
      <c r="AW205" s="349">
        <v>1.67</v>
      </c>
      <c r="AX205" s="349">
        <v>1.66</v>
      </c>
      <c r="AY205" s="349">
        <v>1.65</v>
      </c>
    </row>
    <row r="206" spans="1:51">
      <c r="A206" s="761">
        <v>45777</v>
      </c>
      <c r="B206" s="349">
        <v>1.64</v>
      </c>
      <c r="C206" s="349">
        <v>1.61</v>
      </c>
      <c r="D206" s="349">
        <v>1.6</v>
      </c>
      <c r="E206" s="349">
        <v>1.62</v>
      </c>
      <c r="F206" s="349">
        <v>1.65</v>
      </c>
      <c r="G206" s="349">
        <v>1.69</v>
      </c>
      <c r="H206" s="349">
        <v>1.73</v>
      </c>
      <c r="I206" s="349">
        <v>1.78</v>
      </c>
      <c r="J206" s="349">
        <v>1.83</v>
      </c>
      <c r="K206" s="349">
        <v>1.87</v>
      </c>
      <c r="L206" s="349">
        <v>1.92</v>
      </c>
      <c r="M206" s="349">
        <v>1.96</v>
      </c>
      <c r="N206" s="349">
        <v>1.99</v>
      </c>
      <c r="O206" s="349">
        <v>2.02</v>
      </c>
      <c r="P206" s="2303">
        <v>2.04</v>
      </c>
      <c r="Q206" s="349">
        <v>2.04</v>
      </c>
      <c r="R206" s="349">
        <v>2.04</v>
      </c>
      <c r="S206" s="349">
        <v>2.0499999999999998</v>
      </c>
      <c r="T206" s="349">
        <v>2.0499999999999998</v>
      </c>
      <c r="U206" s="349">
        <v>2.0499999999999998</v>
      </c>
      <c r="V206" s="349">
        <v>2.0299999999999998</v>
      </c>
      <c r="W206" s="349">
        <v>2.02</v>
      </c>
      <c r="X206" s="349">
        <v>2.0099999999999998</v>
      </c>
      <c r="Y206" s="349">
        <v>2</v>
      </c>
      <c r="Z206" s="349">
        <v>1.99</v>
      </c>
      <c r="AA206" s="349">
        <v>1.97</v>
      </c>
      <c r="AB206" s="349">
        <v>1.95</v>
      </c>
      <c r="AC206" s="349">
        <v>1.94</v>
      </c>
      <c r="AD206" s="349">
        <v>1.92</v>
      </c>
      <c r="AE206" s="349">
        <v>1.91</v>
      </c>
      <c r="AF206" s="349">
        <v>1.89</v>
      </c>
      <c r="AG206" s="349">
        <v>1.88</v>
      </c>
      <c r="AH206" s="349">
        <v>1.86</v>
      </c>
      <c r="AI206" s="349">
        <v>1.85</v>
      </c>
      <c r="AJ206" s="349">
        <v>1.83</v>
      </c>
      <c r="AK206" s="349">
        <v>1.82</v>
      </c>
      <c r="AL206" s="349">
        <v>1.81</v>
      </c>
      <c r="AM206" s="349">
        <v>1.8</v>
      </c>
      <c r="AN206" s="349">
        <v>1.79</v>
      </c>
      <c r="AO206" s="349">
        <v>1.78</v>
      </c>
      <c r="AP206" s="349">
        <v>1.76</v>
      </c>
      <c r="AQ206" s="349">
        <v>1.75</v>
      </c>
      <c r="AR206" s="349">
        <v>1.74</v>
      </c>
      <c r="AS206" s="349">
        <v>1.73</v>
      </c>
      <c r="AT206" s="349">
        <v>1.72</v>
      </c>
      <c r="AU206" s="349">
        <v>1.71</v>
      </c>
      <c r="AV206" s="349">
        <v>1.69</v>
      </c>
      <c r="AW206" s="349">
        <v>1.68</v>
      </c>
      <c r="AX206" s="349">
        <v>1.68</v>
      </c>
      <c r="AY206" s="349">
        <v>1.67</v>
      </c>
    </row>
    <row r="207" spans="1:51">
      <c r="A207" s="761">
        <v>45808</v>
      </c>
      <c r="B207" s="349">
        <v>1.67</v>
      </c>
      <c r="C207" s="349">
        <v>1.64</v>
      </c>
      <c r="D207" s="349">
        <v>1.63</v>
      </c>
      <c r="E207" s="349">
        <v>1.65</v>
      </c>
      <c r="F207" s="349">
        <v>1.68</v>
      </c>
      <c r="G207" s="349">
        <v>1.72</v>
      </c>
      <c r="H207" s="349">
        <v>1.76</v>
      </c>
      <c r="I207" s="349">
        <v>1.8</v>
      </c>
      <c r="J207" s="349">
        <v>1.85</v>
      </c>
      <c r="K207" s="349">
        <v>1.9</v>
      </c>
      <c r="L207" s="349">
        <v>1.94</v>
      </c>
      <c r="M207" s="349">
        <v>1.98</v>
      </c>
      <c r="N207" s="349">
        <v>2.0099999999999998</v>
      </c>
      <c r="O207" s="349">
        <v>2.04</v>
      </c>
      <c r="P207" s="2303">
        <v>2.06</v>
      </c>
      <c r="Q207" s="349">
        <v>2.06</v>
      </c>
      <c r="R207" s="349">
        <v>2.06</v>
      </c>
      <c r="S207" s="349">
        <v>2.0699999999999998</v>
      </c>
      <c r="T207" s="349">
        <v>2.0699999999999998</v>
      </c>
      <c r="U207" s="349">
        <v>2.0699999999999998</v>
      </c>
      <c r="V207" s="349">
        <v>2.0499999999999998</v>
      </c>
      <c r="W207" s="349">
        <v>2.04</v>
      </c>
      <c r="X207" s="349">
        <v>2.0299999999999998</v>
      </c>
      <c r="Y207" s="349">
        <v>2.0099999999999998</v>
      </c>
      <c r="Z207" s="349">
        <v>2</v>
      </c>
      <c r="AA207" s="349">
        <v>1.99</v>
      </c>
      <c r="AB207" s="349">
        <v>1.97</v>
      </c>
      <c r="AC207" s="349">
        <v>1.95</v>
      </c>
      <c r="AD207" s="349">
        <v>1.94</v>
      </c>
      <c r="AE207" s="349">
        <v>1.92</v>
      </c>
      <c r="AF207" s="349">
        <v>1.91</v>
      </c>
      <c r="AG207" s="349">
        <v>1.89</v>
      </c>
      <c r="AH207" s="349">
        <v>1.88</v>
      </c>
      <c r="AI207" s="349">
        <v>1.86</v>
      </c>
      <c r="AJ207" s="349">
        <v>1.85</v>
      </c>
      <c r="AK207" s="349">
        <v>1.84</v>
      </c>
      <c r="AL207" s="349">
        <v>1.83</v>
      </c>
      <c r="AM207" s="349">
        <v>1.82</v>
      </c>
      <c r="AN207" s="349">
        <v>1.81</v>
      </c>
      <c r="AO207" s="349">
        <v>1.8</v>
      </c>
      <c r="AP207" s="349">
        <v>1.78</v>
      </c>
      <c r="AQ207" s="349">
        <v>1.77</v>
      </c>
      <c r="AR207" s="349">
        <v>1.76</v>
      </c>
      <c r="AS207" s="349">
        <v>1.74</v>
      </c>
      <c r="AT207" s="349">
        <v>1.73</v>
      </c>
      <c r="AU207" s="349">
        <v>1.72</v>
      </c>
      <c r="AV207" s="349">
        <v>1.71</v>
      </c>
      <c r="AW207" s="349">
        <v>1.7</v>
      </c>
      <c r="AX207" s="349">
        <v>1.69</v>
      </c>
      <c r="AY207" s="349">
        <v>1.68</v>
      </c>
    </row>
    <row r="208" spans="1:51">
      <c r="A208" s="761">
        <v>45838</v>
      </c>
      <c r="B208" s="349">
        <v>1.7</v>
      </c>
      <c r="C208" s="349">
        <v>1.67</v>
      </c>
      <c r="D208" s="349">
        <v>1.66</v>
      </c>
      <c r="E208" s="349">
        <v>1.68</v>
      </c>
      <c r="F208" s="349">
        <v>1.71</v>
      </c>
      <c r="G208" s="349">
        <v>1.74</v>
      </c>
      <c r="H208" s="349">
        <v>1.78</v>
      </c>
      <c r="I208" s="349">
        <v>1.83</v>
      </c>
      <c r="J208" s="349">
        <v>1.88</v>
      </c>
      <c r="K208" s="349">
        <v>1.92</v>
      </c>
      <c r="L208" s="349">
        <v>1.97</v>
      </c>
      <c r="M208" s="349">
        <v>2</v>
      </c>
      <c r="N208" s="349">
        <v>2.0299999999999998</v>
      </c>
      <c r="O208" s="349">
        <v>2.06</v>
      </c>
      <c r="P208" s="2303">
        <v>2.08</v>
      </c>
      <c r="Q208" s="349">
        <v>2.08</v>
      </c>
      <c r="R208" s="349">
        <v>2.09</v>
      </c>
      <c r="S208" s="349">
        <v>2.09</v>
      </c>
      <c r="T208" s="349">
        <v>2.09</v>
      </c>
      <c r="U208" s="349">
        <v>2.09</v>
      </c>
      <c r="V208" s="349">
        <v>2.0699999999999998</v>
      </c>
      <c r="W208" s="349">
        <v>2.06</v>
      </c>
      <c r="X208" s="349">
        <v>2.0499999999999998</v>
      </c>
      <c r="Y208" s="349">
        <v>2.0299999999999998</v>
      </c>
      <c r="Z208" s="349">
        <v>2.02</v>
      </c>
      <c r="AA208" s="349">
        <v>2</v>
      </c>
      <c r="AB208" s="349">
        <v>1.99</v>
      </c>
      <c r="AC208" s="349">
        <v>1.97</v>
      </c>
      <c r="AD208" s="349">
        <v>1.96</v>
      </c>
      <c r="AE208" s="349">
        <v>1.94</v>
      </c>
      <c r="AF208" s="349">
        <v>1.93</v>
      </c>
      <c r="AG208" s="349">
        <v>1.91</v>
      </c>
      <c r="AH208" s="349">
        <v>1.9</v>
      </c>
      <c r="AI208" s="349">
        <v>1.88</v>
      </c>
      <c r="AJ208" s="349">
        <v>1.87</v>
      </c>
      <c r="AK208" s="349">
        <v>1.86</v>
      </c>
      <c r="AL208" s="349">
        <v>1.85</v>
      </c>
      <c r="AM208" s="349">
        <v>1.83</v>
      </c>
      <c r="AN208" s="349">
        <v>1.82</v>
      </c>
      <c r="AO208" s="349">
        <v>1.81</v>
      </c>
      <c r="AP208" s="349">
        <v>1.8</v>
      </c>
      <c r="AQ208" s="349">
        <v>1.79</v>
      </c>
      <c r="AR208" s="349">
        <v>1.77</v>
      </c>
      <c r="AS208" s="349">
        <v>1.76</v>
      </c>
      <c r="AT208" s="349">
        <v>1.75</v>
      </c>
      <c r="AU208" s="349">
        <v>1.74</v>
      </c>
      <c r="AV208" s="349">
        <v>1.73</v>
      </c>
      <c r="AW208" s="349">
        <v>1.72</v>
      </c>
      <c r="AX208" s="349">
        <v>1.71</v>
      </c>
      <c r="AY208" s="349">
        <v>1.7</v>
      </c>
    </row>
    <row r="209" spans="1:51">
      <c r="A209" s="2274">
        <v>45869</v>
      </c>
      <c r="B209" s="2273">
        <v>1.73</v>
      </c>
      <c r="C209" s="2273">
        <v>1.7</v>
      </c>
      <c r="D209" s="2273">
        <v>1.69</v>
      </c>
      <c r="E209" s="2273">
        <v>1.7</v>
      </c>
      <c r="F209" s="2273">
        <v>1.73</v>
      </c>
      <c r="G209" s="2273">
        <v>1.77</v>
      </c>
      <c r="H209" s="2273">
        <v>1.81</v>
      </c>
      <c r="I209" s="2273">
        <v>1.85</v>
      </c>
      <c r="J209" s="2273">
        <v>1.9</v>
      </c>
      <c r="K209" s="2273">
        <v>1.95</v>
      </c>
      <c r="L209" s="2273">
        <v>1.99</v>
      </c>
      <c r="M209" s="2273">
        <v>2.0299999999999998</v>
      </c>
      <c r="N209" s="2273">
        <v>2.06</v>
      </c>
      <c r="O209" s="2273">
        <v>2.08</v>
      </c>
      <c r="P209" s="2304">
        <v>2.1</v>
      </c>
      <c r="Q209" s="2273">
        <v>2.11</v>
      </c>
      <c r="R209" s="2273">
        <v>2.11</v>
      </c>
      <c r="S209" s="2273">
        <v>2.11</v>
      </c>
      <c r="T209" s="2273">
        <v>2.11</v>
      </c>
      <c r="U209" s="2273">
        <v>2.11</v>
      </c>
      <c r="V209" s="2273">
        <v>2.09</v>
      </c>
      <c r="W209" s="2273">
        <v>2.08</v>
      </c>
      <c r="X209" s="2273">
        <v>2.0699999999999998</v>
      </c>
      <c r="Y209" s="2273">
        <v>2.0499999999999998</v>
      </c>
      <c r="Z209" s="2273">
        <v>2.04</v>
      </c>
      <c r="AA209" s="2273">
        <v>2.02</v>
      </c>
      <c r="AB209" s="2273">
        <v>2.0099999999999998</v>
      </c>
      <c r="AC209" s="2273">
        <v>1.99</v>
      </c>
      <c r="AD209" s="2273">
        <v>1.98</v>
      </c>
      <c r="AE209" s="2273">
        <v>1.96</v>
      </c>
      <c r="AF209" s="2273">
        <v>1.95</v>
      </c>
      <c r="AG209" s="2273">
        <v>1.93</v>
      </c>
      <c r="AH209" s="2273">
        <v>1.91</v>
      </c>
      <c r="AI209" s="2273">
        <v>1.9</v>
      </c>
      <c r="AJ209" s="2273">
        <v>1.89</v>
      </c>
      <c r="AK209" s="2273">
        <v>1.88</v>
      </c>
      <c r="AL209" s="2273">
        <v>1.86</v>
      </c>
      <c r="AM209" s="2273">
        <v>1.85</v>
      </c>
      <c r="AN209" s="2273">
        <v>1.84</v>
      </c>
      <c r="AO209" s="2273">
        <v>1.83</v>
      </c>
      <c r="AP209" s="2273">
        <v>1.82</v>
      </c>
      <c r="AQ209" s="2273">
        <v>1.8</v>
      </c>
      <c r="AR209" s="2273">
        <v>1.79</v>
      </c>
      <c r="AS209" s="2273">
        <v>1.78</v>
      </c>
      <c r="AT209" s="2273">
        <v>1.77</v>
      </c>
      <c r="AU209" s="2273">
        <v>1.76</v>
      </c>
      <c r="AV209" s="2273">
        <v>1.75</v>
      </c>
      <c r="AW209" s="2273">
        <v>1.74</v>
      </c>
      <c r="AX209" s="2273">
        <v>1.73</v>
      </c>
      <c r="AY209" s="2273">
        <v>1.72</v>
      </c>
    </row>
    <row r="210" spans="1:51" s="113" customFormat="1">
      <c r="A210" s="2275">
        <v>45900</v>
      </c>
      <c r="B210" s="2276">
        <v>1.76</v>
      </c>
      <c r="C210" s="2276">
        <v>1.73</v>
      </c>
      <c r="D210" s="2276">
        <v>1.72</v>
      </c>
      <c r="E210" s="2276">
        <v>1.73</v>
      </c>
      <c r="F210" s="2276">
        <v>1.76</v>
      </c>
      <c r="G210" s="2276">
        <v>1.8</v>
      </c>
      <c r="H210" s="2276">
        <v>1.84</v>
      </c>
      <c r="I210" s="2276">
        <v>1.88</v>
      </c>
      <c r="J210" s="2276">
        <v>1.93</v>
      </c>
      <c r="K210" s="2276">
        <v>1.97</v>
      </c>
      <c r="L210" s="2276">
        <v>2.0099999999999998</v>
      </c>
      <c r="M210" s="2276">
        <v>2.0499999999999998</v>
      </c>
      <c r="N210" s="2276">
        <v>2.08</v>
      </c>
      <c r="O210" s="2276">
        <v>2.11</v>
      </c>
      <c r="P210" s="2305">
        <v>2.13</v>
      </c>
      <c r="Q210" s="2276">
        <v>2.13</v>
      </c>
      <c r="R210" s="2276">
        <v>2.13</v>
      </c>
      <c r="S210" s="2276">
        <v>2.13</v>
      </c>
      <c r="T210" s="2276">
        <v>2.13</v>
      </c>
      <c r="U210" s="2276">
        <v>2.13</v>
      </c>
      <c r="V210" s="2276">
        <v>2.12</v>
      </c>
      <c r="W210" s="2276">
        <v>2.1</v>
      </c>
      <c r="X210" s="2276">
        <v>2.09</v>
      </c>
      <c r="Y210" s="2276">
        <v>2.0699999999999998</v>
      </c>
      <c r="Z210" s="2276">
        <v>2.06</v>
      </c>
      <c r="AA210" s="2276">
        <v>2.04</v>
      </c>
      <c r="AB210" s="2276">
        <v>2.0299999999999998</v>
      </c>
      <c r="AC210" s="2276">
        <v>2.0099999999999998</v>
      </c>
      <c r="AD210" s="2276">
        <v>2</v>
      </c>
      <c r="AE210" s="2276">
        <v>1.98</v>
      </c>
      <c r="AF210" s="2276">
        <v>1.97</v>
      </c>
      <c r="AG210" s="2276">
        <v>1.95</v>
      </c>
      <c r="AH210" s="2276">
        <v>1.94</v>
      </c>
      <c r="AI210" s="2276">
        <v>1.92</v>
      </c>
      <c r="AJ210" s="2276">
        <v>1.91</v>
      </c>
      <c r="AK210" s="2276">
        <v>1.9</v>
      </c>
      <c r="AL210" s="2276">
        <v>1.88</v>
      </c>
      <c r="AM210" s="2276">
        <v>1.87</v>
      </c>
      <c r="AN210" s="2276">
        <v>1.86</v>
      </c>
      <c r="AO210" s="2276">
        <v>1.85</v>
      </c>
      <c r="AP210" s="2276">
        <v>1.84</v>
      </c>
      <c r="AQ210" s="2276">
        <v>1.83</v>
      </c>
      <c r="AR210" s="2276">
        <v>1.81</v>
      </c>
      <c r="AS210" s="2276">
        <v>1.8</v>
      </c>
      <c r="AT210" s="2276">
        <v>1.79</v>
      </c>
      <c r="AU210" s="2276">
        <v>1.78</v>
      </c>
      <c r="AV210" s="2276">
        <v>1.77</v>
      </c>
      <c r="AW210" s="2276">
        <v>1.76</v>
      </c>
      <c r="AX210" s="2276">
        <v>1.75</v>
      </c>
      <c r="AY210" s="2276">
        <v>1.74</v>
      </c>
    </row>
    <row r="211" spans="1:51">
      <c r="A211" s="114">
        <v>45930</v>
      </c>
      <c r="B211" s="71">
        <v>1.79</v>
      </c>
      <c r="C211" s="71">
        <v>1.76</v>
      </c>
      <c r="D211" s="71">
        <v>1.75</v>
      </c>
      <c r="E211" s="71">
        <v>1.76</v>
      </c>
      <c r="F211" s="71">
        <v>1.79</v>
      </c>
      <c r="G211" s="71">
        <v>1.82</v>
      </c>
      <c r="H211" s="71">
        <v>1.86</v>
      </c>
      <c r="I211" s="71">
        <v>1.91</v>
      </c>
      <c r="J211" s="71">
        <v>1.95</v>
      </c>
      <c r="K211" s="71">
        <v>1.99</v>
      </c>
      <c r="L211" s="71">
        <v>2.04</v>
      </c>
      <c r="M211" s="71">
        <v>2.0699999999999998</v>
      </c>
      <c r="N211" s="71">
        <v>2.1</v>
      </c>
      <c r="O211" s="71">
        <v>2.13</v>
      </c>
      <c r="P211" s="2300">
        <v>2.15</v>
      </c>
      <c r="Q211" s="71">
        <v>2.15</v>
      </c>
      <c r="R211" s="71">
        <v>2.15</v>
      </c>
      <c r="S211" s="71">
        <v>2.15</v>
      </c>
      <c r="T211" s="71">
        <v>2.15</v>
      </c>
      <c r="U211" s="71">
        <v>2.15</v>
      </c>
      <c r="V211" s="71">
        <v>2.14</v>
      </c>
      <c r="W211" s="71">
        <v>2.12</v>
      </c>
      <c r="X211" s="71">
        <v>2.11</v>
      </c>
      <c r="Y211" s="71">
        <v>2.09</v>
      </c>
      <c r="Z211" s="71">
        <v>2.08</v>
      </c>
      <c r="AA211" s="71">
        <v>2.06</v>
      </c>
      <c r="AB211" s="71">
        <v>2.0499999999999998</v>
      </c>
      <c r="AC211" s="71">
        <v>2.0299999999999998</v>
      </c>
      <c r="AD211" s="71">
        <v>2.02</v>
      </c>
      <c r="AE211" s="71">
        <v>2</v>
      </c>
      <c r="AF211" s="71">
        <v>1.99</v>
      </c>
      <c r="AG211" s="71">
        <v>1.97</v>
      </c>
      <c r="AH211" s="71">
        <v>1.95</v>
      </c>
      <c r="AI211" s="71">
        <v>1.94</v>
      </c>
      <c r="AJ211" s="71">
        <v>1.93</v>
      </c>
      <c r="AK211" s="71">
        <v>1.92</v>
      </c>
      <c r="AL211" s="71">
        <v>1.9</v>
      </c>
      <c r="AM211" s="71">
        <v>1.89</v>
      </c>
      <c r="AN211" s="71">
        <v>1.88</v>
      </c>
      <c r="AO211" s="71">
        <v>1.87</v>
      </c>
      <c r="AP211" s="71">
        <v>1.86</v>
      </c>
      <c r="AQ211" s="71">
        <v>1.84</v>
      </c>
      <c r="AR211" s="71">
        <v>1.83</v>
      </c>
      <c r="AS211" s="71">
        <v>1.82</v>
      </c>
      <c r="AT211" s="71">
        <v>1.81</v>
      </c>
      <c r="AU211" s="71">
        <v>1.8</v>
      </c>
      <c r="AV211" s="71">
        <v>1.79</v>
      </c>
      <c r="AW211" s="71">
        <v>1.78</v>
      </c>
      <c r="AX211" s="71">
        <v>1.77</v>
      </c>
      <c r="AY211" s="71">
        <v>1.76</v>
      </c>
    </row>
    <row r="212" spans="1:51">
      <c r="A212" s="2289">
        <v>45961</v>
      </c>
      <c r="B212" s="2288">
        <v>1.82</v>
      </c>
      <c r="C212" s="2288">
        <v>1.79</v>
      </c>
      <c r="D212" s="2288">
        <v>1.78</v>
      </c>
      <c r="E212" s="2288">
        <v>1.79</v>
      </c>
      <c r="F212" s="2288">
        <v>1.82</v>
      </c>
      <c r="G212" s="2288">
        <v>1.85</v>
      </c>
      <c r="H212" s="2288">
        <v>1.89</v>
      </c>
      <c r="I212" s="2288">
        <v>1.93</v>
      </c>
      <c r="J212" s="2288">
        <v>1.97</v>
      </c>
      <c r="K212" s="2288">
        <v>2.02</v>
      </c>
      <c r="L212" s="2288">
        <v>2.06</v>
      </c>
      <c r="M212" s="2288">
        <v>2.09</v>
      </c>
      <c r="N212" s="2288">
        <v>2.12</v>
      </c>
      <c r="O212" s="2288">
        <v>2.15</v>
      </c>
      <c r="P212" s="2306">
        <v>2.17</v>
      </c>
      <c r="Q212" s="2288">
        <v>2.17</v>
      </c>
      <c r="R212" s="2288">
        <v>2.17</v>
      </c>
      <c r="S212" s="2288">
        <v>2.17</v>
      </c>
      <c r="T212" s="2288">
        <v>2.17</v>
      </c>
      <c r="U212" s="2288">
        <v>2.17</v>
      </c>
      <c r="V212" s="2288">
        <v>2.16</v>
      </c>
      <c r="W212" s="2288">
        <v>2.14</v>
      </c>
      <c r="X212" s="2288">
        <v>2.13</v>
      </c>
      <c r="Y212" s="2288">
        <v>2.11</v>
      </c>
      <c r="Z212" s="2288">
        <v>2.1</v>
      </c>
      <c r="AA212" s="2288">
        <v>2.08</v>
      </c>
      <c r="AB212" s="2288">
        <v>2.0699999999999998</v>
      </c>
      <c r="AC212" s="2288">
        <v>2.0499999999999998</v>
      </c>
      <c r="AD212" s="2288">
        <v>2.04</v>
      </c>
      <c r="AE212" s="2288">
        <v>2.02</v>
      </c>
      <c r="AF212" s="2288">
        <v>2</v>
      </c>
      <c r="AG212" s="2288">
        <v>1.99</v>
      </c>
      <c r="AH212" s="2288">
        <v>1.97</v>
      </c>
      <c r="AI212" s="2288">
        <v>1.96</v>
      </c>
      <c r="AJ212" s="2288">
        <v>1.95</v>
      </c>
      <c r="AK212" s="2288">
        <v>1.93</v>
      </c>
      <c r="AL212" s="2288">
        <v>1.92</v>
      </c>
      <c r="AM212" s="2288">
        <v>1.91</v>
      </c>
      <c r="AN212" s="2288">
        <v>1.9</v>
      </c>
      <c r="AO212" s="2288">
        <v>1.89</v>
      </c>
      <c r="AP212" s="2288">
        <v>1.88</v>
      </c>
      <c r="AQ212" s="2288">
        <v>1.86</v>
      </c>
      <c r="AR212" s="2288">
        <v>1.85</v>
      </c>
      <c r="AS212" s="2288">
        <v>1.84</v>
      </c>
      <c r="AT212" s="2288">
        <v>1.83</v>
      </c>
      <c r="AU212" s="2288">
        <v>1.81</v>
      </c>
      <c r="AV212" s="2288">
        <v>1.8</v>
      </c>
      <c r="AW212" s="2288">
        <v>1.79</v>
      </c>
      <c r="AX212" s="2288">
        <v>1.78</v>
      </c>
      <c r="AY212" s="2288">
        <v>1.77</v>
      </c>
    </row>
    <row r="213" spans="1:51">
      <c r="A213" s="2289">
        <v>45991</v>
      </c>
      <c r="B213" s="2288">
        <v>1.85</v>
      </c>
      <c r="C213" s="2288">
        <v>1.82</v>
      </c>
      <c r="D213" s="2288">
        <v>1.81</v>
      </c>
      <c r="E213" s="2288">
        <v>1.82</v>
      </c>
      <c r="F213" s="2288">
        <v>1.84</v>
      </c>
      <c r="G213" s="2288">
        <v>1.88</v>
      </c>
      <c r="H213" s="2288">
        <v>1.91</v>
      </c>
      <c r="I213" s="2288">
        <v>1.96</v>
      </c>
      <c r="J213" s="2288">
        <v>2</v>
      </c>
      <c r="K213" s="2288">
        <v>2.04</v>
      </c>
      <c r="L213" s="2288">
        <v>2.08</v>
      </c>
      <c r="M213" s="2288">
        <v>2.12</v>
      </c>
      <c r="N213" s="2288">
        <v>2.15</v>
      </c>
      <c r="O213" s="2288">
        <v>2.17</v>
      </c>
      <c r="P213" s="2306">
        <v>2.19</v>
      </c>
      <c r="Q213" s="2288">
        <v>2.19</v>
      </c>
      <c r="R213" s="2288">
        <v>2.19</v>
      </c>
      <c r="S213" s="2288">
        <v>2.19</v>
      </c>
      <c r="T213" s="2288">
        <v>2.19</v>
      </c>
      <c r="U213" s="2288">
        <v>2.19</v>
      </c>
      <c r="V213" s="2288">
        <v>2.1800000000000002</v>
      </c>
      <c r="W213" s="2288">
        <v>2.16</v>
      </c>
      <c r="X213" s="2288">
        <v>2.15</v>
      </c>
      <c r="Y213" s="2288">
        <v>2.14</v>
      </c>
      <c r="Z213" s="2288">
        <v>2.12</v>
      </c>
      <c r="AA213" s="2288">
        <v>2.11</v>
      </c>
      <c r="AB213" s="2288">
        <v>2.09</v>
      </c>
      <c r="AC213" s="2288">
        <v>2.0699999999999998</v>
      </c>
      <c r="AD213" s="2288">
        <v>2.06</v>
      </c>
      <c r="AE213" s="2288">
        <v>2.04</v>
      </c>
      <c r="AF213" s="2288">
        <v>2.0299999999999998</v>
      </c>
      <c r="AG213" s="2288">
        <v>2.0099999999999998</v>
      </c>
      <c r="AH213" s="2288">
        <v>1.99</v>
      </c>
      <c r="AI213" s="2288">
        <v>1.98</v>
      </c>
      <c r="AJ213" s="2288">
        <v>1.97</v>
      </c>
      <c r="AK213" s="2288">
        <v>1.95</v>
      </c>
      <c r="AL213" s="2288">
        <v>1.94</v>
      </c>
      <c r="AM213" s="2288">
        <v>1.93</v>
      </c>
      <c r="AN213" s="2288">
        <v>1.92</v>
      </c>
      <c r="AO213" s="2288">
        <v>1.91</v>
      </c>
      <c r="AP213" s="2288">
        <v>1.9</v>
      </c>
      <c r="AQ213" s="2288">
        <v>1.88</v>
      </c>
      <c r="AR213" s="2288">
        <v>1.87</v>
      </c>
      <c r="AS213" s="2288">
        <v>1.86</v>
      </c>
      <c r="AT213" s="2288">
        <v>1.85</v>
      </c>
      <c r="AU213" s="2288">
        <v>1.83</v>
      </c>
      <c r="AV213" s="2288">
        <v>1.82</v>
      </c>
      <c r="AW213" s="2288">
        <v>1.81</v>
      </c>
      <c r="AX213" s="2288">
        <v>1.8</v>
      </c>
      <c r="AY213" s="2288">
        <v>1.79</v>
      </c>
    </row>
    <row r="214" spans="1:51">
      <c r="A214" s="115">
        <v>46022</v>
      </c>
      <c r="B214" s="71">
        <v>1.88</v>
      </c>
      <c r="C214" s="71">
        <v>1.85</v>
      </c>
      <c r="D214" s="71">
        <v>1.84</v>
      </c>
      <c r="E214" s="71">
        <v>1.85</v>
      </c>
      <c r="F214" s="71">
        <v>1.87</v>
      </c>
      <c r="G214" s="71">
        <v>1.9</v>
      </c>
      <c r="H214" s="71">
        <v>1.94</v>
      </c>
      <c r="I214" s="71">
        <v>1.98</v>
      </c>
      <c r="J214" s="71">
        <v>2.02</v>
      </c>
      <c r="K214" s="71">
        <v>2.0699999999999998</v>
      </c>
      <c r="L214" s="71">
        <v>2.11</v>
      </c>
      <c r="M214" s="71">
        <v>2.14</v>
      </c>
      <c r="N214" s="71">
        <v>2.17</v>
      </c>
      <c r="O214" s="71">
        <v>2.2000000000000002</v>
      </c>
      <c r="P214" s="2300">
        <v>2.2200000000000002</v>
      </c>
      <c r="Q214" s="71">
        <v>2.2200000000000002</v>
      </c>
      <c r="R214" s="71">
        <v>2.2200000000000002</v>
      </c>
      <c r="S214" s="71">
        <v>2.2200000000000002</v>
      </c>
      <c r="T214" s="71">
        <v>2.2200000000000002</v>
      </c>
      <c r="U214" s="71">
        <v>2.2200000000000002</v>
      </c>
      <c r="V214" s="71">
        <v>2.2000000000000002</v>
      </c>
      <c r="W214" s="71">
        <v>2.19</v>
      </c>
      <c r="X214" s="71">
        <v>2.17</v>
      </c>
      <c r="Y214" s="71">
        <v>2.16</v>
      </c>
      <c r="Z214" s="71">
        <v>2.15</v>
      </c>
      <c r="AA214" s="71">
        <v>2.13</v>
      </c>
      <c r="AB214" s="71">
        <v>2.11</v>
      </c>
      <c r="AC214" s="71">
        <v>2.09</v>
      </c>
      <c r="AD214" s="71">
        <v>2.08</v>
      </c>
      <c r="AE214" s="71">
        <v>2.0699999999999998</v>
      </c>
      <c r="AF214" s="71">
        <v>2.0499999999999998</v>
      </c>
      <c r="AG214" s="71">
        <v>2.0299999999999998</v>
      </c>
      <c r="AH214" s="71">
        <v>2.02</v>
      </c>
      <c r="AI214" s="71">
        <v>2</v>
      </c>
      <c r="AJ214" s="71">
        <v>1.99</v>
      </c>
      <c r="AK214" s="71">
        <v>1.98</v>
      </c>
      <c r="AL214" s="71">
        <v>1.97</v>
      </c>
      <c r="AM214" s="71">
        <v>1.95</v>
      </c>
      <c r="AN214" s="71">
        <v>1.94</v>
      </c>
      <c r="AO214" s="71">
        <v>1.93</v>
      </c>
      <c r="AP214" s="71">
        <v>1.92</v>
      </c>
      <c r="AQ214" s="71">
        <v>1.9</v>
      </c>
      <c r="AR214" s="71">
        <v>1.89</v>
      </c>
      <c r="AS214" s="71">
        <v>1.88</v>
      </c>
      <c r="AT214" s="71">
        <v>1.87</v>
      </c>
      <c r="AU214" s="71">
        <v>1.86</v>
      </c>
      <c r="AV214" s="71">
        <v>1.84</v>
      </c>
      <c r="AW214" s="71">
        <v>1.83</v>
      </c>
      <c r="AX214" s="71">
        <v>1.82</v>
      </c>
      <c r="AY214" s="71">
        <v>1.81</v>
      </c>
    </row>
    <row r="215" spans="1:51">
      <c r="A215" s="2308">
        <v>46053</v>
      </c>
      <c r="B215" s="2307">
        <v>1.91</v>
      </c>
      <c r="C215" s="2307">
        <v>1.88</v>
      </c>
      <c r="D215" s="2307">
        <v>1.87</v>
      </c>
      <c r="E215" s="2307">
        <v>1.88</v>
      </c>
      <c r="F215" s="2307">
        <v>1.9</v>
      </c>
      <c r="G215" s="2307">
        <v>1.93</v>
      </c>
      <c r="H215" s="2307">
        <v>1.97</v>
      </c>
      <c r="I215" s="2307">
        <v>2.0099999999999998</v>
      </c>
      <c r="J215" s="2307">
        <v>2.0499999999999998</v>
      </c>
      <c r="K215" s="2307">
        <v>2.09</v>
      </c>
      <c r="L215" s="2307">
        <v>2.14</v>
      </c>
      <c r="M215" s="2307">
        <v>2.17</v>
      </c>
      <c r="N215" s="2307">
        <v>2.2000000000000002</v>
      </c>
      <c r="O215" s="2307">
        <v>2.2200000000000002</v>
      </c>
      <c r="P215" s="2307">
        <v>2.2400000000000002</v>
      </c>
      <c r="Q215" s="2307">
        <v>2.2400000000000002</v>
      </c>
      <c r="R215" s="2307">
        <v>2.2400000000000002</v>
      </c>
      <c r="S215" s="2307">
        <v>2.2400000000000002</v>
      </c>
      <c r="T215" s="2307">
        <v>2.2400000000000002</v>
      </c>
      <c r="U215" s="2307">
        <v>2.2400000000000002</v>
      </c>
      <c r="V215" s="2307">
        <v>2.23</v>
      </c>
      <c r="W215" s="2307">
        <v>2.21</v>
      </c>
      <c r="X215" s="2307">
        <v>2.2000000000000002</v>
      </c>
      <c r="Y215" s="2307">
        <v>2.1800000000000002</v>
      </c>
      <c r="Z215" s="2307">
        <v>2.17</v>
      </c>
      <c r="AA215" s="2307">
        <v>2.15</v>
      </c>
      <c r="AB215" s="2307">
        <v>2.14</v>
      </c>
      <c r="AC215" s="2307">
        <v>2.12</v>
      </c>
      <c r="AD215" s="2307">
        <v>2.1</v>
      </c>
      <c r="AE215" s="2307">
        <v>2.09</v>
      </c>
      <c r="AF215" s="2307">
        <v>2.0699999999999998</v>
      </c>
      <c r="AG215" s="2307">
        <v>2.06</v>
      </c>
      <c r="AH215" s="2307">
        <v>2.04</v>
      </c>
      <c r="AI215" s="2307">
        <v>2.0299999999999998</v>
      </c>
      <c r="AJ215" s="2307">
        <v>2.0099999999999998</v>
      </c>
      <c r="AK215" s="2307">
        <v>2</v>
      </c>
      <c r="AL215" s="2307">
        <v>1.99</v>
      </c>
      <c r="AM215" s="2307">
        <v>1.98</v>
      </c>
      <c r="AN215" s="2307">
        <v>1.97</v>
      </c>
      <c r="AO215" s="2307">
        <v>1.96</v>
      </c>
      <c r="AP215" s="2307">
        <v>1.94</v>
      </c>
      <c r="AQ215" s="2307">
        <v>1.93</v>
      </c>
      <c r="AR215" s="2307">
        <v>1.91</v>
      </c>
      <c r="AS215" s="2307">
        <v>1.9</v>
      </c>
      <c r="AT215" s="2307">
        <v>1.89</v>
      </c>
      <c r="AU215" s="2307">
        <v>1.88</v>
      </c>
      <c r="AV215" s="2307">
        <v>1.87</v>
      </c>
      <c r="AW215" s="2307">
        <v>1.86</v>
      </c>
      <c r="AX215" s="2307">
        <v>1.85</v>
      </c>
      <c r="AY215" s="2307">
        <v>1.84</v>
      </c>
    </row>
    <row r="216" spans="1:51">
      <c r="A216" s="2321">
        <v>46081</v>
      </c>
      <c r="B216" s="2320">
        <v>1.95</v>
      </c>
      <c r="C216" s="2320">
        <v>1.91</v>
      </c>
      <c r="D216" s="2320">
        <v>1.9</v>
      </c>
      <c r="E216" s="2320">
        <v>1.91</v>
      </c>
      <c r="F216" s="2320">
        <v>1.93</v>
      </c>
      <c r="G216" s="2320">
        <v>1.96</v>
      </c>
      <c r="H216" s="2320">
        <v>2</v>
      </c>
      <c r="I216" s="2320">
        <v>2.04</v>
      </c>
      <c r="J216" s="2320">
        <v>2.08</v>
      </c>
      <c r="K216" s="2320">
        <v>2.12</v>
      </c>
      <c r="L216" s="2320">
        <v>2.16</v>
      </c>
      <c r="M216" s="2320">
        <v>2.2000000000000002</v>
      </c>
      <c r="N216" s="2320">
        <v>2.23</v>
      </c>
      <c r="O216" s="2320">
        <v>2.25</v>
      </c>
      <c r="P216" s="2320">
        <v>2.27</v>
      </c>
      <c r="Q216" s="2320">
        <v>2.27</v>
      </c>
      <c r="R216" s="2320">
        <v>2.27</v>
      </c>
      <c r="S216" s="2320">
        <v>2.27</v>
      </c>
      <c r="T216" s="2320">
        <v>2.27</v>
      </c>
      <c r="U216" s="2320">
        <v>2.27</v>
      </c>
      <c r="V216" s="2320">
        <v>2.25</v>
      </c>
      <c r="W216" s="2320">
        <v>2.2400000000000002</v>
      </c>
      <c r="X216" s="2320">
        <v>2.2200000000000002</v>
      </c>
      <c r="Y216" s="2320">
        <v>2.21</v>
      </c>
      <c r="Z216" s="2320">
        <v>2.2000000000000002</v>
      </c>
      <c r="AA216" s="2320">
        <v>2.1800000000000002</v>
      </c>
      <c r="AB216" s="2320">
        <v>2.16</v>
      </c>
      <c r="AC216" s="2320">
        <v>2.14</v>
      </c>
      <c r="AD216" s="2320">
        <v>2.13</v>
      </c>
      <c r="AE216" s="2320">
        <v>2.11</v>
      </c>
      <c r="AF216" s="2320">
        <v>2.1</v>
      </c>
      <c r="AG216" s="2320">
        <v>2.08</v>
      </c>
      <c r="AH216" s="2320">
        <v>2.06</v>
      </c>
      <c r="AI216" s="2320">
        <v>2.0499999999999998</v>
      </c>
      <c r="AJ216" s="2320">
        <v>2.04</v>
      </c>
      <c r="AK216" s="2320">
        <v>2.02</v>
      </c>
      <c r="AL216" s="2320">
        <v>2.0099999999999998</v>
      </c>
      <c r="AM216" s="2320">
        <v>2</v>
      </c>
      <c r="AN216" s="2320">
        <v>1.99</v>
      </c>
      <c r="AO216" s="2320">
        <v>1.98</v>
      </c>
      <c r="AP216" s="2320">
        <v>1.96</v>
      </c>
      <c r="AQ216" s="2320">
        <v>1.95</v>
      </c>
      <c r="AR216" s="2320">
        <v>1.94</v>
      </c>
      <c r="AS216" s="2320">
        <v>1.92</v>
      </c>
      <c r="AT216" s="2320">
        <v>1.91</v>
      </c>
      <c r="AU216" s="2320">
        <v>1.9</v>
      </c>
      <c r="AV216" s="2320">
        <v>1.89</v>
      </c>
      <c r="AW216" s="2320">
        <v>1.88</v>
      </c>
      <c r="AX216" s="2320">
        <v>1.87</v>
      </c>
      <c r="AY216" s="2320">
        <v>1.86</v>
      </c>
    </row>
    <row r="217" spans="1:51">
      <c r="A217" s="114"/>
    </row>
    <row r="218" spans="1:51">
      <c r="A218" s="115"/>
    </row>
    <row r="219" spans="1:51">
      <c r="A219" s="114"/>
    </row>
    <row r="220" spans="1:51">
      <c r="A220" s="115"/>
    </row>
    <row r="221" spans="1:51">
      <c r="A221" s="114"/>
    </row>
    <row r="222" spans="1:51">
      <c r="A222" s="115"/>
    </row>
    <row r="223" spans="1:51">
      <c r="A223" s="114"/>
    </row>
    <row r="224" spans="1:5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60"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540" t="s">
        <v>1011</v>
      </c>
      <c r="C1" s="3541"/>
      <c r="D1" s="3541"/>
      <c r="E1" s="3541"/>
      <c r="F1" s="3542"/>
    </row>
    <row r="2" spans="2:6" ht="45">
      <c r="B2" s="886" t="s">
        <v>33</v>
      </c>
      <c r="C2" s="74" t="s">
        <v>34</v>
      </c>
      <c r="D2" s="74" t="s">
        <v>35</v>
      </c>
      <c r="E2" s="3543"/>
      <c r="F2" s="3544"/>
    </row>
    <row r="3" spans="2:6">
      <c r="B3" s="89">
        <v>1900</v>
      </c>
      <c r="C3" s="73">
        <v>0</v>
      </c>
      <c r="D3" s="69">
        <v>65</v>
      </c>
      <c r="E3" s="3538" t="s">
        <v>36</v>
      </c>
      <c r="F3" s="3539"/>
    </row>
    <row r="4" spans="2:6">
      <c r="B4" s="89">
        <v>1947</v>
      </c>
      <c r="C4" s="73">
        <v>1</v>
      </c>
      <c r="D4" s="69">
        <f>65+C4/12</f>
        <v>65.083333333333329</v>
      </c>
      <c r="E4" s="3538" t="s">
        <v>37</v>
      </c>
      <c r="F4" s="3539"/>
    </row>
    <row r="5" spans="2:6">
      <c r="B5" s="89">
        <v>1948</v>
      </c>
      <c r="C5" s="73">
        <v>2</v>
      </c>
      <c r="D5" s="69">
        <f t="shared" ref="D5:D21" si="0">65+C5/12</f>
        <v>65.166666666666671</v>
      </c>
      <c r="E5" s="3538" t="s">
        <v>38</v>
      </c>
      <c r="F5" s="3539"/>
    </row>
    <row r="6" spans="2:6">
      <c r="B6" s="89">
        <v>1949</v>
      </c>
      <c r="C6" s="73">
        <v>3</v>
      </c>
      <c r="D6" s="69">
        <f t="shared" si="0"/>
        <v>65.25</v>
      </c>
      <c r="E6" s="3538" t="s">
        <v>39</v>
      </c>
      <c r="F6" s="3539"/>
    </row>
    <row r="7" spans="2:6">
      <c r="B7" s="89">
        <v>1950</v>
      </c>
      <c r="C7" s="73">
        <v>4</v>
      </c>
      <c r="D7" s="69">
        <f t="shared" si="0"/>
        <v>65.333333333333329</v>
      </c>
      <c r="E7" s="3538" t="s">
        <v>40</v>
      </c>
      <c r="F7" s="3539"/>
    </row>
    <row r="8" spans="2:6">
      <c r="B8" s="89">
        <v>1951</v>
      </c>
      <c r="C8" s="73">
        <v>5</v>
      </c>
      <c r="D8" s="69">
        <f t="shared" si="0"/>
        <v>65.416666666666671</v>
      </c>
      <c r="E8" s="3538" t="s">
        <v>41</v>
      </c>
      <c r="F8" s="3539"/>
    </row>
    <row r="9" spans="2:6">
      <c r="B9" s="89">
        <v>1952</v>
      </c>
      <c r="C9" s="73">
        <v>6</v>
      </c>
      <c r="D9" s="69">
        <f t="shared" si="0"/>
        <v>65.5</v>
      </c>
      <c r="E9" s="3538" t="s">
        <v>42</v>
      </c>
      <c r="F9" s="3539"/>
    </row>
    <row r="10" spans="2:6">
      <c r="B10" s="89">
        <v>1953</v>
      </c>
      <c r="C10" s="73">
        <v>7</v>
      </c>
      <c r="D10" s="69">
        <f t="shared" si="0"/>
        <v>65.583333333333329</v>
      </c>
      <c r="E10" s="3538" t="s">
        <v>43</v>
      </c>
      <c r="F10" s="3539"/>
    </row>
    <row r="11" spans="2:6">
      <c r="B11" s="89">
        <v>1954</v>
      </c>
      <c r="C11" s="73">
        <v>8</v>
      </c>
      <c r="D11" s="69">
        <f t="shared" si="0"/>
        <v>65.666666666666671</v>
      </c>
      <c r="E11" s="3538" t="s">
        <v>44</v>
      </c>
      <c r="F11" s="3539"/>
    </row>
    <row r="12" spans="2:6">
      <c r="B12" s="89">
        <v>1955</v>
      </c>
      <c r="C12" s="73">
        <v>9</v>
      </c>
      <c r="D12" s="69">
        <f t="shared" si="0"/>
        <v>65.75</v>
      </c>
      <c r="E12" s="3538" t="s">
        <v>45</v>
      </c>
      <c r="F12" s="3539"/>
    </row>
    <row r="13" spans="2:6">
      <c r="B13" s="89">
        <v>1956</v>
      </c>
      <c r="C13" s="73">
        <v>10</v>
      </c>
      <c r="D13" s="69">
        <f t="shared" si="0"/>
        <v>65.833333333333329</v>
      </c>
      <c r="E13" s="3538" t="s">
        <v>46</v>
      </c>
      <c r="F13" s="3539"/>
    </row>
    <row r="14" spans="2:6">
      <c r="B14" s="89">
        <v>1957</v>
      </c>
      <c r="C14" s="73">
        <v>11</v>
      </c>
      <c r="D14" s="69">
        <f t="shared" si="0"/>
        <v>65.916666666666671</v>
      </c>
      <c r="E14" s="3538" t="s">
        <v>47</v>
      </c>
      <c r="F14" s="3539"/>
    </row>
    <row r="15" spans="2:6">
      <c r="B15" s="89">
        <v>1958</v>
      </c>
      <c r="C15" s="73">
        <v>12</v>
      </c>
      <c r="D15" s="69">
        <f t="shared" si="0"/>
        <v>66</v>
      </c>
      <c r="E15" s="3538" t="s">
        <v>48</v>
      </c>
      <c r="F15" s="3539"/>
    </row>
    <row r="16" spans="2:6">
      <c r="B16" s="89">
        <v>1959</v>
      </c>
      <c r="C16" s="73">
        <v>14</v>
      </c>
      <c r="D16" s="69">
        <f t="shared" si="0"/>
        <v>66.166666666666671</v>
      </c>
      <c r="E16" s="3538" t="s">
        <v>49</v>
      </c>
      <c r="F16" s="3539"/>
    </row>
    <row r="17" spans="2:6">
      <c r="B17" s="89">
        <v>1960</v>
      </c>
      <c r="C17" s="73">
        <v>16</v>
      </c>
      <c r="D17" s="69">
        <f t="shared" si="0"/>
        <v>66.333333333333329</v>
      </c>
      <c r="E17" s="3538" t="s">
        <v>50</v>
      </c>
      <c r="F17" s="3539"/>
    </row>
    <row r="18" spans="2:6">
      <c r="B18" s="89">
        <v>1961</v>
      </c>
      <c r="C18" s="73">
        <v>18</v>
      </c>
      <c r="D18" s="69">
        <f t="shared" si="0"/>
        <v>66.5</v>
      </c>
      <c r="E18" s="3538" t="s">
        <v>51</v>
      </c>
      <c r="F18" s="3539"/>
    </row>
    <row r="19" spans="2:6">
      <c r="B19" s="89">
        <v>1962</v>
      </c>
      <c r="C19" s="73">
        <v>20</v>
      </c>
      <c r="D19" s="69">
        <f t="shared" si="0"/>
        <v>66.666666666666671</v>
      </c>
      <c r="E19" s="3538" t="s">
        <v>52</v>
      </c>
      <c r="F19" s="3539"/>
    </row>
    <row r="20" spans="2:6">
      <c r="B20" s="89">
        <v>1963</v>
      </c>
      <c r="C20" s="73">
        <v>22</v>
      </c>
      <c r="D20" s="69">
        <f t="shared" si="0"/>
        <v>66.833333333333329</v>
      </c>
      <c r="E20" s="3538" t="s">
        <v>53</v>
      </c>
      <c r="F20" s="3539"/>
    </row>
    <row r="21" spans="2:6" ht="15" thickBot="1">
      <c r="B21" s="890">
        <v>1964</v>
      </c>
      <c r="C21" s="891">
        <v>24</v>
      </c>
      <c r="D21" s="892">
        <f t="shared" si="0"/>
        <v>67</v>
      </c>
      <c r="E21" s="3547" t="s">
        <v>54</v>
      </c>
      <c r="F21" s="3548"/>
    </row>
    <row r="22" spans="2:6" ht="15" hidden="1" thickBot="1">
      <c r="B22" s="887"/>
      <c r="C22" s="888"/>
      <c r="D22" s="889"/>
      <c r="E22" s="3545"/>
      <c r="F22" s="3546"/>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60"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G16"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6" customWidth="1"/>
    <col min="10" max="10" width="0.625" style="216"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3" hidden="1" customWidth="1"/>
    <col min="23" max="16384" width="11" hidden="1"/>
  </cols>
  <sheetData>
    <row r="1" spans="1:22" s="656" customFormat="1" ht="21" thickBot="1">
      <c r="A1"/>
      <c r="B1"/>
      <c r="C1" s="836">
        <v>1</v>
      </c>
      <c r="D1" s="3572" t="s">
        <v>905</v>
      </c>
      <c r="E1" s="3572"/>
      <c r="F1" s="3572"/>
      <c r="G1" s="3572"/>
      <c r="H1" s="3572"/>
      <c r="I1" s="1226"/>
      <c r="J1" s="336"/>
      <c r="K1" s="3588" t="s">
        <v>1050</v>
      </c>
      <c r="L1" s="3589"/>
      <c r="M1" s="211"/>
      <c r="N1" s="128"/>
      <c r="O1" s="128"/>
      <c r="P1" s="128"/>
      <c r="Q1" s="128"/>
      <c r="R1" s="128"/>
      <c r="S1"/>
      <c r="T1"/>
      <c r="U1" s="128"/>
      <c r="V1" s="363"/>
    </row>
    <row r="2" spans="1:22" s="15" customFormat="1" ht="18" customHeight="1">
      <c r="A2"/>
      <c r="B2"/>
      <c r="C2" s="837">
        <v>2</v>
      </c>
      <c r="D2" s="3582" t="s">
        <v>1031</v>
      </c>
      <c r="E2" s="3583"/>
      <c r="F2" s="3583"/>
      <c r="G2" s="3583"/>
      <c r="H2" s="3584"/>
      <c r="I2" s="3592"/>
      <c r="J2" s="3593"/>
      <c r="K2" s="3594" t="s">
        <v>1944</v>
      </c>
      <c r="L2" s="3596" t="s">
        <v>1945</v>
      </c>
      <c r="M2" s="212"/>
      <c r="N2" s="15" t="s">
        <v>57</v>
      </c>
      <c r="O2" s="15" t="b">
        <v>0</v>
      </c>
      <c r="P2" s="748"/>
      <c r="Q2" s="748"/>
      <c r="R2" s="748"/>
      <c r="U2" s="748"/>
      <c r="V2" s="894"/>
    </row>
    <row r="3" spans="1:22" s="15" customFormat="1" ht="18" customHeight="1" thickBot="1">
      <c r="A3"/>
      <c r="B3"/>
      <c r="C3" s="837">
        <v>3</v>
      </c>
      <c r="D3" s="3585"/>
      <c r="E3" s="3586"/>
      <c r="F3" s="3586"/>
      <c r="G3" s="3586"/>
      <c r="H3" s="3587"/>
      <c r="I3" s="212"/>
      <c r="J3" s="212"/>
      <c r="K3" s="3595"/>
      <c r="L3" s="3597"/>
      <c r="M3" s="212"/>
      <c r="N3" s="15" t="s">
        <v>1017</v>
      </c>
      <c r="O3" s="748" t="e">
        <f>VLOOKUP(YEAR(F4),MonatlicheBezugsgroesse,IF(GR_Ost,3,2))</f>
        <v>#N/A</v>
      </c>
      <c r="P3" s="749" t="e">
        <f>E14*VLOOKUP(F4,UmrechnungEP_Kap,IF(GR_Ost,3,2))</f>
        <v>#N/A</v>
      </c>
      <c r="Q3" s="748" t="e">
        <f>G14*VLOOKUP(F4,UmrechnungEP_Kap,IF(GR_Ost,3,2))</f>
        <v>#N/A</v>
      </c>
      <c r="R3" s="953"/>
      <c r="S3" s="3573"/>
      <c r="T3" s="3573"/>
      <c r="U3" s="953"/>
      <c r="V3" s="953"/>
    </row>
    <row r="4" spans="1:22" s="15" customFormat="1" ht="14.25" customHeight="1">
      <c r="A4"/>
      <c r="B4"/>
      <c r="C4" s="837">
        <v>4</v>
      </c>
      <c r="D4" s="1066" t="str">
        <f>IF(AND(E4="",F4=""),"Ehezeitende eingeben:",IF(AND(E4="",F4&gt;0),"Ehezeitende aus Fallerfassung übernommen:","Ehezeitende:"))</f>
        <v>Ehezeitende:</v>
      </c>
      <c r="E4" s="1281"/>
      <c r="F4" s="1192">
        <f>IF(E4="",Dat_EzE,E4)</f>
        <v>0</v>
      </c>
      <c r="G4" s="1089" t="s">
        <v>1049</v>
      </c>
      <c r="H4" s="1090">
        <f>IFERROR(VLOOKUP(F4,aktRW,IF(GR_Ost,3,2)),0)</f>
        <v>0</v>
      </c>
      <c r="I4" s="212"/>
      <c r="J4" s="212"/>
      <c r="K4" s="3590" t="s">
        <v>1171</v>
      </c>
      <c r="L4" s="3591"/>
      <c r="M4" s="211"/>
      <c r="N4" s="748"/>
      <c r="O4" s="748"/>
      <c r="P4" s="748"/>
      <c r="Q4" s="748"/>
      <c r="R4" s="748"/>
      <c r="S4" s="748"/>
      <c r="T4" s="321"/>
      <c r="U4" s="748"/>
      <c r="V4" s="894"/>
    </row>
    <row r="5" spans="1:22" s="15" customFormat="1" ht="14.25" customHeight="1" thickBot="1">
      <c r="A5"/>
      <c r="B5"/>
      <c r="C5" s="837">
        <v>5</v>
      </c>
      <c r="D5" s="1196" t="s">
        <v>1015</v>
      </c>
      <c r="E5" s="924">
        <f ca="1">TODAY()</f>
        <v>46090</v>
      </c>
      <c r="F5" s="1193"/>
      <c r="G5" s="1194" t="str">
        <f ca="1">IF(E5="","","aktRW am "&amp;TEXT(E5,"TT.MM.JJJJ"))</f>
        <v>aktRW am 09.03.2026</v>
      </c>
      <c r="H5" s="1195">
        <f ca="1">IF(E5="","",IFERROR(VLOOKUP(E5,aktRW,IF(GR_Ost,3,2),TRUE),0))</f>
        <v>40.79</v>
      </c>
      <c r="I5" s="212"/>
      <c r="J5" s="212"/>
      <c r="K5" s="3590"/>
      <c r="L5" s="3591"/>
      <c r="M5" s="211"/>
      <c r="N5" s="748"/>
      <c r="O5" s="748"/>
      <c r="P5" s="748"/>
      <c r="Q5" s="748"/>
      <c r="R5" s="748"/>
      <c r="S5" s="748"/>
      <c r="T5" s="321"/>
      <c r="U5" s="748"/>
      <c r="V5" s="894"/>
    </row>
    <row r="6" spans="1:22" s="15" customFormat="1" ht="14.25" customHeight="1">
      <c r="A6"/>
      <c r="B6"/>
      <c r="C6" s="837">
        <v>6</v>
      </c>
      <c r="D6" s="1197" t="s">
        <v>910</v>
      </c>
      <c r="E6" s="3578" t="s">
        <v>175</v>
      </c>
      <c r="F6" s="3579"/>
      <c r="G6" s="3580" t="s">
        <v>176</v>
      </c>
      <c r="H6" s="3581"/>
      <c r="I6" s="212"/>
      <c r="J6" s="212"/>
      <c r="K6" s="3590"/>
      <c r="L6" s="3591"/>
      <c r="M6" s="211"/>
      <c r="N6" s="748"/>
      <c r="O6" s="748"/>
      <c r="P6" s="748"/>
      <c r="Q6" s="748"/>
      <c r="R6" s="748"/>
      <c r="S6" s="895"/>
      <c r="T6" s="895"/>
      <c r="U6" s="896"/>
      <c r="V6" s="894"/>
    </row>
    <row r="7" spans="1:22" s="15" customFormat="1" ht="14.25" customHeight="1">
      <c r="A7"/>
      <c r="B7"/>
      <c r="C7" s="837">
        <v>7</v>
      </c>
      <c r="D7" s="1067" t="s">
        <v>908</v>
      </c>
      <c r="E7" s="924"/>
      <c r="F7" s="1198" t="str">
        <f>IF(E7="",Dat_GebDat_M,E7)</f>
        <v/>
      </c>
      <c r="G7" s="1199"/>
      <c r="H7" s="1201" t="str">
        <f>IF(G7="",Dat_GebDat_F,G7)</f>
        <v/>
      </c>
      <c r="I7" s="212"/>
      <c r="J7" s="212"/>
      <c r="K7" s="3590"/>
      <c r="L7" s="3591"/>
      <c r="M7" s="211"/>
      <c r="N7" s="748"/>
      <c r="O7" s="748"/>
      <c r="P7" s="748"/>
      <c r="Q7" s="748"/>
      <c r="R7" s="748"/>
      <c r="S7" s="895"/>
      <c r="T7" s="895"/>
      <c r="U7" s="896"/>
      <c r="V7" s="894"/>
    </row>
    <row r="8" spans="1:22" s="15" customFormat="1" ht="14.25" customHeight="1">
      <c r="A8"/>
      <c r="B8"/>
      <c r="C8" s="837">
        <v>8</v>
      </c>
      <c r="D8" s="1067" t="s">
        <v>1024</v>
      </c>
      <c r="E8" s="3574" t="str">
        <f>IFERROR(IF(F7=0,"",YEARFRAC(F7,F4,0)),"")</f>
        <v/>
      </c>
      <c r="F8" s="3575"/>
      <c r="G8" s="3576" t="str">
        <f>IFERROR(IF(H7=0,"",YEARFRAC(H7,F4,0)),"")</f>
        <v/>
      </c>
      <c r="H8" s="3577"/>
      <c r="I8" s="212"/>
      <c r="J8" s="212"/>
      <c r="K8" s="3590"/>
      <c r="L8" s="3591"/>
      <c r="M8" s="211"/>
      <c r="N8" s="748"/>
      <c r="O8" s="748"/>
      <c r="P8" s="748"/>
      <c r="Q8" s="748"/>
      <c r="R8" s="748"/>
      <c r="S8" s="895"/>
      <c r="T8" s="895"/>
      <c r="U8" s="896"/>
      <c r="V8" s="894"/>
    </row>
    <row r="9" spans="1:22" s="15" customFormat="1" ht="14.25" customHeight="1">
      <c r="A9"/>
      <c r="B9"/>
      <c r="C9" s="837">
        <v>9</v>
      </c>
      <c r="D9" s="1068" t="s">
        <v>906</v>
      </c>
      <c r="E9" s="3559" t="str">
        <f>IFERROR(IF(F7=0,"",DATE(YEAR(F7)+65,MONTH(F7)+VLOOKUP(YEAR(F7),Regelaltersgrenze,2)+1,1)),"")</f>
        <v/>
      </c>
      <c r="F9" s="3560"/>
      <c r="G9" s="3557" t="str">
        <f>IF(H7="","",DATE(YEAR(H7)+65,MONTH(H7)+VLOOKUP(YEAR(H7),Regelaltersgrenze,2)+1,1))</f>
        <v/>
      </c>
      <c r="H9" s="3558"/>
      <c r="I9" s="212"/>
      <c r="J9" s="212"/>
      <c r="K9" s="3549" t="str">
        <f>"Grundrenten-EP Teilung? - "&amp;IF(GR_EP_Teilung,"Ja","Nein")</f>
        <v>Grundrenten-EP Teilung? - Ja</v>
      </c>
      <c r="L9" s="3550"/>
      <c r="M9" s="211"/>
      <c r="N9" s="748" t="s">
        <v>1052</v>
      </c>
      <c r="O9" s="952" t="b">
        <v>1</v>
      </c>
      <c r="P9" s="748"/>
      <c r="Q9" s="748"/>
      <c r="R9" s="748"/>
      <c r="S9" s="895"/>
      <c r="T9" s="895"/>
      <c r="U9" s="896"/>
      <c r="V9" s="898"/>
    </row>
    <row r="10" spans="1:22" s="15" customFormat="1" ht="14.25" customHeight="1">
      <c r="A10"/>
      <c r="B10"/>
      <c r="C10" s="837">
        <v>10</v>
      </c>
      <c r="D10" s="1067" t="s">
        <v>909</v>
      </c>
      <c r="E10" s="3561"/>
      <c r="F10" s="3562"/>
      <c r="G10" s="3556"/>
      <c r="H10" s="2947"/>
      <c r="I10" s="212"/>
      <c r="J10" s="212"/>
      <c r="K10" s="3551" t="s">
        <v>1051</v>
      </c>
      <c r="L10" s="3552"/>
      <c r="M10" s="211"/>
      <c r="N10" s="748"/>
      <c r="O10" s="748"/>
      <c r="P10" s="748"/>
      <c r="Q10" s="748"/>
      <c r="R10" s="748"/>
      <c r="S10" s="895"/>
      <c r="T10" s="895"/>
      <c r="U10" s="896"/>
      <c r="V10" s="894"/>
    </row>
    <row r="11" spans="1:22" s="15" customFormat="1" ht="14.25" customHeight="1" thickBot="1">
      <c r="A11"/>
      <c r="B11"/>
      <c r="C11" s="837">
        <v>11</v>
      </c>
      <c r="D11" s="1069" t="s">
        <v>907</v>
      </c>
      <c r="E11" s="3563" t="str">
        <f>IFERROR(YEARFRAC(F4,IF(E10&gt;0,E10,E9),0),"")</f>
        <v/>
      </c>
      <c r="F11" s="3564"/>
      <c r="G11" s="3565" t="str">
        <f>IFERROR(YEARFRAC(F4,IF(G10&gt;0,G10,G9),0),"")</f>
        <v/>
      </c>
      <c r="H11" s="3566"/>
      <c r="I11" s="212"/>
      <c r="J11" s="212"/>
      <c r="K11" s="3551"/>
      <c r="L11" s="3552"/>
      <c r="M11" s="211"/>
      <c r="N11" s="748"/>
      <c r="O11" s="748"/>
      <c r="P11" s="748"/>
      <c r="Q11" s="748"/>
      <c r="R11" s="748"/>
      <c r="S11" s="895"/>
      <c r="T11" s="895"/>
      <c r="U11" s="896"/>
      <c r="V11" s="894"/>
    </row>
    <row r="12" spans="1:22" s="15" customFormat="1" ht="15">
      <c r="A12"/>
      <c r="B12"/>
      <c r="C12" s="837">
        <v>12</v>
      </c>
      <c r="D12" s="1070" t="s">
        <v>67</v>
      </c>
      <c r="E12" s="3567" t="s">
        <v>1016</v>
      </c>
      <c r="F12" s="3567"/>
      <c r="G12" s="3567"/>
      <c r="H12" s="3568"/>
      <c r="I12" s="212"/>
      <c r="J12" s="212"/>
      <c r="K12" s="950" t="str">
        <f>+E6</f>
        <v>Mann</v>
      </c>
      <c r="L12" s="951" t="str">
        <f>+G6</f>
        <v>Frau</v>
      </c>
      <c r="M12" s="211"/>
      <c r="N12" s="748"/>
      <c r="O12" s="748"/>
      <c r="P12" s="748"/>
      <c r="Q12" s="748"/>
      <c r="R12" s="748"/>
      <c r="S12" s="895"/>
      <c r="T12" s="895"/>
      <c r="U12" s="896"/>
      <c r="V12" s="894"/>
    </row>
    <row r="13" spans="1:22" s="15" customFormat="1" ht="15">
      <c r="A13"/>
      <c r="B13"/>
      <c r="C13" s="837">
        <v>13</v>
      </c>
      <c r="D13" s="1058" t="s">
        <v>1028</v>
      </c>
      <c r="E13" s="919"/>
      <c r="F13" s="1088">
        <f ca="1">IFERROR(+E13*H5,"")</f>
        <v>0</v>
      </c>
      <c r="G13" s="920"/>
      <c r="H13" s="930">
        <f ca="1">IFERROR(+G13*H5,"")</f>
        <v>0</v>
      </c>
      <c r="I13" s="212"/>
      <c r="J13" s="212"/>
      <c r="K13" s="942">
        <f ca="1">IFERROR(+(F13+H13)/2,"")</f>
        <v>0</v>
      </c>
      <c r="L13" s="221">
        <f ca="1">IFERROR(+(H13+F13)/2,"")</f>
        <v>0</v>
      </c>
      <c r="M13" s="211"/>
      <c r="N13" s="748"/>
      <c r="O13" s="748"/>
      <c r="P13" s="748"/>
      <c r="Q13" s="748"/>
      <c r="R13" s="748"/>
      <c r="S13" s="895"/>
      <c r="T13" s="895"/>
      <c r="U13" s="896"/>
      <c r="V13" s="894"/>
    </row>
    <row r="14" spans="1:22" s="15" customFormat="1" ht="15">
      <c r="A14"/>
      <c r="B14"/>
      <c r="C14" s="837">
        <v>14</v>
      </c>
      <c r="D14" s="1058" t="s">
        <v>1027</v>
      </c>
      <c r="E14" s="919"/>
      <c r="F14" s="1088">
        <f ca="1">IFERROR(+E14*H5,"")</f>
        <v>0</v>
      </c>
      <c r="G14" s="920"/>
      <c r="H14" s="930">
        <f ca="1">IFERROR(+G14*H5,"")</f>
        <v>0</v>
      </c>
      <c r="I14" s="212"/>
      <c r="J14" s="212"/>
      <c r="K14" s="942">
        <f ca="1">IFERROR(IF(GR_EP_Teilung,(F14+H14)/2,F14),"")</f>
        <v>0</v>
      </c>
      <c r="L14" s="221">
        <f ca="1">IFERROR(IF(GR_EP_Teilung,(H14+F14)/2,H14),"")</f>
        <v>0</v>
      </c>
      <c r="M14" s="211"/>
      <c r="N14" s="748"/>
      <c r="O14" s="748"/>
      <c r="P14" s="748"/>
      <c r="Q14" s="748"/>
      <c r="R14" s="748"/>
      <c r="S14" s="895"/>
      <c r="T14" s="895"/>
      <c r="U14" s="896"/>
      <c r="V14" s="894"/>
    </row>
    <row r="15" spans="1:22" s="15" customFormat="1">
      <c r="A15"/>
      <c r="B15"/>
      <c r="C15" s="837">
        <v>15</v>
      </c>
      <c r="D15" s="1058" t="str">
        <f>IFERROR("Bagatellgrenze § 18 Abs. 3 VersAusglG im EzE für GR-EP: "&amp;TEXT(GR_Bagatellgrenze,"#.##0,00"),"")</f>
        <v/>
      </c>
      <c r="E15" s="1092" t="str">
        <f>IFERROR(IF(E14=0,"","KapWert:"&amp;TEXT(P3,"#.##0,00")),"")</f>
        <v/>
      </c>
      <c r="F15" s="1091" t="str">
        <f>IFERROR(IF(E14=0,"",IF(P3&gt;GR_Bagatellgrenze,"keine Bagatelle","Bagatelle!")),"")</f>
        <v/>
      </c>
      <c r="G15" s="1092" t="str">
        <f>IFERROR(IF(G14=0,"","KapWert:"&amp;TEXT(Q3,"#.##0,00")),"")</f>
        <v/>
      </c>
      <c r="H15" s="1030" t="str">
        <f>IFERROR(IF(G14=0,"",IF(Q3&gt;GR_Bagatellgrenze,"keine Bagatelle","Bagatelle!")),"")</f>
        <v/>
      </c>
      <c r="I15" s="212"/>
      <c r="J15" s="212"/>
      <c r="K15" s="942"/>
      <c r="L15" s="221"/>
      <c r="M15" s="211"/>
      <c r="N15" s="748"/>
      <c r="O15" s="748"/>
      <c r="P15" s="748"/>
      <c r="Q15" s="748"/>
      <c r="R15" s="748"/>
      <c r="S15" s="895"/>
      <c r="T15" s="895"/>
      <c r="U15" s="896"/>
      <c r="V15" s="894"/>
    </row>
    <row r="16" spans="1:22" s="15" customFormat="1">
      <c r="A16"/>
      <c r="B16"/>
      <c r="C16" s="837">
        <v>16</v>
      </c>
      <c r="D16" s="1071" t="s">
        <v>1170</v>
      </c>
      <c r="E16" s="1093"/>
      <c r="F16" s="913"/>
      <c r="G16" s="1100"/>
      <c r="H16" s="746"/>
      <c r="I16" s="212"/>
      <c r="J16" s="212"/>
      <c r="K16" s="942">
        <f>+(F16+H16)/2</f>
        <v>0</v>
      </c>
      <c r="L16" s="221">
        <f>+(H16+F16)/2</f>
        <v>0</v>
      </c>
      <c r="M16" s="211"/>
      <c r="N16" s="748"/>
      <c r="O16" s="748"/>
      <c r="P16" s="748"/>
      <c r="Q16" s="748"/>
      <c r="R16" s="748"/>
      <c r="S16" s="895"/>
      <c r="T16" s="895"/>
      <c r="U16" s="896"/>
      <c r="V16" s="894"/>
    </row>
    <row r="17" spans="1:22" s="15" customFormat="1">
      <c r="A17"/>
      <c r="B17"/>
      <c r="C17" s="837">
        <v>17</v>
      </c>
      <c r="D17" s="1058" t="s">
        <v>1025</v>
      </c>
      <c r="E17" s="914"/>
      <c r="F17" s="915">
        <f ca="1">IFERROR(E17*H5,"")</f>
        <v>0</v>
      </c>
      <c r="G17" s="914"/>
      <c r="H17" s="916">
        <f ca="1">IFERROR(+G17*H5,"")</f>
        <v>0</v>
      </c>
      <c r="I17" s="212"/>
      <c r="J17" s="212"/>
      <c r="K17" s="942">
        <f ca="1">+F17</f>
        <v>0</v>
      </c>
      <c r="L17" s="221">
        <f ca="1">+H17</f>
        <v>0</v>
      </c>
      <c r="M17" s="211"/>
      <c r="N17" s="748"/>
      <c r="O17" s="748"/>
      <c r="P17" s="748"/>
      <c r="Q17" s="748"/>
      <c r="R17" s="748"/>
      <c r="S17" s="895"/>
      <c r="T17" s="895"/>
      <c r="U17" s="896"/>
      <c r="V17" s="894"/>
    </row>
    <row r="18" spans="1:22" s="15" customFormat="1" ht="15">
      <c r="A18"/>
      <c r="B18"/>
      <c r="C18" s="837">
        <v>18</v>
      </c>
      <c r="D18" s="1059" t="s">
        <v>189</v>
      </c>
      <c r="E18" s="1096"/>
      <c r="F18" s="1094">
        <f ca="1">SUM(F13:F17)</f>
        <v>0</v>
      </c>
      <c r="G18" s="1102"/>
      <c r="H18" s="944">
        <f ca="1">IFERROR(SUM(H13:H17),"")</f>
        <v>0</v>
      </c>
      <c r="I18" s="212"/>
      <c r="J18" s="212"/>
      <c r="K18" s="408"/>
      <c r="L18" s="941"/>
      <c r="M18" s="211"/>
      <c r="N18" s="748"/>
      <c r="O18" s="748"/>
      <c r="P18" s="748"/>
      <c r="Q18" s="748"/>
      <c r="R18" s="748"/>
      <c r="S18" s="895"/>
      <c r="T18" s="895"/>
      <c r="U18" s="896"/>
      <c r="V18" s="894"/>
    </row>
    <row r="19" spans="1:22" s="15" customFormat="1">
      <c r="A19"/>
      <c r="B19"/>
      <c r="C19" s="837">
        <v>19</v>
      </c>
      <c r="D19" s="1072" t="s">
        <v>902</v>
      </c>
      <c r="E19" s="925"/>
      <c r="F19" s="1095">
        <f ca="1">IFERROR(E19*H5,"")</f>
        <v>0</v>
      </c>
      <c r="G19" s="927"/>
      <c r="H19" s="1101">
        <f ca="1">IFERROR(+G19*H5,"")</f>
        <v>0</v>
      </c>
      <c r="I19" s="212"/>
      <c r="J19" s="212"/>
      <c r="K19" s="942">
        <f ca="1">+F19</f>
        <v>0</v>
      </c>
      <c r="L19" s="221">
        <f ca="1">+H19</f>
        <v>0</v>
      </c>
      <c r="M19" s="211"/>
      <c r="N19" s="748"/>
      <c r="O19" s="748"/>
      <c r="P19" s="748"/>
      <c r="Q19" s="748"/>
      <c r="R19" s="748"/>
      <c r="S19" s="895"/>
      <c r="T19" s="895"/>
      <c r="U19" s="896"/>
      <c r="V19" s="894"/>
    </row>
    <row r="20" spans="1:22" s="15" customFormat="1" ht="15.75" thickBot="1">
      <c r="A20"/>
      <c r="B20"/>
      <c r="C20" s="837">
        <v>20</v>
      </c>
      <c r="D20" s="1073" t="s">
        <v>1014</v>
      </c>
      <c r="E20" s="1097"/>
      <c r="F20" s="926"/>
      <c r="G20" s="1103"/>
      <c r="H20" s="928"/>
      <c r="I20" s="212"/>
      <c r="J20" s="212"/>
      <c r="K20" s="942">
        <f>+F20</f>
        <v>0</v>
      </c>
      <c r="L20" s="221">
        <f>+H20</f>
        <v>0</v>
      </c>
      <c r="M20" s="211"/>
      <c r="N20" s="748"/>
      <c r="O20" s="748"/>
      <c r="P20" s="748"/>
      <c r="Q20" s="748"/>
      <c r="R20" s="748"/>
      <c r="S20" s="895"/>
      <c r="T20" s="895"/>
      <c r="U20" s="896"/>
      <c r="V20" s="894"/>
    </row>
    <row r="21" spans="1:22" s="15" customFormat="1" ht="16.5" thickTop="1" thickBot="1">
      <c r="A21"/>
      <c r="B21"/>
      <c r="C21" s="837">
        <v>21</v>
      </c>
      <c r="D21" s="1074" t="s">
        <v>904</v>
      </c>
      <c r="E21" s="1098"/>
      <c r="F21" s="1099">
        <f ca="1">SUM(F18:F20)</f>
        <v>0</v>
      </c>
      <c r="G21" s="1104"/>
      <c r="H21" s="1105">
        <f ca="1">SUM(H18:H20)</f>
        <v>0</v>
      </c>
      <c r="I21" s="212"/>
      <c r="J21" s="212"/>
      <c r="K21" s="943">
        <f ca="1">SUM(K13:K20)</f>
        <v>0</v>
      </c>
      <c r="L21" s="944">
        <f ca="1">SUM(L13:L20)</f>
        <v>0</v>
      </c>
      <c r="M21" s="212"/>
      <c r="N21" s="748" t="s">
        <v>1021</v>
      </c>
      <c r="O21" s="897" t="b">
        <v>0</v>
      </c>
      <c r="P21" s="748" t="b">
        <v>0</v>
      </c>
      <c r="Q21" s="748"/>
      <c r="R21" s="748"/>
      <c r="S21" s="895"/>
      <c r="T21" s="895"/>
      <c r="U21" s="896"/>
      <c r="V21" s="894"/>
    </row>
    <row r="22" spans="1:22" s="15" customFormat="1" ht="15" hidden="1" customHeight="1">
      <c r="A22"/>
      <c r="B22"/>
      <c r="C22" s="837">
        <v>22</v>
      </c>
      <c r="D22" s="1075"/>
      <c r="E22" s="838"/>
      <c r="F22" s="840"/>
      <c r="G22" s="839"/>
      <c r="H22" s="846"/>
      <c r="I22" s="212"/>
      <c r="J22" s="212"/>
      <c r="K22" s="408"/>
      <c r="L22" s="329"/>
      <c r="M22" s="211"/>
      <c r="N22" s="748"/>
      <c r="O22" s="748"/>
      <c r="P22" s="748"/>
      <c r="Q22" s="748"/>
      <c r="R22" s="748"/>
      <c r="S22" s="895"/>
      <c r="T22" s="895"/>
      <c r="U22" s="896"/>
      <c r="V22" s="894"/>
    </row>
    <row r="23" spans="1:22" s="15" customFormat="1">
      <c r="A23"/>
      <c r="B23"/>
      <c r="C23" s="837">
        <v>23</v>
      </c>
      <c r="D23" s="1071" t="str">
        <f ca="1">"Einkommensgrenze § 97a Abs. 4 S. 2 SGB VI   (60%): "&amp;TEXT(H5,"0,00")&amp;" x "&amp;IF(verheiratet," 57,03 ","36,56 ")&amp;" ="</f>
        <v>Einkommensgrenze § 97a Abs. 4 S. 2 SGB VI   (60%): 40,79 x 36,56  =</v>
      </c>
      <c r="E23" s="1078">
        <f ca="1">IFERROR(ROUNDUP(+H5*IF(verheiratet,57.03,36.56),0),"")</f>
        <v>1492</v>
      </c>
      <c r="F23" s="1079"/>
      <c r="G23" s="1080">
        <f ca="1">IFERROR(ROUNDUP(+H5*IF(Verheiratet2,57.03,36.56),0),"")</f>
        <v>1492</v>
      </c>
      <c r="H23" s="931"/>
      <c r="I23" s="212"/>
      <c r="J23" s="212"/>
      <c r="K23" s="945">
        <f ca="1">+E23</f>
        <v>1492</v>
      </c>
      <c r="L23" s="1060">
        <f ca="1">+G23</f>
        <v>1492</v>
      </c>
      <c r="M23" s="211"/>
      <c r="N23" s="748"/>
      <c r="O23" s="748"/>
      <c r="P23" s="748"/>
      <c r="Q23" s="748"/>
      <c r="R23" s="748"/>
      <c r="S23" s="895"/>
      <c r="T23" s="895"/>
      <c r="U23" s="896"/>
      <c r="V23" s="894"/>
    </row>
    <row r="24" spans="1:22" s="15" customFormat="1">
      <c r="A24"/>
      <c r="B24"/>
      <c r="C24" s="837">
        <v>24</v>
      </c>
      <c r="D24" s="1071" t="str">
        <f ca="1">"Einkommensgrenze § 97a Abs. 4 S. 3 SGB VI (100%): "&amp;TEXT(H5,"0,00")&amp;" x "&amp;IF(verheiratet," 67,27 ","46,78 ")&amp;"="</f>
        <v>Einkommensgrenze § 97a Abs. 4 S. 3 SGB VI (100%): 40,79 x 46,78 =</v>
      </c>
      <c r="E24" s="1078">
        <f ca="1">IFERROR(ROUNDUP(+H5*IF(verheiratet,67.27,46.78),0),"")</f>
        <v>1909</v>
      </c>
      <c r="F24" s="1079"/>
      <c r="G24" s="1078">
        <f ca="1">IFERROR(ROUNDUP(+H5*IF(Verheiratet2,67.27,46.78),0),"")</f>
        <v>1909</v>
      </c>
      <c r="H24" s="931"/>
      <c r="I24" s="212"/>
      <c r="J24" s="212"/>
      <c r="K24" s="945">
        <f ca="1">+E24</f>
        <v>1909</v>
      </c>
      <c r="L24" s="1060">
        <f ca="1">+G24</f>
        <v>1909</v>
      </c>
      <c r="M24" s="211"/>
      <c r="N24" s="748"/>
      <c r="O24" s="748"/>
      <c r="P24" s="748"/>
      <c r="Q24" s="748"/>
      <c r="R24" s="748"/>
      <c r="S24" s="895"/>
      <c r="T24" s="895"/>
      <c r="U24" s="896"/>
      <c r="V24" s="894"/>
    </row>
    <row r="25" spans="1:22" s="15" customFormat="1">
      <c r="A25"/>
      <c r="B25"/>
      <c r="C25" s="837">
        <v>25</v>
      </c>
      <c r="D25" s="1058" t="s">
        <v>901</v>
      </c>
      <c r="E25" s="217"/>
      <c r="F25" s="1081">
        <f ca="1">+F21*12</f>
        <v>0</v>
      </c>
      <c r="G25" s="1082"/>
      <c r="H25" s="947">
        <f ca="1">+H21*12</f>
        <v>0</v>
      </c>
      <c r="I25" s="212"/>
      <c r="J25" s="212"/>
      <c r="K25" s="408"/>
      <c r="L25" s="941"/>
      <c r="M25" s="211"/>
      <c r="N25" s="748"/>
      <c r="O25" s="748"/>
      <c r="P25" s="748"/>
      <c r="Q25" s="748"/>
      <c r="R25" s="748"/>
      <c r="S25" s="895"/>
      <c r="T25" s="895"/>
      <c r="U25" s="896"/>
      <c r="V25" s="894"/>
    </row>
    <row r="26" spans="1:22" s="15" customFormat="1">
      <c r="A26"/>
      <c r="B26"/>
      <c r="C26" s="837">
        <v>26</v>
      </c>
      <c r="D26" s="1058" t="str">
        <f>"Monatseinkommen ohne Grundrentenerwerb: "</f>
        <v xml:space="preserve">Monatseinkommen ohne Grundrentenerwerb: </v>
      </c>
      <c r="E26" s="725" t="str">
        <f ca="1">IF(F21=0,"",TEXT(F21,"#.##0,00")&amp;" - "&amp;TEXT(F14,"#.##0,00"))</f>
        <v/>
      </c>
      <c r="F26" s="1081">
        <f ca="1">IFERROR(F21-F14,"")</f>
        <v>0</v>
      </c>
      <c r="G26" s="1083" t="str">
        <f ca="1">IF(H21=0,"",TEXT(H21,"#.##0,00")&amp;" - "&amp;TEXT(H14,"#.##0,00"))</f>
        <v/>
      </c>
      <c r="H26" s="947">
        <f ca="1">IFERROR(H21-H14,"")</f>
        <v>0</v>
      </c>
      <c r="I26" s="212"/>
      <c r="J26" s="212"/>
      <c r="K26" s="942">
        <f ca="1">IFERROR(+K21-K14,"")</f>
        <v>0</v>
      </c>
      <c r="L26" s="221">
        <f ca="1">+IFERROR(L21-L14,"")</f>
        <v>0</v>
      </c>
      <c r="M26" s="211"/>
      <c r="N26" s="748"/>
      <c r="O26" s="748"/>
      <c r="P26" s="748"/>
      <c r="Q26" s="748"/>
      <c r="R26" s="748"/>
      <c r="S26" s="895"/>
      <c r="T26" s="895"/>
      <c r="U26" s="896"/>
      <c r="V26" s="894"/>
    </row>
    <row r="27" spans="1:22" s="15" customFormat="1">
      <c r="A27"/>
      <c r="B27"/>
      <c r="C27" s="837">
        <v>27</v>
      </c>
      <c r="D27" s="1058" t="s">
        <v>903</v>
      </c>
      <c r="E27" s="1057"/>
      <c r="F27" s="1081">
        <f ca="1">+F14</f>
        <v>0</v>
      </c>
      <c r="G27" s="1084"/>
      <c r="H27" s="947">
        <f ca="1">+H14</f>
        <v>0</v>
      </c>
      <c r="I27" s="212"/>
      <c r="J27" s="212"/>
      <c r="K27" s="942">
        <f ca="1">+K14</f>
        <v>0</v>
      </c>
      <c r="L27" s="221">
        <f ca="1">+L14</f>
        <v>0</v>
      </c>
      <c r="M27" s="211"/>
      <c r="N27" s="748"/>
      <c r="O27" s="748"/>
      <c r="P27" s="748"/>
      <c r="Q27" s="748"/>
      <c r="R27" s="748"/>
      <c r="S27" s="895"/>
      <c r="T27" s="895"/>
      <c r="U27" s="896"/>
      <c r="V27" s="894"/>
    </row>
    <row r="28" spans="1:22" s="15" customFormat="1">
      <c r="A28"/>
      <c r="B28"/>
      <c r="C28" s="837">
        <v>28</v>
      </c>
      <c r="D28" s="1076" t="str">
        <f>"anrechenbar nach § 97a Abs. 4 S. 2 SGB VI zu   60%: "</f>
        <v xml:space="preserve">anrechenbar nach § 97a Abs. 4 S. 2 SGB VI zu   60%: </v>
      </c>
      <c r="E28" s="725" t="str">
        <f ca="1">IF(F21=0,"","("&amp;TEXT(IF(E24&lt;F26,E24,F26),"#.##0,00")&amp;" - "&amp;TEXT(E23,"#.##0,00")&amp;") x 60%")</f>
        <v/>
      </c>
      <c r="F28" s="1081">
        <f ca="1">-IF(F26&lt;=E23,0,IF(AND(F26&gt;E23,F26&lt;E24),F26-E23,E24-E23))*0.6</f>
        <v>0</v>
      </c>
      <c r="G28" s="725" t="str">
        <f ca="1">IF(H21=0,"","("&amp;TEXT(IF(G24&lt;H26,G24,H26),"#.##0,00")&amp;" - "&amp;TEXT(G23,"#.##0,00")&amp;") x 60%")</f>
        <v/>
      </c>
      <c r="H28" s="1081">
        <f ca="1">-IF(H26&lt;=G23,0,IF(AND(H26&gt;G23,H26&lt;G24),H26-G23,G24-G23))*0.6</f>
        <v>0</v>
      </c>
      <c r="I28" s="212"/>
      <c r="J28" s="212"/>
      <c r="K28" s="946">
        <f ca="1">-IF(K26&lt;=K23,0,IF(AND(K26&gt;K23,K26&lt;K24),K26-K23,K24-K23))*0.6</f>
        <v>0</v>
      </c>
      <c r="L28" s="947">
        <f ca="1">-IF(L26&lt;=L23,0,IF(AND(L26&gt;L23,L26&lt;L24),L26-L23,L24-L23))*0.6</f>
        <v>0</v>
      </c>
      <c r="M28" s="211"/>
      <c r="N28" s="748"/>
      <c r="O28" s="748"/>
      <c r="P28" s="748"/>
      <c r="Q28" s="748"/>
      <c r="R28" s="748"/>
      <c r="S28" s="895"/>
      <c r="T28" s="895"/>
      <c r="U28" s="896"/>
      <c r="V28" s="894"/>
    </row>
    <row r="29" spans="1:22" s="15" customFormat="1">
      <c r="A29"/>
      <c r="B29"/>
      <c r="C29" s="837">
        <v>29</v>
      </c>
      <c r="D29" s="1076" t="str">
        <f>"anrechenbar nach § 97a Abs. 4 S. 3 SGB VI zu 100%: "</f>
        <v xml:space="preserve">anrechenbar nach § 97a Abs. 4 S. 3 SGB VI zu 100%: </v>
      </c>
      <c r="E29" s="725" t="str">
        <f ca="1">TEXT(F26,"#.##0,00")&amp;" - "&amp;TEXT(E24,"#.##0,00")</f>
        <v>0,00 - 1.909,00</v>
      </c>
      <c r="F29" s="1081">
        <f ca="1">IFERROR(IF(F26&gt;E24,(E24-F26),0),"")</f>
        <v>0</v>
      </c>
      <c r="G29" s="725" t="str">
        <f ca="1">TEXT(H26,"#.##0,00")&amp;" - "&amp;TEXT(G24,"#.##0,00")</f>
        <v>0,00 - 1.909,00</v>
      </c>
      <c r="H29" s="1081">
        <f ca="1">IFERROR(IF(H26&gt;G24,(G24-H26),0),"")</f>
        <v>0</v>
      </c>
      <c r="I29" s="212"/>
      <c r="J29" s="212"/>
      <c r="K29" s="946">
        <f ca="1">IFERROR(IF(K26&gt;K24,(K24-K26),0),"")</f>
        <v>0</v>
      </c>
      <c r="L29" s="947">
        <f ca="1">IFERROR(IF(L26&gt;L24,(L24-L26),0),"")</f>
        <v>0</v>
      </c>
      <c r="M29" s="211"/>
      <c r="N29" s="748"/>
      <c r="O29" s="748"/>
      <c r="P29" s="748"/>
      <c r="Q29" s="748"/>
      <c r="R29" s="748"/>
      <c r="S29" s="895"/>
      <c r="T29" s="895"/>
      <c r="U29" s="896"/>
      <c r="V29" s="894"/>
    </row>
    <row r="30" spans="1:22" s="15" customFormat="1" ht="18.75" thickBot="1">
      <c r="A30"/>
      <c r="B30"/>
      <c r="C30" s="837">
        <v>30</v>
      </c>
      <c r="D30" s="1077" t="str">
        <f ca="1">"Grundrentenzuschlag: "&amp;TEXT(F27,"#.##0,00")&amp;IF(F28&lt;&gt;0," - "&amp;TEXT(ABS(F28),"#.##0,00"),"")&amp;IF(F29&lt;&gt;0," - "&amp;TEXT(ABS(F29),"#.##0,00"),"")</f>
        <v>Grundrentenzuschlag: 0,00</v>
      </c>
      <c r="E30" s="1085"/>
      <c r="F30" s="1086">
        <f ca="1">IFERROR(IF(+F27+F28+F29&lt;0,0,+F27+F28+F29),0)</f>
        <v>0</v>
      </c>
      <c r="G30" s="1087"/>
      <c r="H30" s="949">
        <f ca="1">IFERROR(IF(+H27+H28+H29&lt;0,0,+H27+H28+H29),0)</f>
        <v>0</v>
      </c>
      <c r="I30" s="212"/>
      <c r="J30" s="212"/>
      <c r="K30" s="948">
        <f ca="1">IFERROR(IF(+K27+K28+K29&lt;0,0,+K27+K28+K29),0)</f>
        <v>0</v>
      </c>
      <c r="L30" s="949">
        <f ca="1">IFERROR(IF(+L27+L28+L29&lt;0,0,+L27+L28+L29),0)</f>
        <v>0</v>
      </c>
      <c r="M30" s="211"/>
      <c r="N30" s="748"/>
      <c r="O30" s="748"/>
      <c r="P30" s="748"/>
      <c r="Q30" s="748"/>
      <c r="R30" s="748"/>
      <c r="S30" s="895"/>
      <c r="T30" s="895"/>
      <c r="U30" s="896"/>
      <c r="V30" s="894"/>
    </row>
    <row r="31" spans="1:22" ht="32.25" customHeight="1" thickBot="1">
      <c r="C31" s="837">
        <v>31</v>
      </c>
      <c r="D31" s="25"/>
      <c r="E31" s="3569" t="str">
        <f ca="1">IFERROR(IF(F30+H30=0,"",IF(AND(F30&gt;0,H30&gt;0),"Für beide Gatten ",IF(AND(F30&gt;0,H30=0),"Für Gatte 1 ",IF(AND(H30&gt;0,F30=0),"Für Gatte 2 ","")))&amp;"kommt nach heutigen Prognosen ein Grundrentenbezug in Betracht"),"")</f>
        <v/>
      </c>
      <c r="F31" s="3570"/>
      <c r="G31" s="3570"/>
      <c r="H31" s="3571"/>
      <c r="I31" s="466"/>
      <c r="J31" s="212"/>
      <c r="K31" s="3553" t="str">
        <f ca="1">IFERROR(IF(K30+L30&lt;K14+L14,"GrEP-Teilung nicht unbedingt sinnvoll",""),"")</f>
        <v/>
      </c>
      <c r="L31" s="3554"/>
      <c r="M31" s="211"/>
    </row>
    <row r="32" spans="1:22" ht="14.25" customHeight="1">
      <c r="C32" s="1055"/>
    </row>
    <row r="33" spans="1:8">
      <c r="A33" t="s">
        <v>117</v>
      </c>
      <c r="C33" s="1055"/>
      <c r="D33" s="3555" t="str">
        <f>IF(E19+F20+G19+H20&gt;0,"*) OLG Bamberg 2 UF 136/22: 'Eine Hochrechnung über mehrere Jahre überdehnt die heranzuziehende Prognosebasis'","")</f>
        <v/>
      </c>
      <c r="E33" s="3555"/>
      <c r="F33" s="3555"/>
      <c r="G33" s="3555"/>
      <c r="H33" s="3555"/>
    </row>
    <row r="34" spans="1:8" ht="14.25" customHeight="1">
      <c r="C34" s="1055"/>
    </row>
    <row r="35" spans="1:8" ht="14.25" customHeight="1">
      <c r="C35" s="1055"/>
    </row>
    <row r="36" spans="1:8" ht="14.25" customHeight="1">
      <c r="C36" s="1055"/>
    </row>
    <row r="37" spans="1:8" ht="14.25" customHeight="1">
      <c r="C37" s="1055"/>
    </row>
    <row r="38" spans="1:8" ht="14.25" customHeight="1">
      <c r="C38" s="1055"/>
    </row>
    <row r="39" spans="1:8" ht="14.25" customHeight="1">
      <c r="C39" s="1055"/>
    </row>
    <row r="40" spans="1:8" ht="14.25" customHeight="1">
      <c r="C40" s="1055"/>
    </row>
    <row r="41" spans="1:8" ht="14.25" customHeight="1">
      <c r="C41" s="1055"/>
    </row>
    <row r="42" spans="1:8" ht="14.25" customHeight="1">
      <c r="C42" s="1055"/>
    </row>
    <row r="43" spans="1:8" ht="14.25" customHeight="1">
      <c r="C43" s="1055"/>
    </row>
    <row r="44" spans="1:8" ht="14.25" customHeight="1">
      <c r="C44" s="1055"/>
    </row>
    <row r="45" spans="1:8" ht="14.25" customHeight="1">
      <c r="C45" s="1055"/>
    </row>
    <row r="46" spans="1:8" ht="14.25" customHeight="1">
      <c r="C46" s="1055"/>
    </row>
    <row r="47" spans="1:8" ht="14.25" customHeight="1">
      <c r="C47" s="1055"/>
    </row>
    <row r="48" spans="1:8" ht="14.25" customHeight="1">
      <c r="C48" s="1055"/>
    </row>
    <row r="49" spans="3:3" ht="14.25" customHeight="1">
      <c r="C49" s="1055"/>
    </row>
    <row r="50" spans="3:3" ht="14.25" customHeight="1">
      <c r="C50" s="1055"/>
    </row>
    <row r="51" spans="3:3" ht="14.25" customHeight="1">
      <c r="C51" s="1055"/>
    </row>
    <row r="52" spans="3:3" ht="14.25" customHeight="1">
      <c r="C52" s="1055"/>
    </row>
    <row r="53" spans="3:3" ht="14.25" customHeight="1">
      <c r="C53" s="1055"/>
    </row>
    <row r="54" spans="3:3" ht="14.25" customHeight="1">
      <c r="C54" s="1055"/>
    </row>
    <row r="55" spans="3:3" ht="14.25" customHeight="1">
      <c r="C55" s="1055"/>
    </row>
    <row r="56" spans="3:3" ht="14.25" customHeight="1">
      <c r="C56" s="1055"/>
    </row>
    <row r="57" spans="3:3" ht="14.25" customHeight="1">
      <c r="C57" s="1055"/>
    </row>
    <row r="58" spans="3:3" ht="14.25" customHeight="1">
      <c r="C58" s="1055"/>
    </row>
    <row r="59" spans="3:3" ht="14.25" customHeight="1">
      <c r="C59" s="1055"/>
    </row>
    <row r="60" spans="3:3" ht="14.25" customHeight="1">
      <c r="C60" s="1055"/>
    </row>
    <row r="61" spans="3:3" ht="14.25" customHeight="1">
      <c r="C61" s="1055"/>
    </row>
    <row r="62" spans="3:3" ht="14.25" customHeight="1">
      <c r="C62" s="1055"/>
    </row>
    <row r="63" spans="3:3" ht="14.25" customHeight="1">
      <c r="C63" s="1055"/>
    </row>
    <row r="64" spans="3:3" ht="14.25" customHeight="1">
      <c r="C64" s="1055"/>
    </row>
    <row r="65" spans="3:3" ht="14.25" customHeight="1">
      <c r="C65" s="1055"/>
    </row>
    <row r="66" spans="3:3" ht="14.25" customHeight="1">
      <c r="C66" s="1055"/>
    </row>
    <row r="67" spans="3:3" ht="14.25" customHeight="1">
      <c r="C67" s="1055"/>
    </row>
    <row r="68" spans="3:3" ht="14.25" customHeight="1">
      <c r="C68" s="1055"/>
    </row>
    <row r="69" spans="3:3" ht="14.25" customHeight="1">
      <c r="C69" s="1055"/>
    </row>
    <row r="70" spans="3:3" ht="14.25" customHeight="1">
      <c r="C70" s="1055"/>
    </row>
    <row r="71" spans="3:3" ht="14.25" customHeight="1">
      <c r="C71" s="1055"/>
    </row>
    <row r="72" spans="3:3" ht="14.25" customHeight="1">
      <c r="C72" s="1055"/>
    </row>
    <row r="73" spans="3:3" ht="14.25" customHeight="1">
      <c r="C73" s="1055"/>
    </row>
    <row r="74" spans="3:3" ht="14.25" customHeight="1">
      <c r="C74" s="1055"/>
    </row>
    <row r="75" spans="3:3" ht="14.25" customHeight="1">
      <c r="C75" s="1055"/>
    </row>
    <row r="76" spans="3:3" ht="14.25" customHeight="1">
      <c r="C76" s="1055"/>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D1:H1"/>
    <mergeCell ref="S3:T3"/>
    <mergeCell ref="E8:F8"/>
    <mergeCell ref="G8:H8"/>
    <mergeCell ref="E6:F6"/>
    <mergeCell ref="G6:H6"/>
    <mergeCell ref="D2:H3"/>
    <mergeCell ref="K1:L1"/>
    <mergeCell ref="K4:L8"/>
    <mergeCell ref="I2:J2"/>
    <mergeCell ref="K2:K3"/>
    <mergeCell ref="L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42" priority="33">
      <formula>OR(AND($F$30&gt;0,$H$30=0),AND(H30&gt;0,F30=0))</formula>
    </cfRule>
    <cfRule type="expression" dxfId="141" priority="34">
      <formula>AND(F30&gt;0,H30&gt;0)</formula>
    </cfRule>
  </conditionalFormatting>
  <conditionalFormatting sqref="E15:F15">
    <cfRule type="expression" dxfId="140" priority="398">
      <formula>$E$14=0</formula>
    </cfRule>
    <cfRule type="expression" dxfId="139" priority="399">
      <formula>$P$3&lt;=$O$3</formula>
    </cfRule>
    <cfRule type="expression" dxfId="138" priority="400">
      <formula>$P$3&gt;$O$3</formula>
    </cfRule>
  </conditionalFormatting>
  <conditionalFormatting sqref="F30">
    <cfRule type="expression" dxfId="135" priority="20">
      <formula>AND($F$30&gt;0,$H$30&gt;0)</formula>
    </cfRule>
    <cfRule type="expression" dxfId="134" priority="21">
      <formula>AND($F$30&gt;0,$H$30=0)</formula>
    </cfRule>
  </conditionalFormatting>
  <conditionalFormatting sqref="G15:H15">
    <cfRule type="expression" dxfId="133" priority="401">
      <formula>G14=0</formula>
    </cfRule>
    <cfRule type="expression" dxfId="132" priority="402">
      <formula>$Q$3&lt;=$O$3</formula>
    </cfRule>
    <cfRule type="expression" dxfId="131" priority="403">
      <formula>$Q$3&gt;$O$3</formula>
    </cfRule>
  </conditionalFormatting>
  <conditionalFormatting sqref="H30">
    <cfRule type="expression" dxfId="129" priority="18">
      <formula>AND($H$30&gt;0,$F$30&gt;0)</formula>
    </cfRule>
    <cfRule type="expression" dxfId="128" priority="19">
      <formula>AND($H$30&gt;0,$F$30=0)</formula>
    </cfRule>
  </conditionalFormatting>
  <conditionalFormatting sqref="K30">
    <cfRule type="expression" dxfId="127" priority="9">
      <formula>AND($K$30&gt;0,$L$30&gt;0)</formula>
    </cfRule>
    <cfRule type="expression" dxfId="126" priority="10">
      <formula>AND($K$30&gt;0,$L$30=0)</formula>
    </cfRule>
  </conditionalFormatting>
  <conditionalFormatting sqref="K9:L9">
    <cfRule type="expression" dxfId="125" priority="4">
      <formula>GR_EP_Teilung=FALSE</formula>
    </cfRule>
    <cfRule type="expression" dxfId="124" priority="5">
      <formula>GR_EP_Teilung</formula>
    </cfRule>
  </conditionalFormatting>
  <conditionalFormatting sqref="K31:L31">
    <cfRule type="expression" dxfId="123" priority="6">
      <formula>$K$30+$L$30&lt;$K$14+$L$14</formula>
    </cfRule>
  </conditionalFormatting>
  <conditionalFormatting sqref="L30">
    <cfRule type="expression" dxfId="122" priority="7">
      <formula>AND($L$30&gt;0,$K$30&gt;0)</formula>
    </cfRule>
    <cfRule type="expression" dxfId="121"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1441</v>
      </c>
      <c r="C3" s="58">
        <f ca="1">TODAY()</f>
        <v>46090</v>
      </c>
      <c r="F3" t="s">
        <v>199</v>
      </c>
      <c r="G3" s="58">
        <v>28307</v>
      </c>
      <c r="H3" s="2328" t="s">
        <v>1427</v>
      </c>
      <c r="I3" s="2328"/>
      <c r="J3" s="2328"/>
      <c r="K3" s="2328"/>
      <c r="L3" s="2328"/>
      <c r="M3" s="2328"/>
      <c r="N3" s="2328"/>
      <c r="P3" s="2328" t="s">
        <v>1428</v>
      </c>
      <c r="Q3" s="2328"/>
      <c r="R3" s="2328"/>
      <c r="S3" s="2328"/>
      <c r="T3" s="2328"/>
      <c r="U3" s="2328"/>
      <c r="V3" s="2328"/>
    </row>
    <row r="4" spans="2:26">
      <c r="B4" t="s">
        <v>318</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5.75">
      <c r="B5" t="s">
        <v>7</v>
      </c>
      <c r="C5" s="128">
        <v>47</v>
      </c>
      <c r="H5" s="1478">
        <v>0</v>
      </c>
      <c r="I5" s="1478">
        <v>1</v>
      </c>
      <c r="J5" s="1478">
        <v>1</v>
      </c>
      <c r="K5" s="1478">
        <v>1</v>
      </c>
      <c r="L5" s="1478">
        <v>1.3</v>
      </c>
      <c r="M5" s="1478">
        <v>2</v>
      </c>
      <c r="N5" s="1478">
        <v>2</v>
      </c>
      <c r="P5" s="1478">
        <v>0</v>
      </c>
      <c r="Q5" s="1478">
        <v>0.7</v>
      </c>
      <c r="R5" s="1478">
        <v>0.7</v>
      </c>
      <c r="S5" s="1478">
        <v>0.7</v>
      </c>
      <c r="T5" s="1478">
        <v>1</v>
      </c>
      <c r="U5" s="1478">
        <v>1.6</v>
      </c>
      <c r="V5" s="1478">
        <v>1.6</v>
      </c>
      <c r="W5" s="1479"/>
      <c r="X5" s="1478"/>
      <c r="Y5" s="1478"/>
      <c r="Z5" s="1478"/>
    </row>
    <row r="6" spans="2:26" ht="15.75">
      <c r="B6" t="s">
        <v>1429</v>
      </c>
      <c r="C6" s="128">
        <v>65</v>
      </c>
      <c r="H6" s="1478">
        <v>26</v>
      </c>
      <c r="I6" s="1478">
        <v>1.1000000000000001</v>
      </c>
      <c r="J6" s="1478">
        <v>1.1000000000000001</v>
      </c>
      <c r="K6" s="1478">
        <v>1.1000000000000001</v>
      </c>
      <c r="L6" s="1478">
        <v>1.4</v>
      </c>
      <c r="M6" s="1478">
        <v>2.1</v>
      </c>
      <c r="N6" s="1478">
        <v>2.1</v>
      </c>
      <c r="P6" s="1478">
        <v>26</v>
      </c>
      <c r="Q6" s="1478">
        <v>0.8</v>
      </c>
      <c r="R6" s="1478">
        <v>0.8</v>
      </c>
      <c r="S6" s="1478">
        <v>0.8</v>
      </c>
      <c r="T6" s="1478">
        <v>1.1000000000000001</v>
      </c>
      <c r="U6" s="1478">
        <v>1.7</v>
      </c>
      <c r="V6" s="1478">
        <v>1.7</v>
      </c>
      <c r="W6" s="1479"/>
      <c r="X6" s="1478"/>
      <c r="Y6" s="1478"/>
      <c r="Z6" s="1478"/>
    </row>
    <row r="7" spans="2:26" ht="15.75">
      <c r="B7" t="s">
        <v>21</v>
      </c>
      <c r="C7" s="149">
        <f>813.06/1.95583</f>
        <v>415.7109769253974</v>
      </c>
      <c r="D7" t="s">
        <v>575</v>
      </c>
      <c r="E7" t="s">
        <v>1430</v>
      </c>
      <c r="F7" t="s">
        <v>1431</v>
      </c>
      <c r="H7" s="1478">
        <v>27</v>
      </c>
      <c r="I7" s="1478">
        <v>1.1000000000000001</v>
      </c>
      <c r="J7" s="1478">
        <v>1.1000000000000001</v>
      </c>
      <c r="K7" s="1478">
        <v>1.1000000000000001</v>
      </c>
      <c r="L7" s="1478">
        <v>1.5</v>
      </c>
      <c r="M7" s="1478">
        <v>2.2000000000000002</v>
      </c>
      <c r="N7" s="1478">
        <v>2.2000000000000002</v>
      </c>
      <c r="P7" s="1478">
        <v>27</v>
      </c>
      <c r="Q7" s="1478">
        <v>0.8</v>
      </c>
      <c r="R7" s="1478">
        <v>0.8</v>
      </c>
      <c r="S7" s="1478">
        <v>0.8</v>
      </c>
      <c r="T7" s="1478">
        <v>1.1000000000000001</v>
      </c>
      <c r="U7" s="1478">
        <v>1.8</v>
      </c>
      <c r="V7" s="1478">
        <v>1.8</v>
      </c>
      <c r="W7" s="1479"/>
      <c r="X7" s="1478"/>
      <c r="Y7" s="1478"/>
      <c r="Z7" s="1478"/>
    </row>
    <row r="8" spans="2:26" ht="15.75">
      <c r="B8" t="s">
        <v>1221</v>
      </c>
      <c r="C8" s="4" t="s">
        <v>463</v>
      </c>
      <c r="H8" s="1478">
        <v>28</v>
      </c>
      <c r="I8" s="1478">
        <v>1.2</v>
      </c>
      <c r="J8" s="1478">
        <v>1.2</v>
      </c>
      <c r="K8" s="1478">
        <v>1.2</v>
      </c>
      <c r="L8" s="1478">
        <v>1.5</v>
      </c>
      <c r="M8" s="1478">
        <v>2.2999999999999998</v>
      </c>
      <c r="N8" s="1478">
        <v>2.2999999999999998</v>
      </c>
      <c r="P8" s="1478">
        <v>28</v>
      </c>
      <c r="Q8" s="1478">
        <v>0.9</v>
      </c>
      <c r="R8" s="1478">
        <v>0.9</v>
      </c>
      <c r="S8" s="1478">
        <v>0.9</v>
      </c>
      <c r="T8" s="1478">
        <v>1.2</v>
      </c>
      <c r="U8" s="1478">
        <v>1.9</v>
      </c>
      <c r="V8" s="1478">
        <v>1.9</v>
      </c>
      <c r="W8" s="1479"/>
      <c r="X8" s="1478"/>
      <c r="Y8" s="1478"/>
      <c r="Z8" s="1478"/>
    </row>
    <row r="9" spans="2:26" ht="15.75">
      <c r="B9" t="s">
        <v>259</v>
      </c>
      <c r="C9" s="4" t="s">
        <v>473</v>
      </c>
      <c r="G9" t="s">
        <v>1432</v>
      </c>
      <c r="H9" s="1478">
        <v>29</v>
      </c>
      <c r="I9" s="1478">
        <v>1.3</v>
      </c>
      <c r="J9" s="1478">
        <v>1.3</v>
      </c>
      <c r="K9" s="1478">
        <v>1.3</v>
      </c>
      <c r="L9" s="1478">
        <v>1.6</v>
      </c>
      <c r="M9" s="1478">
        <v>2.4</v>
      </c>
      <c r="N9" s="1478">
        <v>2.4</v>
      </c>
      <c r="P9" s="1478">
        <v>29</v>
      </c>
      <c r="Q9" s="1478">
        <v>0.9</v>
      </c>
      <c r="R9" s="1478">
        <v>0.9</v>
      </c>
      <c r="S9" s="1478">
        <v>0.9</v>
      </c>
      <c r="T9" s="1478">
        <v>1.3</v>
      </c>
      <c r="U9" s="1478">
        <v>1.9</v>
      </c>
      <c r="V9" s="1478">
        <v>1.9</v>
      </c>
      <c r="W9" s="1479"/>
      <c r="X9" s="1478"/>
      <c r="Y9" s="1478"/>
      <c r="Z9" s="1478"/>
    </row>
    <row r="10" spans="2:26" ht="15.75">
      <c r="B10" t="s">
        <v>1433</v>
      </c>
      <c r="C10" s="58">
        <f>+LOOKUP(C4,H4:N4)</f>
        <v>37622</v>
      </c>
      <c r="D10">
        <f>HLOOKUP(C4,H4:N49,IF(C5&gt;65,65,C5)-23,TRUE)</f>
        <v>4.2</v>
      </c>
      <c r="E10" s="1480">
        <f>(65-C6)*IF(C6&lt;65,HLOOKUP(C4,H4:N49,43,TRUE),HLOOKUP(C4,H4:N49,45,TRUE))</f>
        <v>0</v>
      </c>
      <c r="F10" s="556">
        <f>IF(C9="Ja",HLOOKUP(C4,H4:N50,47,TRUE),0)</f>
        <v>0.65</v>
      </c>
      <c r="G10">
        <f>HLOOKUP(C4,P4:V49,IF(C5&gt;65,65,C5)-23,TRUE)</f>
        <v>3.5</v>
      </c>
      <c r="H10" s="1478">
        <v>30</v>
      </c>
      <c r="I10" s="1478">
        <v>1.3</v>
      </c>
      <c r="J10" s="1478">
        <v>1.3</v>
      </c>
      <c r="K10" s="1478">
        <v>1.3</v>
      </c>
      <c r="L10" s="1478">
        <v>1.7</v>
      </c>
      <c r="M10" s="1478">
        <v>2.5</v>
      </c>
      <c r="N10" s="1478">
        <v>2.5</v>
      </c>
      <c r="P10" s="1478">
        <v>30</v>
      </c>
      <c r="Q10" s="1478">
        <v>1</v>
      </c>
      <c r="R10" s="1478">
        <v>1</v>
      </c>
      <c r="S10" s="1478">
        <v>1</v>
      </c>
      <c r="T10" s="1478">
        <v>1.4</v>
      </c>
      <c r="U10" s="1478">
        <v>2</v>
      </c>
      <c r="V10" s="1478">
        <v>2</v>
      </c>
      <c r="W10" s="1479"/>
      <c r="X10" s="1478"/>
      <c r="Y10" s="1478"/>
      <c r="Z10" s="1478"/>
    </row>
    <row r="11" spans="2:26" ht="15.75">
      <c r="B11" t="s">
        <v>1445</v>
      </c>
      <c r="C11" s="128">
        <f>+D10*(1+E10+F10)</f>
        <v>6.93</v>
      </c>
      <c r="H11" s="1478">
        <v>31</v>
      </c>
      <c r="I11" s="1478">
        <v>1.4</v>
      </c>
      <c r="J11" s="1478">
        <v>1.4</v>
      </c>
      <c r="K11" s="1478">
        <v>1.4</v>
      </c>
      <c r="L11" s="1478">
        <v>1.8</v>
      </c>
      <c r="M11" s="1478">
        <v>2.6</v>
      </c>
      <c r="N11" s="1478">
        <v>2.6</v>
      </c>
      <c r="P11" s="1478">
        <v>31</v>
      </c>
      <c r="Q11" s="1478">
        <v>1</v>
      </c>
      <c r="R11" s="1478">
        <v>1</v>
      </c>
      <c r="S11" s="1478">
        <v>1</v>
      </c>
      <c r="T11" s="1478">
        <v>1.4</v>
      </c>
      <c r="U11" s="1478">
        <v>2.1</v>
      </c>
      <c r="V11" s="1478">
        <v>2.1</v>
      </c>
      <c r="W11" s="1479"/>
      <c r="X11" s="1478"/>
      <c r="Y11" s="1478"/>
      <c r="Z11" s="1478"/>
    </row>
    <row r="12" spans="2:26" ht="15.75">
      <c r="B12" t="s">
        <v>1434</v>
      </c>
      <c r="C12" s="149">
        <f>+C7*12</f>
        <v>4988.5317231047684</v>
      </c>
      <c r="H12" s="1478">
        <v>32</v>
      </c>
      <c r="I12" s="1478">
        <v>1.5</v>
      </c>
      <c r="J12" s="1478">
        <v>1.5</v>
      </c>
      <c r="K12" s="1478">
        <v>1.5</v>
      </c>
      <c r="L12" s="1478">
        <v>1.9</v>
      </c>
      <c r="M12" s="1478">
        <v>2.7</v>
      </c>
      <c r="N12" s="1478">
        <v>2.7</v>
      </c>
      <c r="P12" s="1478">
        <v>32</v>
      </c>
      <c r="Q12" s="1478">
        <v>1.1000000000000001</v>
      </c>
      <c r="R12" s="1478">
        <v>1.1000000000000001</v>
      </c>
      <c r="S12" s="1478">
        <v>1.1000000000000001</v>
      </c>
      <c r="T12" s="1478">
        <v>1.5</v>
      </c>
      <c r="U12" s="1478">
        <v>2.2000000000000002</v>
      </c>
      <c r="V12" s="1478">
        <v>2.2000000000000002</v>
      </c>
      <c r="W12" s="1479"/>
      <c r="X12" s="1478"/>
      <c r="Y12" s="1478"/>
      <c r="Z12" s="1478"/>
    </row>
    <row r="13" spans="2:26" ht="15.75">
      <c r="B13" t="s">
        <v>559</v>
      </c>
      <c r="C13" s="149">
        <f>+C11*C12</f>
        <v>34570.524841116043</v>
      </c>
      <c r="H13" s="1478">
        <v>33</v>
      </c>
      <c r="I13" s="1478">
        <v>1.6</v>
      </c>
      <c r="J13" s="1478">
        <v>1.6</v>
      </c>
      <c r="K13" s="1478">
        <v>1.6</v>
      </c>
      <c r="L13" s="1478">
        <v>2</v>
      </c>
      <c r="M13" s="1478">
        <v>2.8</v>
      </c>
      <c r="N13" s="1478">
        <v>2.8</v>
      </c>
      <c r="P13" s="1478">
        <v>33</v>
      </c>
      <c r="Q13" s="1478">
        <v>1.1000000000000001</v>
      </c>
      <c r="R13" s="1478">
        <v>1.1000000000000001</v>
      </c>
      <c r="S13" s="1478">
        <v>1.1000000000000001</v>
      </c>
      <c r="T13" s="1478">
        <v>1.6</v>
      </c>
      <c r="U13" s="1478">
        <v>2.2999999999999998</v>
      </c>
      <c r="V13" s="1478">
        <v>2.2999999999999998</v>
      </c>
      <c r="W13" s="1479"/>
      <c r="X13" s="1478"/>
      <c r="Y13" s="1478"/>
      <c r="Z13" s="1478"/>
    </row>
    <row r="14" spans="2:26" ht="15.75">
      <c r="B14" t="s">
        <v>62</v>
      </c>
      <c r="C14">
        <f>ROUND(VLOOKUP(C4,Umrechnungsfaktoren_BeitraginEP,2)*C13,4)</f>
        <v>6.0244</v>
      </c>
      <c r="H14" s="1478">
        <v>34</v>
      </c>
      <c r="I14" s="1478">
        <v>1.7</v>
      </c>
      <c r="J14" s="1478">
        <v>1.7</v>
      </c>
      <c r="K14" s="1478">
        <v>1.7</v>
      </c>
      <c r="L14" s="1478">
        <v>2.1</v>
      </c>
      <c r="M14" s="1478">
        <v>3</v>
      </c>
      <c r="N14" s="1478">
        <v>3</v>
      </c>
      <c r="P14" s="1478">
        <v>34</v>
      </c>
      <c r="Q14" s="1478">
        <v>1.2</v>
      </c>
      <c r="R14" s="1478">
        <v>1.2</v>
      </c>
      <c r="S14" s="1478">
        <v>1.2</v>
      </c>
      <c r="T14" s="1478">
        <v>1.7</v>
      </c>
      <c r="U14" s="1478">
        <v>2.4</v>
      </c>
      <c r="V14" s="1478">
        <v>2.4</v>
      </c>
      <c r="W14" s="1479"/>
      <c r="X14" s="1478"/>
      <c r="Y14" s="1478"/>
      <c r="Z14" s="1478"/>
    </row>
    <row r="15" spans="2:26" ht="15.75">
      <c r="B15" t="s">
        <v>1408</v>
      </c>
      <c r="C15" s="149">
        <f>VLOOKUP(C4,aktRW,2)</f>
        <v>26.13</v>
      </c>
      <c r="H15" s="1478">
        <v>35</v>
      </c>
      <c r="I15" s="1478">
        <v>1.8</v>
      </c>
      <c r="J15" s="1478">
        <v>1.8</v>
      </c>
      <c r="K15" s="1478">
        <v>1.8</v>
      </c>
      <c r="L15" s="1478">
        <v>2.2000000000000002</v>
      </c>
      <c r="M15" s="1478">
        <v>3.1</v>
      </c>
      <c r="N15" s="1478">
        <v>3.1</v>
      </c>
      <c r="P15" s="1478">
        <v>35</v>
      </c>
      <c r="Q15" s="1478">
        <v>1.3</v>
      </c>
      <c r="R15" s="1478">
        <v>1.3</v>
      </c>
      <c r="S15" s="1478">
        <v>1.3</v>
      </c>
      <c r="T15" s="1478">
        <v>1.8</v>
      </c>
      <c r="U15" s="1478">
        <v>2.5</v>
      </c>
      <c r="V15" s="1478">
        <v>2.5</v>
      </c>
      <c r="W15" s="1479"/>
      <c r="X15" s="1478"/>
      <c r="Y15" s="1478"/>
      <c r="Z15" s="1478"/>
    </row>
    <row r="16" spans="2:26" ht="15.75">
      <c r="B16" t="s">
        <v>1440</v>
      </c>
      <c r="C16" s="149">
        <f>+C15*C14</f>
        <v>157.41757200000001</v>
      </c>
      <c r="H16" s="1478">
        <v>36</v>
      </c>
      <c r="I16" s="1478">
        <v>1.9</v>
      </c>
      <c r="J16" s="1478">
        <v>1.9</v>
      </c>
      <c r="K16" s="1478">
        <v>1.9</v>
      </c>
      <c r="L16" s="1478">
        <v>2.2999999999999998</v>
      </c>
      <c r="M16" s="1478">
        <v>3.2</v>
      </c>
      <c r="N16" s="1478">
        <v>3.2</v>
      </c>
      <c r="P16" s="1478">
        <v>36</v>
      </c>
      <c r="Q16" s="1478">
        <v>1.3</v>
      </c>
      <c r="R16" s="1478">
        <v>1.3</v>
      </c>
      <c r="S16" s="1478">
        <v>1.3</v>
      </c>
      <c r="T16" s="1478">
        <v>1.9</v>
      </c>
      <c r="U16" s="1478">
        <v>2.7</v>
      </c>
      <c r="V16" s="1478">
        <v>2.7</v>
      </c>
      <c r="W16" s="1479"/>
      <c r="X16" s="1478"/>
      <c r="Y16" s="1478"/>
      <c r="Z16" s="1478"/>
    </row>
    <row r="17" spans="2:26" ht="15.75">
      <c r="B17" t="s">
        <v>500</v>
      </c>
      <c r="C17" s="149">
        <f>+C16/2</f>
        <v>78.708786000000003</v>
      </c>
      <c r="H17" s="1478">
        <v>37</v>
      </c>
      <c r="I17" s="1478">
        <v>2</v>
      </c>
      <c r="J17" s="1478">
        <v>2</v>
      </c>
      <c r="K17" s="1478">
        <v>2</v>
      </c>
      <c r="L17" s="1478">
        <v>2.5</v>
      </c>
      <c r="M17" s="1478">
        <v>3.4</v>
      </c>
      <c r="N17" s="1478">
        <v>3.4</v>
      </c>
      <c r="P17" s="1478">
        <v>37</v>
      </c>
      <c r="Q17" s="1478">
        <v>1.4</v>
      </c>
      <c r="R17" s="1478">
        <v>1.4</v>
      </c>
      <c r="S17" s="1478">
        <v>1.4</v>
      </c>
      <c r="T17" s="1478">
        <v>2</v>
      </c>
      <c r="U17" s="1478">
        <v>2.8</v>
      </c>
      <c r="V17" s="1478">
        <v>2.8</v>
      </c>
      <c r="W17" s="1479"/>
      <c r="X17" s="1478"/>
      <c r="Y17" s="1478"/>
      <c r="Z17" s="1478"/>
    </row>
    <row r="18" spans="2:26" ht="15.75">
      <c r="B18" t="s">
        <v>1442</v>
      </c>
      <c r="C18" s="149">
        <f ca="1">VLOOKUP(C3,aktRW,2)</f>
        <v>40.79</v>
      </c>
      <c r="H18" s="1478">
        <v>38</v>
      </c>
      <c r="I18" s="1478">
        <v>2.1</v>
      </c>
      <c r="J18" s="1478">
        <v>2.1</v>
      </c>
      <c r="K18" s="1478">
        <v>2.1</v>
      </c>
      <c r="L18" s="1478">
        <v>2.6</v>
      </c>
      <c r="M18" s="1478">
        <v>3.5</v>
      </c>
      <c r="N18" s="1478">
        <v>3.5</v>
      </c>
      <c r="P18" s="1478">
        <v>38</v>
      </c>
      <c r="Q18" s="1478">
        <v>1.5</v>
      </c>
      <c r="R18" s="1478">
        <v>1.5</v>
      </c>
      <c r="S18" s="1478">
        <v>1.5</v>
      </c>
      <c r="T18" s="1478">
        <v>2.1</v>
      </c>
      <c r="U18" s="1478">
        <v>2.9</v>
      </c>
      <c r="V18" s="1478">
        <v>2.9</v>
      </c>
      <c r="W18" s="1479"/>
      <c r="X18" s="1478"/>
      <c r="Y18" s="1478"/>
      <c r="Z18" s="1478"/>
    </row>
    <row r="19" spans="2:26" ht="15.75">
      <c r="B19" t="s">
        <v>1210</v>
      </c>
      <c r="C19" s="149">
        <f ca="1">+C17*C18/C15</f>
        <v>122.867638</v>
      </c>
      <c r="H19" s="1478">
        <v>39</v>
      </c>
      <c r="I19" s="1478">
        <v>2.2000000000000002</v>
      </c>
      <c r="J19" s="1478">
        <v>2.2000000000000002</v>
      </c>
      <c r="K19" s="1478">
        <v>2.2000000000000002</v>
      </c>
      <c r="L19" s="1478">
        <v>2.7</v>
      </c>
      <c r="M19" s="1478">
        <v>3.7</v>
      </c>
      <c r="N19" s="1478">
        <v>3.7</v>
      </c>
      <c r="P19" s="1478">
        <v>39</v>
      </c>
      <c r="Q19" s="1478">
        <v>1.6</v>
      </c>
      <c r="R19" s="1478">
        <v>1.6</v>
      </c>
      <c r="S19" s="1478">
        <v>1.6</v>
      </c>
      <c r="T19" s="1478">
        <v>2.2000000000000002</v>
      </c>
      <c r="U19" s="1478">
        <v>3.1</v>
      </c>
      <c r="V19" s="1478">
        <v>3.1</v>
      </c>
      <c r="W19" s="1479"/>
      <c r="X19" s="1478"/>
      <c r="Y19" s="1478"/>
      <c r="Z19" s="1478"/>
    </row>
    <row r="20" spans="2:26" ht="15.75">
      <c r="B20" t="s">
        <v>301</v>
      </c>
      <c r="C20" s="149">
        <f ca="1">+C16-C19</f>
        <v>34.549934000000007</v>
      </c>
      <c r="H20" s="1478">
        <v>40</v>
      </c>
      <c r="I20" s="1478">
        <v>2.2999999999999998</v>
      </c>
      <c r="J20" s="1478">
        <v>2.2999999999999998</v>
      </c>
      <c r="K20" s="1478">
        <v>2.2999999999999998</v>
      </c>
      <c r="L20" s="1478">
        <v>2.9</v>
      </c>
      <c r="M20" s="1478">
        <v>3.8</v>
      </c>
      <c r="N20" s="1478">
        <v>3.8</v>
      </c>
      <c r="P20" s="1478">
        <v>40</v>
      </c>
      <c r="Q20" s="1478">
        <v>1.7</v>
      </c>
      <c r="R20" s="1478">
        <v>1.7</v>
      </c>
      <c r="S20" s="1478">
        <v>1.7</v>
      </c>
      <c r="T20" s="1478">
        <v>2.2999999999999998</v>
      </c>
      <c r="U20" s="1478">
        <v>3.2</v>
      </c>
      <c r="V20" s="1478">
        <v>3.2</v>
      </c>
      <c r="W20" s="1479"/>
      <c r="X20" s="1478"/>
      <c r="Y20" s="1478"/>
      <c r="Z20" s="1478"/>
    </row>
    <row r="21" spans="2:26" ht="15.75">
      <c r="B21" t="s">
        <v>1443</v>
      </c>
      <c r="C21" s="554">
        <f ca="1">+C19/C16-1</f>
        <v>-0.21947952544967475</v>
      </c>
      <c r="H21" s="1478">
        <v>41</v>
      </c>
      <c r="I21" s="1478">
        <v>2.4</v>
      </c>
      <c r="J21" s="1478">
        <v>2.4</v>
      </c>
      <c r="K21" s="1478">
        <v>2.4</v>
      </c>
      <c r="L21" s="1478">
        <v>3</v>
      </c>
      <c r="M21" s="1478">
        <v>4</v>
      </c>
      <c r="N21" s="1478">
        <v>4</v>
      </c>
      <c r="P21" s="1478">
        <v>41</v>
      </c>
      <c r="Q21" s="1478">
        <v>1.8</v>
      </c>
      <c r="R21" s="1478">
        <v>1.8</v>
      </c>
      <c r="S21" s="1478">
        <v>1.8</v>
      </c>
      <c r="T21" s="1478">
        <v>2.5</v>
      </c>
      <c r="U21" s="1478">
        <v>3.4</v>
      </c>
      <c r="V21" s="1478">
        <v>3.4</v>
      </c>
      <c r="W21" s="1479"/>
      <c r="X21" s="1478"/>
      <c r="Y21" s="1478"/>
      <c r="Z21" s="1478"/>
    </row>
    <row r="22" spans="2:26" ht="15.75">
      <c r="B22" t="s">
        <v>1444</v>
      </c>
      <c r="C22">
        <f ca="1">VLOOKUP(YEAR(C3),MonatlicheBezugsgröße,4)</f>
        <v>39.550000000000004</v>
      </c>
      <c r="H22" s="1478">
        <v>42</v>
      </c>
      <c r="I22" s="1478">
        <v>2.5</v>
      </c>
      <c r="J22" s="1478">
        <v>2.5</v>
      </c>
      <c r="K22" s="1478">
        <v>2.5</v>
      </c>
      <c r="L22" s="1478">
        <v>3.2</v>
      </c>
      <c r="M22" s="1478">
        <v>4.2</v>
      </c>
      <c r="N22" s="1478">
        <v>4.2</v>
      </c>
      <c r="P22" s="1478">
        <v>42</v>
      </c>
      <c r="Q22" s="1478">
        <v>1.9</v>
      </c>
      <c r="R22" s="1478">
        <v>1.9</v>
      </c>
      <c r="S22" s="1478">
        <v>1.9</v>
      </c>
      <c r="T22" s="1478">
        <v>2.6</v>
      </c>
      <c r="U22" s="1478">
        <v>3.5</v>
      </c>
      <c r="V22" s="1478">
        <v>3.5</v>
      </c>
      <c r="W22" s="1479"/>
      <c r="X22" s="1478"/>
      <c r="Y22" s="1478"/>
      <c r="Z22" s="1478"/>
    </row>
    <row r="23" spans="2:26" ht="15.75">
      <c r="H23" s="1478">
        <v>43</v>
      </c>
      <c r="I23" s="1478">
        <v>2.7</v>
      </c>
      <c r="J23" s="1478">
        <v>2.7</v>
      </c>
      <c r="K23" s="1478">
        <v>2.7</v>
      </c>
      <c r="L23" s="1478">
        <v>3.4</v>
      </c>
      <c r="M23" s="1478">
        <v>4.4000000000000004</v>
      </c>
      <c r="N23" s="1478">
        <v>4.4000000000000004</v>
      </c>
      <c r="P23" s="1478">
        <v>43</v>
      </c>
      <c r="Q23" s="1478">
        <v>2</v>
      </c>
      <c r="R23" s="1478">
        <v>2</v>
      </c>
      <c r="S23" s="1478">
        <v>2</v>
      </c>
      <c r="T23" s="1478">
        <v>2.8</v>
      </c>
      <c r="U23" s="1478">
        <v>3.7</v>
      </c>
      <c r="V23" s="1478">
        <v>3.7</v>
      </c>
      <c r="W23" s="1479"/>
      <c r="X23" s="1478"/>
      <c r="Y23" s="1478"/>
      <c r="Z23" s="1478"/>
    </row>
    <row r="24" spans="2:26" ht="15.75">
      <c r="H24" s="1478">
        <v>44</v>
      </c>
      <c r="I24" s="1478">
        <v>2.8</v>
      </c>
      <c r="J24" s="1478">
        <v>2.8</v>
      </c>
      <c r="K24" s="1478">
        <v>2.8</v>
      </c>
      <c r="L24" s="1478">
        <v>3.6</v>
      </c>
      <c r="M24" s="1478">
        <v>4.5999999999999996</v>
      </c>
      <c r="N24" s="1478">
        <v>4.5999999999999996</v>
      </c>
      <c r="P24" s="1478">
        <v>44</v>
      </c>
      <c r="Q24" s="1478">
        <v>2.1</v>
      </c>
      <c r="R24" s="1478">
        <v>2.1</v>
      </c>
      <c r="S24" s="1478">
        <v>2.1</v>
      </c>
      <c r="T24" s="1478">
        <v>2.9</v>
      </c>
      <c r="U24" s="1478">
        <v>3.9</v>
      </c>
      <c r="V24" s="1478">
        <v>3.9</v>
      </c>
      <c r="W24" s="1479"/>
      <c r="X24" s="1478"/>
      <c r="Y24" s="1478"/>
      <c r="Z24" s="1478"/>
    </row>
    <row r="25" spans="2:26" ht="15.75">
      <c r="H25" s="1478">
        <v>45</v>
      </c>
      <c r="I25" s="1478">
        <v>3</v>
      </c>
      <c r="J25" s="1478">
        <v>3</v>
      </c>
      <c r="K25" s="1478">
        <v>3</v>
      </c>
      <c r="L25" s="1478">
        <v>3.8</v>
      </c>
      <c r="M25" s="1478">
        <v>4.8</v>
      </c>
      <c r="N25" s="1478">
        <v>4.8</v>
      </c>
      <c r="P25" s="1478">
        <v>45</v>
      </c>
      <c r="Q25" s="1478">
        <v>2.2999999999999998</v>
      </c>
      <c r="R25" s="1478">
        <v>2.2999999999999998</v>
      </c>
      <c r="S25" s="1478">
        <v>2.2999999999999998</v>
      </c>
      <c r="T25" s="1478">
        <v>3.1</v>
      </c>
      <c r="U25" s="1478">
        <v>4</v>
      </c>
      <c r="V25" s="1478">
        <v>4</v>
      </c>
      <c r="W25" s="1479"/>
      <c r="X25" s="1481"/>
      <c r="Y25" s="1478"/>
      <c r="Z25" s="1478"/>
    </row>
    <row r="26" spans="2:26" ht="15">
      <c r="H26" s="1478">
        <v>46</v>
      </c>
      <c r="I26" s="1478">
        <v>3.2</v>
      </c>
      <c r="J26" s="1478">
        <v>3.2</v>
      </c>
      <c r="K26" s="1478">
        <v>3.2</v>
      </c>
      <c r="L26" s="1478">
        <v>4</v>
      </c>
      <c r="M26" s="1478">
        <v>5</v>
      </c>
      <c r="N26" s="1478">
        <v>5</v>
      </c>
      <c r="P26" s="1478">
        <v>46</v>
      </c>
      <c r="Q26" s="1478">
        <v>2.4</v>
      </c>
      <c r="R26" s="1478">
        <v>2.4</v>
      </c>
      <c r="S26" s="1478">
        <v>2.4</v>
      </c>
      <c r="T26" s="1478">
        <v>3.3</v>
      </c>
      <c r="U26" s="1478">
        <v>4.2</v>
      </c>
      <c r="V26" s="1478">
        <v>4.2</v>
      </c>
    </row>
    <row r="27" spans="2:26" ht="15">
      <c r="H27" s="1478">
        <v>47</v>
      </c>
      <c r="I27" s="1478">
        <v>3.3</v>
      </c>
      <c r="J27" s="1478">
        <v>3.3</v>
      </c>
      <c r="K27" s="1478">
        <v>3.3</v>
      </c>
      <c r="L27" s="1478">
        <v>4.2</v>
      </c>
      <c r="M27" s="1478">
        <v>5.2</v>
      </c>
      <c r="N27" s="1478">
        <v>5.2</v>
      </c>
      <c r="P27" s="1478">
        <v>47</v>
      </c>
      <c r="Q27" s="1478">
        <v>2.6</v>
      </c>
      <c r="R27" s="1478">
        <v>2.6</v>
      </c>
      <c r="S27" s="1478">
        <v>2.6</v>
      </c>
      <c r="T27" s="1478">
        <v>3.5</v>
      </c>
      <c r="U27" s="1478">
        <v>4.5</v>
      </c>
      <c r="V27" s="1478">
        <v>4.5</v>
      </c>
    </row>
    <row r="28" spans="2:26" ht="15">
      <c r="H28" s="1478">
        <v>48</v>
      </c>
      <c r="I28" s="1478">
        <v>3.5</v>
      </c>
      <c r="J28" s="1478">
        <v>3.5</v>
      </c>
      <c r="K28" s="1478">
        <v>3.5</v>
      </c>
      <c r="L28" s="1478">
        <v>4.4000000000000004</v>
      </c>
      <c r="M28" s="1478">
        <v>5.4</v>
      </c>
      <c r="N28" s="1478">
        <v>5.4</v>
      </c>
      <c r="P28" s="1478">
        <v>48</v>
      </c>
      <c r="Q28" s="1478">
        <v>2.7</v>
      </c>
      <c r="R28" s="1478">
        <v>2.7</v>
      </c>
      <c r="S28" s="1478">
        <v>2.7</v>
      </c>
      <c r="T28" s="1478">
        <v>3.7</v>
      </c>
      <c r="U28" s="1478">
        <v>4.7</v>
      </c>
      <c r="V28" s="1478">
        <v>4.7</v>
      </c>
    </row>
    <row r="29" spans="2:26" ht="15">
      <c r="H29" s="1478">
        <v>49</v>
      </c>
      <c r="I29" s="1478">
        <v>3.7</v>
      </c>
      <c r="J29" s="1478">
        <v>3.7</v>
      </c>
      <c r="K29" s="1478">
        <v>3.7</v>
      </c>
      <c r="L29" s="1478">
        <v>4.5999999999999996</v>
      </c>
      <c r="M29" s="1478">
        <v>5.7</v>
      </c>
      <c r="N29" s="1478">
        <v>5.7</v>
      </c>
      <c r="P29" s="1478">
        <v>49</v>
      </c>
      <c r="Q29" s="1478">
        <v>2.9</v>
      </c>
      <c r="R29" s="1478">
        <v>2.9</v>
      </c>
      <c r="S29" s="1478">
        <v>2.9</v>
      </c>
      <c r="T29" s="1478">
        <v>3.9</v>
      </c>
      <c r="U29" s="1478">
        <v>4.9000000000000004</v>
      </c>
      <c r="V29" s="1478">
        <v>4.9000000000000004</v>
      </c>
    </row>
    <row r="30" spans="2:26" ht="15">
      <c r="H30" s="1478">
        <v>50</v>
      </c>
      <c r="I30" s="1478">
        <v>3.9</v>
      </c>
      <c r="J30" s="1478">
        <v>3.9</v>
      </c>
      <c r="K30" s="1478">
        <v>3.9</v>
      </c>
      <c r="L30" s="1478">
        <v>4.9000000000000004</v>
      </c>
      <c r="M30" s="1478">
        <v>5.9</v>
      </c>
      <c r="N30" s="1478">
        <v>5.9</v>
      </c>
      <c r="P30" s="1478">
        <v>50</v>
      </c>
      <c r="Q30" s="1478">
        <v>3.1</v>
      </c>
      <c r="R30" s="1478">
        <v>3.1</v>
      </c>
      <c r="S30" s="1478">
        <v>3.1</v>
      </c>
      <c r="T30" s="1478">
        <v>4.0999999999999996</v>
      </c>
      <c r="U30" s="1478">
        <v>5.0999999999999996</v>
      </c>
      <c r="V30" s="1478">
        <v>5.0999999999999996</v>
      </c>
    </row>
    <row r="31" spans="2:26" ht="15">
      <c r="H31" s="1478">
        <v>51</v>
      </c>
      <c r="I31" s="1478">
        <v>4.2</v>
      </c>
      <c r="J31" s="1478">
        <v>4.2</v>
      </c>
      <c r="K31" s="1478">
        <v>4.2</v>
      </c>
      <c r="L31" s="1478">
        <v>5.0999999999999996</v>
      </c>
      <c r="M31" s="1478">
        <v>6.2</v>
      </c>
      <c r="N31" s="1478">
        <v>6.2</v>
      </c>
      <c r="P31" s="1478">
        <v>51</v>
      </c>
      <c r="Q31" s="1478">
        <v>3.3</v>
      </c>
      <c r="R31" s="1478">
        <v>3.3</v>
      </c>
      <c r="S31" s="1478">
        <v>3.3</v>
      </c>
      <c r="T31" s="1478">
        <v>4.4000000000000004</v>
      </c>
      <c r="U31" s="1478">
        <v>5.4</v>
      </c>
      <c r="V31" s="1478">
        <v>5.4</v>
      </c>
    </row>
    <row r="32" spans="2:26" ht="15">
      <c r="H32" s="1478">
        <v>52</v>
      </c>
      <c r="I32" s="1478">
        <v>4.4000000000000004</v>
      </c>
      <c r="J32" s="1478">
        <v>4.4000000000000004</v>
      </c>
      <c r="K32" s="1478">
        <v>4.4000000000000004</v>
      </c>
      <c r="L32" s="1478">
        <v>5.4</v>
      </c>
      <c r="M32" s="1478">
        <v>6.5</v>
      </c>
      <c r="N32" s="1478">
        <v>6.5</v>
      </c>
      <c r="P32" s="1478">
        <v>52</v>
      </c>
      <c r="Q32" s="1478">
        <v>3.5</v>
      </c>
      <c r="R32" s="1478">
        <v>3.5</v>
      </c>
      <c r="S32" s="1478">
        <v>3.5</v>
      </c>
      <c r="T32" s="1478">
        <v>4.7</v>
      </c>
      <c r="U32" s="1478">
        <v>5.7</v>
      </c>
      <c r="V32" s="1478">
        <v>5.7</v>
      </c>
    </row>
    <row r="33" spans="8:22" ht="15">
      <c r="H33" s="1478">
        <v>53</v>
      </c>
      <c r="I33" s="1478">
        <v>4.5999999999999996</v>
      </c>
      <c r="J33" s="1478">
        <v>4.5999999999999996</v>
      </c>
      <c r="K33" s="1478">
        <v>4.5999999999999996</v>
      </c>
      <c r="L33" s="1478">
        <v>5.7</v>
      </c>
      <c r="M33" s="1478">
        <v>6.8</v>
      </c>
      <c r="N33" s="1478">
        <v>6.8</v>
      </c>
      <c r="P33" s="1478">
        <v>53</v>
      </c>
      <c r="Q33" s="1478">
        <v>3.7</v>
      </c>
      <c r="R33" s="1478">
        <v>3.7</v>
      </c>
      <c r="S33" s="1478">
        <v>3.7</v>
      </c>
      <c r="T33" s="1478">
        <v>5</v>
      </c>
      <c r="U33" s="1478">
        <v>6</v>
      </c>
      <c r="V33" s="1478">
        <v>6</v>
      </c>
    </row>
    <row r="34" spans="8:22" ht="15">
      <c r="H34" s="1478">
        <v>54</v>
      </c>
      <c r="I34" s="1478">
        <v>4.9000000000000004</v>
      </c>
      <c r="J34" s="1478">
        <v>4.9000000000000004</v>
      </c>
      <c r="K34" s="1478">
        <v>4.9000000000000004</v>
      </c>
      <c r="L34" s="1478">
        <v>6</v>
      </c>
      <c r="M34" s="1478">
        <v>7.1</v>
      </c>
      <c r="N34" s="1478">
        <v>7.1</v>
      </c>
      <c r="P34" s="1478">
        <v>54</v>
      </c>
      <c r="Q34" s="1478">
        <v>4</v>
      </c>
      <c r="R34" s="1478">
        <v>4</v>
      </c>
      <c r="S34" s="1478">
        <v>4</v>
      </c>
      <c r="T34" s="1478">
        <v>5.3</v>
      </c>
      <c r="U34" s="1478">
        <v>6.3</v>
      </c>
      <c r="V34" s="1478">
        <v>6.3</v>
      </c>
    </row>
    <row r="35" spans="8:22" ht="15">
      <c r="H35" s="1478">
        <v>55</v>
      </c>
      <c r="I35" s="1478">
        <v>5.0999999999999996</v>
      </c>
      <c r="J35" s="1478">
        <v>5.0999999999999996</v>
      </c>
      <c r="K35" s="1478">
        <v>5.0999999999999996</v>
      </c>
      <c r="L35" s="1478">
        <v>6.3</v>
      </c>
      <c r="M35" s="1478">
        <v>7.4</v>
      </c>
      <c r="N35" s="1478">
        <v>7.4</v>
      </c>
      <c r="P35" s="1478">
        <v>55</v>
      </c>
      <c r="Q35" s="1478">
        <v>4.3</v>
      </c>
      <c r="R35" s="1478">
        <v>4.3</v>
      </c>
      <c r="S35" s="1478">
        <v>4.3</v>
      </c>
      <c r="T35" s="1478">
        <v>5.6</v>
      </c>
      <c r="U35" s="1478">
        <v>6.6</v>
      </c>
      <c r="V35" s="1478">
        <v>6.6</v>
      </c>
    </row>
    <row r="36" spans="8:22" ht="15">
      <c r="H36" s="1478">
        <v>56</v>
      </c>
      <c r="I36" s="1478">
        <v>5.4</v>
      </c>
      <c r="J36" s="1478">
        <v>5.4</v>
      </c>
      <c r="K36" s="1478">
        <v>5.4</v>
      </c>
      <c r="L36" s="1478">
        <v>6.6</v>
      </c>
      <c r="M36" s="1478">
        <v>7.7</v>
      </c>
      <c r="N36" s="1478">
        <v>7.7</v>
      </c>
      <c r="P36" s="1478">
        <v>56</v>
      </c>
      <c r="Q36" s="1478">
        <v>4.5999999999999996</v>
      </c>
      <c r="R36" s="1478">
        <v>4.5999999999999996</v>
      </c>
      <c r="S36" s="1478">
        <v>4.5999999999999996</v>
      </c>
      <c r="T36" s="1478">
        <v>5.9</v>
      </c>
      <c r="U36" s="1478">
        <v>7</v>
      </c>
      <c r="V36" s="1478">
        <v>7</v>
      </c>
    </row>
    <row r="37" spans="8:22" ht="15">
      <c r="H37" s="1478">
        <v>57</v>
      </c>
      <c r="I37" s="1478">
        <v>5.7</v>
      </c>
      <c r="J37" s="1478">
        <v>5.7</v>
      </c>
      <c r="K37" s="1478">
        <v>5.7</v>
      </c>
      <c r="L37" s="1478">
        <v>6.9</v>
      </c>
      <c r="M37" s="1478">
        <v>8</v>
      </c>
      <c r="N37" s="1478">
        <v>8</v>
      </c>
      <c r="P37" s="1478">
        <v>57</v>
      </c>
      <c r="Q37" s="1478">
        <v>4.9000000000000004</v>
      </c>
      <c r="R37" s="1478">
        <v>4.9000000000000004</v>
      </c>
      <c r="S37" s="1478">
        <v>4.9000000000000004</v>
      </c>
      <c r="T37" s="1478">
        <v>6.3</v>
      </c>
      <c r="U37" s="1478">
        <v>7.3</v>
      </c>
      <c r="V37" s="1478">
        <v>7.3</v>
      </c>
    </row>
    <row r="38" spans="8:22" ht="15">
      <c r="H38" s="1478">
        <v>58</v>
      </c>
      <c r="I38" s="1478">
        <v>6</v>
      </c>
      <c r="J38" s="1478">
        <v>6</v>
      </c>
      <c r="K38" s="1478">
        <v>6</v>
      </c>
      <c r="L38" s="1478">
        <v>7.3</v>
      </c>
      <c r="M38" s="1478">
        <v>8.3000000000000007</v>
      </c>
      <c r="N38" s="1478">
        <v>8.3000000000000007</v>
      </c>
      <c r="P38" s="1478">
        <v>58</v>
      </c>
      <c r="Q38" s="1478">
        <v>5.2</v>
      </c>
      <c r="R38" s="1478">
        <v>5.2</v>
      </c>
      <c r="S38" s="1478">
        <v>5.2</v>
      </c>
      <c r="T38" s="1478">
        <v>6.7</v>
      </c>
      <c r="U38" s="1478">
        <v>7.7</v>
      </c>
      <c r="V38" s="1478">
        <v>7.7</v>
      </c>
    </row>
    <row r="39" spans="8:22" ht="15">
      <c r="H39" s="1478">
        <v>59</v>
      </c>
      <c r="I39" s="1478">
        <v>6.3</v>
      </c>
      <c r="J39" s="1478">
        <v>6.3</v>
      </c>
      <c r="K39" s="1478">
        <v>6.3</v>
      </c>
      <c r="L39" s="1478">
        <v>7.6</v>
      </c>
      <c r="M39" s="1478">
        <v>8.6999999999999993</v>
      </c>
      <c r="N39" s="1478">
        <v>8.6999999999999993</v>
      </c>
      <c r="P39" s="1478">
        <v>59</v>
      </c>
      <c r="Q39" s="1478">
        <v>5.6</v>
      </c>
      <c r="R39" s="1478">
        <v>5.6</v>
      </c>
      <c r="S39" s="1478">
        <v>5.6</v>
      </c>
      <c r="T39" s="1478">
        <v>7.2</v>
      </c>
      <c r="U39" s="1478">
        <v>8.1</v>
      </c>
      <c r="V39" s="1478">
        <v>8.1</v>
      </c>
    </row>
    <row r="40" spans="8:22" ht="15">
      <c r="H40" s="1478">
        <v>60</v>
      </c>
      <c r="I40" s="1478">
        <v>6.6</v>
      </c>
      <c r="J40" s="1478">
        <v>6.6</v>
      </c>
      <c r="K40" s="1478">
        <v>6.6</v>
      </c>
      <c r="L40" s="1478">
        <v>8</v>
      </c>
      <c r="M40" s="1478">
        <v>9</v>
      </c>
      <c r="N40" s="1478">
        <v>9</v>
      </c>
      <c r="P40" s="1478">
        <v>60</v>
      </c>
      <c r="Q40" s="1478">
        <v>6.1</v>
      </c>
      <c r="R40" s="1478">
        <v>6.1</v>
      </c>
      <c r="S40" s="1478">
        <v>6.1</v>
      </c>
      <c r="T40" s="1478">
        <v>7.6</v>
      </c>
      <c r="U40" s="1478">
        <v>8.6</v>
      </c>
      <c r="V40" s="1478">
        <v>8.6</v>
      </c>
    </row>
    <row r="41" spans="8:22" ht="15">
      <c r="H41" s="1478">
        <v>61</v>
      </c>
      <c r="I41" s="1478">
        <v>7</v>
      </c>
      <c r="J41" s="1478">
        <v>7</v>
      </c>
      <c r="K41" s="1478">
        <v>7</v>
      </c>
      <c r="L41" s="1478">
        <v>8.4</v>
      </c>
      <c r="M41" s="1478">
        <v>9.4</v>
      </c>
      <c r="N41" s="1478">
        <v>9.4</v>
      </c>
      <c r="P41" s="1478">
        <v>61</v>
      </c>
      <c r="Q41" s="1478">
        <v>6.5</v>
      </c>
      <c r="R41" s="1478">
        <v>6.5</v>
      </c>
      <c r="S41" s="1478">
        <v>6.5</v>
      </c>
      <c r="T41" s="1478">
        <v>8.1</v>
      </c>
      <c r="U41" s="1478">
        <v>9.1</v>
      </c>
      <c r="V41" s="1478">
        <v>9.1</v>
      </c>
    </row>
    <row r="42" spans="8:22" ht="15">
      <c r="H42" s="1478">
        <v>62</v>
      </c>
      <c r="I42" s="1478">
        <v>7.4</v>
      </c>
      <c r="J42" s="1478">
        <v>7.4</v>
      </c>
      <c r="K42" s="1478">
        <v>7.4</v>
      </c>
      <c r="L42" s="1478">
        <v>8.8000000000000007</v>
      </c>
      <c r="M42" s="1478">
        <v>9.8000000000000007</v>
      </c>
      <c r="N42" s="1478">
        <v>9.8000000000000007</v>
      </c>
      <c r="P42" s="1478">
        <v>62</v>
      </c>
      <c r="Q42" s="1478">
        <v>7</v>
      </c>
      <c r="R42" s="1478">
        <v>7</v>
      </c>
      <c r="S42" s="1478">
        <v>7</v>
      </c>
      <c r="T42" s="1478">
        <v>8.6999999999999993</v>
      </c>
      <c r="U42" s="1478">
        <v>9.6</v>
      </c>
      <c r="V42" s="1478">
        <v>9.6</v>
      </c>
    </row>
    <row r="43" spans="8:22" ht="15">
      <c r="H43" s="1478">
        <v>63</v>
      </c>
      <c r="I43" s="1478">
        <v>7.8</v>
      </c>
      <c r="J43" s="1478">
        <v>7.8</v>
      </c>
      <c r="K43" s="1478">
        <v>7.8</v>
      </c>
      <c r="L43" s="1478">
        <v>9.3000000000000007</v>
      </c>
      <c r="M43" s="1478">
        <v>10.199999999999999</v>
      </c>
      <c r="N43" s="1478">
        <v>10.199999999999999</v>
      </c>
      <c r="P43" s="1478">
        <v>63</v>
      </c>
      <c r="Q43" s="1478">
        <v>7.6</v>
      </c>
      <c r="R43" s="1478">
        <v>7.6</v>
      </c>
      <c r="S43" s="1478">
        <v>7.6</v>
      </c>
      <c r="T43" s="1478">
        <v>9.1999999999999993</v>
      </c>
      <c r="U43" s="1478">
        <v>10.1</v>
      </c>
      <c r="V43" s="1478">
        <v>10.1</v>
      </c>
    </row>
    <row r="44" spans="8:22" ht="15">
      <c r="H44" s="1478">
        <v>64</v>
      </c>
      <c r="I44" s="1478">
        <v>8.4</v>
      </c>
      <c r="J44" s="1478">
        <v>8.4</v>
      </c>
      <c r="K44" s="1478">
        <v>8.4</v>
      </c>
      <c r="L44" s="1478">
        <v>9.9</v>
      </c>
      <c r="M44" s="1478">
        <v>10.7</v>
      </c>
      <c r="N44" s="1478">
        <v>10.7</v>
      </c>
      <c r="P44" s="1478">
        <v>64</v>
      </c>
      <c r="Q44" s="1478">
        <v>8.3000000000000007</v>
      </c>
      <c r="R44" s="1478">
        <v>8.3000000000000007</v>
      </c>
      <c r="S44" s="1478">
        <v>8.3000000000000007</v>
      </c>
      <c r="T44" s="1478">
        <v>9.9</v>
      </c>
      <c r="U44" s="1478">
        <v>10.7</v>
      </c>
      <c r="V44" s="1478">
        <v>10.7</v>
      </c>
    </row>
    <row r="45" spans="8:22" ht="15">
      <c r="H45" s="1478">
        <v>65</v>
      </c>
      <c r="I45" s="1478">
        <v>9</v>
      </c>
      <c r="J45" s="1478">
        <v>9</v>
      </c>
      <c r="K45" s="1478">
        <v>9</v>
      </c>
      <c r="L45" s="1478">
        <v>10.199999999999999</v>
      </c>
      <c r="M45" s="1478">
        <v>11</v>
      </c>
      <c r="N45" s="1478">
        <v>11</v>
      </c>
      <c r="P45" s="1478">
        <v>65</v>
      </c>
      <c r="Q45" s="1478">
        <v>9</v>
      </c>
      <c r="R45" s="1478">
        <v>9</v>
      </c>
      <c r="S45" s="1478">
        <v>9</v>
      </c>
      <c r="T45" s="1478">
        <v>10.199999999999999</v>
      </c>
      <c r="U45" s="1478">
        <v>11</v>
      </c>
      <c r="V45" s="1478">
        <v>11</v>
      </c>
    </row>
    <row r="46" spans="8:22">
      <c r="H46" t="s">
        <v>1435</v>
      </c>
      <c r="I46" s="1482">
        <v>0.08</v>
      </c>
      <c r="J46" s="1483">
        <v>0.08</v>
      </c>
      <c r="K46" s="1482">
        <v>0.08</v>
      </c>
      <c r="L46" s="1482">
        <v>0.08</v>
      </c>
      <c r="M46" s="1482">
        <v>7.4999999999999997E-2</v>
      </c>
      <c r="N46" s="1482">
        <v>7.4999999999999997E-2</v>
      </c>
      <c r="P46" t="s">
        <v>1435</v>
      </c>
      <c r="Q46" s="1482">
        <v>0.14000000000000001</v>
      </c>
      <c r="R46" s="1483">
        <v>0.14000000000000001</v>
      </c>
      <c r="S46" s="1482">
        <v>0.14000000000000001</v>
      </c>
      <c r="T46" s="1482">
        <v>0.12</v>
      </c>
      <c r="U46" s="1482">
        <v>0.105</v>
      </c>
      <c r="V46" s="1482">
        <v>0.105</v>
      </c>
    </row>
    <row r="47" spans="8:22">
      <c r="H47" t="s">
        <v>1432</v>
      </c>
      <c r="I47" s="128" t="s">
        <v>1436</v>
      </c>
      <c r="J47" s="1483" t="s">
        <v>1436</v>
      </c>
      <c r="K47" s="128" t="s">
        <v>1437</v>
      </c>
      <c r="L47" s="128" t="s">
        <v>1437</v>
      </c>
      <c r="M47" s="128" t="s">
        <v>1437</v>
      </c>
      <c r="N47" s="128" t="s">
        <v>1437</v>
      </c>
      <c r="P47" t="s">
        <v>1432</v>
      </c>
      <c r="Q47" s="128"/>
      <c r="R47" s="1483"/>
      <c r="S47" s="128"/>
      <c r="T47" s="128"/>
      <c r="U47" s="128"/>
      <c r="V47" s="128"/>
    </row>
    <row r="48" spans="8:22">
      <c r="H48" t="s">
        <v>1438</v>
      </c>
      <c r="I48" s="1484">
        <v>0.05</v>
      </c>
      <c r="J48" s="1483">
        <v>0.05</v>
      </c>
      <c r="K48" s="1484">
        <v>0.05</v>
      </c>
      <c r="L48" s="1484">
        <v>0.05</v>
      </c>
      <c r="M48" s="1484">
        <v>0.05</v>
      </c>
      <c r="N48" s="1484">
        <v>0.05</v>
      </c>
      <c r="P48" t="s">
        <v>1438</v>
      </c>
      <c r="Q48" s="1484">
        <v>0.09</v>
      </c>
      <c r="R48" s="1483">
        <v>0.09</v>
      </c>
      <c r="S48" s="1484">
        <v>0.09</v>
      </c>
      <c r="T48" s="1484">
        <v>0.09</v>
      </c>
      <c r="U48" s="1484">
        <v>8.5000000000000006E-2</v>
      </c>
      <c r="V48" s="1484">
        <v>8.5000000000000006E-2</v>
      </c>
    </row>
    <row r="49" spans="8:22">
      <c r="H49" t="s">
        <v>1432</v>
      </c>
      <c r="I49" s="1484">
        <v>0.25</v>
      </c>
      <c r="J49" s="1483">
        <v>0.25</v>
      </c>
      <c r="K49" s="1484">
        <v>0.25</v>
      </c>
      <c r="L49" s="1484">
        <v>0.3</v>
      </c>
      <c r="M49" s="128">
        <v>35</v>
      </c>
      <c r="N49" s="1484">
        <v>0.35</v>
      </c>
      <c r="P49" t="s">
        <v>1432</v>
      </c>
      <c r="Q49" s="1484">
        <v>0.75</v>
      </c>
      <c r="R49" s="1483">
        <v>0.75</v>
      </c>
      <c r="S49" s="1484">
        <v>0.75</v>
      </c>
      <c r="T49" s="1484">
        <v>0.7</v>
      </c>
      <c r="U49" s="128">
        <v>0.65</v>
      </c>
      <c r="V49" s="1484">
        <v>0.65</v>
      </c>
    </row>
    <row r="50" spans="8:22">
      <c r="H50" t="s">
        <v>1439</v>
      </c>
      <c r="I50" s="128"/>
      <c r="J50" s="1484">
        <v>0.6</v>
      </c>
      <c r="K50" s="1484">
        <v>0.6</v>
      </c>
      <c r="L50" s="1484">
        <v>0.65</v>
      </c>
      <c r="M50" s="1484">
        <v>0.5</v>
      </c>
      <c r="N50" s="1484">
        <v>0.5</v>
      </c>
      <c r="P50" t="s">
        <v>1439</v>
      </c>
      <c r="Q50" s="128"/>
      <c r="R50" s="1484">
        <v>0.55000000000000004</v>
      </c>
      <c r="S50" s="1484">
        <v>0.55000000000000004</v>
      </c>
      <c r="T50" s="1484">
        <v>0.8</v>
      </c>
      <c r="U50" s="1484">
        <v>0.65</v>
      </c>
      <c r="V50" s="1484">
        <v>0.65</v>
      </c>
    </row>
    <row r="51" spans="8:22">
      <c r="V51" s="1484"/>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1264</v>
      </c>
      <c r="F4" s="128" t="s">
        <v>1262</v>
      </c>
      <c r="G4" s="128" t="s">
        <v>1223</v>
      </c>
      <c r="H4" s="128" t="s">
        <v>1263</v>
      </c>
      <c r="I4" s="128" t="s">
        <v>1285</v>
      </c>
      <c r="J4" s="128" t="s">
        <v>643</v>
      </c>
    </row>
    <row r="5" spans="2:10">
      <c r="B5" s="58">
        <v>28307</v>
      </c>
      <c r="C5" t="s">
        <v>1261</v>
      </c>
      <c r="F5" s="128">
        <v>3</v>
      </c>
      <c r="G5" s="128">
        <v>4</v>
      </c>
      <c r="H5" s="128">
        <v>5</v>
      </c>
    </row>
    <row r="6" spans="2:10">
      <c r="B6" s="58">
        <v>31413</v>
      </c>
      <c r="C6" t="s">
        <v>1265</v>
      </c>
      <c r="D6" s="128">
        <v>1</v>
      </c>
      <c r="I6" t="s">
        <v>1266</v>
      </c>
    </row>
    <row r="7" spans="2:10">
      <c r="B7" s="58">
        <v>33604</v>
      </c>
      <c r="C7" t="s">
        <v>1267</v>
      </c>
      <c r="E7" s="128">
        <v>2</v>
      </c>
      <c r="I7" t="s">
        <v>1270</v>
      </c>
      <c r="J7" t="s">
        <v>1268</v>
      </c>
    </row>
    <row r="8" spans="2:10">
      <c r="B8" s="58">
        <v>33604</v>
      </c>
      <c r="C8" t="s">
        <v>1265</v>
      </c>
      <c r="D8" s="128">
        <v>1</v>
      </c>
      <c r="I8" t="s">
        <v>1269</v>
      </c>
    </row>
    <row r="9" spans="2:10">
      <c r="B9" s="58">
        <v>36526</v>
      </c>
      <c r="C9" t="s">
        <v>1261</v>
      </c>
      <c r="F9" s="128">
        <v>3</v>
      </c>
      <c r="G9" s="128">
        <v>4</v>
      </c>
      <c r="H9" s="128">
        <v>5</v>
      </c>
    </row>
    <row r="10" spans="2:10">
      <c r="B10" s="58">
        <v>37622</v>
      </c>
      <c r="C10" t="s">
        <v>1267</v>
      </c>
      <c r="E10" s="128">
        <v>2</v>
      </c>
      <c r="I10" t="s">
        <v>1271</v>
      </c>
      <c r="J10" t="s">
        <v>1268</v>
      </c>
    </row>
    <row r="11" spans="2:10">
      <c r="B11" s="58">
        <v>37622</v>
      </c>
      <c r="C11" t="s">
        <v>1261</v>
      </c>
      <c r="F11" s="128">
        <v>3</v>
      </c>
      <c r="G11" s="128">
        <v>4</v>
      </c>
      <c r="H11" s="128">
        <v>5</v>
      </c>
      <c r="I11" t="s">
        <v>1272</v>
      </c>
    </row>
    <row r="12" spans="2:10">
      <c r="B12" s="58">
        <v>38869</v>
      </c>
      <c r="C12" t="s">
        <v>1261</v>
      </c>
      <c r="F12" s="128">
        <v>3</v>
      </c>
      <c r="G12" s="128">
        <v>4</v>
      </c>
      <c r="H12" s="128">
        <v>5</v>
      </c>
      <c r="I12" t="s">
        <v>1273</v>
      </c>
    </row>
    <row r="13" spans="2:10">
      <c r="B13" s="58">
        <v>39448</v>
      </c>
      <c r="C13" t="s">
        <v>277</v>
      </c>
      <c r="D13" s="128">
        <v>1</v>
      </c>
      <c r="I13" t="s">
        <v>1274</v>
      </c>
      <c r="J13" t="s">
        <v>1275</v>
      </c>
    </row>
    <row r="14" spans="2:10">
      <c r="B14" s="58">
        <v>39630</v>
      </c>
      <c r="C14" t="s">
        <v>1261</v>
      </c>
      <c r="F14" s="128">
        <v>3</v>
      </c>
      <c r="G14" s="128">
        <v>4</v>
      </c>
      <c r="H14" s="128">
        <v>5</v>
      </c>
      <c r="I14" t="s">
        <v>1276</v>
      </c>
    </row>
    <row r="15" spans="2:10">
      <c r="B15" s="58">
        <v>39856</v>
      </c>
      <c r="C15" t="s">
        <v>277</v>
      </c>
      <c r="E15" s="128">
        <v>2</v>
      </c>
      <c r="I15" t="s">
        <v>1274</v>
      </c>
      <c r="J15" t="s">
        <v>1277</v>
      </c>
    </row>
    <row r="16" spans="2:10">
      <c r="B16" s="58">
        <v>40057</v>
      </c>
      <c r="C16" t="s">
        <v>1278</v>
      </c>
      <c r="F16" s="128">
        <v>3</v>
      </c>
      <c r="G16" s="128">
        <v>4</v>
      </c>
      <c r="H16" s="128">
        <v>5</v>
      </c>
    </row>
    <row r="17" spans="2:10">
      <c r="B17" s="58">
        <v>41821</v>
      </c>
      <c r="C17" t="s">
        <v>1265</v>
      </c>
      <c r="D17" s="128">
        <v>1</v>
      </c>
      <c r="I17" s="396" t="s">
        <v>1280</v>
      </c>
      <c r="J17" t="s">
        <v>1279</v>
      </c>
    </row>
    <row r="18" spans="2:10">
      <c r="B18" s="58">
        <v>43466</v>
      </c>
      <c r="C18" t="s">
        <v>1265</v>
      </c>
      <c r="D18" s="128">
        <v>1</v>
      </c>
      <c r="I18" s="396" t="s">
        <v>1281</v>
      </c>
      <c r="J18" t="s">
        <v>1279</v>
      </c>
    </row>
    <row r="19" spans="2:10">
      <c r="B19" s="58">
        <v>44197</v>
      </c>
      <c r="C19" t="s">
        <v>1282</v>
      </c>
      <c r="D19" s="128">
        <v>1</v>
      </c>
      <c r="I19" t="s">
        <v>1283</v>
      </c>
      <c r="J19" t="s">
        <v>1284</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zoomScaleNormal="100" workbookViewId="0">
      <selection activeCell="K23" sqref="K23:L31"/>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49" customWidth="1"/>
    <col min="8" max="8" width="36.125" style="249" customWidth="1"/>
    <col min="9" max="10" width="5.625" style="249" customWidth="1"/>
    <col min="11" max="12" width="11" style="249" customWidth="1"/>
    <col min="13" max="14" width="10.125" style="249" customWidth="1"/>
    <col min="15" max="15" width="3.125" customWidth="1"/>
    <col min="16" max="19" width="11.625" hidden="1" customWidth="1"/>
    <col min="20" max="20" width="7.625" hidden="1" customWidth="1"/>
    <col min="21" max="21" width="11.125" customWidth="1"/>
    <col min="22" max="22" width="19.125" customWidth="1"/>
    <col min="23" max="27" width="7.625" hidden="1" customWidth="1"/>
    <col min="28" max="28" width="39.625" customWidth="1"/>
    <col min="29" max="29" width="12.625" customWidth="1"/>
    <col min="30" max="30" width="17.625" customWidth="1"/>
    <col min="31" max="31" width="4.625" customWidth="1"/>
    <col min="32" max="54" width="7.625" hidden="1" customWidth="1"/>
    <col min="55" max="16384" width="1.625" hidden="1"/>
  </cols>
  <sheetData>
    <row r="1" spans="1:31" ht="15.75" thickBot="1">
      <c r="A1" s="2823"/>
      <c r="B1" s="2823"/>
      <c r="C1" s="2823"/>
      <c r="D1" s="2823"/>
      <c r="E1" s="2823"/>
      <c r="F1" s="2823"/>
      <c r="G1" s="2823"/>
      <c r="H1" s="2823"/>
      <c r="I1" s="2823"/>
      <c r="J1" s="2823"/>
      <c r="K1" s="2823"/>
      <c r="L1" s="2823"/>
      <c r="M1" s="2823"/>
      <c r="N1" s="2823"/>
      <c r="O1" s="2823"/>
      <c r="P1" s="15" t="b">
        <v>1</v>
      </c>
      <c r="Q1" t="s">
        <v>1311</v>
      </c>
      <c r="R1" t="s">
        <v>192</v>
      </c>
      <c r="S1" t="s">
        <v>193</v>
      </c>
      <c r="U1" s="3619" t="s">
        <v>1288</v>
      </c>
      <c r="V1" s="3620"/>
      <c r="W1" s="3620"/>
      <c r="X1" s="3620"/>
      <c r="Y1" s="3620"/>
      <c r="Z1" s="3620"/>
      <c r="AA1" s="3620"/>
      <c r="AB1" s="3620"/>
      <c r="AC1" s="3621"/>
      <c r="AD1" s="1419"/>
      <c r="AE1" s="404"/>
    </row>
    <row r="2" spans="1:31" ht="14.25" customHeight="1" thickTop="1">
      <c r="A2" s="3630" t="s">
        <v>531</v>
      </c>
      <c r="B2" s="3624" t="s">
        <v>1423</v>
      </c>
      <c r="C2" s="3625"/>
      <c r="D2" s="3699" t="s">
        <v>845</v>
      </c>
      <c r="E2" s="3700"/>
      <c r="F2" s="443"/>
      <c r="G2" s="3634" t="str">
        <f ca="1">IF(OR(E8="",E5=""),"Stammdaten (EzE) eingeben!","Abänderungsampel in Sachen "&amp;D4)</f>
        <v>Stammdaten (EzE) eingeben!</v>
      </c>
      <c r="H2" s="3635"/>
      <c r="I2" s="3640" t="s">
        <v>896</v>
      </c>
      <c r="J2" s="3640"/>
      <c r="K2" s="819" t="str">
        <f>IFERROR("Mann"&amp;IF(K3&gt;0,"("&amp;TEXT(YEARFRAC(K3,C8,0),"0,0")&amp;")",""),"")</f>
        <v/>
      </c>
      <c r="L2" s="822" t="str">
        <f>IFERROR("Frau"&amp;IF(L3&gt;0,"("&amp;TEXT(YEARFRAC(L3,C8,0),"0,0")&amp;")",""),"")</f>
        <v/>
      </c>
      <c r="M2" s="3582" t="str">
        <f ca="1">"Barw. Altersrente ab Reg.Altersgr. ReZins: "&amp;IFERROR(TEXT(R2,"0,00%"),"")</f>
        <v>Barw. Altersrente ab Reg.Altersgr. ReZins: 2,27%</v>
      </c>
      <c r="N2" s="3584"/>
      <c r="O2" s="3641" t="s">
        <v>1290</v>
      </c>
      <c r="P2" t="s">
        <v>617</v>
      </c>
      <c r="Q2" s="554">
        <f ca="1">_xlfn.IFNA(IF(D9&gt;0,D9,VLOOKUP(Abänderungsdatum,BilmoGZins,16)/100),0.055)</f>
        <v>2.2700000000000001E-2</v>
      </c>
      <c r="R2" s="146">
        <f ca="1">IF(AbändBilMoG_Wahl,S2,Q2)</f>
        <v>2.2700000000000001E-2</v>
      </c>
      <c r="S2" s="146">
        <f ca="1">VLOOKUP(Abänderungsdatum,BilMoG10,16)/100</f>
        <v>2.0899999999999998E-2</v>
      </c>
      <c r="U2" s="881" t="s">
        <v>60</v>
      </c>
      <c r="V2" s="1167" t="s">
        <v>1289</v>
      </c>
      <c r="W2" s="161" t="s">
        <v>126</v>
      </c>
      <c r="X2" s="161" t="s">
        <v>1264</v>
      </c>
      <c r="Y2" s="161" t="s">
        <v>1262</v>
      </c>
      <c r="Z2" s="161" t="s">
        <v>1223</v>
      </c>
      <c r="AA2" s="161" t="s">
        <v>1263</v>
      </c>
      <c r="AB2" s="161" t="s">
        <v>1285</v>
      </c>
      <c r="AC2" s="161" t="s">
        <v>643</v>
      </c>
      <c r="AD2" s="311" t="s">
        <v>1286</v>
      </c>
    </row>
    <row r="3" spans="1:31" ht="14.25" customHeight="1">
      <c r="A3" s="3631"/>
      <c r="B3" s="3626"/>
      <c r="C3" s="3627"/>
      <c r="D3" s="3701"/>
      <c r="E3" s="3702"/>
      <c r="F3" s="443"/>
      <c r="G3" s="3636"/>
      <c r="H3" s="3637"/>
      <c r="I3" s="3622"/>
      <c r="J3" s="3623"/>
      <c r="K3" s="1290" t="str">
        <f>IF(AND(Dat_GebDat_M&gt;0,K4=0),Dat_GebDat_M,K4)</f>
        <v/>
      </c>
      <c r="L3" s="1290" t="str">
        <f>IF(AND(Dat_GebDat_F&gt;0,L4=0),Dat_GebDat_F,L4)</f>
        <v/>
      </c>
      <c r="M3" s="3586"/>
      <c r="N3" s="3587"/>
      <c r="O3" s="3641"/>
      <c r="Q3" s="554"/>
      <c r="R3" s="146"/>
      <c r="S3" s="146"/>
      <c r="U3" s="881"/>
      <c r="V3" s="1167"/>
      <c r="W3" s="161"/>
      <c r="X3" s="161"/>
      <c r="Y3" s="161"/>
      <c r="Z3" s="161"/>
      <c r="AA3" s="161"/>
      <c r="AB3" s="161"/>
      <c r="AC3" s="161"/>
      <c r="AD3" s="311"/>
    </row>
    <row r="4" spans="1:31" ht="14.25" customHeight="1" thickBot="1">
      <c r="A4" s="3632"/>
      <c r="B4" s="3628"/>
      <c r="C4" s="3629"/>
      <c r="D4" s="3643"/>
      <c r="E4" s="3644"/>
      <c r="F4" s="443"/>
      <c r="G4" s="3638"/>
      <c r="H4" s="3639"/>
      <c r="I4" s="3645" t="s">
        <v>616</v>
      </c>
      <c r="J4" s="3645"/>
      <c r="K4" s="1291"/>
      <c r="L4" s="1291"/>
      <c r="M4" s="3586"/>
      <c r="N4" s="3587"/>
      <c r="O4" s="3642"/>
      <c r="P4" t="s">
        <v>1485</v>
      </c>
      <c r="Q4" t="s">
        <v>618</v>
      </c>
      <c r="R4" t="e">
        <f>VLOOKUP(YEAR(K3),Regelaltersgrenze,3)</f>
        <v>#VALUE!</v>
      </c>
      <c r="S4" t="e">
        <f>VLOOKUP(YEAR(L3),Regelaltersgrenze,3)</f>
        <v>#VALUE!</v>
      </c>
      <c r="U4" s="636">
        <v>28307</v>
      </c>
      <c r="V4" s="540" t="s">
        <v>1261</v>
      </c>
      <c r="W4" s="66"/>
      <c r="X4" s="66"/>
      <c r="Y4" s="66">
        <v>3</v>
      </c>
      <c r="Z4" s="66">
        <v>4</v>
      </c>
      <c r="AA4" s="66">
        <v>5</v>
      </c>
      <c r="AB4" s="540"/>
      <c r="AC4" s="540"/>
      <c r="AD4" s="1168" t="s">
        <v>1287</v>
      </c>
    </row>
    <row r="5" spans="1:31" ht="14.25" customHeight="1">
      <c r="A5" s="3632"/>
      <c r="B5" s="3707" t="s">
        <v>510</v>
      </c>
      <c r="C5" s="3618"/>
      <c r="D5" s="1445">
        <f ca="1">TODAY()</f>
        <v>46090</v>
      </c>
      <c r="E5" s="1448" t="str">
        <f ca="1">IFERROR("aktRW: "&amp;TEXT(Q11,"0,00 €"),"")</f>
        <v>aktRW: 40,79 €</v>
      </c>
      <c r="F5" s="25"/>
      <c r="G5" s="3646" t="s">
        <v>527</v>
      </c>
      <c r="H5" s="561" t="str">
        <f>IF(C8="","Bitte das Ehezeitende im Stammdatenblock eingeben!","EzE: "&amp;TEXT(C8,"TT.MM.JJJJ")&amp;"; Ber.Datum: "&amp;TEXT(D5,"TT.MM.JJJJ"))</f>
        <v>Bitte das Ehezeitende im Stammdatenblock eingeben!</v>
      </c>
      <c r="I5" s="544" t="s">
        <v>615</v>
      </c>
      <c r="J5" s="544" t="s">
        <v>621</v>
      </c>
      <c r="K5" s="3649" t="s">
        <v>1294</v>
      </c>
      <c r="L5" s="3650"/>
      <c r="M5" s="831" t="s">
        <v>1295</v>
      </c>
      <c r="N5" s="1115" t="s">
        <v>1296</v>
      </c>
      <c r="O5" s="3642"/>
      <c r="P5" s="15" t="b">
        <v>0</v>
      </c>
      <c r="Q5" t="s">
        <v>7</v>
      </c>
      <c r="R5" s="91" t="e">
        <f>YEARFRAC(K3,Abänderungsdatum,0)</f>
        <v>#VALUE!</v>
      </c>
      <c r="S5" s="91" t="e">
        <f>YEARFRAC(L3,Abänderungsdatum,0)</f>
        <v>#VALUE!</v>
      </c>
      <c r="U5" s="636">
        <v>31413</v>
      </c>
      <c r="V5" s="540" t="s">
        <v>1265</v>
      </c>
      <c r="W5" s="66">
        <v>1</v>
      </c>
      <c r="X5" s="66"/>
      <c r="Y5" s="66"/>
      <c r="Z5" s="66"/>
      <c r="AA5" s="66"/>
      <c r="AB5" s="540" t="s">
        <v>1266</v>
      </c>
      <c r="AC5" s="540"/>
      <c r="AD5" s="1168" t="s">
        <v>126</v>
      </c>
    </row>
    <row r="6" spans="1:31" ht="14.25" customHeight="1">
      <c r="A6" s="3632"/>
      <c r="B6" s="3707" t="s">
        <v>539</v>
      </c>
      <c r="C6" s="3618"/>
      <c r="D6" s="362"/>
      <c r="E6" s="1449" t="str">
        <f>IFERROR("mon.Bezgr."&amp;TEXT(VLOOKUP(YEAR($C$8),MonatlicheBezugsgroesse,2),"#.##0 €"),"")</f>
        <v/>
      </c>
      <c r="F6" s="25"/>
      <c r="G6" s="3647"/>
      <c r="H6" s="1239" t="s">
        <v>525</v>
      </c>
      <c r="I6" s="3651">
        <f>+I23</f>
        <v>2.5999999999999999E-2</v>
      </c>
      <c r="J6" s="3652"/>
      <c r="K6" s="397"/>
      <c r="L6" s="823"/>
      <c r="M6" s="546" t="str">
        <f ca="1">IFERROR(-PV(R$2-RententrendDRV,IF(R$4-R$5&lt;0,0,R$4-R$5),0,-PV(R$2-RententrendDRV,R$6,K6*12,))*VLOOKUP(R$4,G_Kohorte_M,YEAR(K$3)-1900+2)/VLOOKUP(R$5,G_Kohorte_M,YEAR(K$3)-1900+2),"")</f>
        <v/>
      </c>
      <c r="N6" s="545" t="str">
        <f ca="1">IF($L$3=0,"",IFERROR(-PV(R$2-RententrendDRV,IF(S$4-S$5&lt;0,0,S$4-S$5),0,-PV(R$2-RententrendDRV,S$6,L6*12,))*VLOOKUP(S$4,G_Kohorte_F,YEAR(L$3)-1900+2)/VLOOKUP(S$5,G_Kohorte_F,YEAR(L$3)-1900+2),""))</f>
        <v/>
      </c>
      <c r="O6" s="3642"/>
      <c r="Q6" t="s">
        <v>619</v>
      </c>
      <c r="R6" s="91" t="e">
        <f>VLOOKUP(IF(R5&gt;R4,R5,R4),Lebenserwartung_M_V2,YEAR(K3)-1900+2)</f>
        <v>#VALUE!</v>
      </c>
      <c r="S6" s="91" t="e">
        <f>VLOOKUP(IF(S5&gt;S4,S5,S4),Lebenserwartung_F_V2,YEAR(L3)-1900+2)</f>
        <v>#VALUE!</v>
      </c>
      <c r="U6" s="636">
        <v>33604</v>
      </c>
      <c r="V6" s="540" t="s">
        <v>1267</v>
      </c>
      <c r="W6" s="66"/>
      <c r="X6" s="66">
        <v>2</v>
      </c>
      <c r="Y6" s="66"/>
      <c r="Z6" s="66"/>
      <c r="AA6" s="66"/>
      <c r="AB6" s="540" t="s">
        <v>1270</v>
      </c>
      <c r="AC6" s="922" t="s">
        <v>1268</v>
      </c>
      <c r="AD6" s="1168" t="s">
        <v>1264</v>
      </c>
    </row>
    <row r="7" spans="1:31" ht="14.25" customHeight="1">
      <c r="A7" s="3632"/>
      <c r="B7" s="3653" t="str">
        <f>IF(D6&lt;&gt;"ja","Abänderung kann nach § 226 II FamFG frühestens 12 Monate vor dem ersten Rentenbezug eingeleitet werden.","")</f>
        <v>Abänderung kann nach § 226 II FamFG frühestens 12 Monate vor dem ersten Rentenbezug eingeleitet werden.</v>
      </c>
      <c r="C7" s="3654"/>
      <c r="D7" s="3654"/>
      <c r="E7" s="3655"/>
      <c r="F7" s="25"/>
      <c r="G7" s="3647"/>
      <c r="H7" s="1239" t="s">
        <v>208</v>
      </c>
      <c r="I7" s="3651">
        <f>+I6</f>
        <v>2.5999999999999999E-2</v>
      </c>
      <c r="J7" s="3652"/>
      <c r="K7" s="397"/>
      <c r="L7" s="823"/>
      <c r="M7" s="546" t="str">
        <f ca="1">IFERROR(-PV(R$2-RententrendDRV,IF(R$4-R$5&lt;0,0,R$4-R$5),0,-PV(R$2-RententrendDRV,R$6,K7*12,))*VLOOKUP(R$4,G_Kohorte_M,YEAR(K$3)-1900+2)/VLOOKUP(R$5,G_Kohorte_M,YEAR(K$3)-1900+2),"")</f>
        <v/>
      </c>
      <c r="N7" s="545" t="str">
        <f ca="1">IF($L$3=0,"",IFERROR(-PV(R$2-RententrendDRV,IF(S$4-S$5&lt;0,0,S$4-S$5),0,-PV(R$2-RententrendDRV,S$6,L7*12,))*VLOOKUP(S$4,G_Kohorte_F,YEAR(L$3)-1900+2)/VLOOKUP(S$5,G_Kohorte_F,YEAR(L$3)-1900+2),""))</f>
        <v/>
      </c>
      <c r="O7" s="3642"/>
      <c r="Q7" t="s">
        <v>688</v>
      </c>
      <c r="R7" s="15" t="b">
        <v>0</v>
      </c>
      <c r="U7" s="636">
        <v>33604</v>
      </c>
      <c r="V7" s="540" t="s">
        <v>1265</v>
      </c>
      <c r="W7" s="66">
        <v>1</v>
      </c>
      <c r="X7" s="66"/>
      <c r="Y7" s="66"/>
      <c r="Z7" s="66"/>
      <c r="AA7" s="66"/>
      <c r="AB7" s="540" t="s">
        <v>1269</v>
      </c>
      <c r="AC7" s="540"/>
      <c r="AD7" s="1168" t="s">
        <v>126</v>
      </c>
    </row>
    <row r="8" spans="1:31" ht="14.25" customHeight="1">
      <c r="A8" s="3632"/>
      <c r="B8" s="1410" t="str">
        <f>IF(AND(Dat_EzE&gt;0,D8=0),"Ehezeitende aus 'Fallerfassung' übernommen","Ehezeitende (EzE) eingeben:")</f>
        <v>Ehezeitende (EzE) eingeben:</v>
      </c>
      <c r="C8" s="1292" t="str">
        <f>IF(AND(D8="",Dat_EzE=""),"",IF(AND(Dat_EzE&gt;0,D8=""),Dat_EzE,D8))</f>
        <v/>
      </c>
      <c r="D8" s="897"/>
      <c r="E8" s="1448" t="str">
        <f>IFERROR("aktRW: "&amp;TEXT(Q14,"0,00 €"),"")</f>
        <v/>
      </c>
      <c r="F8" s="25"/>
      <c r="G8" s="3647"/>
      <c r="H8" s="1240" t="s">
        <v>526</v>
      </c>
      <c r="I8" s="3604">
        <v>5.0000000000000001E-3</v>
      </c>
      <c r="J8" s="3604"/>
      <c r="K8" s="397"/>
      <c r="L8" s="823"/>
      <c r="M8" s="546" t="str">
        <f ca="1">IFERROR(-PV(R$2-I8,IF(R$4-R$5&lt;0,0,R$4-R$5),0,-PV(R$2-I8,R$6,K8*12,))*VLOOKUP(R$4,G_Kohorte_M,YEAR(K$3)-1900+2)/VLOOKUP(R$5,G_Kohorte_M,YEAR(K$3)-1900+2),"")</f>
        <v/>
      </c>
      <c r="N8" s="545" t="str">
        <f ca="1">IF($L$3=0,"",IFERROR(-PV(R$2-RententrendDRV,IF(S$4-S$5&lt;0,0,S$4-S$5),0,-PV(R$2-RententrendDRV,S$6,L8*12,))*VLOOKUP(S$4,G_Kohorte_F,YEAR(L$3)-1900+2)/VLOOKUP(S$5,G_Kohorte_F,YEAR(L$3)-1900+2),""))</f>
        <v/>
      </c>
      <c r="O8" s="3642"/>
      <c r="U8" s="636">
        <v>36526</v>
      </c>
      <c r="V8" s="540" t="s">
        <v>1261</v>
      </c>
      <c r="W8" s="66"/>
      <c r="X8" s="66"/>
      <c r="Y8" s="66">
        <v>3</v>
      </c>
      <c r="Z8" s="66">
        <v>4</v>
      </c>
      <c r="AA8" s="66">
        <v>5</v>
      </c>
      <c r="AB8" s="540"/>
      <c r="AC8" s="540"/>
      <c r="AD8" s="1168" t="s">
        <v>1287</v>
      </c>
    </row>
    <row r="9" spans="1:31" ht="14.25" customHeight="1">
      <c r="A9" s="3632"/>
      <c r="B9" s="3598" t="str">
        <f ca="1">IFERROR("Rechnungszins zum "&amp;TEXT(Abänderungsdatum,"TT.MM.JJ")&amp;": "&amp;TEXT(VLOOKUP(Abänderungsdatum,BilmoGZins,16)/100,"0,00%")&amp;" / alternativen Rezins eingeben:","Rechnungszins")</f>
        <v>Rechnungszins zum 09.03.26: 2,27% / alternativen Rezins eingeben:</v>
      </c>
      <c r="C9" s="3599"/>
      <c r="D9" s="1280"/>
      <c r="E9" s="1450" t="str">
        <f ca="1">IFERROR("Rechnung mit "&amp;TEXT(R2,"#,##%"),"ReZins eingeben!")</f>
        <v>Rechnung mit 2,27%</v>
      </c>
      <c r="F9" s="25"/>
      <c r="G9" s="3647"/>
      <c r="H9" s="1241" t="s">
        <v>1293</v>
      </c>
      <c r="I9" s="567"/>
      <c r="J9" s="1178">
        <v>0.01</v>
      </c>
      <c r="K9" s="397"/>
      <c r="L9" s="823"/>
      <c r="M9" s="546" t="str">
        <f t="shared" ref="M9:M14" ca="1" si="0">IFERROR(-PV(R$2-I9,IF(R$4-R$5&lt;0,0,R$4-R$5),0,-PV(R$2-J9,R$6,K9*12,))*VLOOKUP(R$4,G_Kohorte_M,YEAR(K$3)-1900+2)/VLOOKUP(R$5,G_Kohorte_M,YEAR(K$3)-1900+2),"")</f>
        <v/>
      </c>
      <c r="N9" s="545" t="str">
        <f t="shared" ref="N9:N14" ca="1" si="1">IF($L$3=0,"",IFERROR(-PV(R$2-I9,IF(S$4-S$5&lt;0,0,S$4-S$5),0,-PV(R$2-J9,S$6,L9*12,))*VLOOKUP(S$4,G_Kohorte_F,YEAR(L$3)-1900+2)/VLOOKUP(S$5,G_Kohorte_F,YEAR(L$3)-1900+2),""))</f>
        <v/>
      </c>
      <c r="O9" s="3642"/>
      <c r="Q9" t="s">
        <v>1310</v>
      </c>
      <c r="R9" s="15">
        <f ca="1">VLOOKUP(Abänderungsdatum,BilmoGZins,16)</f>
        <v>2.27</v>
      </c>
      <c r="S9" s="15"/>
      <c r="U9" s="636">
        <v>37622</v>
      </c>
      <c r="V9" s="540" t="s">
        <v>1267</v>
      </c>
      <c r="W9" s="66"/>
      <c r="X9" s="66">
        <v>2</v>
      </c>
      <c r="Y9" s="66"/>
      <c r="Z9" s="66"/>
      <c r="AA9" s="66"/>
      <c r="AB9" s="540" t="s">
        <v>1271</v>
      </c>
      <c r="AC9" s="922" t="s">
        <v>1268</v>
      </c>
      <c r="AD9" s="1168" t="s">
        <v>1264</v>
      </c>
    </row>
    <row r="10" spans="1:31" ht="14.25" customHeight="1">
      <c r="A10" s="3632"/>
      <c r="B10" s="3600" t="s">
        <v>506</v>
      </c>
      <c r="C10" s="3601"/>
      <c r="D10" s="1445"/>
      <c r="E10" s="3605" t="str">
        <f>IFERROR("1% mon.Bezugsgr.:"&amp;CHAR(10)&amp;TEXT(VLOOKUP(YEAR($C$8),MonatlicheBezugsgroesse,2)*0.01,"#.##0,00 €"),"")</f>
        <v/>
      </c>
      <c r="F10" s="25"/>
      <c r="G10" s="3647"/>
      <c r="H10" s="409" t="s">
        <v>1486</v>
      </c>
      <c r="I10" s="567"/>
      <c r="J10" s="1178">
        <v>0.01</v>
      </c>
      <c r="K10" s="397"/>
      <c r="L10" s="823"/>
      <c r="M10" s="546" t="str">
        <f t="shared" ca="1" si="0"/>
        <v/>
      </c>
      <c r="N10" s="545" t="str">
        <f t="shared" ca="1" si="1"/>
        <v/>
      </c>
      <c r="O10" s="3642"/>
      <c r="U10" s="636">
        <v>37622</v>
      </c>
      <c r="V10" s="540" t="s">
        <v>1261</v>
      </c>
      <c r="W10" s="66"/>
      <c r="X10" s="66"/>
      <c r="Y10" s="66">
        <v>3</v>
      </c>
      <c r="Z10" s="66">
        <v>4</v>
      </c>
      <c r="AA10" s="66">
        <v>5</v>
      </c>
      <c r="AB10" s="540" t="s">
        <v>1272</v>
      </c>
      <c r="AC10" s="540"/>
      <c r="AD10" s="1168" t="s">
        <v>1287</v>
      </c>
    </row>
    <row r="11" spans="1:31" ht="14.25" customHeight="1" thickBot="1">
      <c r="A11" s="3633"/>
      <c r="B11" s="3656" t="s">
        <v>832</v>
      </c>
      <c r="C11" s="3657"/>
      <c r="D11" s="1447"/>
      <c r="E11" s="3606"/>
      <c r="F11" s="25"/>
      <c r="G11" s="3647"/>
      <c r="H11" s="409" t="s">
        <v>1917</v>
      </c>
      <c r="I11" s="567"/>
      <c r="J11" s="1178">
        <v>0.01</v>
      </c>
      <c r="K11" s="397"/>
      <c r="L11" s="823"/>
      <c r="M11" s="546" t="str">
        <f t="shared" ca="1" si="0"/>
        <v/>
      </c>
      <c r="N11" s="545" t="str">
        <f t="shared" ca="1" si="1"/>
        <v/>
      </c>
      <c r="O11" s="3642"/>
      <c r="Q11" s="149">
        <f ca="1">VLOOKUP(D5,aktRW,IF(S13,3,2))</f>
        <v>40.79</v>
      </c>
      <c r="U11" s="636">
        <v>38869</v>
      </c>
      <c r="V11" s="540" t="s">
        <v>1261</v>
      </c>
      <c r="W11" s="66"/>
      <c r="X11" s="66"/>
      <c r="Y11" s="66">
        <v>3</v>
      </c>
      <c r="Z11" s="66">
        <v>4</v>
      </c>
      <c r="AA11" s="66">
        <v>5</v>
      </c>
      <c r="AB11" s="540" t="s">
        <v>1273</v>
      </c>
      <c r="AC11" s="540"/>
      <c r="AD11" s="1168" t="s">
        <v>1287</v>
      </c>
    </row>
    <row r="12" spans="1:31" s="565" customFormat="1" ht="14.25" customHeight="1">
      <c r="A12" s="3658" t="s">
        <v>532</v>
      </c>
      <c r="B12" s="3607" t="s">
        <v>519</v>
      </c>
      <c r="C12" s="3608"/>
      <c r="D12" s="3608"/>
      <c r="E12" s="3609"/>
      <c r="F12" s="564"/>
      <c r="G12" s="3647"/>
      <c r="H12" s="409" t="s">
        <v>1463</v>
      </c>
      <c r="I12" s="567"/>
      <c r="J12" s="1178">
        <v>0.01</v>
      </c>
      <c r="K12" s="563"/>
      <c r="L12" s="824"/>
      <c r="M12" s="546" t="str">
        <f t="shared" ca="1" si="0"/>
        <v/>
      </c>
      <c r="N12" s="545" t="str">
        <f t="shared" ca="1" si="1"/>
        <v/>
      </c>
      <c r="O12" s="3642"/>
      <c r="Q12" s="566" t="s">
        <v>473</v>
      </c>
      <c r="U12" s="636">
        <v>39448</v>
      </c>
      <c r="V12" s="540" t="s">
        <v>277</v>
      </c>
      <c r="W12" s="66">
        <v>1</v>
      </c>
      <c r="X12" s="66"/>
      <c r="Y12" s="66"/>
      <c r="Z12" s="66"/>
      <c r="AA12" s="66"/>
      <c r="AB12" s="540" t="s">
        <v>1274</v>
      </c>
      <c r="AC12" s="922" t="s">
        <v>1275</v>
      </c>
      <c r="AD12" s="1168" t="s">
        <v>126</v>
      </c>
    </row>
    <row r="13" spans="1:31" ht="14.25" customHeight="1">
      <c r="A13" s="3659"/>
      <c r="B13" s="3610" t="s">
        <v>1627</v>
      </c>
      <c r="C13" s="3611"/>
      <c r="D13" s="29" t="s">
        <v>507</v>
      </c>
      <c r="E13" s="1451" t="s">
        <v>508</v>
      </c>
      <c r="F13" s="25"/>
      <c r="G13" s="3647"/>
      <c r="H13" s="409" t="s">
        <v>529</v>
      </c>
      <c r="I13" s="567"/>
      <c r="J13" s="1178">
        <v>0.01</v>
      </c>
      <c r="K13" s="397"/>
      <c r="L13" s="823"/>
      <c r="M13" s="546" t="str">
        <f t="shared" ca="1" si="0"/>
        <v/>
      </c>
      <c r="N13" s="545" t="str">
        <f t="shared" ca="1" si="1"/>
        <v/>
      </c>
      <c r="O13" s="3642"/>
      <c r="Q13" s="4" t="s">
        <v>467</v>
      </c>
      <c r="R13" t="s">
        <v>520</v>
      </c>
      <c r="S13" s="15" t="b">
        <v>0</v>
      </c>
      <c r="U13" s="636">
        <v>39630</v>
      </c>
      <c r="V13" s="540" t="s">
        <v>1261</v>
      </c>
      <c r="W13" s="66"/>
      <c r="X13" s="66"/>
      <c r="Y13" s="66">
        <v>3</v>
      </c>
      <c r="Z13" s="66">
        <v>4</v>
      </c>
      <c r="AA13" s="66">
        <v>5</v>
      </c>
      <c r="AB13" s="540" t="s">
        <v>1276</v>
      </c>
      <c r="AC13" s="540"/>
      <c r="AD13" s="1168" t="s">
        <v>1287</v>
      </c>
    </row>
    <row r="14" spans="1:31" ht="14.25" customHeight="1">
      <c r="A14" s="3659"/>
      <c r="B14" s="3612" t="str">
        <f>IF(D11="ja","DRV in Euro","DRV in Entgeltpunkten (EP)")</f>
        <v>DRV in Entgeltpunkten (EP)</v>
      </c>
      <c r="C14" s="3613"/>
      <c r="D14" s="1176"/>
      <c r="E14" s="913"/>
      <c r="F14" s="25"/>
      <c r="G14" s="3647"/>
      <c r="H14" s="409" t="s">
        <v>530</v>
      </c>
      <c r="I14" s="567"/>
      <c r="J14" s="1178">
        <v>0.01</v>
      </c>
      <c r="K14" s="397"/>
      <c r="L14" s="823"/>
      <c r="M14" s="546" t="str">
        <f t="shared" ca="1" si="0"/>
        <v/>
      </c>
      <c r="N14" s="545" t="str">
        <f t="shared" ca="1" si="1"/>
        <v/>
      </c>
      <c r="O14" s="3642"/>
      <c r="Q14" s="149" t="e">
        <f>VLOOKUP(C8,aktRW,IF(S13,3,2))</f>
        <v>#N/A</v>
      </c>
      <c r="U14" s="636">
        <v>39856</v>
      </c>
      <c r="V14" s="540" t="s">
        <v>277</v>
      </c>
      <c r="W14" s="66"/>
      <c r="X14" s="66">
        <v>2</v>
      </c>
      <c r="Y14" s="66"/>
      <c r="Z14" s="66"/>
      <c r="AA14" s="66"/>
      <c r="AB14" s="540" t="s">
        <v>1274</v>
      </c>
      <c r="AC14" s="922" t="s">
        <v>1414</v>
      </c>
      <c r="AD14" s="1168" t="s">
        <v>1264</v>
      </c>
    </row>
    <row r="15" spans="1:31" ht="14.25" customHeight="1">
      <c r="A15" s="3659"/>
      <c r="B15" s="3711" t="s">
        <v>524</v>
      </c>
      <c r="C15" s="3712"/>
      <c r="D15" s="365"/>
      <c r="E15" s="1452" t="str">
        <f>IF(D11="ja","Rentenänderung","KoKa Änderung")</f>
        <v>KoKa Änderung</v>
      </c>
      <c r="F15" s="25"/>
      <c r="G15" s="3647"/>
      <c r="H15" s="3616" t="s">
        <v>189</v>
      </c>
      <c r="I15" s="3617"/>
      <c r="J15" s="3618"/>
      <c r="K15" s="818">
        <f>SUM(K6:K14)</f>
        <v>0</v>
      </c>
      <c r="L15" s="828">
        <f>SUM(L6:L14)</f>
        <v>0</v>
      </c>
      <c r="M15" s="821">
        <f ca="1">SUM(M6:M14)</f>
        <v>0</v>
      </c>
      <c r="N15" s="1177">
        <f ca="1">SUM(N6:N14)</f>
        <v>0</v>
      </c>
      <c r="O15" s="3642"/>
      <c r="S15" t="e">
        <f>ROUND(S17*1.2,2)</f>
        <v>#VALUE!</v>
      </c>
      <c r="U15" s="636">
        <v>40057</v>
      </c>
      <c r="V15" s="540" t="s">
        <v>1278</v>
      </c>
      <c r="W15" s="66"/>
      <c r="X15" s="66"/>
      <c r="Y15" s="66">
        <v>3</v>
      </c>
      <c r="Z15" s="66">
        <v>4</v>
      </c>
      <c r="AA15" s="66">
        <v>5</v>
      </c>
      <c r="AB15" s="540"/>
      <c r="AC15" s="540"/>
      <c r="AD15" s="1168" t="s">
        <v>1287</v>
      </c>
    </row>
    <row r="16" spans="1:31" ht="14.25" customHeight="1">
      <c r="A16" s="3659"/>
      <c r="B16" s="3711" t="str">
        <f>IFERROR("Änderung des Ausgleichswerts: "&amp;IF(D15&gt;0,TEXT(D15,"0,0000")&amp;" EP / 2 x "&amp;TEXT(Q14,"0,00"),"("&amp;TEXT(E14,"#.##0,00")&amp;" - "&amp;TEXT(D14,"#.##0,00")&amp;") / 2  ="),"")</f>
        <v>Änderung des Ausgleichswerts: (0,00 - 0,00) / 2  =</v>
      </c>
      <c r="C16" s="3712"/>
      <c r="D16" s="1446">
        <f>IFERROR(IF(D11="ja",IF(D15&gt;0,D15/2*Q14,(E14-D14)/2),IF(D15&gt;0,D15/2,(E14-D14)/2)),"")</f>
        <v>0</v>
      </c>
      <c r="E16" s="1453" t="str">
        <f>IFERROR(IF(D11="ja",D16,D16*VLOOKUP(D8,UmrechnungEP_Kap,IF(S13,3,2))),"")</f>
        <v/>
      </c>
      <c r="F16" s="25"/>
      <c r="G16" s="3647"/>
      <c r="H16" s="3616" t="s">
        <v>301</v>
      </c>
      <c r="I16" s="3617"/>
      <c r="J16" s="3618"/>
      <c r="K16" s="3527">
        <f>ABS(K15-L15)</f>
        <v>0</v>
      </c>
      <c r="L16" s="3722"/>
      <c r="M16" s="3668">
        <f ca="1">ABS(M15-N15)</f>
        <v>0</v>
      </c>
      <c r="N16" s="3669"/>
      <c r="O16" s="3642"/>
      <c r="P16" s="363"/>
      <c r="R16" t="s">
        <v>521</v>
      </c>
      <c r="S16" s="149" t="e">
        <f>VLOOKUP(YEAR(C8),MonatlicheBezugsgroesse,IF(S13,3,2))*0.01</f>
        <v>#VALUE!</v>
      </c>
      <c r="U16" s="636">
        <v>41821</v>
      </c>
      <c r="V16" s="540" t="s">
        <v>1265</v>
      </c>
      <c r="W16" s="66">
        <v>1</v>
      </c>
      <c r="X16" s="66"/>
      <c r="Y16" s="66"/>
      <c r="Z16" s="66"/>
      <c r="AA16" s="66"/>
      <c r="AB16" s="540" t="s">
        <v>1280</v>
      </c>
      <c r="AC16" s="922" t="s">
        <v>1279</v>
      </c>
      <c r="AD16" s="1168" t="s">
        <v>126</v>
      </c>
    </row>
    <row r="17" spans="1:30" ht="14.25" customHeight="1" thickBot="1">
      <c r="A17" s="3659"/>
      <c r="B17" s="3711" t="str">
        <f>IFERROR("Absolute Wesentlichkeitsgrenze § 225 II FamFG: "&amp;IF(D11="nein","120%","1%")&amp;" von "&amp;TEXT(S17,"#.##0,00"),"")</f>
        <v/>
      </c>
      <c r="C17" s="3712"/>
      <c r="D17" s="1122" t="str">
        <f>IFERROR(IF(D11="nein",MonBezugsgr_120,absWGrenze),"")</f>
        <v/>
      </c>
      <c r="E17" s="1451" t="str">
        <f>IF(E14+D14=0,"",IF(E16&gt;=D17,"überschritten","unterschritten"))</f>
        <v/>
      </c>
      <c r="F17" s="25"/>
      <c r="G17" s="3647"/>
      <c r="H17" s="3670" t="s">
        <v>528</v>
      </c>
      <c r="I17" s="3671"/>
      <c r="J17" s="3672"/>
      <c r="K17" s="939">
        <f>IF(K15&gt;L15,-K16/2,K16/2)</f>
        <v>0</v>
      </c>
      <c r="L17" s="940">
        <f>IF(L15&gt;K15,-K16/2,K16/2)</f>
        <v>0</v>
      </c>
      <c r="M17" s="826"/>
      <c r="N17" s="827"/>
      <c r="O17" s="3642"/>
      <c r="P17" s="363"/>
      <c r="S17" s="149" t="e">
        <f>VLOOKUP(YEAR(C8),MonatlicheBezugsgroesse,IF(S13,3,2))</f>
        <v>#VALUE!</v>
      </c>
      <c r="U17" s="636">
        <v>43466</v>
      </c>
      <c r="V17" s="540" t="s">
        <v>1265</v>
      </c>
      <c r="W17" s="66">
        <v>1</v>
      </c>
      <c r="X17" s="66"/>
      <c r="Y17" s="66"/>
      <c r="Z17" s="66"/>
      <c r="AA17" s="66"/>
      <c r="AB17" s="540" t="s">
        <v>1292</v>
      </c>
      <c r="AC17" s="922" t="s">
        <v>1279</v>
      </c>
      <c r="AD17" s="1168" t="s">
        <v>126</v>
      </c>
    </row>
    <row r="18" spans="1:30" ht="14.25" customHeight="1">
      <c r="A18" s="3659"/>
      <c r="B18" s="3713" t="str">
        <f>"Wesentlichkeitsgrenze § 225 II FamFG (5% vom Ausglwert alt), tasächlich:"</f>
        <v>Wesentlichkeitsgrenze § 225 II FamFG (5% vom Ausglwert alt), tasächlich:</v>
      </c>
      <c r="C18" s="3714"/>
      <c r="D18" s="222" t="str">
        <f>IFERROR((D16/D14)/2,"")</f>
        <v/>
      </c>
      <c r="E18" s="1451" t="str">
        <f>IF(E17="","",IFERROR(IF(D18&gt;=5%,"überschritten","unterschritten"),""))</f>
        <v/>
      </c>
      <c r="F18" s="25"/>
      <c r="G18" s="3647"/>
      <c r="H18" s="3673" t="s">
        <v>898</v>
      </c>
      <c r="I18" s="3674"/>
      <c r="J18" s="3674"/>
      <c r="K18" s="3723" t="str">
        <f>IF(AND(K19&lt;&gt;0,L19&lt;&gt;0),"bitte nur beim Ausglpfl. eintragen!",IF(OR(L19&gt;0,K19&gt;0),"bitte nur negative Werte!",IF(P21&gt;0,"bitte Vorzeichen korrigieren!","")))</f>
        <v/>
      </c>
      <c r="L18" s="3724"/>
      <c r="M18" s="1046"/>
      <c r="N18" s="825"/>
      <c r="O18" s="3642"/>
      <c r="P18" s="363"/>
      <c r="S18" s="149">
        <f ca="1">VLOOKUP(YEAR(D5),MonatlicheBezugsgroesse,IF(S14,3,2))</f>
        <v>3955</v>
      </c>
      <c r="U18" s="636">
        <v>44197</v>
      </c>
      <c r="V18" s="540" t="s">
        <v>1282</v>
      </c>
      <c r="W18" s="66">
        <v>1</v>
      </c>
      <c r="X18" s="66"/>
      <c r="Y18" s="66"/>
      <c r="Z18" s="66"/>
      <c r="AA18" s="66"/>
      <c r="AB18" s="540" t="s">
        <v>1283</v>
      </c>
      <c r="AC18" s="922" t="s">
        <v>1284</v>
      </c>
      <c r="AD18" s="1168" t="s">
        <v>126</v>
      </c>
    </row>
    <row r="19" spans="1:30" ht="14.25" customHeight="1">
      <c r="A19" s="3659"/>
      <c r="B19" s="3689" t="s">
        <v>511</v>
      </c>
      <c r="C19" s="3690"/>
      <c r="D19" s="744" t="str">
        <f>IF(D14+E14=0,"",IF(AND(E17="überschritten",E18="überschritten"),"Ja","Nein"))</f>
        <v/>
      </c>
      <c r="E19" s="1448"/>
      <c r="F19" s="25"/>
      <c r="G19" s="3647"/>
      <c r="H19" s="3675"/>
      <c r="I19" s="3676"/>
      <c r="J19" s="3677"/>
      <c r="K19" s="832"/>
      <c r="L19" s="1049"/>
      <c r="M19" s="1047" t="str">
        <f>IFERROR(IF(K19+L19=0,"",IF(K19+L19=0,"",IFERROR(-PV(BilMoG7-RententrendDRV,R$4-R$5,0,-PV(BilMoG7-RententrendDRV,R$6,IF(K19=0,-L19,K19*12),))*VLOOKUP(R$4,IF(divers,G_Kohorte_N,G_Kohorte_M),YEAR(K$3)-1900+2)/VLOOKUP(R$5,IF(divers,G_Kohorte_N,G_Kohorte_M),YEAR(K$3)-1900+2),""))),"")</f>
        <v/>
      </c>
      <c r="N19" s="820" t="str">
        <f>IFERROR(IF(K19+L19=0,"",IFERROR(-PV(BilMoG7-RententrendDRV,S$4-S$5,0,-PV(BilMoG7-RententrendDRV,S$6,IF(L19=0,-K19,L19)*12,))*VLOOKUP(S$4,IF(divers,G_Kohorte_N,G_Kohorte_F),YEAR(L$3)-1900+2)/VLOOKUP(S$5,IF(divers,G_Kohorte_N,G_Kohorte_F),YEAR(L$3)-1900+2),"")),"")</f>
        <v/>
      </c>
      <c r="O19" s="25"/>
      <c r="P19" s="363">
        <f>IF(OR(AND(L17&gt;0,L19&lt;0),AND(L17&lt;0,L19&gt;0)),1,0)</f>
        <v>0</v>
      </c>
      <c r="U19" s="3680" t="s">
        <v>1415</v>
      </c>
      <c r="V19" s="3680"/>
      <c r="W19" s="3680"/>
      <c r="X19" s="3680"/>
      <c r="Y19" s="3680"/>
      <c r="Z19" s="3680"/>
      <c r="AA19" s="3680"/>
      <c r="AB19" s="3680"/>
      <c r="AC19" s="3680"/>
      <c r="AD19" s="3680"/>
    </row>
    <row r="20" spans="1:30" ht="14.25" customHeight="1" thickBot="1">
      <c r="A20" s="3659"/>
      <c r="B20" s="3708" t="s">
        <v>1628</v>
      </c>
      <c r="C20" s="3709"/>
      <c r="D20" s="3710"/>
      <c r="E20" s="1454" t="str">
        <f ca="1">IFERROR(D16/Q14*Q11,"")</f>
        <v/>
      </c>
      <c r="F20" s="25"/>
      <c r="G20" s="3648"/>
      <c r="H20" s="3734" t="s">
        <v>895</v>
      </c>
      <c r="I20" s="3735"/>
      <c r="J20" s="3735"/>
      <c r="K20" s="3735"/>
      <c r="L20" s="3736"/>
      <c r="M20" s="1048" t="str">
        <f ca="1">IFERROR(+M15+M19,"")</f>
        <v/>
      </c>
      <c r="N20" s="965" t="str">
        <f ca="1">IFERROR(+N19+N15,"")</f>
        <v/>
      </c>
      <c r="O20" s="25"/>
      <c r="P20" s="363">
        <f>IF(OR(AND(K17&gt;0,K19&lt;0),AND(K17&lt;0,K19&gt;0)),1,0)</f>
        <v>0</v>
      </c>
    </row>
    <row r="21" spans="1:30" ht="14.25" customHeight="1" thickTop="1" thickBot="1">
      <c r="A21" s="3660"/>
      <c r="B21" s="3602" t="s">
        <v>208</v>
      </c>
      <c r="C21" s="3603"/>
      <c r="D21" s="3614" t="s">
        <v>981</v>
      </c>
      <c r="E21" s="3615"/>
      <c r="F21" s="25"/>
      <c r="G21" s="3731" t="s">
        <v>897</v>
      </c>
      <c r="H21" s="3732"/>
      <c r="I21" s="3732"/>
      <c r="J21" s="3732"/>
      <c r="K21" s="3732"/>
      <c r="L21" s="3732"/>
      <c r="M21" s="3732"/>
      <c r="N21" s="3733"/>
      <c r="O21" s="25"/>
      <c r="P21" s="363">
        <f>+P20+P19</f>
        <v>0</v>
      </c>
    </row>
    <row r="22" spans="1:30" ht="14.25" customHeight="1">
      <c r="A22" s="3660"/>
      <c r="B22" s="3661" t="s">
        <v>509</v>
      </c>
      <c r="C22" s="3599"/>
      <c r="D22" s="29" t="s">
        <v>507</v>
      </c>
      <c r="E22" s="359" t="s">
        <v>508</v>
      </c>
      <c r="F22" s="25"/>
      <c r="G22" s="3664" t="s">
        <v>630</v>
      </c>
      <c r="H22" s="1013" t="s">
        <v>622</v>
      </c>
      <c r="I22" s="544" t="s">
        <v>615</v>
      </c>
      <c r="J22" s="544" t="s">
        <v>621</v>
      </c>
      <c r="K22" s="883" t="s">
        <v>175</v>
      </c>
      <c r="L22" s="1014" t="s">
        <v>176</v>
      </c>
      <c r="M22" s="1015" t="s">
        <v>620</v>
      </c>
      <c r="N22" s="1016" t="s">
        <v>176</v>
      </c>
      <c r="O22" s="25"/>
      <c r="P22" s="363"/>
      <c r="Q22" s="364" t="s">
        <v>175</v>
      </c>
      <c r="R22" s="364" t="s">
        <v>176</v>
      </c>
    </row>
    <row r="23" spans="1:30" ht="14.25">
      <c r="A23" s="3660"/>
      <c r="B23" s="3661" t="s">
        <v>512</v>
      </c>
      <c r="C23" s="3599"/>
      <c r="D23" s="746"/>
      <c r="E23" s="990"/>
      <c r="F23" s="25"/>
      <c r="G23" s="3665"/>
      <c r="H23" s="1242" t="str">
        <f t="shared" ref="H23:H31" si="2">+H6</f>
        <v>Deutsche Rentenversicherung</v>
      </c>
      <c r="I23" s="3651">
        <f>'Dies &amp; Das'!E3</f>
        <v>2.5999999999999999E-2</v>
      </c>
      <c r="J23" s="3652"/>
      <c r="K23" s="397"/>
      <c r="L23" s="823"/>
      <c r="M23" s="546" t="str">
        <f ca="1">IFERROR(-PV(R$2-RententrendDRV,IF(R$4-R$5&lt;0,0,R$4-R$5),0,-PV(R$2-RententrendDRV,R$6,K23*12,))*VLOOKUP(R$4,G_Kohorte_M,YEAR(K$3)-1900+2)/VLOOKUP(R$5,G_Kohorte_M,YEAR(K$3)-1900+2),"")</f>
        <v/>
      </c>
      <c r="N23" s="545" t="str">
        <f ca="1">IF($L$3=0,"",IFERROR(-PV(R$2-RententrendDRV,IF(S$4-S$5&lt;0,0,S$4-S$5),0,-PV(R$2-RententrendDRV,S$6,L23*12,))*VLOOKUP(S$4,G_Kohorte_F,YEAR(L$3)-1900+2)/VLOOKUP(S$5,G_Kohorte_F,YEAR(L$3)-1900+2),""))</f>
        <v/>
      </c>
      <c r="O23" s="25"/>
      <c r="P23" s="146" t="e">
        <f>ABS(+L23/L6-1)</f>
        <v>#DIV/0!</v>
      </c>
      <c r="Q23" s="200">
        <f t="shared" ref="Q23:Q31" si="3">+K23-K6</f>
        <v>0</v>
      </c>
      <c r="R23" s="200">
        <f>(L23-L6)</f>
        <v>0</v>
      </c>
    </row>
    <row r="24" spans="1:30" ht="14.25">
      <c r="A24" s="3660"/>
      <c r="B24" s="3661" t="s">
        <v>518</v>
      </c>
      <c r="C24" s="3599"/>
      <c r="D24" s="3666">
        <f>+E23-D23</f>
        <v>0</v>
      </c>
      <c r="E24" s="3667"/>
      <c r="F24" s="25"/>
      <c r="G24" s="3665"/>
      <c r="H24" s="1242" t="str">
        <f t="shared" si="2"/>
        <v>Beamtenversorgung</v>
      </c>
      <c r="I24" s="3651">
        <f>+I23</f>
        <v>2.5999999999999999E-2</v>
      </c>
      <c r="J24" s="3652"/>
      <c r="K24" s="397"/>
      <c r="L24" s="823"/>
      <c r="M24" s="546" t="str">
        <f ca="1">IFERROR(-PV(R$2-RententrendDRV,IF(R$4-R$5&lt;0,0,R$4-R$5),0,-PV(R$2-RententrendDRV,R$6,K24*12,))*VLOOKUP(R$4,G_Kohorte_M,YEAR(K$3)-1900+2)/VLOOKUP(R$5,G_Kohorte_M,YEAR(K$3)-1900+2),"")</f>
        <v/>
      </c>
      <c r="N24" s="545" t="str">
        <f ca="1">IF($L$3=0,"",IFERROR(-PV(R$2-RententrendDRV,IF(S$4-S$5&lt;0,0,S$4-S$5),0,-PV(R$2-RententrendDRV,S$6,L24*12,))*VLOOKUP(S$4,G_Kohorte_F,YEAR(L$3)-1900+2)/VLOOKUP(S$5,G_Kohorte_F,YEAR(L$3)-1900+2),""))</f>
        <v/>
      </c>
      <c r="O24" s="25"/>
      <c r="Q24" s="200">
        <f t="shared" si="3"/>
        <v>0</v>
      </c>
      <c r="R24" s="200">
        <f t="shared" ref="R24:R31" si="4">+L24-L7</f>
        <v>0</v>
      </c>
    </row>
    <row r="25" spans="1:30" ht="14.25">
      <c r="A25" s="3660"/>
      <c r="B25" s="3661" t="str">
        <f>+B17</f>
        <v/>
      </c>
      <c r="C25" s="3599"/>
      <c r="D25" s="933" t="str">
        <f>IFERROR(S16,"")</f>
        <v/>
      </c>
      <c r="E25" s="931"/>
      <c r="F25" s="25"/>
      <c r="G25" s="3665"/>
      <c r="H25" s="1242" t="str">
        <f t="shared" si="2"/>
        <v>berufsständische Versorgung</v>
      </c>
      <c r="I25" s="3729">
        <v>5.0000000000000001E-3</v>
      </c>
      <c r="J25" s="3730"/>
      <c r="K25" s="397"/>
      <c r="L25" s="823"/>
      <c r="M25" s="546" t="str">
        <f ca="1">IFERROR(-PV(R$2-I25,IF(R$4-R$5&lt;0,0,R$4-R$5),0,-PV(R$2-I25,R$6,K25*12,))*VLOOKUP(R$4,G_Kohorte_M,YEAR(K$3)-1900+2)/VLOOKUP(R$5,G_Kohorte_M,YEAR(K$3)-1900+2),"")</f>
        <v/>
      </c>
      <c r="N25" s="545" t="str">
        <f ca="1">IF($L$3=0,"",IFERROR(-PV(R$2-I25,IF(S$4-S$5&lt;0,0,S$4-S$5),0,-PV(R$2-I25,S$6,L25*12,))*VLOOKUP(S$4,G_Kohorte_F,YEAR(L$3)-1900+2)/VLOOKUP(S$5,G_Kohorte_F,YEAR(L$3)-1900+2),""))</f>
        <v/>
      </c>
      <c r="O25" s="25"/>
      <c r="Q25" s="200">
        <f t="shared" si="3"/>
        <v>0</v>
      </c>
      <c r="R25" s="200">
        <f t="shared" si="4"/>
        <v>0</v>
      </c>
    </row>
    <row r="26" spans="1:30" ht="14.25">
      <c r="A26" s="3660"/>
      <c r="B26" s="3705" t="str">
        <f>"Relative Wesentlichkeitsgrenze § 225 II FamFG (5% von "&amp;TEXT(D23,"#.##0,00")&amp;")"</f>
        <v>Relative Wesentlichkeitsgrenze § 225 II FamFG (5% von 0,00)</v>
      </c>
      <c r="C26" s="3706"/>
      <c r="D26" s="933">
        <f>+D23*0.05</f>
        <v>0</v>
      </c>
      <c r="E26" s="804" t="s">
        <v>522</v>
      </c>
      <c r="F26" s="25"/>
      <c r="G26" s="3665"/>
      <c r="H26" s="1242" t="str">
        <f t="shared" si="2"/>
        <v>Zusatzversorgung öffentlicher Dienst (ZVK)</v>
      </c>
      <c r="I26" s="1178">
        <v>0</v>
      </c>
      <c r="J26" s="1178">
        <v>0.01</v>
      </c>
      <c r="K26" s="397"/>
      <c r="L26" s="823"/>
      <c r="M26" s="546" t="str">
        <f t="shared" ref="M26:M31" ca="1" si="5">IFERROR(-PV(R$2-I26,IF(R$4-R$5&lt;0,0,R$4-R$5),0,-PV(R$2-J26,R$6,K26*12,))*VLOOKUP(R$4,G_Kohorte_M,YEAR(K$3)-1900+2)/VLOOKUP(R$5,G_Kohorte_M,YEAR(K$3)-1900+2),"")</f>
        <v/>
      </c>
      <c r="N26" s="545" t="str">
        <f t="shared" ref="N26:N31" ca="1" si="6">IF($L$3=0,"",IFERROR(-PV(R$2-I26,IF(S$4-S$5&lt;0,0,S$4-S$5),0,-PV(R$2-J26,S$6,L26*12,))*VLOOKUP(S$4,G_Kohorte_F,YEAR(L$3)-1900+2)/VLOOKUP(S$5,G_Kohorte_F,YEAR(L$3)-1900+2),""))</f>
        <v/>
      </c>
      <c r="O26" s="25"/>
      <c r="Q26" s="200">
        <f t="shared" si="3"/>
        <v>0</v>
      </c>
      <c r="R26" s="200">
        <f t="shared" si="4"/>
        <v>0</v>
      </c>
    </row>
    <row r="27" spans="1:30" ht="14.25" customHeight="1" thickBot="1">
      <c r="A27" s="3660"/>
      <c r="B27" s="3703" t="s">
        <v>511</v>
      </c>
      <c r="C27" s="3704"/>
      <c r="D27" s="934" t="str">
        <f>IF(D23+E23=0,"",IF(AND(ABS(E23-D23)&gt;=ABS(ABS(D26)),ABS(E23-D23)&gt;D25),"Ja","Nein"))</f>
        <v/>
      </c>
      <c r="E27" s="932" t="str">
        <f ca="1">IFERROR(+ABS(D24)*Q11/Q14,"")</f>
        <v/>
      </c>
      <c r="F27" s="25"/>
      <c r="G27" s="3665"/>
      <c r="H27" s="1242" t="str">
        <f t="shared" si="2"/>
        <v>VBL</v>
      </c>
      <c r="I27" s="1178">
        <v>0</v>
      </c>
      <c r="J27" s="1178">
        <v>0.01</v>
      </c>
      <c r="K27" s="397"/>
      <c r="L27" s="823"/>
      <c r="M27" s="546" t="str">
        <f t="shared" ca="1" si="5"/>
        <v/>
      </c>
      <c r="N27" s="545" t="str">
        <f t="shared" ca="1" si="6"/>
        <v/>
      </c>
      <c r="O27" s="25"/>
      <c r="Q27" s="200">
        <f t="shared" si="3"/>
        <v>0</v>
      </c>
      <c r="R27" s="200">
        <f t="shared" si="4"/>
        <v>0</v>
      </c>
      <c r="T27" t="e">
        <f>IF(AND(ABS($Q$23/2)&gt;=K6/2*5%,ABS($Q$23/2)&gt;=absWGrenze),"Ja","nein")</f>
        <v>#VALUE!</v>
      </c>
    </row>
    <row r="28" spans="1:30" ht="14.25" customHeight="1">
      <c r="A28" s="3660"/>
      <c r="B28" s="3681" t="s">
        <v>807</v>
      </c>
      <c r="C28" s="3682"/>
      <c r="D28" s="3608"/>
      <c r="E28" s="3683"/>
      <c r="F28" s="25"/>
      <c r="G28" s="3665"/>
      <c r="H28" s="1242" t="str">
        <f t="shared" si="2"/>
        <v>Versorgungsanstalt Kulturorchester</v>
      </c>
      <c r="I28" s="1178">
        <v>0.01</v>
      </c>
      <c r="J28" s="1178">
        <v>0.01</v>
      </c>
      <c r="K28" s="397"/>
      <c r="L28" s="823"/>
      <c r="M28" s="546" t="str">
        <f t="shared" ca="1" si="5"/>
        <v/>
      </c>
      <c r="N28" s="545" t="str">
        <f t="shared" ca="1" si="6"/>
        <v/>
      </c>
      <c r="O28" s="25"/>
      <c r="Q28" s="200">
        <f t="shared" si="3"/>
        <v>0</v>
      </c>
      <c r="R28" s="200">
        <f t="shared" si="4"/>
        <v>0</v>
      </c>
    </row>
    <row r="29" spans="1:30" ht="14.25" customHeight="1">
      <c r="A29" s="3660"/>
      <c r="B29" s="3684" t="s">
        <v>516</v>
      </c>
      <c r="C29" s="3685"/>
      <c r="D29" s="3686"/>
      <c r="E29" s="3687"/>
      <c r="F29" s="25"/>
      <c r="G29" s="3665"/>
      <c r="H29" s="1242" t="str">
        <f t="shared" si="2"/>
        <v>Sonstige 2</v>
      </c>
      <c r="I29" s="1178">
        <f t="shared" ref="I29:J31" si="7">+I12</f>
        <v>0</v>
      </c>
      <c r="J29" s="1178">
        <f t="shared" si="7"/>
        <v>0.01</v>
      </c>
      <c r="K29" s="397"/>
      <c r="L29" s="823"/>
      <c r="M29" s="546" t="str">
        <f t="shared" ca="1" si="5"/>
        <v/>
      </c>
      <c r="N29" s="545" t="str">
        <f t="shared" ca="1" si="6"/>
        <v/>
      </c>
      <c r="O29" s="25"/>
      <c r="Q29" s="200">
        <f t="shared" si="3"/>
        <v>0</v>
      </c>
      <c r="R29" s="200">
        <f t="shared" si="4"/>
        <v>0</v>
      </c>
    </row>
    <row r="30" spans="1:30" ht="14.25" customHeight="1">
      <c r="A30" s="3660"/>
      <c r="B30" s="727" t="s">
        <v>558</v>
      </c>
      <c r="C30" s="1275"/>
      <c r="D30" s="1176"/>
      <c r="E30" s="360"/>
      <c r="F30" s="25"/>
      <c r="G30" s="3665"/>
      <c r="H30" s="1242" t="str">
        <f t="shared" si="2"/>
        <v>Sonstige 3</v>
      </c>
      <c r="I30" s="1178">
        <f t="shared" si="7"/>
        <v>0</v>
      </c>
      <c r="J30" s="1178">
        <f t="shared" si="7"/>
        <v>0.01</v>
      </c>
      <c r="K30" s="397"/>
      <c r="L30" s="823"/>
      <c r="M30" s="546" t="str">
        <f t="shared" ca="1" si="5"/>
        <v/>
      </c>
      <c r="N30" s="545" t="str">
        <f t="shared" ca="1" si="6"/>
        <v/>
      </c>
      <c r="O30" s="25"/>
      <c r="Q30" s="200">
        <f t="shared" si="3"/>
        <v>0</v>
      </c>
      <c r="R30" s="200">
        <f t="shared" si="4"/>
        <v>0</v>
      </c>
    </row>
    <row r="31" spans="1:30" ht="14.25" customHeight="1">
      <c r="A31" s="3660"/>
      <c r="B31" s="3661" t="s">
        <v>513</v>
      </c>
      <c r="C31" s="3599"/>
      <c r="D31" s="1176"/>
      <c r="E31" s="361"/>
      <c r="F31" s="25"/>
      <c r="G31" s="3665"/>
      <c r="H31" s="1242" t="str">
        <f t="shared" si="2"/>
        <v>Sonstige 4</v>
      </c>
      <c r="I31" s="1178">
        <f t="shared" si="7"/>
        <v>0</v>
      </c>
      <c r="J31" s="1178">
        <f t="shared" si="7"/>
        <v>0.01</v>
      </c>
      <c r="K31" s="397"/>
      <c r="L31" s="823"/>
      <c r="M31" s="546" t="str">
        <f t="shared" ca="1" si="5"/>
        <v/>
      </c>
      <c r="N31" s="545" t="str">
        <f t="shared" ca="1" si="6"/>
        <v/>
      </c>
      <c r="O31" s="25"/>
      <c r="Q31" s="200">
        <f t="shared" si="3"/>
        <v>0</v>
      </c>
      <c r="R31" s="200">
        <f t="shared" si="4"/>
        <v>0</v>
      </c>
    </row>
    <row r="32" spans="1:30" ht="14.25" customHeight="1">
      <c r="A32" s="3660"/>
      <c r="B32" s="3661" t="s">
        <v>514</v>
      </c>
      <c r="C32" s="3599"/>
      <c r="D32" s="935" t="str">
        <f>IFERROR(+Q14,"")</f>
        <v/>
      </c>
      <c r="E32" s="361"/>
      <c r="F32" s="25"/>
      <c r="G32" s="3665"/>
      <c r="H32" s="548" t="s">
        <v>189</v>
      </c>
      <c r="I32" s="548"/>
      <c r="J32" s="548"/>
      <c r="K32" s="818">
        <f>SUM(K23:K31)</f>
        <v>0</v>
      </c>
      <c r="L32" s="828">
        <f>SUM(L23:L31)</f>
        <v>0</v>
      </c>
      <c r="M32" s="830">
        <f ca="1">SUM(M23:M31)</f>
        <v>0</v>
      </c>
      <c r="N32" s="547">
        <f ca="1">SUM(N23:N31)</f>
        <v>0</v>
      </c>
      <c r="O32" s="25"/>
      <c r="S32" s="3688" t="s">
        <v>126</v>
      </c>
    </row>
    <row r="33" spans="1:22" ht="14.25" customHeight="1">
      <c r="A33" s="3660"/>
      <c r="B33" s="3661" t="s">
        <v>515</v>
      </c>
      <c r="C33" s="3599"/>
      <c r="D33" s="935">
        <f ca="1">IFERROR(+Q11,"")</f>
        <v>40.79</v>
      </c>
      <c r="E33" s="361"/>
      <c r="F33" s="25"/>
      <c r="G33" s="3665"/>
      <c r="H33" s="548" t="s">
        <v>301</v>
      </c>
      <c r="I33" s="548"/>
      <c r="J33" s="548"/>
      <c r="K33" s="3527">
        <f>ABS(K32-L32)</f>
        <v>0</v>
      </c>
      <c r="L33" s="3722"/>
      <c r="M33" s="3668">
        <f ca="1">ABS(M32-N32)</f>
        <v>0</v>
      </c>
      <c r="N33" s="3669"/>
      <c r="O33" s="25"/>
      <c r="S33" s="3688"/>
    </row>
    <row r="34" spans="1:22" ht="14.25" customHeight="1">
      <c r="A34" s="3660"/>
      <c r="B34" s="3694" t="str">
        <f ca="1">"aktueller Wert d. dynamisierten Ausgleichswerts: "&amp;TEXT(D31,"#.##0,00")&amp;" x "&amp;TEXT(D33,"0,00")&amp;" / "&amp;TEXT(D32,"0,00")</f>
        <v xml:space="preserve">aktueller Wert d. dynamisierten Ausgleichswerts: 0,00 x 40,79 / </v>
      </c>
      <c r="C34" s="3695"/>
      <c r="D34" s="936" t="str">
        <f ca="1">IFERROR(+D31*D33/D32,"")</f>
        <v/>
      </c>
      <c r="E34" s="361"/>
      <c r="F34" s="25"/>
      <c r="G34" s="3665"/>
      <c r="H34" s="549" t="s">
        <v>528</v>
      </c>
      <c r="I34" s="549"/>
      <c r="J34" s="549"/>
      <c r="K34" s="550">
        <f>IF(K32&gt;L32,-K33/2,K33/2)</f>
        <v>0</v>
      </c>
      <c r="L34" s="829">
        <f>IF(L32&gt;K32,-K33/2,K33/2)</f>
        <v>0</v>
      </c>
      <c r="M34" s="1007"/>
      <c r="N34" s="1008"/>
      <c r="O34" s="25"/>
      <c r="S34" s="3688"/>
    </row>
    <row r="35" spans="1:22" ht="14.25" customHeight="1" thickBot="1">
      <c r="A35" s="3660"/>
      <c r="B35" s="3661" t="str">
        <f ca="1">"Abweichung aktueller Wert vom Nominalwert: "&amp;TEXT(D30,"#.##0,00")&amp;" - "&amp;TEXT(D34,"#.##0,00")</f>
        <v xml:space="preserve">Abweichung aktueller Wert vom Nominalwert: 0,00 - </v>
      </c>
      <c r="C35" s="3599"/>
      <c r="D35" s="935" t="str">
        <f ca="1">IFERROR(ABS(D34-D30),"")</f>
        <v/>
      </c>
      <c r="E35" s="361"/>
      <c r="F35" s="25"/>
      <c r="G35" s="3665"/>
      <c r="H35" s="1010"/>
      <c r="I35" s="1010"/>
      <c r="J35" s="1010"/>
      <c r="K35" s="1011"/>
      <c r="L35" s="1012"/>
      <c r="M35" s="1007"/>
      <c r="N35" s="1008"/>
      <c r="O35" s="25"/>
      <c r="S35" s="3688"/>
    </row>
    <row r="36" spans="1:22" ht="14.25" customHeight="1">
      <c r="A36" s="3660"/>
      <c r="B36" s="3661" t="s">
        <v>533</v>
      </c>
      <c r="C36" s="3599"/>
      <c r="D36" s="818">
        <f ca="1">IFERROR(S18*0.02,"")</f>
        <v>79.100000000000009</v>
      </c>
      <c r="E36" s="937" t="str">
        <f ca="1">IFERROR("2% x "&amp;TEXT(S18,"#.##0,00"),"")</f>
        <v>2% x 3.955,00</v>
      </c>
      <c r="F36" s="25"/>
      <c r="G36" s="3725"/>
      <c r="H36" s="3728" t="s">
        <v>301</v>
      </c>
      <c r="I36" s="3728"/>
      <c r="J36" s="3728"/>
      <c r="K36" s="3698">
        <f>ABS(K34-K17)</f>
        <v>0</v>
      </c>
      <c r="L36" s="3698"/>
      <c r="M36" s="3696">
        <f ca="1">ABS(M33-M16)</f>
        <v>0</v>
      </c>
      <c r="N36" s="3697"/>
      <c r="O36" s="25"/>
      <c r="S36" s="3688"/>
    </row>
    <row r="37" spans="1:22" ht="14.25" customHeight="1">
      <c r="A37" s="3660"/>
      <c r="B37" s="3661"/>
      <c r="C37" s="3599"/>
      <c r="D37" s="818"/>
      <c r="E37" s="361"/>
      <c r="F37" s="25"/>
      <c r="G37" s="3726"/>
      <c r="H37" s="3663" t="s">
        <v>1203</v>
      </c>
      <c r="I37" s="3663"/>
      <c r="J37" s="3663"/>
      <c r="K37" s="3678" t="str">
        <f>IFERROR(ABS(1-ABS(K34)/ABS(K17)),"")</f>
        <v/>
      </c>
      <c r="L37" s="3678"/>
      <c r="M37" s="3678" t="str">
        <f ca="1">IFERROR(ABS(M36)/ABS(M16),"")</f>
        <v/>
      </c>
      <c r="N37" s="3679"/>
      <c r="O37" s="25"/>
      <c r="S37" s="497"/>
    </row>
    <row r="38" spans="1:22" ht="14.25" customHeight="1">
      <c r="A38" s="3660"/>
      <c r="B38" s="3661" t="s">
        <v>517</v>
      </c>
      <c r="C38" s="3599"/>
      <c r="D38" s="362" t="s">
        <v>473</v>
      </c>
      <c r="E38" s="804" t="s">
        <v>522</v>
      </c>
      <c r="F38" s="25"/>
      <c r="G38" s="3726"/>
      <c r="H38" s="3663" t="str">
        <f>IFERROR("abs. Wesentlichkeit: Rente 1% von "&amp;TEXT(VLOOKUP(YEAR(C8),MonatlicheBezugsgroesse,2),"#.##0 €")&amp;"/ Kapital: 120%","")</f>
        <v/>
      </c>
      <c r="I38" s="3663"/>
      <c r="J38" s="3663"/>
      <c r="K38" s="3716" t="str">
        <f>IFERROR(VLOOKUP(YEAR(C8),MonatlicheBezugsgroesse,2)*1%,"")</f>
        <v/>
      </c>
      <c r="L38" s="3717"/>
      <c r="M38" s="3716" t="str">
        <f>IFERROR(+K38*120,"")</f>
        <v/>
      </c>
      <c r="N38" s="3718"/>
      <c r="O38" s="25"/>
    </row>
    <row r="39" spans="1:22" ht="14.25" customHeight="1" thickBot="1">
      <c r="A39" s="3660"/>
      <c r="B39" s="3692" t="s">
        <v>511</v>
      </c>
      <c r="C39" s="3693"/>
      <c r="D39" s="357" t="str">
        <f>IF(D38="Ja","Nein, § 51 IV",IF(D35&gt;=D36,"Ja","Nein"))</f>
        <v>Nein, § 51 IV</v>
      </c>
      <c r="E39" s="938" t="str">
        <f ca="1">+D35</f>
        <v/>
      </c>
      <c r="F39" s="25"/>
      <c r="G39" s="3727"/>
      <c r="H39" s="3719" t="s">
        <v>1172</v>
      </c>
      <c r="I39" s="3719"/>
      <c r="J39" s="3719"/>
      <c r="K39" s="3720" t="str">
        <f>IFERROR(IF(AND(ABS(K37)&gt;=5%,ABS(K36)&gt;=ABS(K38)),"möglich","Unmöglich"),"")</f>
        <v/>
      </c>
      <c r="L39" s="3720"/>
      <c r="M39" s="3720" t="str">
        <f ca="1">IFERROR(IF(AND(ABS(M37&gt;=5%),ABS(M36)&gt;=ABS(M38)),"möglich","Unmöglich"),"")</f>
        <v/>
      </c>
      <c r="N39" s="3721"/>
      <c r="O39" s="25"/>
    </row>
    <row r="40" spans="1:22" s="71" customFormat="1" ht="24" customHeight="1">
      <c r="A40" s="64"/>
      <c r="B40" s="3691"/>
      <c r="C40" s="3691"/>
      <c r="D40" s="3691"/>
      <c r="E40" s="3691"/>
      <c r="F40" s="64"/>
      <c r="G40" s="1009"/>
      <c r="H40" s="1009"/>
      <c r="I40" s="1009"/>
      <c r="J40" s="1009"/>
      <c r="K40" s="1009"/>
      <c r="L40" s="1009"/>
      <c r="M40" s="1009"/>
      <c r="N40" s="1009"/>
      <c r="O40" s="64"/>
    </row>
    <row r="41" spans="1:22" ht="14.25" hidden="1" customHeight="1">
      <c r="R41" s="4" t="s">
        <v>176</v>
      </c>
    </row>
    <row r="42" spans="1:22" ht="15" hidden="1" customHeight="1">
      <c r="R42" s="502">
        <v>51</v>
      </c>
      <c r="T42" s="3"/>
      <c r="U42" s="50" t="s">
        <v>175</v>
      </c>
      <c r="V42" s="50" t="s">
        <v>176</v>
      </c>
    </row>
    <row r="43" spans="1:22" ht="14.25" hidden="1" customHeight="1">
      <c r="R43" s="149">
        <v>27.2</v>
      </c>
      <c r="T43" s="498" t="s">
        <v>21</v>
      </c>
      <c r="U43" s="499">
        <v>300</v>
      </c>
      <c r="V43" s="499">
        <v>300</v>
      </c>
    </row>
    <row r="44" spans="1:22" ht="14.25" hidden="1" customHeight="1">
      <c r="R44" s="1114">
        <f>+R42/R43</f>
        <v>1.875</v>
      </c>
      <c r="T44" s="3" t="s">
        <v>573</v>
      </c>
      <c r="U44" s="251">
        <v>27.2</v>
      </c>
      <c r="V44" s="3"/>
    </row>
    <row r="45" spans="1:22" ht="14.25" hidden="1" customHeight="1">
      <c r="R45" s="417">
        <v>6144.9210000000003</v>
      </c>
      <c r="T45" s="3" t="s">
        <v>62</v>
      </c>
      <c r="U45" s="500">
        <f>+U43/U44</f>
        <v>11.029411764705882</v>
      </c>
      <c r="V45" s="3"/>
    </row>
    <row r="46" spans="1:22" ht="15" hidden="1" customHeight="1">
      <c r="R46" s="502">
        <f>+R45*R44</f>
        <v>11521.726875</v>
      </c>
      <c r="T46" s="3" t="s">
        <v>572</v>
      </c>
      <c r="U46" s="501">
        <v>6144.9210000000003</v>
      </c>
      <c r="V46" s="251">
        <v>181.5</v>
      </c>
    </row>
    <row r="47" spans="1:22" ht="14.25" hidden="1" customHeight="1">
      <c r="P47" t="s">
        <v>537</v>
      </c>
      <c r="R47" s="149">
        <v>300</v>
      </c>
      <c r="T47" s="498" t="s">
        <v>574</v>
      </c>
      <c r="U47" s="499">
        <f>+U46*U45</f>
        <v>67774.863970588238</v>
      </c>
      <c r="V47" s="499">
        <f>+V46*V43</f>
        <v>54450</v>
      </c>
    </row>
    <row r="48" spans="1:22" ht="14.25" hidden="1" customHeight="1">
      <c r="P48" t="s">
        <v>575</v>
      </c>
      <c r="R48" s="149">
        <v>181.5</v>
      </c>
      <c r="T48" s="3" t="s">
        <v>577</v>
      </c>
      <c r="U48" s="3662">
        <f>+U47-V47</f>
        <v>13324.863970588238</v>
      </c>
      <c r="V48" s="2727"/>
    </row>
    <row r="49" spans="16:22" ht="15" hidden="1" customHeight="1">
      <c r="P49" s="404" t="s">
        <v>574</v>
      </c>
      <c r="R49" s="502">
        <f>+R48*R47</f>
        <v>54450</v>
      </c>
      <c r="T49" s="498" t="s">
        <v>578</v>
      </c>
      <c r="U49" s="499">
        <f>-U48/2</f>
        <v>-6662.4319852941189</v>
      </c>
      <c r="V49" s="499">
        <f>-U49</f>
        <v>6662.4319852941189</v>
      </c>
    </row>
    <row r="50" spans="16:22" ht="15" hidden="1" customHeight="1">
      <c r="P50" s="404" t="s">
        <v>143</v>
      </c>
      <c r="Q50" s="502">
        <f>+U47</f>
        <v>67774.863970588238</v>
      </c>
      <c r="R50" s="502">
        <f>+R49+R46</f>
        <v>65971.726874999993</v>
      </c>
      <c r="T50" s="3" t="s">
        <v>582</v>
      </c>
      <c r="U50" s="251">
        <f>+U49/U46*U44</f>
        <v>-29.490720873384706</v>
      </c>
      <c r="V50" s="251">
        <f>+V49/V46</f>
        <v>36.707614244044734</v>
      </c>
    </row>
    <row r="51" spans="16:22" ht="14.25" hidden="1" customHeight="1">
      <c r="P51" t="s">
        <v>576</v>
      </c>
      <c r="Q51" s="1175">
        <f>+Q50-R50</f>
        <v>1803.1370955882448</v>
      </c>
      <c r="R51" s="4"/>
      <c r="T51" s="551" t="s">
        <v>579</v>
      </c>
      <c r="U51" s="552">
        <f>+U43+U50</f>
        <v>270.5092791266153</v>
      </c>
      <c r="V51" s="552">
        <f>+V50+V43</f>
        <v>336.70761424404475</v>
      </c>
    </row>
    <row r="52" spans="16:22" ht="14.25" hidden="1" customHeight="1">
      <c r="P52" t="s">
        <v>528</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4" t="s">
        <v>21</v>
      </c>
      <c r="Q56" s="502">
        <v>300</v>
      </c>
      <c r="R56" s="502">
        <v>300</v>
      </c>
    </row>
    <row r="57" spans="16:22" ht="14.25" hidden="1" customHeight="1">
      <c r="P57" t="s">
        <v>573</v>
      </c>
      <c r="Q57" s="149">
        <v>27.2</v>
      </c>
    </row>
    <row r="58" spans="16:22" ht="14.25" hidden="1" customHeight="1">
      <c r="P58" t="s">
        <v>62</v>
      </c>
      <c r="Q58" s="1114">
        <f>+Q56/Q57</f>
        <v>11.029411764705882</v>
      </c>
    </row>
    <row r="59" spans="16:22" ht="14.25" hidden="1" customHeight="1">
      <c r="P59" t="s">
        <v>572</v>
      </c>
      <c r="Q59" s="417">
        <v>6144.9210000000003</v>
      </c>
      <c r="R59" s="149">
        <v>181.5</v>
      </c>
    </row>
    <row r="60" spans="16:22" ht="15" hidden="1" customHeight="1">
      <c r="P60" s="404" t="s">
        <v>580</v>
      </c>
      <c r="Q60" s="502">
        <v>104805</v>
      </c>
      <c r="R60" s="502">
        <v>68891</v>
      </c>
    </row>
    <row r="61" spans="16:22" ht="14.25" hidden="1" customHeight="1">
      <c r="P61" t="s">
        <v>577</v>
      </c>
      <c r="Q61" s="3715">
        <f>+Q60-R60</f>
        <v>35914</v>
      </c>
      <c r="R61" s="2328"/>
    </row>
    <row r="62" spans="16:22" ht="15" hidden="1" customHeight="1">
      <c r="P62" s="404" t="s">
        <v>578</v>
      </c>
      <c r="Q62" s="502">
        <f>-Q61/2</f>
        <v>-17957</v>
      </c>
      <c r="R62" s="502">
        <f>-Q62</f>
        <v>17957</v>
      </c>
    </row>
    <row r="63" spans="16:22" ht="28.5" hidden="1" customHeight="1">
      <c r="P63" s="392" t="s">
        <v>581</v>
      </c>
      <c r="Q63" s="154">
        <f>+Q62/(Q60/Q56)</f>
        <v>-51.401173608129383</v>
      </c>
      <c r="R63" s="154">
        <f>R62/(R60/R56)</f>
        <v>78.197442336444539</v>
      </c>
    </row>
    <row r="64" spans="16:22" ht="15" hidden="1" customHeight="1">
      <c r="P64" s="404" t="s">
        <v>579</v>
      </c>
      <c r="Q64" s="502">
        <f>+Q56+Q63</f>
        <v>248.5988263918706</v>
      </c>
      <c r="R64" s="502">
        <f>+R63+R56</f>
        <v>378.19744233644451</v>
      </c>
    </row>
    <row r="65" spans="17:18" ht="14.25" hidden="1" customHeight="1">
      <c r="Q65" s="149">
        <v>79652</v>
      </c>
      <c r="R65">
        <v>91359</v>
      </c>
    </row>
  </sheetData>
  <sheetProtection algorithmName="SHA-512" hashValue="Tb7fnXk23T6omLqzlrpIEcrJYrZlr1+8PqboZq9RXFA41ZOaP/vBZB0gQIvyRR1T6NNhgllknR0M7jHt4ZfECA==" saltValue="Hq+RNbK10SxtBPxbOT4l6Q==" spinCount="100000" sheet="1" objects="1" scenarios="1" selectLockedCells="1"/>
  <mergeCells count="87">
    <mergeCell ref="K16:L16"/>
    <mergeCell ref="K18:L18"/>
    <mergeCell ref="K33:L33"/>
    <mergeCell ref="M33:N33"/>
    <mergeCell ref="G36:G39"/>
    <mergeCell ref="H36:J36"/>
    <mergeCell ref="I23:J23"/>
    <mergeCell ref="I24:J24"/>
    <mergeCell ref="I25:J25"/>
    <mergeCell ref="G21:N21"/>
    <mergeCell ref="H20:L20"/>
    <mergeCell ref="Q61:R61"/>
    <mergeCell ref="K38:L38"/>
    <mergeCell ref="M38:N38"/>
    <mergeCell ref="H39:J39"/>
    <mergeCell ref="K39:L39"/>
    <mergeCell ref="M39:N39"/>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B40:E40"/>
    <mergeCell ref="B39:C39"/>
    <mergeCell ref="B38:C38"/>
    <mergeCell ref="B34:C34"/>
    <mergeCell ref="M36:N36"/>
    <mergeCell ref="B37:C37"/>
    <mergeCell ref="B35:C35"/>
    <mergeCell ref="B36:C36"/>
    <mergeCell ref="H37:J37"/>
    <mergeCell ref="K37:L37"/>
    <mergeCell ref="K36:L36"/>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B9:C9"/>
    <mergeCell ref="B10:C10"/>
    <mergeCell ref="B21:C21"/>
    <mergeCell ref="I8:J8"/>
    <mergeCell ref="E10:E11"/>
    <mergeCell ref="B12:E12"/>
    <mergeCell ref="B13:C13"/>
    <mergeCell ref="B14:C14"/>
    <mergeCell ref="D21:E21"/>
    <mergeCell ref="H15:J15"/>
    <mergeCell ref="H16:J16"/>
  </mergeCells>
  <conditionalFormatting sqref="B19">
    <cfRule type="expression" dxfId="120" priority="1639">
      <formula>D14+E14=0</formula>
    </cfRule>
    <cfRule type="expression" dxfId="119" priority="1640">
      <formula>D19="Ja"</formula>
    </cfRule>
  </conditionalFormatting>
  <conditionalFormatting sqref="B39">
    <cfRule type="expression" dxfId="118" priority="144">
      <formula>$D$30=0</formula>
    </cfRule>
    <cfRule type="expression" dxfId="117" priority="150">
      <formula>D39="Ja"</formula>
    </cfRule>
    <cfRule type="expression" dxfId="116" priority="149">
      <formula>D39="Nein, § 51 IV"</formula>
    </cfRule>
  </conditionalFormatting>
  <conditionalFormatting sqref="B7:E7">
    <cfRule type="expression" dxfId="115" priority="127">
      <formula>$D$6="nein"</formula>
    </cfRule>
  </conditionalFormatting>
  <conditionalFormatting sqref="C8">
    <cfRule type="expression" dxfId="114" priority="21">
      <formula>AND(Dat_EzE&gt;0,$D$8=0)</formula>
    </cfRule>
  </conditionalFormatting>
  <conditionalFormatting sqref="D5">
    <cfRule type="expression" dxfId="113" priority="143">
      <formula>$D$5=""</formula>
    </cfRule>
  </conditionalFormatting>
  <conditionalFormatting sqref="D8">
    <cfRule type="expression" dxfId="112" priority="10">
      <formula>AND($D$8="",Dat_EzE=0)</formula>
    </cfRule>
  </conditionalFormatting>
  <conditionalFormatting sqref="D9">
    <cfRule type="expression" dxfId="111" priority="108">
      <formula>$R$2=NV</formula>
    </cfRule>
  </conditionalFormatting>
  <conditionalFormatting sqref="D14">
    <cfRule type="expression" dxfId="110" priority="9">
      <formula>$D$11="nein"</formula>
    </cfRule>
    <cfRule type="expression" dxfId="109" priority="753">
      <formula>AND(C8&lt;&gt;"",$D$14="")</formula>
    </cfRule>
    <cfRule type="expression" dxfId="108" priority="752">
      <formula>C8=""</formula>
    </cfRule>
  </conditionalFormatting>
  <conditionalFormatting sqref="D15">
    <cfRule type="expression" dxfId="107" priority="767">
      <formula>C8=""</formula>
    </cfRule>
    <cfRule type="expression" dxfId="106" priority="766">
      <formula>AND(C8&lt;&gt;"",E14="",D15="")</formula>
    </cfRule>
    <cfRule type="expression" dxfId="105" priority="765">
      <formula>E14&gt;0</formula>
    </cfRule>
  </conditionalFormatting>
  <conditionalFormatting sqref="D16">
    <cfRule type="expression" dxfId="104" priority="6">
      <formula>$D$11="nein"</formula>
    </cfRule>
  </conditionalFormatting>
  <conditionalFormatting sqref="D19">
    <cfRule type="expression" dxfId="103" priority="160">
      <formula>D19="Ja"</formula>
    </cfRule>
    <cfRule type="expression" dxfId="102" priority="156">
      <formula>D19="Nein"</formula>
    </cfRule>
    <cfRule type="expression" dxfId="101" priority="139">
      <formula>D14+E14=0</formula>
    </cfRule>
  </conditionalFormatting>
  <conditionalFormatting sqref="D23">
    <cfRule type="expression" dxfId="100" priority="761">
      <formula>C8=""</formula>
    </cfRule>
    <cfRule type="expression" dxfId="99" priority="760">
      <formula>AND(C8&lt;&gt;"",D23="")</formula>
    </cfRule>
  </conditionalFormatting>
  <conditionalFormatting sqref="D27">
    <cfRule type="expression" dxfId="98" priority="147">
      <formula>$D$23+$E$23=0</formula>
    </cfRule>
    <cfRule type="expression" dxfId="97" priority="152">
      <formula>D27="Nein"</formula>
    </cfRule>
  </conditionalFormatting>
  <conditionalFormatting sqref="D30">
    <cfRule type="expression" dxfId="96" priority="757">
      <formula>AND(D30="",C8&gt;0)</formula>
    </cfRule>
    <cfRule type="expression" dxfId="95" priority="756">
      <formula>C8=""</formula>
    </cfRule>
  </conditionalFormatting>
  <conditionalFormatting sqref="D31">
    <cfRule type="expression" dxfId="94" priority="759">
      <formula>D31=""</formula>
    </cfRule>
    <cfRule type="expression" dxfId="93" priority="758">
      <formula>C8=""</formula>
    </cfRule>
  </conditionalFormatting>
  <conditionalFormatting sqref="D39">
    <cfRule type="expression" dxfId="92" priority="145">
      <formula>OR(D39="Nein, § 51 IV",D39="Nein")</formula>
    </cfRule>
    <cfRule type="expression" dxfId="91" priority="151">
      <formula>$D$30=0</formula>
    </cfRule>
  </conditionalFormatting>
  <conditionalFormatting sqref="D27:E27">
    <cfRule type="expression" dxfId="90" priority="153">
      <formula>D27="Ja"</formula>
    </cfRule>
  </conditionalFormatting>
  <conditionalFormatting sqref="D39:E39">
    <cfRule type="expression" dxfId="89" priority="148">
      <formula>D39="Ja"</formula>
    </cfRule>
  </conditionalFormatting>
  <conditionalFormatting sqref="E14">
    <cfRule type="expression" dxfId="88" priority="764">
      <formula>AND(C8&lt;&gt;"",$E$14="")</formula>
    </cfRule>
    <cfRule type="expression" dxfId="87" priority="763">
      <formula>E8=""</formula>
    </cfRule>
    <cfRule type="expression" dxfId="86" priority="8">
      <formula>$D$11="nein"</formula>
    </cfRule>
    <cfRule type="expression" dxfId="85" priority="762">
      <formula>D15&gt;0</formula>
    </cfRule>
  </conditionalFormatting>
  <conditionalFormatting sqref="E17:E18">
    <cfRule type="expression" dxfId="84" priority="1">
      <formula>E17="unterschritten"</formula>
    </cfRule>
    <cfRule type="expression" dxfId="83" priority="2">
      <formula>E17="überschritten"</formula>
    </cfRule>
  </conditionalFormatting>
  <conditionalFormatting sqref="E23">
    <cfRule type="expression" dxfId="82" priority="755">
      <formula>AND(F8&lt;&gt;"",E23="")</formula>
    </cfRule>
    <cfRule type="expression" dxfId="81" priority="754">
      <formula>C8=""</formula>
    </cfRule>
  </conditionalFormatting>
  <conditionalFormatting sqref="F2:G3">
    <cfRule type="expression" dxfId="80" priority="739">
      <formula>OR(D5=0,C8=0)</formula>
    </cfRule>
  </conditionalFormatting>
  <conditionalFormatting sqref="G2:N2 G3:I3 H6:N14 K15:N16 K3:N3 M23:N31 G4:J4 M4:N4 G5:N5 H15:H17 K17:M17 G22:N22 H23:I25 H26:J31 H32:N33 H34:L35">
    <cfRule type="expression" dxfId="79" priority="740">
      <formula>$C$8=""</formula>
    </cfRule>
  </conditionalFormatting>
  <conditionalFormatting sqref="H18:N20">
    <cfRule type="expression" dxfId="78" priority="770">
      <formula>OR($C$8="",$D$11="nein")</formula>
    </cfRule>
  </conditionalFormatting>
  <conditionalFormatting sqref="K3">
    <cfRule type="expression" dxfId="77" priority="20">
      <formula>AND(Dat_GebDat_M&lt;&gt;"",K4=0)</formula>
    </cfRule>
  </conditionalFormatting>
  <conditionalFormatting sqref="K23">
    <cfRule type="expression" dxfId="76" priority="46">
      <formula>AND($Q23&lt;&gt;0,OR(ABS($K$23/$K$6-1)&lt;0.05,ABS($Q23)/2&lt;$S$16))</formula>
    </cfRule>
    <cfRule type="expression" dxfId="75" priority="45">
      <formula>AND($Q23&lt;&gt;0,ABS($K$23/$K$6-1)&gt;=0.05,ABS($Q23)/2&gt;=$S$16)</formula>
    </cfRule>
  </conditionalFormatting>
  <conditionalFormatting sqref="K24">
    <cfRule type="expression" dxfId="74" priority="48">
      <formula>AND($Q24&lt;&gt;0,OR(ABS($K$24/$K$7-1)&lt;0.05,ABS($Q24)/2&lt;$S$16))</formula>
    </cfRule>
    <cfRule type="expression" dxfId="73" priority="47">
      <formula>AND($Q24&lt;&gt;0,ABS($K$24/$K$7-1)&gt;=0.05,ABS($Q24)/2&gt;=$S$16)</formula>
    </cfRule>
  </conditionalFormatting>
  <conditionalFormatting sqref="K25">
    <cfRule type="expression" dxfId="72" priority="50">
      <formula>AND($Q25&lt;&gt;0,OR(ABS($K$25/$K$8-1)&lt;0.05,ABS($Q25)/2&lt;$S$16))</formula>
    </cfRule>
    <cfRule type="expression" dxfId="71" priority="49">
      <formula>AND($Q25&lt;&gt;0,ABS($K$25/$K$8-1)&gt;=0.05,ABS($Q25)/2&gt;=$S$16)</formula>
    </cfRule>
  </conditionalFormatting>
  <conditionalFormatting sqref="K26">
    <cfRule type="expression" dxfId="70" priority="51">
      <formula>AND($Q26&lt;&gt;0,ABS($K$26/$K$9-1)&gt;=0.05,ABS($Q26)/2&gt;=$S$16)</formula>
    </cfRule>
    <cfRule type="expression" dxfId="69" priority="52">
      <formula>AND($Q26&lt;&gt;0,OR(ABS($K$26/$K$9-1)&lt;0.05,ABS($Q26)/2&lt;$S$16))</formula>
    </cfRule>
  </conditionalFormatting>
  <conditionalFormatting sqref="K27">
    <cfRule type="expression" dxfId="68" priority="54">
      <formula>AND($Q27&lt;&gt;0,OR(ABS($K$27/$K$10-1)&lt;0.05,ABS($Q27)/2&lt;$S$16))</formula>
    </cfRule>
    <cfRule type="expression" dxfId="67" priority="53">
      <formula>AND($Q27&lt;&gt;0,ABS($K$27/$K$10-1)&gt;=0.05,ABS($Q27)/2&gt;=$S$16)</formula>
    </cfRule>
  </conditionalFormatting>
  <conditionalFormatting sqref="K28">
    <cfRule type="expression" dxfId="66" priority="657">
      <formula>AND($Q28&lt;&gt;0,OR(ABS($K$28/$K$11-1)&lt;0.05,ABS($Q28)/2&lt;$S$16))</formula>
    </cfRule>
    <cfRule type="expression" dxfId="65" priority="656">
      <formula>AND($Q28&lt;&gt;0,ABS($K$28/$K$11-1)&gt;=0.05,ABS($Q28)/2&gt;=$S$16)</formula>
    </cfRule>
  </conditionalFormatting>
  <conditionalFormatting sqref="K29:K30">
    <cfRule type="expression" dxfId="64" priority="42">
      <formula>AND($Q29&lt;&gt;0,OR(ABS($K29/$K$11-1)&lt;0.05,ABS($Q29)/2&lt;$S$16))</formula>
    </cfRule>
  </conditionalFormatting>
  <conditionalFormatting sqref="K29:K31">
    <cfRule type="expression" dxfId="63" priority="39">
      <formula>AND($Q29&lt;&gt;0,ABS($K29/$K12-1)&gt;=0.05,ABS($Q29)/2&gt;=$S$16)</formula>
    </cfRule>
  </conditionalFormatting>
  <conditionalFormatting sqref="K31">
    <cfRule type="expression" dxfId="62" priority="40">
      <formula>AND($Q31&lt;&gt;0,OR(ABS($K31/$K$14-1)&lt;0.05,ABS($Q31)/2&lt;$S$16))</formula>
    </cfRule>
  </conditionalFormatting>
  <conditionalFormatting sqref="K4:L4">
    <cfRule type="expression" dxfId="61" priority="17">
      <formula>AND(K3=0,K4=0)</formula>
    </cfRule>
  </conditionalFormatting>
  <conditionalFormatting sqref="K23:L31">
    <cfRule type="expression" dxfId="60" priority="773">
      <formula>$C$8=""</formula>
    </cfRule>
  </conditionalFormatting>
  <conditionalFormatting sqref="K39:N39">
    <cfRule type="expression" dxfId="59" priority="99">
      <formula>K39="möglich"</formula>
    </cfRule>
    <cfRule type="expression" dxfId="58" priority="100">
      <formula>K39="unmöglich"</formula>
    </cfRule>
  </conditionalFormatting>
  <conditionalFormatting sqref="L3">
    <cfRule type="expression" dxfId="57" priority="19">
      <formula>AND(Dat_GebDat_F&lt;&gt;"",L4=0)</formula>
    </cfRule>
  </conditionalFormatting>
  <conditionalFormatting sqref="L23:L31">
    <cfRule type="expression" dxfId="56" priority="24">
      <formula>AND($R23&lt;&gt;0,ABS($L23/$L6-1)&gt;=0.05,ABS($R23)/2&gt;=$S$16)</formula>
    </cfRule>
    <cfRule type="expression" dxfId="55" priority="23">
      <formula>AND($R23&lt;&gt;0,OR(ABS($L23/$L6-1)&lt;0.05,ABS($R23)/2&lt;$S$16))</formula>
    </cfRule>
  </conditionalFormatting>
  <conditionalFormatting sqref="M6:M15">
    <cfRule type="expression" dxfId="54" priority="130">
      <formula>M6="nein"</formula>
    </cfRule>
    <cfRule type="expression" dxfId="53" priority="129">
      <formula>M6="ja"</formula>
    </cfRule>
  </conditionalFormatting>
  <conditionalFormatting sqref="M8:N8">
    <cfRule type="expression" dxfId="52" priority="134">
      <formula>M8="nein"</formula>
    </cfRule>
    <cfRule type="expression" dxfId="51" priority="133">
      <formula>M8="ja"</formula>
    </cfRule>
  </conditionalFormatting>
  <conditionalFormatting sqref="M23:N31">
    <cfRule type="expression" dxfId="50" priority="12">
      <formula>M23="nein"</formula>
    </cfRule>
    <cfRule type="expression" dxfId="49" priority="11">
      <formula>M23="ja"</formula>
    </cfRule>
  </conditionalFormatting>
  <conditionalFormatting sqref="N6:N14">
    <cfRule type="expression" dxfId="48" priority="132">
      <formula>N6="nein"</formula>
    </cfRule>
    <cfRule type="expression" dxfId="47" priority="131">
      <formula>N6="ja"</formula>
    </cfRule>
  </conditionalFormatting>
  <conditionalFormatting sqref="U4:AD18">
    <cfRule type="expression" dxfId="46" priority="772">
      <formula>$U4&lt;$C$8</formula>
    </cfRule>
  </conditionalFormatting>
  <dataValidations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0"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823"/>
      <c r="B2" s="2823"/>
      <c r="C2" s="2823"/>
      <c r="D2" s="2823"/>
      <c r="E2" s="2823"/>
      <c r="F2" s="2823"/>
      <c r="G2" s="2823"/>
      <c r="H2" s="2823"/>
      <c r="I2" s="453"/>
      <c r="J2" s="453"/>
      <c r="K2" s="453"/>
      <c r="L2" s="453"/>
      <c r="M2" s="453"/>
      <c r="N2" s="453"/>
      <c r="O2" s="453"/>
      <c r="P2" s="453"/>
      <c r="Q2" s="453"/>
      <c r="R2" s="453"/>
      <c r="S2" s="453"/>
      <c r="T2" s="453"/>
      <c r="U2" s="2328"/>
    </row>
    <row r="3" spans="1:23" ht="17.25" hidden="1" customHeight="1">
      <c r="A3" s="2823"/>
      <c r="B3" s="2823"/>
      <c r="C3" s="2823"/>
      <c r="D3" s="2823"/>
      <c r="E3" s="2823"/>
      <c r="F3" s="2823"/>
      <c r="G3" s="2823"/>
      <c r="H3" s="2823"/>
      <c r="I3" s="453"/>
      <c r="J3" s="453"/>
      <c r="K3" s="453"/>
      <c r="L3" s="453"/>
      <c r="M3" s="453"/>
      <c r="N3" s="453"/>
      <c r="O3" s="453"/>
      <c r="P3" s="453"/>
      <c r="Q3" s="453"/>
      <c r="R3" s="453"/>
      <c r="S3" s="453"/>
      <c r="T3" s="453"/>
      <c r="U3" s="2328"/>
    </row>
    <row r="4" spans="1:23" ht="17.25" hidden="1" customHeight="1">
      <c r="A4" s="2823"/>
      <c r="B4" s="2823"/>
      <c r="C4" s="2823"/>
      <c r="D4" s="2823"/>
      <c r="E4" s="2823"/>
      <c r="F4" s="2823"/>
      <c r="G4" s="2823"/>
      <c r="H4" s="2823"/>
      <c r="I4" s="453"/>
      <c r="J4" s="453"/>
      <c r="K4" s="453"/>
      <c r="L4" s="453"/>
      <c r="M4" s="453"/>
      <c r="N4" s="453"/>
      <c r="O4" s="453"/>
      <c r="P4" s="453"/>
      <c r="Q4" s="453"/>
      <c r="R4" s="453"/>
      <c r="S4" s="453"/>
      <c r="T4" s="453"/>
      <c r="U4" s="2328"/>
    </row>
    <row r="5" spans="1:23" ht="17.25" hidden="1" customHeight="1">
      <c r="A5" s="2823"/>
      <c r="B5" s="2823"/>
      <c r="C5" s="2823"/>
      <c r="D5" s="2823"/>
      <c r="E5" s="2823"/>
      <c r="F5" s="2823"/>
      <c r="G5" s="2823"/>
      <c r="H5" s="2823"/>
      <c r="I5" s="453"/>
      <c r="J5" s="453"/>
      <c r="K5" s="453"/>
      <c r="L5" s="453"/>
      <c r="M5" s="453"/>
      <c r="N5" s="453"/>
      <c r="O5" s="453"/>
      <c r="P5" s="453"/>
      <c r="Q5" s="453"/>
      <c r="R5" s="453"/>
      <c r="S5" s="453"/>
      <c r="T5" s="453"/>
      <c r="U5" s="2328"/>
    </row>
    <row r="6" spans="1:23" ht="17.25" hidden="1" customHeight="1">
      <c r="A6" s="2823"/>
      <c r="B6" s="2823"/>
      <c r="C6" s="2823"/>
      <c r="D6" s="2823"/>
      <c r="E6" s="2823"/>
      <c r="F6" s="2823"/>
      <c r="G6" s="2823"/>
      <c r="H6" s="2823"/>
      <c r="I6" s="453"/>
      <c r="J6" s="453"/>
      <c r="K6" s="453"/>
      <c r="L6" s="453"/>
      <c r="M6" s="453"/>
      <c r="N6" s="453"/>
      <c r="O6" s="453"/>
      <c r="P6" s="453"/>
      <c r="Q6" s="453"/>
      <c r="R6" s="453"/>
      <c r="S6" s="453"/>
      <c r="T6" s="453"/>
      <c r="U6" s="2328"/>
    </row>
    <row r="7" spans="1:23" ht="14.1" hidden="1" customHeight="1">
      <c r="H7" s="25"/>
      <c r="I7" s="453"/>
      <c r="J7" s="453"/>
      <c r="K7" s="453"/>
      <c r="L7" s="453"/>
      <c r="M7" s="453"/>
      <c r="N7" s="453"/>
      <c r="O7" s="453"/>
      <c r="P7" s="453"/>
      <c r="Q7" s="453"/>
      <c r="R7" s="453"/>
      <c r="S7" s="453"/>
      <c r="T7" s="453"/>
      <c r="U7" s="2328"/>
    </row>
    <row r="8" spans="1:23" ht="18.75" hidden="1" customHeight="1">
      <c r="H8" s="25"/>
      <c r="I8" s="453"/>
      <c r="J8" s="453"/>
      <c r="K8" s="453"/>
      <c r="L8" s="453"/>
      <c r="M8" s="453"/>
      <c r="N8" s="453"/>
      <c r="O8" s="453"/>
      <c r="P8" s="453"/>
      <c r="Q8" s="453"/>
      <c r="R8" s="453"/>
      <c r="S8" s="453"/>
      <c r="T8" s="453"/>
    </row>
    <row r="9" spans="1:23" ht="18.75" hidden="1" customHeight="1">
      <c r="H9" s="25"/>
      <c r="I9" s="453"/>
      <c r="J9" s="453"/>
      <c r="K9" s="453"/>
      <c r="L9" s="453"/>
      <c r="M9" s="453"/>
      <c r="N9" s="453"/>
      <c r="O9" s="453"/>
      <c r="P9" s="453"/>
      <c r="Q9" s="453"/>
      <c r="R9" s="453"/>
      <c r="S9" s="453"/>
      <c r="T9" s="453"/>
    </row>
    <row r="10" spans="1:23" ht="18" hidden="1" customHeight="1">
      <c r="H10" s="25"/>
      <c r="I10" s="453"/>
      <c r="J10" s="453"/>
      <c r="K10" s="453"/>
      <c r="L10" s="453"/>
      <c r="M10" s="453"/>
      <c r="N10" s="453"/>
      <c r="O10" s="453"/>
      <c r="P10" s="453"/>
      <c r="Q10" s="453"/>
      <c r="R10" s="453"/>
      <c r="S10" s="453"/>
      <c r="T10" s="453"/>
    </row>
    <row r="11" spans="1:23" ht="23.1" hidden="1" customHeight="1">
      <c r="H11" s="25"/>
      <c r="I11" s="453"/>
      <c r="J11" s="453"/>
      <c r="K11" s="453"/>
      <c r="L11" s="453"/>
      <c r="M11" s="453"/>
      <c r="N11" s="453"/>
      <c r="O11" s="453"/>
      <c r="P11" s="453"/>
      <c r="Q11" s="453"/>
      <c r="R11" s="453"/>
      <c r="S11" s="453"/>
      <c r="T11" s="453"/>
      <c r="V11" s="3753"/>
    </row>
    <row r="12" spans="1:23" ht="14.25" hidden="1" customHeight="1">
      <c r="H12" s="25"/>
      <c r="I12" s="453"/>
      <c r="J12" s="453"/>
      <c r="K12" s="453"/>
      <c r="L12" s="453"/>
      <c r="M12" s="453"/>
      <c r="N12" s="453"/>
      <c r="O12" s="453"/>
      <c r="P12" s="453"/>
      <c r="Q12" s="453"/>
      <c r="R12" s="453"/>
      <c r="S12" s="453"/>
      <c r="T12" s="453"/>
      <c r="V12" s="3753"/>
    </row>
    <row r="13" spans="1:23" ht="14.1" hidden="1" customHeight="1">
      <c r="H13" s="25"/>
      <c r="I13" s="453"/>
      <c r="J13" s="453"/>
      <c r="K13" s="453"/>
      <c r="L13" s="453"/>
      <c r="M13" s="453"/>
      <c r="N13" s="453"/>
      <c r="O13" s="453"/>
      <c r="P13" s="453"/>
      <c r="Q13" s="453"/>
      <c r="R13" s="453"/>
      <c r="S13" s="453"/>
      <c r="T13" s="453"/>
      <c r="V13" s="3753"/>
      <c r="W13" s="146"/>
    </row>
    <row r="14" spans="1:23" ht="14.25" hidden="1" customHeight="1">
      <c r="H14" s="25"/>
      <c r="I14" s="453"/>
      <c r="J14" s="453"/>
      <c r="K14" s="453"/>
      <c r="L14" s="453"/>
      <c r="M14" s="453"/>
      <c r="N14" s="453"/>
      <c r="O14" s="453"/>
      <c r="P14" s="453"/>
      <c r="Q14" s="453"/>
      <c r="R14" s="453"/>
      <c r="S14" s="453"/>
      <c r="T14" s="453"/>
      <c r="W14" s="146"/>
    </row>
    <row r="15" spans="1:23" ht="14.25" hidden="1" customHeight="1">
      <c r="H15" s="25"/>
      <c r="I15" s="453"/>
      <c r="J15" s="453"/>
      <c r="K15" s="453"/>
      <c r="L15" s="453"/>
      <c r="M15" s="453"/>
      <c r="N15" s="453"/>
      <c r="O15" s="453"/>
      <c r="P15" s="453"/>
      <c r="Q15" s="453"/>
      <c r="R15" s="453"/>
      <c r="S15" s="453"/>
      <c r="T15" s="453"/>
      <c r="W15" s="146"/>
    </row>
    <row r="16" spans="1:23" ht="14.1" hidden="1" customHeight="1">
      <c r="H16" s="25"/>
      <c r="I16" s="453"/>
      <c r="J16" s="453"/>
      <c r="K16" s="453"/>
      <c r="L16" s="453"/>
      <c r="M16" s="453"/>
      <c r="N16" s="453"/>
      <c r="O16" s="453"/>
      <c r="P16" s="453"/>
      <c r="Q16" s="453"/>
      <c r="R16" s="453"/>
      <c r="S16" s="453"/>
      <c r="T16" s="453"/>
      <c r="W16" s="146"/>
    </row>
    <row r="17" spans="1:26" s="398" customFormat="1" ht="28.5" hidden="1" customHeight="1">
      <c r="H17" s="402"/>
      <c r="I17" s="453"/>
      <c r="J17" s="453"/>
      <c r="K17" s="453"/>
      <c r="L17" s="453"/>
      <c r="M17" s="453"/>
      <c r="N17" s="453"/>
      <c r="Q17" s="453"/>
      <c r="R17" s="453"/>
      <c r="S17" s="453"/>
      <c r="T17" s="453"/>
      <c r="Z17" s="401"/>
    </row>
    <row r="18" spans="1:26" s="398" customFormat="1" ht="28.5" hidden="1" customHeight="1" thickBot="1">
      <c r="H18" s="402"/>
      <c r="I18" s="453"/>
      <c r="J18" s="453"/>
      <c r="K18" s="453"/>
      <c r="L18" s="453"/>
      <c r="M18" s="453"/>
      <c r="N18" s="453"/>
      <c r="O18" s="453"/>
      <c r="P18" s="453"/>
      <c r="Q18" s="453"/>
      <c r="R18" s="453"/>
      <c r="S18" s="453"/>
      <c r="T18" s="453"/>
      <c r="Z18" s="401"/>
    </row>
    <row r="19" spans="1:26" ht="14.25" hidden="1" customHeight="1">
      <c r="A19" s="25"/>
      <c r="B19" s="25"/>
      <c r="C19" s="25"/>
      <c r="D19" s="25"/>
      <c r="E19" s="25"/>
      <c r="F19" s="25"/>
      <c r="G19" s="25"/>
      <c r="H19" s="25"/>
      <c r="I19" s="3758" t="s">
        <v>548</v>
      </c>
      <c r="J19" s="3759"/>
      <c r="K19" s="917"/>
      <c r="L19" s="918"/>
      <c r="M19" s="25"/>
    </row>
    <row r="20" spans="1:26" ht="14.1" customHeight="1">
      <c r="A20" s="25"/>
      <c r="B20" s="25"/>
      <c r="C20" s="25"/>
      <c r="D20" s="25"/>
      <c r="E20" s="25"/>
      <c r="F20" s="25"/>
      <c r="G20" s="25"/>
      <c r="H20" s="25"/>
      <c r="I20" s="2973"/>
      <c r="J20" s="3760"/>
      <c r="K20" s="3763" t="s">
        <v>1030</v>
      </c>
      <c r="L20" s="3764"/>
      <c r="M20" s="25"/>
    </row>
    <row r="21" spans="1:26" ht="14.25" customHeight="1" thickBot="1">
      <c r="A21" s="25"/>
      <c r="B21" s="25"/>
      <c r="C21" s="25"/>
      <c r="D21" s="25"/>
      <c r="E21" s="25"/>
      <c r="F21" s="25"/>
      <c r="G21" s="25"/>
      <c r="H21" s="25"/>
      <c r="I21" s="3761"/>
      <c r="J21" s="3762"/>
      <c r="K21" s="3756" t="s">
        <v>1029</v>
      </c>
      <c r="L21" s="3757"/>
      <c r="M21" s="25"/>
    </row>
    <row r="22" spans="1:26">
      <c r="A22" s="25"/>
      <c r="B22" s="25"/>
      <c r="C22" s="25"/>
      <c r="D22" s="25"/>
      <c r="E22" s="25"/>
      <c r="F22" s="25"/>
      <c r="G22" s="25"/>
      <c r="H22" s="25"/>
      <c r="I22" s="1029" t="s">
        <v>550</v>
      </c>
      <c r="J22" s="1174"/>
      <c r="K22" s="3765"/>
      <c r="L22" s="3766"/>
      <c r="M22" s="25"/>
      <c r="N22" t="s">
        <v>1227</v>
      </c>
      <c r="O22" s="15" t="b">
        <v>0</v>
      </c>
      <c r="P22">
        <f>IF(EPOst=FALSE,0,1)</f>
        <v>0</v>
      </c>
      <c r="V22" s="58"/>
      <c r="X22" s="149"/>
      <c r="Y22" s="399"/>
    </row>
    <row r="23" spans="1:26" ht="15">
      <c r="A23" s="25"/>
      <c r="B23" s="25"/>
      <c r="C23" s="25"/>
      <c r="D23" s="25"/>
      <c r="E23" s="25"/>
      <c r="F23" s="25"/>
      <c r="G23" s="25"/>
      <c r="H23" s="25"/>
      <c r="I23" s="1027" t="str">
        <f>IF(AND(J23="",AufZinsEzE=""),"Ehezeitende eingeben",IF(AND(J23="",AufZinsEzE&gt;0),"Ehezeitende aus Fallerfassung übernommen","Ehezeitende"))</f>
        <v>Ehezeitende eingeben</v>
      </c>
      <c r="J23" s="1289"/>
      <c r="K23" s="1190" t="str">
        <f>IF(J23="",IF(Dat_EzE&gt;1,Dat_EzE,""),Verzinsung!J23)</f>
        <v/>
      </c>
      <c r="L23" s="1191"/>
      <c r="M23" s="25"/>
      <c r="N23" t="s">
        <v>1449</v>
      </c>
      <c r="O23" s="1054">
        <f>IFERROR(VLOOKUP(K23,IF(Vertins_BilMoG10,BilMoG10,BilmoGZins),16)/100,0.055)</f>
        <v>5.5E-2</v>
      </c>
      <c r="P23" s="3767" t="b">
        <v>0</v>
      </c>
      <c r="V23" s="58"/>
      <c r="X23" s="149"/>
      <c r="Y23" s="399"/>
    </row>
    <row r="24" spans="1:26">
      <c r="A24" s="25"/>
      <c r="B24" s="25"/>
      <c r="C24" s="25"/>
      <c r="D24" s="25"/>
      <c r="E24" s="25"/>
      <c r="F24" s="25"/>
      <c r="G24" s="25"/>
      <c r="H24" s="25"/>
      <c r="I24" s="1028" t="s">
        <v>542</v>
      </c>
      <c r="J24" s="346"/>
      <c r="K24" s="425"/>
      <c r="L24" s="426" t="str">
        <f>IFERROR(VLOOKUP(IF(J23&gt;0,J23,K23),IF(Vertins_BilMoG10,BilMoG10,BilmoGZins),16)/100,"")</f>
        <v/>
      </c>
      <c r="M24" s="25"/>
      <c r="N24" t="s">
        <v>1448</v>
      </c>
      <c r="O24" s="146">
        <f>IFERROR(IF(J14&gt;0,J14,VLOOKUP(K23,BilMoG10,16)/100),0.055)</f>
        <v>5.5E-2</v>
      </c>
      <c r="P24" s="3767"/>
      <c r="V24" s="58"/>
      <c r="X24" s="149"/>
      <c r="Y24" s="399"/>
    </row>
    <row r="25" spans="1:26">
      <c r="A25" s="25"/>
      <c r="B25" s="25"/>
      <c r="C25" s="25"/>
      <c r="D25" s="25"/>
      <c r="E25" s="25"/>
      <c r="F25" s="25"/>
      <c r="G25" s="25"/>
      <c r="H25" s="25"/>
      <c r="I25" s="1234" t="str">
        <f>"BilMoG-"&amp;IF(Vertins_BilMoG10,"10","7")&amp;"-Zins zum Ehezeitende:"</f>
        <v>BilMoG-7-Zins zum Ehezeitende:</v>
      </c>
      <c r="J25" s="1233" t="str">
        <f>IF(J26&gt;0,J26,L24)</f>
        <v/>
      </c>
      <c r="K25" s="3737"/>
      <c r="L25" s="3738"/>
      <c r="M25" s="25"/>
      <c r="V25" s="58"/>
      <c r="X25" s="149"/>
      <c r="Y25" s="399"/>
    </row>
    <row r="26" spans="1:26">
      <c r="A26" s="25"/>
      <c r="B26" s="25"/>
      <c r="C26" s="25"/>
      <c r="D26" s="25"/>
      <c r="E26" s="25"/>
      <c r="F26" s="25"/>
      <c r="G26" s="25"/>
      <c r="H26" s="25"/>
      <c r="I26" s="727" t="s">
        <v>547</v>
      </c>
      <c r="J26" s="427"/>
      <c r="K26" s="3741"/>
      <c r="L26" s="3742"/>
      <c r="M26" s="25"/>
      <c r="V26" s="58"/>
      <c r="X26" s="149"/>
      <c r="Y26" s="399"/>
    </row>
    <row r="27" spans="1:26">
      <c r="A27" s="25"/>
      <c r="B27" s="25"/>
      <c r="C27" s="25"/>
      <c r="D27" s="25"/>
      <c r="E27" s="25"/>
      <c r="F27" s="25"/>
      <c r="G27" s="25"/>
      <c r="H27" s="25"/>
      <c r="I27" s="1029" t="s">
        <v>549</v>
      </c>
      <c r="J27" s="592" t="s">
        <v>543</v>
      </c>
      <c r="K27" s="592" t="s">
        <v>133</v>
      </c>
      <c r="L27" s="593" t="s">
        <v>194</v>
      </c>
      <c r="M27" s="25"/>
      <c r="N27" s="15">
        <v>3</v>
      </c>
      <c r="V27" s="58"/>
      <c r="X27" s="149"/>
      <c r="Y27" s="399"/>
    </row>
    <row r="28" spans="1:26">
      <c r="A28" s="25"/>
      <c r="B28" s="25"/>
      <c r="C28" s="25"/>
      <c r="D28" s="25"/>
      <c r="E28" s="25"/>
      <c r="F28" s="25"/>
      <c r="G28" s="25"/>
      <c r="H28" s="25"/>
      <c r="I28" s="727" t="s">
        <v>541</v>
      </c>
      <c r="J28" s="419">
        <f>J22</f>
        <v>0</v>
      </c>
      <c r="K28" s="3737" t="s">
        <v>564</v>
      </c>
      <c r="L28" s="3738"/>
      <c r="M28" s="25"/>
      <c r="V28" s="58"/>
      <c r="X28" s="149"/>
      <c r="Y28" s="399"/>
    </row>
    <row r="29" spans="1:26">
      <c r="A29" s="25"/>
      <c r="B29" s="25"/>
      <c r="C29" s="25"/>
      <c r="D29" s="25"/>
      <c r="E29" s="25"/>
      <c r="F29" s="25"/>
      <c r="G29" s="25"/>
      <c r="H29" s="25"/>
      <c r="I29" s="727" t="s">
        <v>544</v>
      </c>
      <c r="J29" s="1790" t="str">
        <f>IFERROR(ROUND(VLOOKUP($K$23,UmrechnungEP_Kap,2+P$22),10),"")</f>
        <v/>
      </c>
      <c r="K29" s="3739"/>
      <c r="L29" s="3740"/>
      <c r="M29" s="25"/>
      <c r="V29" s="58"/>
      <c r="X29" s="149"/>
      <c r="Y29" s="399"/>
    </row>
    <row r="30" spans="1:26">
      <c r="A30" s="25"/>
      <c r="B30" s="25"/>
      <c r="C30" s="25"/>
      <c r="D30" s="25"/>
      <c r="E30" s="25"/>
      <c r="F30" s="25"/>
      <c r="G30" s="25"/>
      <c r="H30" s="25"/>
      <c r="I30" s="727" t="str">
        <f>"Versorgungserwerb im EzE: "&amp;TEXT(J28,"#.##0")&amp;" x  "&amp;TEXT(J29,"0,0000")&amp;" = "</f>
        <v xml:space="preserve">Versorgungserwerb im EzE: 0 x   = </v>
      </c>
      <c r="J30" s="420" t="str">
        <f>IFERROR(ROUND(+J28/J29,4),"")</f>
        <v/>
      </c>
      <c r="K30" s="3739"/>
      <c r="L30" s="3740"/>
      <c r="M30" s="25"/>
      <c r="V30" s="58"/>
      <c r="X30" s="149"/>
      <c r="Y30" s="399"/>
    </row>
    <row r="31" spans="1:26">
      <c r="A31" s="25"/>
      <c r="B31" s="25"/>
      <c r="C31" s="25"/>
      <c r="D31" s="25"/>
      <c r="E31" s="25"/>
      <c r="F31" s="25"/>
      <c r="G31" s="25"/>
      <c r="H31" s="25"/>
      <c r="I31" s="727" t="s">
        <v>545</v>
      </c>
      <c r="J31" s="421" t="str">
        <f>IFERROR(VLOOKUP(AufZinsEzE,aktRW,2+P22),"")</f>
        <v/>
      </c>
      <c r="K31" s="3739"/>
      <c r="L31" s="3740"/>
      <c r="M31" s="25"/>
      <c r="V31" s="58"/>
      <c r="X31" s="149"/>
      <c r="Y31" s="399"/>
    </row>
    <row r="32" spans="1:26" ht="15">
      <c r="A32" s="25"/>
      <c r="B32" s="25"/>
      <c r="C32" s="25"/>
      <c r="D32" s="25"/>
      <c r="E32" s="25"/>
      <c r="F32" s="25"/>
      <c r="G32" s="25"/>
      <c r="H32" s="25"/>
      <c r="I32" s="802" t="str">
        <f>IFERROR("Rentenerwerb im EzE: "&amp;TEXT(J30,"0,0000")&amp;" EP x "&amp;TEXT(J31,"0,00 €")&amp;" = ","")</f>
        <v xml:space="preserve">Rentenerwerb im EzE:  EP x  = </v>
      </c>
      <c r="J32" s="1441" t="str">
        <f>IFERROR(+J31*J30,"")</f>
        <v/>
      </c>
      <c r="K32" s="3741"/>
      <c r="L32" s="3742"/>
      <c r="M32" s="25"/>
      <c r="V32" s="58"/>
      <c r="X32" s="149"/>
      <c r="Y32" s="399"/>
    </row>
    <row r="33" spans="1:25">
      <c r="A33" s="25"/>
      <c r="B33" s="25"/>
      <c r="C33" s="25"/>
      <c r="D33" s="25"/>
      <c r="E33" s="25"/>
      <c r="F33" s="25"/>
      <c r="G33" s="25"/>
      <c r="H33" s="25"/>
      <c r="I33" s="3754"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755"/>
      <c r="K33" s="1444" t="str">
        <f>IFERROR(J28+J25*J28*YEARFRAC(AufZinsEzE,J24,4),"")</f>
        <v/>
      </c>
      <c r="L33" s="1060" t="str">
        <f>IFERROR(-FV(J25,YEARFRAC(AufZinsEzE,J24,4),,J28),"")</f>
        <v/>
      </c>
      <c r="M33" s="25"/>
      <c r="V33" s="58"/>
      <c r="X33" s="149"/>
      <c r="Y33" s="399"/>
    </row>
    <row r="34" spans="1:25">
      <c r="A34" s="25"/>
      <c r="B34" s="25"/>
      <c r="C34" s="25"/>
      <c r="D34" s="25"/>
      <c r="E34" s="25"/>
      <c r="F34" s="25"/>
      <c r="G34" s="25"/>
      <c r="H34" s="25"/>
      <c r="I34" s="3749" t="str">
        <f>"Umrechnungsfaktor (Beitrag in EP) zum "&amp;TEXT(J24,"TT.MM.JJJJ")</f>
        <v>Umrechnungsfaktor (Beitrag in EP) zum 00.01.1900</v>
      </c>
      <c r="J34" s="3601"/>
      <c r="K34" s="1442" t="str">
        <f>IFERROR(ROUND(VLOOKUP(J24,UmrechnungEP_Kap,2+P22),4),"")</f>
        <v/>
      </c>
      <c r="L34" s="1443" t="str">
        <f>IFERROR(VLOOKUP(J24,UmrechnungEP_Kap,2+P22,TRUE),"")</f>
        <v/>
      </c>
      <c r="M34" s="25"/>
      <c r="V34" s="58"/>
      <c r="X34" s="149"/>
      <c r="Y34" s="399"/>
    </row>
    <row r="35" spans="1:25">
      <c r="A35" s="25"/>
      <c r="B35" s="25"/>
      <c r="C35" s="25"/>
      <c r="D35" s="25"/>
      <c r="E35" s="25"/>
      <c r="F35" s="25"/>
      <c r="G35" s="25"/>
      <c r="H35" s="25"/>
      <c r="I35" s="3749" t="str">
        <f>"Versorgungserwerb in EP (Ausgleichswert / Umrechnungsfaktor) "</f>
        <v xml:space="preserve">Versorgungserwerb in EP (Ausgleichswert / Umrechnungsfaktor) </v>
      </c>
      <c r="J35" s="3601"/>
      <c r="K35" s="420" t="str">
        <f>IFERROR(ROUND(+K33/K34,4),"")</f>
        <v/>
      </c>
      <c r="L35" s="422" t="str">
        <f>IFERROR(ROUND(+L33/L34,4),"")</f>
        <v/>
      </c>
      <c r="M35" s="25"/>
      <c r="V35" s="58"/>
      <c r="X35" s="149"/>
      <c r="Y35" s="399"/>
    </row>
    <row r="36" spans="1:25">
      <c r="A36" s="25"/>
      <c r="B36" s="25"/>
      <c r="C36" s="25"/>
      <c r="D36" s="25"/>
      <c r="E36" s="25"/>
      <c r="F36" s="25"/>
      <c r="G36" s="25"/>
      <c r="H36" s="25"/>
      <c r="I36" s="727" t="str">
        <f>"aktueller Rentenwert am "&amp;TEXT(J24,"TT.MM.JJJJ")</f>
        <v>aktueller Rentenwert am 00.01.1900</v>
      </c>
      <c r="J36" s="3750" t="str">
        <f>IFERROR(VLOOKUP(J24,aktRW,2+$P$22),"")</f>
        <v/>
      </c>
      <c r="K36" s="3751"/>
      <c r="L36" s="3752"/>
      <c r="M36" s="25"/>
      <c r="V36" s="58"/>
      <c r="X36" s="149"/>
      <c r="Y36" s="399"/>
    </row>
    <row r="37" spans="1:25" ht="15" thickBot="1">
      <c r="A37" s="25"/>
      <c r="B37" s="25"/>
      <c r="C37" s="25"/>
      <c r="D37" s="25"/>
      <c r="E37" s="25"/>
      <c r="F37" s="25"/>
      <c r="G37" s="25"/>
      <c r="H37" s="25"/>
      <c r="I37" s="929" t="str">
        <f>"Rentenerwerb zum "&amp;TEXT(J24,"TT.MM.JJJJ")&amp;" in DRV: EP x aktRW"</f>
        <v>Rentenerwerb zum 00.01.1900 in DRV: EP x aktRW</v>
      </c>
      <c r="J37" s="423" t="str">
        <f>IFERROR(J32*J36/J31,"")</f>
        <v/>
      </c>
      <c r="K37" s="423" t="str">
        <f>IFERROR(J36*K35,"")</f>
        <v/>
      </c>
      <c r="L37" s="424" t="str">
        <f>IFERROR(+J36*L35,"")</f>
        <v/>
      </c>
      <c r="M37" s="25"/>
      <c r="V37" s="58"/>
      <c r="X37" s="149"/>
      <c r="Y37" s="399"/>
    </row>
    <row r="38" spans="1:25" ht="14.85" customHeight="1">
      <c r="A38" s="25"/>
      <c r="B38" s="25"/>
      <c r="C38" s="25"/>
      <c r="D38" s="25"/>
      <c r="E38" s="25"/>
      <c r="F38" s="25"/>
      <c r="G38" s="25"/>
      <c r="H38" s="25"/>
      <c r="I38" s="594" t="s">
        <v>686</v>
      </c>
      <c r="J38" s="591"/>
      <c r="K38" s="591"/>
      <c r="L38" s="595"/>
      <c r="M38" s="25"/>
      <c r="V38" s="58"/>
      <c r="X38" s="149"/>
      <c r="Y38" s="399"/>
    </row>
    <row r="39" spans="1:25" ht="23.85" customHeight="1">
      <c r="H39" s="25"/>
      <c r="I39" s="3743"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744"/>
      <c r="K39" s="3744"/>
      <c r="L39" s="3740"/>
      <c r="M39" s="25"/>
      <c r="V39" s="58"/>
      <c r="Y39" s="399"/>
    </row>
    <row r="40" spans="1:25" ht="23.85" customHeight="1" thickBot="1">
      <c r="H40" s="25"/>
      <c r="I40" s="3745"/>
      <c r="J40" s="3746"/>
      <c r="K40" s="3746"/>
      <c r="L40" s="3747"/>
      <c r="M40" s="25"/>
    </row>
    <row r="41" spans="1:25">
      <c r="H41" s="25"/>
      <c r="I41" s="3748" t="s">
        <v>687</v>
      </c>
      <c r="J41" s="3748"/>
      <c r="K41" s="3748"/>
      <c r="L41" s="3748"/>
      <c r="M41" s="25"/>
    </row>
  </sheetData>
  <sheetProtection algorithmName="SHA-512" hashValue="38vQyC/EbAfgS4B3ZK4OAx0BTqANAXsMfuybEANKWtEo7ZJ5k7PmO0PBlOmZgi4p7BU1S118481kdGAJoK1r/Q==" saltValue="hC5rXEuUVCh9lAzmMU1EHQ==" spinCount="100000" sheet="1" objects="1" scenarios="1" selectLockedCells="1"/>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44"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tabSelected="1" zoomScale="115" zoomScaleNormal="115" workbookViewId="0">
      <pane ySplit="2595" topLeftCell="A43" activePane="bottomLeft"/>
      <selection activeCell="M3" sqref="M3:N3"/>
      <selection pane="bottomLeft" activeCell="L59" sqref="L59"/>
    </sheetView>
  </sheetViews>
  <sheetFormatPr baseColWidth="10" defaultColWidth="0" defaultRowHeight="15"/>
  <cols>
    <col min="1" max="1" width="3.625" style="265" customWidth="1"/>
    <col min="2" max="2" width="7" style="264" customWidth="1"/>
    <col min="3" max="6" width="8.625" style="265" customWidth="1"/>
    <col min="7" max="7" width="7.625" style="265" customWidth="1"/>
    <col min="8" max="9" width="8.5" style="265" customWidth="1"/>
    <col min="10" max="10" width="7.625" style="264" customWidth="1"/>
    <col min="11" max="12" width="9" style="265" customWidth="1"/>
    <col min="13" max="14" width="9.125" style="265" customWidth="1"/>
    <col min="15" max="15" width="10.625" style="265" customWidth="1"/>
    <col min="16" max="16" width="7.625" style="265" customWidth="1"/>
    <col min="17" max="17" width="8.125" style="265" customWidth="1"/>
    <col min="18" max="18" width="11.125" style="266" bestFit="1" customWidth="1"/>
    <col min="19" max="19" width="10.125" style="266" customWidth="1"/>
    <col min="20" max="20" width="10.625" style="266" customWidth="1"/>
    <col min="21" max="22" width="12.5" style="267" customWidth="1"/>
    <col min="23" max="26" width="7.625" style="265" customWidth="1"/>
    <col min="27" max="27" width="9" style="1462" customWidth="1"/>
    <col min="28" max="29" width="9" style="265" hidden="1" customWidth="1"/>
    <col min="30" max="30" width="11.125" style="265" hidden="1" customWidth="1"/>
    <col min="31" max="31" width="6.625" style="265" hidden="1" customWidth="1"/>
    <col min="32" max="32" width="9.125" style="265" hidden="1" customWidth="1"/>
    <col min="33" max="16384" width="11" style="265" hidden="1"/>
  </cols>
  <sheetData>
    <row r="1" spans="1:31">
      <c r="B1" s="5" t="s">
        <v>685</v>
      </c>
      <c r="J1" s="265"/>
      <c r="R1" s="265"/>
      <c r="S1" s="3769" t="s">
        <v>338</v>
      </c>
      <c r="T1" s="3769"/>
      <c r="U1" s="3769"/>
      <c r="V1" s="3769"/>
      <c r="W1" s="3769"/>
      <c r="X1" s="3769"/>
      <c r="Y1" s="266"/>
      <c r="Z1" s="266"/>
    </row>
    <row r="2" spans="1:31" ht="27.6" customHeight="1" thickBot="1">
      <c r="B2" s="3768" t="s">
        <v>337</v>
      </c>
      <c r="C2" s="3768"/>
      <c r="D2" s="3768"/>
      <c r="E2" s="3768"/>
      <c r="F2" s="3768"/>
      <c r="G2" s="3768"/>
      <c r="H2" s="3768"/>
      <c r="I2" s="3768"/>
      <c r="J2" s="3768"/>
      <c r="K2" s="3768"/>
      <c r="L2" s="3768"/>
      <c r="M2" s="3768"/>
      <c r="N2" s="3768"/>
      <c r="O2" s="3768"/>
      <c r="P2" s="3768"/>
      <c r="Q2" s="3768"/>
      <c r="R2" s="3768"/>
      <c r="S2" s="3768"/>
      <c r="T2" s="3768"/>
      <c r="U2" s="3768"/>
      <c r="V2" s="3768"/>
      <c r="W2" s="3768"/>
      <c r="X2" s="3768"/>
      <c r="Y2" s="1457"/>
      <c r="Z2" s="1457"/>
    </row>
    <row r="3" spans="1:31" ht="28.35" customHeight="1">
      <c r="B3" s="3770" t="s">
        <v>254</v>
      </c>
      <c r="C3" s="3771"/>
      <c r="D3" s="3771"/>
      <c r="E3" s="3771" t="s">
        <v>330</v>
      </c>
      <c r="F3" s="3772"/>
      <c r="G3" s="3773" t="s">
        <v>55</v>
      </c>
      <c r="H3" s="3774"/>
      <c r="I3" s="3774"/>
      <c r="J3" s="3775" t="s">
        <v>1630</v>
      </c>
      <c r="K3" s="3775"/>
      <c r="L3" s="3775"/>
      <c r="M3" s="3776" t="s">
        <v>1631</v>
      </c>
      <c r="N3" s="3776"/>
      <c r="O3" s="3770" t="s">
        <v>331</v>
      </c>
      <c r="P3" s="3771"/>
      <c r="Q3" s="3779" t="s">
        <v>177</v>
      </c>
      <c r="R3" s="3780"/>
      <c r="S3" s="3780"/>
      <c r="T3" s="301"/>
      <c r="U3" s="3781" t="s">
        <v>332</v>
      </c>
      <c r="V3" s="3781"/>
      <c r="W3" s="3781" t="s">
        <v>333</v>
      </c>
      <c r="X3" s="3782"/>
      <c r="Y3" s="3783" t="s">
        <v>1629</v>
      </c>
      <c r="Z3" s="3782"/>
      <c r="AB3" s="2727" t="s">
        <v>198</v>
      </c>
      <c r="AC3" s="2727"/>
      <c r="AD3" s="2727" t="s">
        <v>208</v>
      </c>
      <c r="AE3" s="2727"/>
    </row>
    <row r="4" spans="1:31" s="269" customFormat="1" ht="28.35" customHeight="1" thickBot="1">
      <c r="B4" s="268" t="s">
        <v>59</v>
      </c>
      <c r="C4" s="269" t="s">
        <v>334</v>
      </c>
      <c r="D4" s="269" t="s">
        <v>335</v>
      </c>
      <c r="E4" s="270">
        <v>0.01</v>
      </c>
      <c r="F4" s="271">
        <v>1.2</v>
      </c>
      <c r="G4" s="268" t="s">
        <v>199</v>
      </c>
      <c r="H4" s="269" t="s">
        <v>334</v>
      </c>
      <c r="I4" s="269" t="s">
        <v>335</v>
      </c>
      <c r="J4" s="272" t="s">
        <v>59</v>
      </c>
      <c r="K4" s="273" t="s">
        <v>334</v>
      </c>
      <c r="L4" s="273" t="s">
        <v>339</v>
      </c>
      <c r="M4" s="273" t="s">
        <v>334</v>
      </c>
      <c r="N4" s="273" t="s">
        <v>335</v>
      </c>
      <c r="O4" s="272" t="s">
        <v>59</v>
      </c>
      <c r="P4" s="273" t="s">
        <v>336</v>
      </c>
      <c r="Q4" s="274" t="s">
        <v>59</v>
      </c>
      <c r="R4" s="275" t="s">
        <v>58</v>
      </c>
      <c r="S4" s="275" t="s">
        <v>57</v>
      </c>
      <c r="T4" s="275"/>
      <c r="U4" s="275" t="s">
        <v>58</v>
      </c>
      <c r="V4" s="275" t="s">
        <v>57</v>
      </c>
      <c r="W4" s="275" t="s">
        <v>58</v>
      </c>
      <c r="X4" s="276" t="s">
        <v>57</v>
      </c>
      <c r="Y4" s="1460" t="s">
        <v>58</v>
      </c>
      <c r="Z4" s="1461" t="s">
        <v>57</v>
      </c>
      <c r="AA4" s="1463"/>
      <c r="AB4" s="3">
        <v>17</v>
      </c>
      <c r="AC4" s="3">
        <v>3.1</v>
      </c>
      <c r="AD4" s="3777" t="s">
        <v>209</v>
      </c>
      <c r="AE4" s="3778"/>
    </row>
    <row r="5" spans="1:31" s="588" customFormat="1">
      <c r="A5" s="265"/>
      <c r="B5" s="277">
        <v>1970</v>
      </c>
      <c r="C5" s="278"/>
      <c r="D5" s="278"/>
      <c r="E5" s="278"/>
      <c r="F5" s="278"/>
      <c r="G5" s="279">
        <v>28126</v>
      </c>
      <c r="H5" s="280">
        <v>12.884555406144706</v>
      </c>
      <c r="I5" s="281">
        <v>0</v>
      </c>
      <c r="J5" s="264">
        <v>1970</v>
      </c>
      <c r="K5" s="282">
        <v>6822.1675708011435</v>
      </c>
      <c r="L5" s="282"/>
      <c r="M5" s="282">
        <v>11043.90463383832</v>
      </c>
      <c r="N5" s="282"/>
      <c r="O5" s="279">
        <v>25569</v>
      </c>
      <c r="P5" s="283">
        <v>0.17</v>
      </c>
      <c r="Q5" s="279">
        <v>28126</v>
      </c>
      <c r="R5" s="305">
        <v>2295.7516757591407</v>
      </c>
      <c r="S5" s="305"/>
      <c r="T5" s="279">
        <v>28126</v>
      </c>
      <c r="U5" s="284">
        <v>2.2271220000000001E-4</v>
      </c>
      <c r="V5" s="284"/>
      <c r="W5" s="285">
        <f>1000/$R5*VLOOKUP(Q5,G$5:$I63,2)</f>
        <v>5.6123471637602727</v>
      </c>
      <c r="X5" s="286" t="str">
        <f>IFERROR(1000/$S5*VLOOKUP($Q5,G$5:$I63,3),"")</f>
        <v/>
      </c>
      <c r="Y5" s="1458">
        <f>1000/W5</f>
        <v>178.17857142857142</v>
      </c>
      <c r="Z5" s="300"/>
      <c r="AA5" s="1462"/>
      <c r="AB5" s="410">
        <v>18</v>
      </c>
      <c r="AC5" s="410">
        <v>3</v>
      </c>
      <c r="AD5" s="410"/>
      <c r="AE5" s="589"/>
    </row>
    <row r="6" spans="1:31" s="588" customFormat="1">
      <c r="A6" s="265"/>
      <c r="B6" s="287">
        <v>1971</v>
      </c>
      <c r="C6" s="288"/>
      <c r="D6" s="288"/>
      <c r="E6" s="288"/>
      <c r="F6" s="288"/>
      <c r="G6" s="289">
        <v>28491</v>
      </c>
      <c r="H6" s="290">
        <v>13.809993711109863</v>
      </c>
      <c r="I6" s="291">
        <v>0</v>
      </c>
      <c r="J6" s="292">
        <v>1971</v>
      </c>
      <c r="K6" s="288">
        <v>7634.0990781407381</v>
      </c>
      <c r="L6" s="288"/>
      <c r="M6" s="288">
        <v>11657.454891273781</v>
      </c>
      <c r="N6" s="288"/>
      <c r="O6" s="289">
        <v>25934</v>
      </c>
      <c r="P6" s="293">
        <v>0.17</v>
      </c>
      <c r="Q6" s="289">
        <v>28491</v>
      </c>
      <c r="R6" s="306">
        <v>2415.1178783432101</v>
      </c>
      <c r="S6" s="306"/>
      <c r="T6" s="289">
        <v>28491</v>
      </c>
      <c r="U6" s="302">
        <v>2.117047E-4</v>
      </c>
      <c r="V6" s="302"/>
      <c r="W6" s="303">
        <f>1000/$R6*VLOOKUP(Q6,G$5:$I64,2)</f>
        <v>5.7181447890997461</v>
      </c>
      <c r="X6" s="294" t="str">
        <f>IFERROR(1000/$S6*VLOOKUP($Q6,G$5:$I64,3),"")</f>
        <v/>
      </c>
      <c r="Y6" s="1459">
        <f>1000/W6</f>
        <v>174.88189559422437</v>
      </c>
      <c r="Z6" s="294"/>
      <c r="AA6" s="1462"/>
      <c r="AB6" s="410">
        <v>19</v>
      </c>
      <c r="AC6" s="410">
        <v>2.9</v>
      </c>
      <c r="AD6" s="410"/>
      <c r="AE6" s="589"/>
    </row>
    <row r="7" spans="1:31" s="588" customFormat="1">
      <c r="A7" s="265"/>
      <c r="B7" s="295">
        <v>1972</v>
      </c>
      <c r="C7" s="282"/>
      <c r="D7" s="282"/>
      <c r="E7" s="282"/>
      <c r="F7" s="282"/>
      <c r="G7" s="296">
        <v>28672</v>
      </c>
      <c r="H7" s="297">
        <v>13.467428150708395</v>
      </c>
      <c r="I7" s="298">
        <v>0</v>
      </c>
      <c r="J7" s="264">
        <v>1972</v>
      </c>
      <c r="K7" s="282">
        <v>8351.9528793402296</v>
      </c>
      <c r="L7" s="282"/>
      <c r="M7" s="282">
        <v>12884.555406144706</v>
      </c>
      <c r="N7" s="282"/>
      <c r="O7" s="296">
        <v>26299</v>
      </c>
      <c r="P7" s="299">
        <v>0.17</v>
      </c>
      <c r="Q7" s="296">
        <v>28856</v>
      </c>
      <c r="R7" s="307">
        <v>2547.9208315651158</v>
      </c>
      <c r="S7" s="307"/>
      <c r="T7" s="296">
        <v>28856</v>
      </c>
      <c r="U7" s="267">
        <v>2.006702E-4</v>
      </c>
      <c r="V7" s="267"/>
      <c r="W7" s="304">
        <f>1000/$R7*VLOOKUP(Q7,G$5:$I65,2)</f>
        <v>5.2856540846427063</v>
      </c>
      <c r="X7" s="300" t="str">
        <f>IFERROR(1000/$S7*VLOOKUP($Q7,G$5:$I65,3),"")</f>
        <v/>
      </c>
      <c r="Y7" s="1458">
        <f>1000/W7</f>
        <v>189.19134396355355</v>
      </c>
      <c r="Z7" s="300"/>
      <c r="AA7" s="1462"/>
      <c r="AB7" s="410">
        <v>20</v>
      </c>
      <c r="AC7" s="410">
        <v>2.8</v>
      </c>
      <c r="AD7" s="410"/>
      <c r="AE7" s="589"/>
    </row>
    <row r="8" spans="1:31" s="588" customFormat="1">
      <c r="A8" s="265"/>
      <c r="B8" s="287">
        <v>1973</v>
      </c>
      <c r="C8" s="288"/>
      <c r="D8" s="288"/>
      <c r="E8" s="288"/>
      <c r="F8" s="288"/>
      <c r="G8" s="289">
        <v>29037</v>
      </c>
      <c r="H8" s="290">
        <v>13.467428150708395</v>
      </c>
      <c r="I8" s="291">
        <v>0</v>
      </c>
      <c r="J8" s="292">
        <v>1973</v>
      </c>
      <c r="K8" s="288">
        <v>9354.0849664848174</v>
      </c>
      <c r="L8" s="288"/>
      <c r="M8" s="288">
        <v>14111.65592101563</v>
      </c>
      <c r="N8" s="288"/>
      <c r="O8" s="289">
        <v>26665</v>
      </c>
      <c r="P8" s="293">
        <v>0.18</v>
      </c>
      <c r="Q8" s="289">
        <v>29221</v>
      </c>
      <c r="R8" s="306">
        <v>2713.5794010726904</v>
      </c>
      <c r="S8" s="306"/>
      <c r="T8" s="289">
        <v>29221</v>
      </c>
      <c r="U8" s="302">
        <v>1.8841969999999999E-4</v>
      </c>
      <c r="V8" s="302"/>
      <c r="W8" s="303">
        <f>1000/$R8*VLOOKUP(Q8,G$5:$I66,2)</f>
        <v>5.1608162342434012</v>
      </c>
      <c r="X8" s="294" t="str">
        <f>IFERROR(1000/$S8*VLOOKUP($Q8,G$5:$I66,3),"")</f>
        <v/>
      </c>
      <c r="Y8" s="1459">
        <f>1000/W8</f>
        <v>193.76779846659363</v>
      </c>
      <c r="Z8" s="294"/>
      <c r="AA8" s="1462"/>
      <c r="AB8" s="410">
        <v>21</v>
      </c>
      <c r="AC8" s="410">
        <v>2.7</v>
      </c>
      <c r="AD8" s="410"/>
      <c r="AE8" s="589"/>
    </row>
    <row r="9" spans="1:31" s="588" customFormat="1">
      <c r="A9" s="265"/>
      <c r="B9" s="295">
        <v>1974</v>
      </c>
      <c r="C9" s="282"/>
      <c r="D9" s="282"/>
      <c r="E9" s="282"/>
      <c r="F9" s="282"/>
      <c r="G9" s="296">
        <v>29221</v>
      </c>
      <c r="H9" s="297">
        <v>14.004284625964425</v>
      </c>
      <c r="I9" s="298">
        <v>0</v>
      </c>
      <c r="J9" s="264">
        <v>1974</v>
      </c>
      <c r="K9" s="282">
        <v>15482.429454502691</v>
      </c>
      <c r="L9" s="282"/>
      <c r="M9" s="282">
        <v>15338.756435886555</v>
      </c>
      <c r="N9" s="282"/>
      <c r="O9" s="296">
        <v>27030</v>
      </c>
      <c r="P9" s="299">
        <v>0.18</v>
      </c>
      <c r="Q9" s="296">
        <v>29587</v>
      </c>
      <c r="R9" s="307">
        <v>2922.8000388581831</v>
      </c>
      <c r="S9" s="307"/>
      <c r="T9" s="296">
        <v>29587</v>
      </c>
      <c r="U9" s="267">
        <v>1.749322E-4</v>
      </c>
      <c r="V9" s="267"/>
      <c r="W9" s="304">
        <f>1000/$R9*VLOOKUP(Q9,G$5:$I67,2)</f>
        <v>4.9820694480888656</v>
      </c>
      <c r="X9" s="300" t="str">
        <f>IFERROR(1000/$S9*VLOOKUP($Q9,G$5:$I67,3),"")</f>
        <v/>
      </c>
      <c r="Y9" s="1458">
        <f t="shared" ref="Y9:Y55" si="0">1000/W9</f>
        <v>200.71980337078651</v>
      </c>
      <c r="Z9" s="300"/>
      <c r="AA9" s="1462"/>
      <c r="AB9" s="410">
        <v>22</v>
      </c>
      <c r="AC9" s="410">
        <v>2.6</v>
      </c>
      <c r="AD9" s="410"/>
      <c r="AE9" s="589"/>
    </row>
    <row r="10" spans="1:31" s="588" customFormat="1">
      <c r="A10" s="265"/>
      <c r="B10" s="287">
        <v>1975</v>
      </c>
      <c r="C10" s="288"/>
      <c r="D10" s="288"/>
      <c r="E10" s="288"/>
      <c r="F10" s="288"/>
      <c r="G10" s="289">
        <v>29587</v>
      </c>
      <c r="H10" s="290">
        <v>14.561592776468302</v>
      </c>
      <c r="I10" s="291">
        <v>0</v>
      </c>
      <c r="J10" s="292">
        <v>1975</v>
      </c>
      <c r="K10" s="288">
        <v>11150.253345127134</v>
      </c>
      <c r="L10" s="288"/>
      <c r="M10" s="288">
        <v>17179.407208192941</v>
      </c>
      <c r="N10" s="288"/>
      <c r="O10" s="289">
        <v>27395</v>
      </c>
      <c r="P10" s="293">
        <v>0.18</v>
      </c>
      <c r="Q10" s="289">
        <v>29952</v>
      </c>
      <c r="R10" s="306">
        <v>2963.2636783360517</v>
      </c>
      <c r="S10" s="306"/>
      <c r="T10" s="289">
        <v>29952</v>
      </c>
      <c r="U10" s="302">
        <v>1.725435E-4</v>
      </c>
      <c r="V10" s="302"/>
      <c r="W10" s="303">
        <f>1000/$R10*VLOOKUP(Q10,G$5:$I68,2)</f>
        <v>4.9140388291888382</v>
      </c>
      <c r="X10" s="294" t="str">
        <f>IFERROR(1000/$S10*VLOOKUP($Q10,G$5:$I68,3),"")</f>
        <v/>
      </c>
      <c r="Y10" s="1459">
        <f t="shared" si="0"/>
        <v>203.498595505618</v>
      </c>
      <c r="Z10" s="294"/>
      <c r="AA10" s="1462"/>
      <c r="AB10" s="410">
        <v>23</v>
      </c>
      <c r="AC10" s="410">
        <v>2.5</v>
      </c>
      <c r="AD10" s="410"/>
      <c r="AE10" s="589"/>
    </row>
    <row r="11" spans="1:31" s="588" customFormat="1">
      <c r="A11" s="265"/>
      <c r="B11" s="295">
        <v>1976</v>
      </c>
      <c r="C11" s="282"/>
      <c r="D11" s="282"/>
      <c r="E11" s="282"/>
      <c r="F11" s="282"/>
      <c r="G11" s="296">
        <v>30133</v>
      </c>
      <c r="H11" s="297">
        <v>15.400111461630102</v>
      </c>
      <c r="I11" s="298">
        <v>0</v>
      </c>
      <c r="J11" s="264">
        <v>1976</v>
      </c>
      <c r="K11" s="282">
        <v>11930.996047713759</v>
      </c>
      <c r="L11" s="282"/>
      <c r="M11" s="282">
        <v>19020.057980499329</v>
      </c>
      <c r="N11" s="282"/>
      <c r="O11" s="296">
        <v>27760</v>
      </c>
      <c r="P11" s="299">
        <v>0.18</v>
      </c>
      <c r="Q11" s="296">
        <v>30317</v>
      </c>
      <c r="R11" s="307">
        <v>3064.0393081198263</v>
      </c>
      <c r="S11" s="307"/>
      <c r="T11" s="296">
        <v>30317</v>
      </c>
      <c r="U11" s="267">
        <v>1.6686859999999999E-4</v>
      </c>
      <c r="V11" s="267"/>
      <c r="W11" s="304">
        <f>1000/$R11*VLOOKUP(Q11,G$5:$I69,2)</f>
        <v>5.0260815586860108</v>
      </c>
      <c r="X11" s="300" t="str">
        <f>IFERROR(1000/$S11*VLOOKUP($Q11,G$5:$I69,3),"")</f>
        <v/>
      </c>
      <c r="Y11" s="1458">
        <f t="shared" si="0"/>
        <v>198.96215139442228</v>
      </c>
      <c r="Z11" s="300"/>
      <c r="AA11" s="1462"/>
      <c r="AB11" s="410">
        <v>24</v>
      </c>
      <c r="AC11" s="410">
        <v>2.4</v>
      </c>
      <c r="AD11" s="410"/>
      <c r="AE11" s="589"/>
    </row>
    <row r="12" spans="1:31" s="588" customFormat="1">
      <c r="A12" s="265"/>
      <c r="B12" s="287">
        <v>1977</v>
      </c>
      <c r="C12" s="288"/>
      <c r="D12" s="288"/>
      <c r="E12" s="288"/>
      <c r="F12" s="288"/>
      <c r="G12" s="289">
        <v>30498</v>
      </c>
      <c r="H12" s="290">
        <v>16.26419474085171</v>
      </c>
      <c r="I12" s="291">
        <v>0</v>
      </c>
      <c r="J12" s="292">
        <v>1977</v>
      </c>
      <c r="K12" s="288">
        <v>12754.17597643967</v>
      </c>
      <c r="L12" s="288"/>
      <c r="M12" s="288">
        <v>20860.708752805716</v>
      </c>
      <c r="N12" s="288"/>
      <c r="O12" s="289">
        <v>28126</v>
      </c>
      <c r="P12" s="293">
        <v>0.18</v>
      </c>
      <c r="Q12" s="289">
        <v>30560</v>
      </c>
      <c r="R12" s="306">
        <v>3149.1515111231547</v>
      </c>
      <c r="S12" s="306"/>
      <c r="T12" s="289">
        <v>30560</v>
      </c>
      <c r="U12" s="302">
        <v>1.6235859999999999E-4</v>
      </c>
      <c r="V12" s="302"/>
      <c r="W12" s="303">
        <f>1000/$R12*VLOOKUP(Q12,G$5:$I70,2)</f>
        <v>5.1646275777474528</v>
      </c>
      <c r="X12" s="294" t="str">
        <f>IFERROR(1000/$S12*VLOOKUP($Q12,G$5:$I70,3),"")</f>
        <v/>
      </c>
      <c r="Y12" s="1459">
        <f t="shared" si="0"/>
        <v>193.62480352090537</v>
      </c>
      <c r="Z12" s="294"/>
      <c r="AA12" s="1462"/>
      <c r="AB12" s="410">
        <v>25</v>
      </c>
      <c r="AC12" s="410">
        <v>2.4</v>
      </c>
      <c r="AD12" s="410"/>
      <c r="AE12" s="589"/>
    </row>
    <row r="13" spans="1:31" s="588" customFormat="1">
      <c r="A13" s="265"/>
      <c r="B13" s="295">
        <v>1978</v>
      </c>
      <c r="C13" s="282">
        <v>997</v>
      </c>
      <c r="D13" s="282">
        <v>0</v>
      </c>
      <c r="E13" s="282">
        <f t="shared" ref="E13:E61" si="1">+C13*0.01</f>
        <v>9.9700000000000006</v>
      </c>
      <c r="F13" s="282">
        <f t="shared" ref="F13:F61" si="2">+C13*1.2</f>
        <v>1196.3999999999999</v>
      </c>
      <c r="G13" s="296">
        <v>30864</v>
      </c>
      <c r="H13" s="297">
        <v>16.816389972543625</v>
      </c>
      <c r="I13" s="298">
        <v>0</v>
      </c>
      <c r="J13" s="264">
        <v>1978</v>
      </c>
      <c r="K13" s="282">
        <v>13417.321546351166</v>
      </c>
      <c r="L13" s="282"/>
      <c r="M13" s="282">
        <v>22701.359525112101</v>
      </c>
      <c r="N13" s="282"/>
      <c r="O13" s="296">
        <v>28491</v>
      </c>
      <c r="P13" s="299">
        <v>0.18</v>
      </c>
      <c r="Q13" s="296">
        <v>30682</v>
      </c>
      <c r="R13" s="307">
        <v>3243.6459201464345</v>
      </c>
      <c r="S13" s="307"/>
      <c r="T13" s="296">
        <v>30682</v>
      </c>
      <c r="U13" s="267">
        <v>1.5762879999999999E-4</v>
      </c>
      <c r="V13" s="267"/>
      <c r="W13" s="304">
        <f>1000/$R13*VLOOKUP(Q13,G$5:$I71,2)</f>
        <v>5.0141708254387591</v>
      </c>
      <c r="X13" s="300" t="str">
        <f>IFERROR(1000/$S13*VLOOKUP($Q13,G$5:$I71,3),"")</f>
        <v/>
      </c>
      <c r="Y13" s="1458">
        <f t="shared" si="0"/>
        <v>199.43476894058475</v>
      </c>
      <c r="Z13" s="300"/>
      <c r="AA13" s="1462"/>
      <c r="AB13" s="410">
        <v>26</v>
      </c>
      <c r="AC13" s="410">
        <v>2.2999999999999998</v>
      </c>
      <c r="AD13" s="410"/>
      <c r="AE13" s="589"/>
    </row>
    <row r="14" spans="1:31" s="588" customFormat="1">
      <c r="A14" s="265"/>
      <c r="B14" s="287">
        <v>1979</v>
      </c>
      <c r="C14" s="288">
        <v>1074</v>
      </c>
      <c r="D14" s="288">
        <v>0</v>
      </c>
      <c r="E14" s="288">
        <f t="shared" si="1"/>
        <v>10.74</v>
      </c>
      <c r="F14" s="288">
        <f t="shared" si="2"/>
        <v>1288.8</v>
      </c>
      <c r="G14" s="289">
        <v>31229</v>
      </c>
      <c r="H14" s="290">
        <v>17.317456016115919</v>
      </c>
      <c r="I14" s="291">
        <v>0</v>
      </c>
      <c r="J14" s="292">
        <v>1979</v>
      </c>
      <c r="K14" s="288">
        <v>14155.627022798506</v>
      </c>
      <c r="L14" s="288"/>
      <c r="M14" s="288">
        <v>24542.010297418488</v>
      </c>
      <c r="N14" s="288"/>
      <c r="O14" s="289">
        <v>28856</v>
      </c>
      <c r="P14" s="293">
        <v>0.18</v>
      </c>
      <c r="Q14" s="289">
        <v>31048</v>
      </c>
      <c r="R14" s="306">
        <v>3373.750274819386</v>
      </c>
      <c r="S14" s="306"/>
      <c r="T14" s="289">
        <v>31048</v>
      </c>
      <c r="U14" s="302">
        <v>1.5155E-4</v>
      </c>
      <c r="V14" s="302"/>
      <c r="W14" s="303">
        <f>1000/$R14*VLOOKUP(Q14,G$5:$I72,2)</f>
        <v>4.984479763678979</v>
      </c>
      <c r="X14" s="294" t="str">
        <f>IFERROR(1000/$S14*VLOOKUP($Q14,G$5:$I72,3),"")</f>
        <v/>
      </c>
      <c r="Y14" s="1459">
        <f t="shared" si="0"/>
        <v>200.62274247491641</v>
      </c>
      <c r="Z14" s="294"/>
      <c r="AA14" s="1462"/>
      <c r="AB14" s="410">
        <v>27</v>
      </c>
      <c r="AC14" s="410">
        <v>2.2000000000000002</v>
      </c>
      <c r="AD14" s="410"/>
      <c r="AE14" s="589"/>
    </row>
    <row r="15" spans="1:31" s="588" customFormat="1">
      <c r="A15" s="265"/>
      <c r="B15" s="295">
        <v>1980</v>
      </c>
      <c r="C15" s="282">
        <v>1125</v>
      </c>
      <c r="D15" s="282">
        <v>0</v>
      </c>
      <c r="E15" s="282">
        <f t="shared" si="1"/>
        <v>11.25</v>
      </c>
      <c r="F15" s="282">
        <f t="shared" si="2"/>
        <v>1350</v>
      </c>
      <c r="G15" s="296">
        <v>31594</v>
      </c>
      <c r="H15" s="297">
        <v>17.823634978500177</v>
      </c>
      <c r="I15" s="298">
        <v>0</v>
      </c>
      <c r="J15" s="264">
        <v>1980</v>
      </c>
      <c r="K15" s="282">
        <v>15075.441117070503</v>
      </c>
      <c r="L15" s="282"/>
      <c r="M15" s="282">
        <v>25769.110812289411</v>
      </c>
      <c r="N15" s="282"/>
      <c r="O15" s="296">
        <v>29221</v>
      </c>
      <c r="P15" s="299">
        <v>0.18</v>
      </c>
      <c r="Q15" s="296">
        <v>31199</v>
      </c>
      <c r="R15" s="307">
        <v>3463.9575014188354</v>
      </c>
      <c r="S15" s="307"/>
      <c r="T15" s="296">
        <v>31199</v>
      </c>
      <c r="U15" s="267">
        <v>1.476034E-4</v>
      </c>
      <c r="V15" s="267"/>
      <c r="W15" s="304">
        <f>1000/$R15*VLOOKUP(Q15,G$5:$I73,2)</f>
        <v>4.8546756031665046</v>
      </c>
      <c r="X15" s="300" t="str">
        <f>IFERROR(1000/$S15*VLOOKUP($Q15,G$5:$I73,3),"")</f>
        <v/>
      </c>
      <c r="Y15" s="1458">
        <f t="shared" si="0"/>
        <v>205.98698692611742</v>
      </c>
      <c r="Z15" s="300"/>
      <c r="AA15" s="1462"/>
      <c r="AB15" s="410">
        <v>28</v>
      </c>
      <c r="AC15" s="410">
        <v>2.2000000000000002</v>
      </c>
      <c r="AD15" s="410"/>
      <c r="AE15" s="589"/>
    </row>
    <row r="16" spans="1:31" s="588" customFormat="1">
      <c r="A16" s="265"/>
      <c r="B16" s="287">
        <v>1981</v>
      </c>
      <c r="C16" s="288">
        <v>1196</v>
      </c>
      <c r="D16" s="288">
        <v>0</v>
      </c>
      <c r="E16" s="288">
        <f t="shared" si="1"/>
        <v>11.96</v>
      </c>
      <c r="F16" s="288">
        <f t="shared" si="2"/>
        <v>1435.2</v>
      </c>
      <c r="G16" s="289">
        <v>31959</v>
      </c>
      <c r="H16" s="290">
        <v>18.498540261679185</v>
      </c>
      <c r="I16" s="291">
        <v>0</v>
      </c>
      <c r="J16" s="292">
        <v>1981</v>
      </c>
      <c r="K16" s="288">
        <v>15798.919128963151</v>
      </c>
      <c r="L16" s="288"/>
      <c r="M16" s="288">
        <v>26996.211327160338</v>
      </c>
      <c r="N16" s="288"/>
      <c r="O16" s="289">
        <v>29587</v>
      </c>
      <c r="P16" s="293">
        <v>0.185</v>
      </c>
      <c r="Q16" s="289">
        <v>31413</v>
      </c>
      <c r="R16" s="306">
        <v>3595.6008446541878</v>
      </c>
      <c r="S16" s="306"/>
      <c r="T16" s="289">
        <v>31413</v>
      </c>
      <c r="U16" s="302">
        <v>1.4219929999999999E-4</v>
      </c>
      <c r="V16" s="302"/>
      <c r="W16" s="303">
        <f>1000/$R16*VLOOKUP(Q16,G$5:$I74,2)</f>
        <v>4.8162898954323312</v>
      </c>
      <c r="X16" s="294" t="str">
        <f>IFERROR(1000/$S16*VLOOKUP($Q16,G$5:$I74,3),"")</f>
        <v/>
      </c>
      <c r="Y16" s="1459">
        <f t="shared" si="0"/>
        <v>207.62869796279895</v>
      </c>
      <c r="Z16" s="294"/>
      <c r="AA16" s="1462"/>
      <c r="AB16" s="410">
        <v>29</v>
      </c>
      <c r="AC16" s="410">
        <v>2.1</v>
      </c>
      <c r="AD16" s="410"/>
      <c r="AE16" s="589"/>
    </row>
    <row r="17" spans="1:31" s="588" customFormat="1">
      <c r="A17" s="265"/>
      <c r="B17" s="295">
        <v>1982</v>
      </c>
      <c r="C17" s="282">
        <v>1258</v>
      </c>
      <c r="D17" s="282">
        <v>0</v>
      </c>
      <c r="E17" s="282">
        <f t="shared" si="1"/>
        <v>12.58</v>
      </c>
      <c r="F17" s="282">
        <f t="shared" si="2"/>
        <v>1509.6</v>
      </c>
      <c r="G17" s="296">
        <v>32325</v>
      </c>
      <c r="H17" s="297">
        <v>19.055848412183064</v>
      </c>
      <c r="I17" s="298">
        <v>0</v>
      </c>
      <c r="J17" s="264">
        <v>1982</v>
      </c>
      <c r="K17" s="282">
        <v>16462.575990755842</v>
      </c>
      <c r="L17" s="282"/>
      <c r="M17" s="282">
        <v>28836.862099466722</v>
      </c>
      <c r="N17" s="282"/>
      <c r="O17" s="296">
        <v>29952</v>
      </c>
      <c r="P17" s="299">
        <v>0.18</v>
      </c>
      <c r="Q17" s="296">
        <v>31778</v>
      </c>
      <c r="R17" s="307">
        <v>3607.0425343715965</v>
      </c>
      <c r="S17" s="307"/>
      <c r="T17" s="296">
        <v>31778</v>
      </c>
      <c r="U17" s="267">
        <v>1.4174820000000001E-4</v>
      </c>
      <c r="V17" s="267"/>
      <c r="W17" s="304">
        <f>1000/$R17*VLOOKUP(Q17,G$5:$I75,2)</f>
        <v>4.9413431665022864</v>
      </c>
      <c r="X17" s="300" t="str">
        <f>IFERROR(1000/$S17*VLOOKUP($Q17,G$5:$I75,3),"")</f>
        <v/>
      </c>
      <c r="Y17" s="1458">
        <f t="shared" si="0"/>
        <v>202.37412507171541</v>
      </c>
      <c r="Z17" s="300"/>
      <c r="AA17" s="1462"/>
      <c r="AB17" s="410">
        <v>30</v>
      </c>
      <c r="AC17" s="410">
        <v>2</v>
      </c>
      <c r="AD17" s="410"/>
      <c r="AE17" s="589"/>
    </row>
    <row r="18" spans="1:31" s="588" customFormat="1">
      <c r="A18" s="265"/>
      <c r="B18" s="287">
        <v>1983</v>
      </c>
      <c r="C18" s="288">
        <v>1319</v>
      </c>
      <c r="D18" s="288">
        <v>0</v>
      </c>
      <c r="E18" s="288">
        <f t="shared" si="1"/>
        <v>13.19</v>
      </c>
      <c r="F18" s="288">
        <f t="shared" si="2"/>
        <v>1582.8</v>
      </c>
      <c r="G18" s="289">
        <v>32690</v>
      </c>
      <c r="H18" s="290">
        <v>19.628495319122827</v>
      </c>
      <c r="I18" s="291">
        <v>0</v>
      </c>
      <c r="J18" s="292">
        <v>1983</v>
      </c>
      <c r="K18" s="288">
        <v>17022.440600665701</v>
      </c>
      <c r="L18" s="288"/>
      <c r="M18" s="288">
        <v>30677.51287177311</v>
      </c>
      <c r="N18" s="288"/>
      <c r="O18" s="289">
        <v>30317</v>
      </c>
      <c r="P18" s="293">
        <v>0.18</v>
      </c>
      <c r="Q18" s="289">
        <v>32143</v>
      </c>
      <c r="R18" s="306">
        <v>3718.9080850585174</v>
      </c>
      <c r="S18" s="306"/>
      <c r="T18" s="289">
        <v>32143</v>
      </c>
      <c r="U18" s="302">
        <v>1.374844E-4</v>
      </c>
      <c r="V18" s="302"/>
      <c r="W18" s="303">
        <f>1000/$R18*VLOOKUP(Q18,G$5:$I76,2)</f>
        <v>4.9741859273158431</v>
      </c>
      <c r="X18" s="294" t="str">
        <f>IFERROR(1000/$S18*VLOOKUP($Q18,G$5:$I76,3),"")</f>
        <v/>
      </c>
      <c r="Y18" s="1459">
        <f t="shared" si="0"/>
        <v>201.03792150359311</v>
      </c>
      <c r="Z18" s="294"/>
      <c r="AA18" s="1462"/>
      <c r="AB18" s="410">
        <v>31</v>
      </c>
      <c r="AC18" s="410">
        <v>2</v>
      </c>
      <c r="AD18" s="410"/>
      <c r="AE18" s="589"/>
    </row>
    <row r="19" spans="1:31" s="588" customFormat="1">
      <c r="A19" s="265"/>
      <c r="B19" s="295">
        <v>1984</v>
      </c>
      <c r="C19" s="282">
        <v>1396</v>
      </c>
      <c r="D19" s="282">
        <v>0</v>
      </c>
      <c r="E19" s="282">
        <f t="shared" si="1"/>
        <v>13.96</v>
      </c>
      <c r="F19" s="282">
        <f t="shared" si="2"/>
        <v>1675.2</v>
      </c>
      <c r="G19" s="296">
        <v>33055</v>
      </c>
      <c r="H19" s="297">
        <v>20.236932657746326</v>
      </c>
      <c r="I19" s="298">
        <v>8.1551055050796855</v>
      </c>
      <c r="J19" s="264">
        <v>1984</v>
      </c>
      <c r="K19" s="282">
        <v>17533.221189980726</v>
      </c>
      <c r="L19" s="282"/>
      <c r="M19" s="282">
        <v>31904.613386644036</v>
      </c>
      <c r="N19" s="282"/>
      <c r="O19" s="296">
        <v>30682</v>
      </c>
      <c r="P19" s="299">
        <v>0.185</v>
      </c>
      <c r="Q19" s="296">
        <v>32509</v>
      </c>
      <c r="R19" s="307">
        <v>3830.4868010000869</v>
      </c>
      <c r="S19" s="307"/>
      <c r="T19" s="296">
        <v>32509</v>
      </c>
      <c r="U19" s="267">
        <v>1.334796E-4</v>
      </c>
      <c r="V19" s="267"/>
      <c r="W19" s="304">
        <f>1000/$R19*VLOOKUP(Q19,G$5:$I77,2)</f>
        <v>4.9747850344263931</v>
      </c>
      <c r="X19" s="300" t="str">
        <f>IFERROR(1000/$S19*VLOOKUP($Q19,G$5:$I77,3),"")</f>
        <v/>
      </c>
      <c r="Y19" s="1458">
        <f t="shared" si="0"/>
        <v>201.01371075932386</v>
      </c>
      <c r="Z19" s="300"/>
      <c r="AA19" s="1462"/>
      <c r="AB19" s="410">
        <v>32</v>
      </c>
      <c r="AC19" s="410">
        <v>1.9</v>
      </c>
      <c r="AD19" s="410"/>
      <c r="AE19" s="589"/>
    </row>
    <row r="20" spans="1:31" s="588" customFormat="1">
      <c r="A20" s="265"/>
      <c r="B20" s="287">
        <v>1985</v>
      </c>
      <c r="C20" s="288">
        <v>1432</v>
      </c>
      <c r="D20" s="288">
        <v>0</v>
      </c>
      <c r="E20" s="288">
        <f t="shared" si="1"/>
        <v>14.32</v>
      </c>
      <c r="F20" s="288">
        <f t="shared" si="2"/>
        <v>1718.3999999999999</v>
      </c>
      <c r="G20" s="289">
        <v>33239</v>
      </c>
      <c r="H20" s="290">
        <v>20.236932657746326</v>
      </c>
      <c r="I20" s="291">
        <v>9.3822060199506101</v>
      </c>
      <c r="J20" s="292">
        <v>1985</v>
      </c>
      <c r="K20" s="288">
        <v>18041.445319889765</v>
      </c>
      <c r="L20" s="288"/>
      <c r="M20" s="288">
        <v>33131.713901514959</v>
      </c>
      <c r="N20" s="288"/>
      <c r="O20" s="289">
        <v>31048</v>
      </c>
      <c r="P20" s="293">
        <v>0.187</v>
      </c>
      <c r="Q20" s="289">
        <v>32874</v>
      </c>
      <c r="R20" s="306">
        <v>4010.5234094987809</v>
      </c>
      <c r="S20" s="306"/>
      <c r="T20" s="289">
        <v>32874</v>
      </c>
      <c r="U20" s="302">
        <v>1.2748760000000001E-4</v>
      </c>
      <c r="V20" s="302"/>
      <c r="W20" s="303">
        <f>1000/$R20*VLOOKUP(Q20,G$5:$I78,2)</f>
        <v>4.894247786369589</v>
      </c>
      <c r="X20" s="294" t="str">
        <f>IFERROR(1000/$S20*VLOOKUP($Q20,G$5:$I78,3),"")</f>
        <v/>
      </c>
      <c r="Y20" s="1459">
        <f t="shared" si="0"/>
        <v>204.32148997134675</v>
      </c>
      <c r="Z20" s="294"/>
      <c r="AA20" s="1462"/>
      <c r="AB20" s="410">
        <v>33</v>
      </c>
      <c r="AC20" s="410">
        <v>1.9</v>
      </c>
      <c r="AD20" s="410"/>
      <c r="AE20" s="589"/>
    </row>
    <row r="21" spans="1:31" s="588" customFormat="1">
      <c r="A21" s="265"/>
      <c r="B21" s="295">
        <v>1986</v>
      </c>
      <c r="C21" s="282">
        <v>1467</v>
      </c>
      <c r="D21" s="282">
        <v>0</v>
      </c>
      <c r="E21" s="282">
        <f t="shared" si="1"/>
        <v>14.67</v>
      </c>
      <c r="F21" s="282">
        <f t="shared" si="2"/>
        <v>1760.3999999999999</v>
      </c>
      <c r="G21" s="296">
        <v>33420</v>
      </c>
      <c r="H21" s="297">
        <v>21.187935556771293</v>
      </c>
      <c r="I21" s="298">
        <v>10.788258693240211</v>
      </c>
      <c r="J21" s="264">
        <v>1986</v>
      </c>
      <c r="K21" s="282">
        <v>18727.087732573895</v>
      </c>
      <c r="L21" s="282"/>
      <c r="M21" s="282">
        <v>34358.814416385881</v>
      </c>
      <c r="N21" s="282"/>
      <c r="O21" s="296">
        <v>31413</v>
      </c>
      <c r="P21" s="299">
        <v>0.192</v>
      </c>
      <c r="Q21" s="296">
        <v>33239</v>
      </c>
      <c r="R21" s="307">
        <v>4198.9738371944386</v>
      </c>
      <c r="S21" s="307"/>
      <c r="T21" s="296">
        <v>33239</v>
      </c>
      <c r="U21" s="267">
        <v>1.2176590000000001E-4</v>
      </c>
      <c r="V21" s="267"/>
      <c r="W21" s="304">
        <f>1000/$R21*VLOOKUP(Q21,G$5:$I79,2)</f>
        <v>4.8194948200171961</v>
      </c>
      <c r="X21" s="300" t="str">
        <f>IFERROR(1000/$S21*VLOOKUP($Q21,G$5:$I79,3),"")</f>
        <v/>
      </c>
      <c r="Y21" s="1458">
        <f t="shared" si="0"/>
        <v>207.49062657908033</v>
      </c>
      <c r="Z21" s="300"/>
      <c r="AA21" s="1462"/>
      <c r="AB21" s="410">
        <v>34</v>
      </c>
      <c r="AC21" s="410">
        <v>1.8</v>
      </c>
      <c r="AD21" s="410"/>
      <c r="AE21" s="589"/>
    </row>
    <row r="22" spans="1:31" s="588" customFormat="1">
      <c r="A22" s="265"/>
      <c r="B22" s="287">
        <v>1987</v>
      </c>
      <c r="C22" s="288">
        <v>1539</v>
      </c>
      <c r="D22" s="288">
        <v>0</v>
      </c>
      <c r="E22" s="288">
        <f t="shared" si="1"/>
        <v>15.39</v>
      </c>
      <c r="F22" s="288">
        <f t="shared" si="2"/>
        <v>1846.8</v>
      </c>
      <c r="G22" s="289">
        <v>33604</v>
      </c>
      <c r="H22" s="290">
        <v>21.187935556771293</v>
      </c>
      <c r="I22" s="291">
        <v>12.05114963979487</v>
      </c>
      <c r="J22" s="292">
        <v>1987</v>
      </c>
      <c r="K22" s="288">
        <v>19288.997510008539</v>
      </c>
      <c r="L22" s="288"/>
      <c r="M22" s="288">
        <v>34972.364673821343</v>
      </c>
      <c r="N22" s="288"/>
      <c r="O22" s="289">
        <v>31778</v>
      </c>
      <c r="P22" s="293">
        <v>0.187</v>
      </c>
      <c r="Q22" s="289">
        <v>33329</v>
      </c>
      <c r="R22" s="306">
        <v>3974.429781729496</v>
      </c>
      <c r="S22" s="306"/>
      <c r="T22" s="289">
        <v>33329</v>
      </c>
      <c r="U22" s="302">
        <v>1.2864530000000001E-4</v>
      </c>
      <c r="V22" s="302"/>
      <c r="W22" s="303">
        <f>1000/$R22*VLOOKUP(Q22,G$5:$I80,2)</f>
        <v>5.0917826629560201</v>
      </c>
      <c r="X22" s="294" t="str">
        <f>IFERROR(1000/$S22*VLOOKUP($Q22,G$5:$I80,3),"")</f>
        <v/>
      </c>
      <c r="Y22" s="1459">
        <f t="shared" si="0"/>
        <v>196.39487114704397</v>
      </c>
      <c r="Z22" s="294"/>
      <c r="AA22" s="1462"/>
      <c r="AB22" s="410">
        <v>35</v>
      </c>
      <c r="AC22" s="410">
        <v>1.7</v>
      </c>
      <c r="AD22" s="410"/>
      <c r="AE22" s="589"/>
    </row>
    <row r="23" spans="1:31" s="588" customFormat="1">
      <c r="A23" s="265"/>
      <c r="B23" s="295">
        <v>1988</v>
      </c>
      <c r="C23" s="282">
        <v>1575</v>
      </c>
      <c r="D23" s="282">
        <v>0</v>
      </c>
      <c r="E23" s="282">
        <f t="shared" si="1"/>
        <v>15.75</v>
      </c>
      <c r="F23" s="282">
        <f t="shared" si="2"/>
        <v>1890</v>
      </c>
      <c r="G23" s="296">
        <v>33786</v>
      </c>
      <c r="H23" s="297">
        <v>21.796372895394796</v>
      </c>
      <c r="I23" s="298">
        <v>13.585025283383526</v>
      </c>
      <c r="J23" s="264">
        <v>1988</v>
      </c>
      <c r="K23" s="282">
        <v>19887.209011008115</v>
      </c>
      <c r="L23" s="282"/>
      <c r="M23" s="282">
        <v>36813.015446127734</v>
      </c>
      <c r="N23" s="282"/>
      <c r="O23" s="296">
        <v>32143</v>
      </c>
      <c r="P23" s="299">
        <v>0.187</v>
      </c>
      <c r="Q23" s="296">
        <v>33604</v>
      </c>
      <c r="R23" s="307">
        <v>4152.8931451097487</v>
      </c>
      <c r="S23" s="307">
        <v>2834.352423267871</v>
      </c>
      <c r="T23" s="296">
        <v>33604</v>
      </c>
      <c r="U23" s="267">
        <v>1.2311700000000001E-4</v>
      </c>
      <c r="V23" s="267">
        <v>1.8039109999999999E-4</v>
      </c>
      <c r="W23" s="304">
        <f>1000/$R23*VLOOKUP(Q23,G$5:$I81,2)</f>
        <v>5.1019698355882834</v>
      </c>
      <c r="X23" s="300">
        <f>IFERROR(1000/$S23*VLOOKUP($Q23,G$5:$I81,3),"")</f>
        <v>4.2518176430228385</v>
      </c>
      <c r="Y23" s="1458">
        <f t="shared" si="0"/>
        <v>196.00272683397682</v>
      </c>
      <c r="Z23" s="300">
        <f>1000/X23</f>
        <v>235.19352991090369</v>
      </c>
      <c r="AA23" s="1462"/>
      <c r="AB23" s="410">
        <v>36</v>
      </c>
      <c r="AC23" s="410">
        <v>1.7</v>
      </c>
      <c r="AD23" s="410"/>
      <c r="AE23" s="589"/>
    </row>
    <row r="24" spans="1:31" s="588" customFormat="1">
      <c r="A24" s="265"/>
      <c r="B24" s="287">
        <v>1989</v>
      </c>
      <c r="C24" s="288">
        <v>1611</v>
      </c>
      <c r="D24" s="288">
        <v>0</v>
      </c>
      <c r="E24" s="288">
        <f t="shared" si="1"/>
        <v>16.11</v>
      </c>
      <c r="F24" s="288">
        <f t="shared" si="2"/>
        <v>1933.1999999999998</v>
      </c>
      <c r="G24" s="289">
        <v>33970</v>
      </c>
      <c r="H24" s="290">
        <v>21.796372895394796</v>
      </c>
      <c r="I24" s="291">
        <v>14.4133181309214</v>
      </c>
      <c r="J24" s="292">
        <v>1989</v>
      </c>
      <c r="K24" s="288">
        <v>20483.886636364103</v>
      </c>
      <c r="L24" s="288"/>
      <c r="M24" s="288">
        <v>37426.565703563196</v>
      </c>
      <c r="N24" s="288"/>
      <c r="O24" s="289">
        <v>32509</v>
      </c>
      <c r="P24" s="293">
        <v>0.187</v>
      </c>
      <c r="Q24" s="289">
        <v>33970</v>
      </c>
      <c r="R24" s="306">
        <v>4443.6505217733647</v>
      </c>
      <c r="S24" s="306">
        <v>3234.333300951514</v>
      </c>
      <c r="T24" s="289">
        <v>33970</v>
      </c>
      <c r="U24" s="302">
        <v>1.150612E-4</v>
      </c>
      <c r="V24" s="302">
        <v>1.580826E-4</v>
      </c>
      <c r="W24" s="303">
        <f>1000/$R24*VLOOKUP(Q24,G$5:$I82,2)</f>
        <v>4.9050601051084319</v>
      </c>
      <c r="X24" s="294">
        <f>IFERROR(1000/$S24*VLOOKUP($Q24,G$5:$I82,3),"")</f>
        <v>4.456349049333018</v>
      </c>
      <c r="Y24" s="1459">
        <f t="shared" si="0"/>
        <v>203.87110016420357</v>
      </c>
      <c r="Z24" s="294">
        <f t="shared" ref="Z24:Z55" si="3">1000/X24</f>
        <v>224.3989393401915</v>
      </c>
      <c r="AA24" s="1462"/>
      <c r="AB24" s="410">
        <v>37</v>
      </c>
      <c r="AC24" s="410">
        <v>1.6</v>
      </c>
      <c r="AD24" s="410"/>
      <c r="AE24" s="589"/>
    </row>
    <row r="25" spans="1:31" s="588" customFormat="1">
      <c r="A25" s="265"/>
      <c r="B25" s="295">
        <v>1990</v>
      </c>
      <c r="C25" s="282">
        <v>1682.1502891355588</v>
      </c>
      <c r="D25" s="282">
        <v>0</v>
      </c>
      <c r="E25" s="282">
        <f t="shared" si="1"/>
        <v>16.821502891355589</v>
      </c>
      <c r="F25" s="282">
        <f t="shared" si="2"/>
        <v>2018.5803469626703</v>
      </c>
      <c r="G25" s="296">
        <v>34151</v>
      </c>
      <c r="H25" s="297">
        <v>22.747375794419764</v>
      </c>
      <c r="I25" s="298">
        <v>16.448259818082349</v>
      </c>
      <c r="J25" s="264">
        <v>1990</v>
      </c>
      <c r="K25" s="282">
        <v>21446.64924865658</v>
      </c>
      <c r="L25" s="282"/>
      <c r="M25" s="282">
        <v>38653.666218434118</v>
      </c>
      <c r="N25" s="282">
        <v>16565.856950757479</v>
      </c>
      <c r="O25" s="296">
        <v>32874</v>
      </c>
      <c r="P25" s="299">
        <v>0.187</v>
      </c>
      <c r="Q25" s="296">
        <v>34335</v>
      </c>
      <c r="R25" s="307">
        <v>5092.6634727967157</v>
      </c>
      <c r="S25" s="307">
        <v>3943.8267640848135</v>
      </c>
      <c r="T25" s="296">
        <v>34335</v>
      </c>
      <c r="U25" s="267">
        <v>1.003977E-4</v>
      </c>
      <c r="V25" s="267">
        <v>1.2964359999999999E-4</v>
      </c>
      <c r="W25" s="304">
        <f>1000/$R25*VLOOKUP(Q25,G$5:$I83,2)</f>
        <v>4.466695259941786</v>
      </c>
      <c r="X25" s="300">
        <f>IFERROR(1000/$S25*VLOOKUP($Q25,G$5:$I83,3),"")</f>
        <v>4.3223174694991089</v>
      </c>
      <c r="Y25" s="1458">
        <f t="shared" si="0"/>
        <v>223.87916385704651</v>
      </c>
      <c r="Z25" s="300">
        <f t="shared" si="3"/>
        <v>231.35736952609471</v>
      </c>
      <c r="AA25" s="1462"/>
      <c r="AB25" s="410">
        <v>38</v>
      </c>
      <c r="AC25" s="410">
        <v>1.6</v>
      </c>
      <c r="AD25" s="410"/>
      <c r="AE25" s="589"/>
    </row>
    <row r="26" spans="1:31" s="588" customFormat="1">
      <c r="A26" s="265"/>
      <c r="B26" s="287">
        <v>1991</v>
      </c>
      <c r="C26" s="288">
        <v>1717.9407208192943</v>
      </c>
      <c r="D26" s="288">
        <v>0</v>
      </c>
      <c r="E26" s="288">
        <f t="shared" si="1"/>
        <v>17.179407208192941</v>
      </c>
      <c r="F26" s="288">
        <f t="shared" si="2"/>
        <v>2061.5288649831532</v>
      </c>
      <c r="G26" s="289">
        <v>34335</v>
      </c>
      <c r="H26" s="290">
        <v>22.747375794419764</v>
      </c>
      <c r="I26" s="291">
        <v>17.046471319081927</v>
      </c>
      <c r="J26" s="292">
        <v>1991</v>
      </c>
      <c r="K26" s="288">
        <v>22712.09665461722</v>
      </c>
      <c r="L26" s="288"/>
      <c r="M26" s="288">
        <v>39880.766733305041</v>
      </c>
      <c r="N26" s="288">
        <v>18406.507723063867</v>
      </c>
      <c r="O26" s="289">
        <v>33239</v>
      </c>
      <c r="P26" s="293">
        <v>0.187</v>
      </c>
      <c r="Q26" s="289">
        <v>34700</v>
      </c>
      <c r="R26" s="306">
        <v>4847.4519769100589</v>
      </c>
      <c r="S26" s="306">
        <v>3940.3771800207587</v>
      </c>
      <c r="T26" s="289">
        <v>34700</v>
      </c>
      <c r="U26" s="302">
        <v>1.0547640000000001E-4</v>
      </c>
      <c r="V26" s="302">
        <v>1.2975709999999999E-4</v>
      </c>
      <c r="W26" s="303">
        <f>1000/$R26*VLOOKUP(Q26,G$5:$I84,2)</f>
        <v>4.8519153252175551</v>
      </c>
      <c r="X26" s="294">
        <f>IFERROR(1000/$S26*VLOOKUP($Q26,G$5:$I84,3),"")</f>
        <v>4.4701317925907125</v>
      </c>
      <c r="Y26" s="1459">
        <f t="shared" si="0"/>
        <v>206.1041739130435</v>
      </c>
      <c r="Z26" s="294">
        <f t="shared" si="3"/>
        <v>223.70705079825831</v>
      </c>
      <c r="AA26" s="1462"/>
      <c r="AB26" s="410">
        <v>39</v>
      </c>
      <c r="AC26" s="410">
        <v>1.6</v>
      </c>
      <c r="AD26" s="410"/>
      <c r="AE26" s="589"/>
    </row>
    <row r="27" spans="1:31" s="588" customFormat="1">
      <c r="A27" s="265"/>
      <c r="B27" s="295">
        <v>1992</v>
      </c>
      <c r="C27" s="282">
        <v>1789.5215841867648</v>
      </c>
      <c r="D27" s="282">
        <v>1073.7129505120588</v>
      </c>
      <c r="E27" s="282">
        <f t="shared" si="1"/>
        <v>17.89521584186765</v>
      </c>
      <c r="F27" s="282">
        <f t="shared" si="2"/>
        <v>2147.4259010241176</v>
      </c>
      <c r="G27" s="296">
        <v>34516</v>
      </c>
      <c r="H27" s="297">
        <v>23.519426535026049</v>
      </c>
      <c r="I27" s="298">
        <v>17.634456982457579</v>
      </c>
      <c r="J27" s="264">
        <v>1992</v>
      </c>
      <c r="K27" s="282">
        <v>23938.685877606949</v>
      </c>
      <c r="L27" s="282"/>
      <c r="M27" s="282">
        <v>41721.417505611433</v>
      </c>
      <c r="N27" s="282">
        <v>29450.412356902187</v>
      </c>
      <c r="O27" s="296">
        <v>33329</v>
      </c>
      <c r="P27" s="299">
        <v>0.17699999999999999</v>
      </c>
      <c r="Q27" s="296">
        <v>35065</v>
      </c>
      <c r="R27" s="307">
        <v>5017.172249121857</v>
      </c>
      <c r="S27" s="307">
        <v>4266.3029506654466</v>
      </c>
      <c r="T27" s="296">
        <v>35065</v>
      </c>
      <c r="U27" s="267">
        <v>1.019084E-4</v>
      </c>
      <c r="V27" s="267">
        <v>1.1984429999999999E-4</v>
      </c>
      <c r="W27" s="304">
        <f>1000/$R27*VLOOKUP(Q27,G$5:$I85,2)</f>
        <v>4.7112242701729654</v>
      </c>
      <c r="X27" s="300">
        <f>IFERROR(1000/$S27*VLOOKUP($Q27,G$5:$I85,3),"")</f>
        <v>4.5444939937836555</v>
      </c>
      <c r="Y27" s="1458">
        <f t="shared" si="0"/>
        <v>212.25905256327067</v>
      </c>
      <c r="Z27" s="300">
        <f t="shared" si="3"/>
        <v>220.04650052742613</v>
      </c>
      <c r="AA27" s="1462"/>
      <c r="AB27" s="410">
        <v>40</v>
      </c>
      <c r="AC27" s="410">
        <v>1.5</v>
      </c>
      <c r="AD27" s="410"/>
      <c r="AE27" s="589"/>
    </row>
    <row r="28" spans="1:31" s="588" customFormat="1">
      <c r="A28" s="265"/>
      <c r="B28" s="287">
        <v>1993</v>
      </c>
      <c r="C28" s="288">
        <v>1896.8928792379706</v>
      </c>
      <c r="D28" s="288">
        <v>1395.8268356656765</v>
      </c>
      <c r="E28" s="288">
        <f t="shared" si="1"/>
        <v>18.968928792379707</v>
      </c>
      <c r="F28" s="288">
        <f t="shared" si="2"/>
        <v>2276.2714550855649</v>
      </c>
      <c r="G28" s="289">
        <v>34700</v>
      </c>
      <c r="H28" s="290">
        <v>23.519426535026049</v>
      </c>
      <c r="I28" s="291">
        <v>17.61400530720973</v>
      </c>
      <c r="J28" s="292">
        <v>1993</v>
      </c>
      <c r="K28" s="288">
        <v>24633.020252271413</v>
      </c>
      <c r="L28" s="288"/>
      <c r="M28" s="288">
        <v>44175.618535353278</v>
      </c>
      <c r="N28" s="288">
        <v>32518.163644079497</v>
      </c>
      <c r="O28" s="289">
        <v>33604</v>
      </c>
      <c r="P28" s="293">
        <v>0.17699999999999999</v>
      </c>
      <c r="Q28" s="289">
        <v>35431</v>
      </c>
      <c r="R28" s="306">
        <v>5584.6459048076777</v>
      </c>
      <c r="S28" s="306">
        <v>4798.6302490502758</v>
      </c>
      <c r="T28" s="289">
        <v>35431</v>
      </c>
      <c r="U28" s="302">
        <v>9.1553100000000003E-5</v>
      </c>
      <c r="V28" s="302">
        <v>1.0654949999999999E-4</v>
      </c>
      <c r="W28" s="303">
        <f>1000/$R28*VLOOKUP(Q28,G$5:$I86,2)</f>
        <v>4.2727851509592298</v>
      </c>
      <c r="X28" s="294">
        <f>IFERROR(1000/$S28*VLOOKUP($Q28,G$5:$I86,3),"")</f>
        <v>4.0893716293716613</v>
      </c>
      <c r="Y28" s="1459">
        <f t="shared" si="0"/>
        <v>234.03938290122133</v>
      </c>
      <c r="Z28" s="294">
        <f t="shared" si="3"/>
        <v>244.5363470557582</v>
      </c>
      <c r="AA28" s="1462"/>
      <c r="AB28" s="410">
        <v>41</v>
      </c>
      <c r="AC28" s="410">
        <v>1.5</v>
      </c>
      <c r="AD28" s="410"/>
      <c r="AE28" s="589"/>
    </row>
    <row r="29" spans="1:31" s="588" customFormat="1">
      <c r="A29" s="265"/>
      <c r="B29" s="295">
        <v>1994</v>
      </c>
      <c r="C29" s="282">
        <v>2004.2641742891765</v>
      </c>
      <c r="D29" s="282">
        <v>1574.7789940843529</v>
      </c>
      <c r="E29" s="282">
        <f t="shared" si="1"/>
        <v>20.042641742891764</v>
      </c>
      <c r="F29" s="282">
        <f t="shared" si="2"/>
        <v>2405.1170091470117</v>
      </c>
      <c r="G29" s="296">
        <v>34881</v>
      </c>
      <c r="H29" s="297">
        <v>23.637023667701179</v>
      </c>
      <c r="I29" s="298">
        <v>18.575234043858618</v>
      </c>
      <c r="J29" s="264">
        <v>1994</v>
      </c>
      <c r="K29" s="282">
        <v>25125.90562574457</v>
      </c>
      <c r="L29" s="282"/>
      <c r="M29" s="282">
        <v>46629.819565095124</v>
      </c>
      <c r="N29" s="282">
        <v>36199.465188692273</v>
      </c>
      <c r="O29" s="296">
        <v>33970</v>
      </c>
      <c r="P29" s="299">
        <v>0.17499999999999999</v>
      </c>
      <c r="Q29" s="296">
        <v>35796</v>
      </c>
      <c r="R29" s="307">
        <v>5578.3145774428249</v>
      </c>
      <c r="S29" s="307">
        <v>4648.2081264731596</v>
      </c>
      <c r="T29" s="296">
        <v>35796</v>
      </c>
      <c r="U29" s="267">
        <v>9.16571E-5</v>
      </c>
      <c r="V29" s="267">
        <v>1.099976E-4</v>
      </c>
      <c r="W29" s="304">
        <f>1000/$R29*VLOOKUP(Q29,G$5:$I87,2)</f>
        <v>4.3482106480749501</v>
      </c>
      <c r="X29" s="300">
        <f>IFERROR(1000/$S29*VLOOKUP($Q29,G$5:$I87,3),"")</f>
        <v>4.4560040221293677</v>
      </c>
      <c r="Y29" s="1458">
        <f t="shared" si="0"/>
        <v>229.97965851602024</v>
      </c>
      <c r="Z29" s="300">
        <f t="shared" si="3"/>
        <v>224.41631449024931</v>
      </c>
      <c r="AA29" s="1462"/>
      <c r="AB29" s="410">
        <v>42</v>
      </c>
      <c r="AC29" s="410">
        <v>1.4</v>
      </c>
      <c r="AD29" s="410"/>
      <c r="AE29" s="589"/>
    </row>
    <row r="30" spans="1:31" s="588" customFormat="1">
      <c r="A30" s="265"/>
      <c r="B30" s="287">
        <v>1995</v>
      </c>
      <c r="C30" s="288">
        <v>2075.845037656647</v>
      </c>
      <c r="D30" s="288">
        <v>1682.1502891355588</v>
      </c>
      <c r="E30" s="288">
        <f t="shared" si="1"/>
        <v>20.758450376566472</v>
      </c>
      <c r="F30" s="288">
        <f t="shared" si="2"/>
        <v>2491.0140451879765</v>
      </c>
      <c r="G30" s="289">
        <v>35065</v>
      </c>
      <c r="H30" s="290">
        <v>23.637023667701179</v>
      </c>
      <c r="I30" s="291">
        <v>19.388188134960608</v>
      </c>
      <c r="J30" s="292">
        <v>1995</v>
      </c>
      <c r="K30" s="288">
        <v>25904.603160806411</v>
      </c>
      <c r="L30" s="288"/>
      <c r="M30" s="288">
        <v>47856.920079966054</v>
      </c>
      <c r="N30" s="288">
        <v>39267.21647586958</v>
      </c>
      <c r="O30" s="289">
        <v>34335</v>
      </c>
      <c r="P30" s="293">
        <v>0.192</v>
      </c>
      <c r="Q30" s="289">
        <v>36161</v>
      </c>
      <c r="R30" s="306">
        <v>5509.5003144445072</v>
      </c>
      <c r="S30" s="306">
        <v>4646.6225080911936</v>
      </c>
      <c r="T30" s="289">
        <v>36161</v>
      </c>
      <c r="U30" s="302">
        <v>9.2801900000000003E-5</v>
      </c>
      <c r="V30" s="302">
        <v>1.100352E-4</v>
      </c>
      <c r="W30" s="303">
        <f>1000/$R30*VLOOKUP(Q30,G$5:$I88,2)</f>
        <v>4.422008666580175</v>
      </c>
      <c r="X30" s="294">
        <f>IFERROR(1000/$S30*VLOOKUP($Q30,G$5:$I88,3),"")</f>
        <v>4.4971372535862857</v>
      </c>
      <c r="Y30" s="1459">
        <f t="shared" si="0"/>
        <v>226.14157397691503</v>
      </c>
      <c r="Z30" s="294">
        <f t="shared" si="3"/>
        <v>222.36368240763395</v>
      </c>
      <c r="AA30" s="1462"/>
      <c r="AB30" s="410">
        <v>43</v>
      </c>
      <c r="AC30" s="410">
        <v>1.4</v>
      </c>
      <c r="AD30" s="410"/>
      <c r="AE30" s="589"/>
    </row>
    <row r="31" spans="1:31" s="588" customFormat="1">
      <c r="A31" s="265"/>
      <c r="B31" s="295">
        <v>1996</v>
      </c>
      <c r="C31" s="282">
        <v>2111.6354693403823</v>
      </c>
      <c r="D31" s="282">
        <v>1789.5215841867648</v>
      </c>
      <c r="E31" s="282">
        <f t="shared" si="1"/>
        <v>21.116354693403824</v>
      </c>
      <c r="F31" s="282">
        <f t="shared" si="2"/>
        <v>2533.9625632084585</v>
      </c>
      <c r="G31" s="296">
        <v>35247</v>
      </c>
      <c r="H31" s="297">
        <v>23.861992095427517</v>
      </c>
      <c r="I31" s="298">
        <v>19.623382400310867</v>
      </c>
      <c r="J31" s="264">
        <v>1996</v>
      </c>
      <c r="K31" s="282">
        <v>26422.541836458178</v>
      </c>
      <c r="L31" s="282"/>
      <c r="M31" s="282">
        <v>49084.020594836977</v>
      </c>
      <c r="N31" s="282">
        <v>41721.417505611433</v>
      </c>
      <c r="O31" s="296">
        <v>34700</v>
      </c>
      <c r="P31" s="299">
        <v>0.186</v>
      </c>
      <c r="Q31" s="296">
        <v>36251</v>
      </c>
      <c r="R31" s="307">
        <v>5292.3771493432459</v>
      </c>
      <c r="S31" s="307">
        <v>4463.5043945537191</v>
      </c>
      <c r="T31" s="296">
        <v>36251</v>
      </c>
      <c r="U31" s="267">
        <v>9.6609100000000003E-5</v>
      </c>
      <c r="V31" s="267">
        <v>1.145494E-4</v>
      </c>
      <c r="W31" s="304">
        <f>1000/$R31*VLOOKUP(Q31,G$5:$I89,2)</f>
        <v>4.6034244067475667</v>
      </c>
      <c r="X31" s="300">
        <f>IFERROR(1000/$S31*VLOOKUP($Q31,G$5:$I89,3),"")</f>
        <v>4.6816351766085296</v>
      </c>
      <c r="Y31" s="1458">
        <f t="shared" si="0"/>
        <v>217.22959076600213</v>
      </c>
      <c r="Z31" s="300">
        <f t="shared" si="3"/>
        <v>213.6005823342305</v>
      </c>
      <c r="AA31" s="1462"/>
      <c r="AB31" s="410">
        <v>44</v>
      </c>
      <c r="AC31" s="410">
        <v>1.3</v>
      </c>
      <c r="AD31" s="410"/>
      <c r="AE31" s="589"/>
    </row>
    <row r="32" spans="1:31" s="588" customFormat="1">
      <c r="A32" s="265"/>
      <c r="B32" s="287">
        <v>1997</v>
      </c>
      <c r="C32" s="288">
        <v>2183.2163327078529</v>
      </c>
      <c r="D32" s="288">
        <v>1861.1024475542354</v>
      </c>
      <c r="E32" s="288">
        <f t="shared" si="1"/>
        <v>21.832163327078529</v>
      </c>
      <c r="F32" s="288">
        <f t="shared" si="2"/>
        <v>2619.8595992494234</v>
      </c>
      <c r="G32" s="289">
        <v>35612</v>
      </c>
      <c r="H32" s="290">
        <v>24.255686843948606</v>
      </c>
      <c r="I32" s="291">
        <v>20.712434107258812</v>
      </c>
      <c r="J32" s="292">
        <v>1997</v>
      </c>
      <c r="K32" s="288">
        <v>26660.292561214421</v>
      </c>
      <c r="L32" s="288"/>
      <c r="M32" s="288">
        <v>50311.121109707899</v>
      </c>
      <c r="N32" s="288">
        <v>43562.068277917817</v>
      </c>
      <c r="O32" s="289">
        <v>35065</v>
      </c>
      <c r="P32" s="293">
        <v>0.192</v>
      </c>
      <c r="Q32" s="289">
        <v>36526</v>
      </c>
      <c r="R32" s="306">
        <v>5379.3064836923459</v>
      </c>
      <c r="S32" s="306">
        <v>4423.7718002075844</v>
      </c>
      <c r="T32" s="289">
        <v>36526</v>
      </c>
      <c r="U32" s="302">
        <f>0.0000950479*1.95583</f>
        <v>1.8589753425699999E-4</v>
      </c>
      <c r="V32" s="302">
        <v>1.155783E-4</v>
      </c>
      <c r="W32" s="303">
        <f>1000/$R32*VLOOKUP(Q32,G$5:$I90,2)</f>
        <v>4.5898639569645843</v>
      </c>
      <c r="X32" s="294">
        <f>IFERROR(1000/$S32*VLOOKUP($Q32,G$5:$I90,3),"")</f>
        <v>4.8554430244447104</v>
      </c>
      <c r="Y32" s="1459">
        <f t="shared" si="0"/>
        <v>217.8713812383516</v>
      </c>
      <c r="Z32" s="294">
        <f t="shared" si="3"/>
        <v>205.95442989764345</v>
      </c>
      <c r="AA32" s="1462"/>
      <c r="AB32" s="410">
        <v>45</v>
      </c>
      <c r="AC32" s="410">
        <v>1.3</v>
      </c>
      <c r="AD32" s="410"/>
      <c r="AE32" s="589"/>
    </row>
    <row r="33" spans="1:34" s="588" customFormat="1">
      <c r="A33" s="265"/>
      <c r="B33" s="295">
        <v>1998</v>
      </c>
      <c r="C33" s="282">
        <v>2219.0067643915881</v>
      </c>
      <c r="D33" s="282">
        <v>1861.1024475542354</v>
      </c>
      <c r="E33" s="282">
        <f t="shared" si="1"/>
        <v>22.190067643915881</v>
      </c>
      <c r="F33" s="282">
        <f t="shared" si="2"/>
        <v>2662.8081172699058</v>
      </c>
      <c r="G33" s="296">
        <v>35977</v>
      </c>
      <c r="H33" s="297">
        <v>24.363058138999811</v>
      </c>
      <c r="I33" s="298">
        <v>20.89649918448945</v>
      </c>
      <c r="J33" s="264">
        <v>1998</v>
      </c>
      <c r="K33" s="282">
        <v>27060.122812309863</v>
      </c>
      <c r="L33" s="282"/>
      <c r="M33" s="282">
        <v>51538.221624578822</v>
      </c>
      <c r="N33" s="282">
        <v>42948.518020482355</v>
      </c>
      <c r="O33" s="296">
        <v>35431</v>
      </c>
      <c r="P33" s="299">
        <v>0.20300000000000001</v>
      </c>
      <c r="Q33" s="296">
        <v>36892</v>
      </c>
      <c r="R33" s="307">
        <v>5340.2616791847968</v>
      </c>
      <c r="S33" s="307">
        <v>4473.7050254879005</v>
      </c>
      <c r="T33" s="296">
        <v>36892</v>
      </c>
      <c r="U33" s="267">
        <f>0.0000957429*1.95583</f>
        <v>1.87256836107E-4</v>
      </c>
      <c r="V33" s="267">
        <v>1.142882E-4</v>
      </c>
      <c r="W33" s="304">
        <f>1000/$R33*VLOOKUP(Q33,G$5:$I91,2)</f>
        <v>4.651187728370636</v>
      </c>
      <c r="X33" s="300">
        <f>IFERROR(1000/$S33*VLOOKUP($Q33,G$5:$I91,3),"")</f>
        <v>4.8298210937579018</v>
      </c>
      <c r="Y33" s="1458">
        <f t="shared" si="0"/>
        <v>214.99884726224786</v>
      </c>
      <c r="Z33" s="300">
        <f t="shared" si="3"/>
        <v>207.04700662565074</v>
      </c>
      <c r="AA33" s="1462"/>
      <c r="AB33" s="410">
        <v>46</v>
      </c>
      <c r="AC33" s="410">
        <v>1.3</v>
      </c>
      <c r="AD33" s="410"/>
      <c r="AE33" s="589"/>
    </row>
    <row r="34" spans="1:34" s="588" customFormat="1">
      <c r="A34" s="265"/>
      <c r="B34" s="287">
        <v>1999</v>
      </c>
      <c r="C34" s="288">
        <v>2254.7971960753234</v>
      </c>
      <c r="D34" s="288">
        <v>1896.8928792379706</v>
      </c>
      <c r="E34" s="288">
        <f t="shared" si="1"/>
        <v>22.547971960753234</v>
      </c>
      <c r="F34" s="288">
        <f t="shared" si="2"/>
        <v>2705.7566352903882</v>
      </c>
      <c r="G34" s="289">
        <v>36342</v>
      </c>
      <c r="H34" s="290">
        <v>24.690284942965391</v>
      </c>
      <c r="I34" s="291">
        <v>21.479371929053137</v>
      </c>
      <c r="J34" s="292">
        <v>1999</v>
      </c>
      <c r="K34" s="288">
        <v>27357.694687166062</v>
      </c>
      <c r="L34" s="288"/>
      <c r="M34" s="288">
        <v>52151.771882014284</v>
      </c>
      <c r="N34" s="288">
        <v>44175.618535353278</v>
      </c>
      <c r="O34" s="289">
        <v>35796</v>
      </c>
      <c r="P34" s="293">
        <v>0.20300000000000001</v>
      </c>
      <c r="Q34" s="289">
        <v>37257</v>
      </c>
      <c r="R34" s="306">
        <v>5446.9380000000001</v>
      </c>
      <c r="S34" s="306">
        <v>4545.5545000000002</v>
      </c>
      <c r="T34" s="289">
        <v>37257</v>
      </c>
      <c r="U34" s="302">
        <v>1.8358940000000001E-4</v>
      </c>
      <c r="V34" s="302">
        <v>2.199952E-4</v>
      </c>
      <c r="W34" s="303">
        <f>1000/$R34*VLOOKUP(Q34,G$5:$I92,2)</f>
        <v>4.6473929091949957</v>
      </c>
      <c r="X34" s="294">
        <f>IFERROR(1000/$S34*VLOOKUP($Q34,G$5:$I92,3),"")</f>
        <v>4.8535870978154216</v>
      </c>
      <c r="Y34" s="1459">
        <f t="shared" si="0"/>
        <v>215.17440413128665</v>
      </c>
      <c r="Z34" s="294">
        <f t="shared" si="3"/>
        <v>206.03318326152953</v>
      </c>
      <c r="AA34" s="1462"/>
      <c r="AB34" s="410">
        <v>47</v>
      </c>
      <c r="AC34" s="410">
        <v>1.2</v>
      </c>
      <c r="AD34" s="410"/>
      <c r="AE34" s="589"/>
    </row>
    <row r="35" spans="1:34" s="588" customFormat="1">
      <c r="A35" s="265"/>
      <c r="B35" s="295">
        <v>2000</v>
      </c>
      <c r="C35" s="282">
        <v>2290.5876277590587</v>
      </c>
      <c r="D35" s="282">
        <v>1861.1024475542354</v>
      </c>
      <c r="E35" s="282">
        <f t="shared" si="1"/>
        <v>22.905876277590586</v>
      </c>
      <c r="F35" s="282">
        <f t="shared" si="2"/>
        <v>2748.7051533108702</v>
      </c>
      <c r="G35" s="296">
        <v>36708</v>
      </c>
      <c r="H35" s="297">
        <v>24.838559588512293</v>
      </c>
      <c r="I35" s="298">
        <v>21.607194899352194</v>
      </c>
      <c r="J35" s="264">
        <v>2000</v>
      </c>
      <c r="K35" s="282">
        <v>27740.65230618203</v>
      </c>
      <c r="L35" s="282"/>
      <c r="M35" s="282">
        <v>52765.322139449752</v>
      </c>
      <c r="N35" s="282">
        <v>43562.068277917817</v>
      </c>
      <c r="O35" s="296">
        <v>36161</v>
      </c>
      <c r="P35" s="299">
        <v>0.20300000000000001</v>
      </c>
      <c r="Q35" s="296">
        <v>37622</v>
      </c>
      <c r="R35" s="307">
        <v>5699.85</v>
      </c>
      <c r="S35" s="307">
        <v>4770.1481000000003</v>
      </c>
      <c r="T35" s="296">
        <v>37622</v>
      </c>
      <c r="U35" s="267">
        <v>1.7544319999999999E-4</v>
      </c>
      <c r="V35" s="267">
        <v>2.0963709999999999E-4</v>
      </c>
      <c r="W35" s="304">
        <f>1000/$R35*VLOOKUP(Q35,G$5:$I93,2)</f>
        <v>4.5369614989868152</v>
      </c>
      <c r="X35" s="300">
        <f>IFERROR(1000/$S35*VLOOKUP($Q35,G$5:$I93,3),"")</f>
        <v>4.7587621021661777</v>
      </c>
      <c r="Y35" s="1458">
        <f t="shared" si="0"/>
        <v>220.41183294663574</v>
      </c>
      <c r="Z35" s="300">
        <f t="shared" si="3"/>
        <v>210.13868281938326</v>
      </c>
      <c r="AA35" s="1462"/>
      <c r="AB35" s="410">
        <v>48</v>
      </c>
      <c r="AC35" s="410">
        <v>1.2</v>
      </c>
      <c r="AD35" s="410"/>
      <c r="AE35" s="589"/>
    </row>
    <row r="36" spans="1:34" s="588" customFormat="1">
      <c r="A36" s="265"/>
      <c r="B36" s="287">
        <v>2001</v>
      </c>
      <c r="C36" s="288">
        <v>2290.5876277590587</v>
      </c>
      <c r="D36" s="288">
        <v>1932.6833109217059</v>
      </c>
      <c r="E36" s="288">
        <f t="shared" si="1"/>
        <v>22.905876277590586</v>
      </c>
      <c r="F36" s="288">
        <f t="shared" si="2"/>
        <v>2748.7051533108702</v>
      </c>
      <c r="G36" s="289">
        <v>37073</v>
      </c>
      <c r="H36" s="290">
        <v>25.314061038024775</v>
      </c>
      <c r="I36" s="291">
        <v>22.062244673616828</v>
      </c>
      <c r="J36" s="292">
        <v>2001</v>
      </c>
      <c r="K36" s="288">
        <v>28231.4925121304</v>
      </c>
      <c r="L36" s="288"/>
      <c r="M36" s="288">
        <v>53378.872396885214</v>
      </c>
      <c r="N36" s="288">
        <v>44789.16879278874</v>
      </c>
      <c r="O36" s="289">
        <v>36526</v>
      </c>
      <c r="P36" s="293">
        <v>0.193</v>
      </c>
      <c r="Q36" s="289">
        <v>37987</v>
      </c>
      <c r="R36" s="306">
        <v>5738.46</v>
      </c>
      <c r="S36" s="306">
        <v>4817.3774000000003</v>
      </c>
      <c r="T36" s="289">
        <v>37987</v>
      </c>
      <c r="U36" s="302">
        <v>1.7426280000000001E-4</v>
      </c>
      <c r="V36" s="302">
        <v>2.0758180000000001E-4</v>
      </c>
      <c r="W36" s="303">
        <f>1000/$R36*VLOOKUP(Q36,G$5:$I94,2)</f>
        <v>4.5534864754655429</v>
      </c>
      <c r="X36" s="294">
        <f>IFERROR(1000/$S36*VLOOKUP($Q36,G$5:$I94,3),"")</f>
        <v>4.7681545564605337</v>
      </c>
      <c r="Y36" s="1459">
        <f t="shared" si="0"/>
        <v>219.61194029850748</v>
      </c>
      <c r="Z36" s="294">
        <f t="shared" si="3"/>
        <v>209.72474531998259</v>
      </c>
      <c r="AA36" s="1462"/>
      <c r="AB36" s="410">
        <v>49</v>
      </c>
      <c r="AC36" s="410">
        <v>1.2</v>
      </c>
      <c r="AD36" s="410"/>
      <c r="AE36" s="589"/>
    </row>
    <row r="37" spans="1:34" s="588" customFormat="1">
      <c r="A37" s="265"/>
      <c r="B37" s="295">
        <v>2002</v>
      </c>
      <c r="C37" s="282">
        <v>2345</v>
      </c>
      <c r="D37" s="282">
        <v>1960</v>
      </c>
      <c r="E37" s="282">
        <f t="shared" si="1"/>
        <v>23.45</v>
      </c>
      <c r="F37" s="282">
        <f t="shared" si="2"/>
        <v>2814</v>
      </c>
      <c r="G37" s="296">
        <v>37438</v>
      </c>
      <c r="H37" s="297">
        <v>25.86</v>
      </c>
      <c r="I37" s="298">
        <v>22.7</v>
      </c>
      <c r="J37" s="264">
        <v>2002</v>
      </c>
      <c r="K37" s="282">
        <v>28626</v>
      </c>
      <c r="L37" s="282">
        <v>23911</v>
      </c>
      <c r="M37" s="282">
        <v>54000</v>
      </c>
      <c r="N37" s="282">
        <v>45000</v>
      </c>
      <c r="O37" s="296">
        <v>36892</v>
      </c>
      <c r="P37" s="299">
        <v>0.191</v>
      </c>
      <c r="Q37" s="296">
        <v>38353</v>
      </c>
      <c r="R37" s="307">
        <v>5765.9549999999999</v>
      </c>
      <c r="S37" s="307">
        <v>4851.4556000000002</v>
      </c>
      <c r="T37" s="296">
        <v>38353</v>
      </c>
      <c r="U37" s="267">
        <v>1.7343179999999999E-4</v>
      </c>
      <c r="V37" s="267">
        <v>2.061237E-4</v>
      </c>
      <c r="W37" s="304">
        <f>1000/$R37*VLOOKUP(Q37,G$5:$I95,2)</f>
        <v>4.5317731407893405</v>
      </c>
      <c r="X37" s="300">
        <f>IFERROR(1000/$S37*VLOOKUP($Q37,G$5:$I95,3),"")</f>
        <v>4.7346614900484711</v>
      </c>
      <c r="Y37" s="1458">
        <f t="shared" si="0"/>
        <v>220.6641791044776</v>
      </c>
      <c r="Z37" s="300">
        <f t="shared" si="3"/>
        <v>211.20834131475837</v>
      </c>
      <c r="AA37" s="1462"/>
      <c r="AB37" s="410">
        <v>50</v>
      </c>
      <c r="AC37" s="410">
        <v>1.1000000000000001</v>
      </c>
      <c r="AD37" s="410"/>
      <c r="AE37" s="589"/>
    </row>
    <row r="38" spans="1:34" s="588" customFormat="1">
      <c r="A38" s="265"/>
      <c r="B38" s="287">
        <v>2003</v>
      </c>
      <c r="C38" s="288">
        <v>2380</v>
      </c>
      <c r="D38" s="288">
        <v>1995</v>
      </c>
      <c r="E38" s="288">
        <f t="shared" si="1"/>
        <v>23.8</v>
      </c>
      <c r="F38" s="288">
        <f t="shared" si="2"/>
        <v>2856</v>
      </c>
      <c r="G38" s="289">
        <v>37803</v>
      </c>
      <c r="H38" s="290">
        <v>26.13</v>
      </c>
      <c r="I38" s="291">
        <v>22.97</v>
      </c>
      <c r="J38" s="292">
        <v>2003</v>
      </c>
      <c r="K38" s="288">
        <v>28938</v>
      </c>
      <c r="L38" s="288">
        <v>24230</v>
      </c>
      <c r="M38" s="288">
        <v>61200</v>
      </c>
      <c r="N38" s="288">
        <v>51000</v>
      </c>
      <c r="O38" s="289">
        <v>37257</v>
      </c>
      <c r="P38" s="293">
        <v>0.191</v>
      </c>
      <c r="Q38" s="289">
        <v>38718</v>
      </c>
      <c r="R38" s="306">
        <v>5714.28</v>
      </c>
      <c r="S38" s="306">
        <v>4797.4813000000004</v>
      </c>
      <c r="T38" s="289">
        <v>38718</v>
      </c>
      <c r="U38" s="302">
        <v>1.7500020000000001E-4</v>
      </c>
      <c r="V38" s="302">
        <v>2.084427E-4</v>
      </c>
      <c r="W38" s="303">
        <f>1000/$R38*VLOOKUP(Q38,G$5:$I96,2)</f>
        <v>4.5727545727545724</v>
      </c>
      <c r="X38" s="294">
        <f>IFERROR(1000/$S38*VLOOKUP($Q38,G$5:$I96,3),"")</f>
        <v>4.7879290326780426</v>
      </c>
      <c r="Y38" s="1459">
        <f t="shared" si="0"/>
        <v>218.68656716417911</v>
      </c>
      <c r="Z38" s="294">
        <f t="shared" si="3"/>
        <v>208.85856769699609</v>
      </c>
      <c r="AA38" s="1462"/>
      <c r="AB38" s="410">
        <v>51</v>
      </c>
      <c r="AC38" s="410">
        <v>1.1000000000000001</v>
      </c>
      <c r="AD38" s="560">
        <v>37803</v>
      </c>
      <c r="AE38" s="589">
        <v>2.3E-2</v>
      </c>
    </row>
    <row r="39" spans="1:34" s="588" customFormat="1">
      <c r="A39" s="265"/>
      <c r="B39" s="295">
        <v>2004</v>
      </c>
      <c r="C39" s="282">
        <v>2415</v>
      </c>
      <c r="D39" s="282">
        <v>2030</v>
      </c>
      <c r="E39" s="282">
        <f t="shared" si="1"/>
        <v>24.150000000000002</v>
      </c>
      <c r="F39" s="282">
        <f t="shared" si="2"/>
        <v>2898</v>
      </c>
      <c r="G39" s="296">
        <v>38169</v>
      </c>
      <c r="H39" s="297">
        <v>26.13</v>
      </c>
      <c r="I39" s="298">
        <v>22.97</v>
      </c>
      <c r="J39" s="264">
        <v>2004</v>
      </c>
      <c r="K39" s="282">
        <v>29060</v>
      </c>
      <c r="L39" s="282">
        <v>24355</v>
      </c>
      <c r="M39" s="282">
        <v>61800</v>
      </c>
      <c r="N39" s="282">
        <v>52200</v>
      </c>
      <c r="O39" s="296">
        <v>37622</v>
      </c>
      <c r="P39" s="299">
        <v>0.19500000000000001</v>
      </c>
      <c r="Q39" s="296">
        <v>39083</v>
      </c>
      <c r="R39" s="307">
        <v>5868.1120000000001</v>
      </c>
      <c r="S39" s="307">
        <v>5049.1413000000002</v>
      </c>
      <c r="T39" s="296">
        <v>39083</v>
      </c>
      <c r="U39" s="267">
        <v>1.7041260000000001E-4</v>
      </c>
      <c r="V39" s="267">
        <v>1.9805349999999999E-4</v>
      </c>
      <c r="W39" s="304">
        <f>1000/$R39*VLOOKUP(Q39,G$5:$I97,2)</f>
        <v>4.4528802449578331</v>
      </c>
      <c r="X39" s="300">
        <f>IFERROR(1000/$S39*VLOOKUP($Q39,G$5:$I97,3),"")</f>
        <v>4.5492884106848024</v>
      </c>
      <c r="Y39" s="1458">
        <f t="shared" si="0"/>
        <v>224.57374665135859</v>
      </c>
      <c r="Z39" s="300">
        <f t="shared" si="3"/>
        <v>219.81459730082719</v>
      </c>
      <c r="AA39" s="1462"/>
      <c r="AB39" s="410">
        <v>52</v>
      </c>
      <c r="AC39" s="410">
        <v>1.1000000000000001</v>
      </c>
      <c r="AD39" s="560">
        <v>38078</v>
      </c>
      <c r="AE39" s="589">
        <v>8.9999999999999993E-3</v>
      </c>
    </row>
    <row r="40" spans="1:34" s="588" customFormat="1">
      <c r="A40" s="265"/>
      <c r="B40" s="287">
        <v>2005</v>
      </c>
      <c r="C40" s="288">
        <v>2415</v>
      </c>
      <c r="D40" s="288">
        <v>2030</v>
      </c>
      <c r="E40" s="288">
        <f t="shared" si="1"/>
        <v>24.150000000000002</v>
      </c>
      <c r="F40" s="288">
        <f t="shared" si="2"/>
        <v>2898</v>
      </c>
      <c r="G40" s="289">
        <v>38534</v>
      </c>
      <c r="H40" s="290">
        <v>26.13</v>
      </c>
      <c r="I40" s="291">
        <v>22.97</v>
      </c>
      <c r="J40" s="292">
        <v>2005</v>
      </c>
      <c r="K40" s="288">
        <v>29202</v>
      </c>
      <c r="L40" s="288">
        <v>24691</v>
      </c>
      <c r="M40" s="288">
        <v>62400</v>
      </c>
      <c r="N40" s="288">
        <v>52800</v>
      </c>
      <c r="O40" s="289">
        <v>37987</v>
      </c>
      <c r="P40" s="293">
        <v>0.19500000000000001</v>
      </c>
      <c r="Q40" s="289">
        <v>39448</v>
      </c>
      <c r="R40" s="306">
        <v>5986.7160000000003</v>
      </c>
      <c r="S40" s="306">
        <v>5061.9084999999995</v>
      </c>
      <c r="T40" s="289">
        <v>39448</v>
      </c>
      <c r="U40" s="302">
        <v>1.670365E-4</v>
      </c>
      <c r="V40" s="302">
        <v>1.9755409999999999E-4</v>
      </c>
      <c r="W40" s="303">
        <f>1000/$R40*VLOOKUP(Q40,G$5:$I98,2)</f>
        <v>4.3880484726517839</v>
      </c>
      <c r="X40" s="294">
        <f>IFERROR(1000/$S40*VLOOKUP($Q40,G$5:$I98,3),"")</f>
        <v>4.5615206201376424</v>
      </c>
      <c r="Y40" s="1459">
        <f t="shared" si="0"/>
        <v>227.89173962695091</v>
      </c>
      <c r="Z40" s="294">
        <f t="shared" si="3"/>
        <v>219.22514075357296</v>
      </c>
      <c r="AA40" s="1462"/>
      <c r="AB40" s="410">
        <v>53</v>
      </c>
      <c r="AC40" s="410">
        <v>1</v>
      </c>
      <c r="AD40" s="560">
        <v>38200</v>
      </c>
      <c r="AE40" s="589">
        <v>8.9999999999999993E-3</v>
      </c>
    </row>
    <row r="41" spans="1:34" s="588" customFormat="1">
      <c r="A41" s="265"/>
      <c r="B41" s="295">
        <v>2006</v>
      </c>
      <c r="C41" s="282">
        <v>2450</v>
      </c>
      <c r="D41" s="282">
        <v>2065</v>
      </c>
      <c r="E41" s="282">
        <f t="shared" si="1"/>
        <v>24.5</v>
      </c>
      <c r="F41" s="282">
        <f t="shared" si="2"/>
        <v>2940</v>
      </c>
      <c r="G41" s="296">
        <v>38899</v>
      </c>
      <c r="H41" s="297">
        <v>26.13</v>
      </c>
      <c r="I41" s="298">
        <v>22.97</v>
      </c>
      <c r="J41" s="264">
        <v>2006</v>
      </c>
      <c r="K41" s="282">
        <v>29494</v>
      </c>
      <c r="L41" s="282">
        <v>24938</v>
      </c>
      <c r="M41" s="282">
        <v>63000</v>
      </c>
      <c r="N41" s="282">
        <v>52800</v>
      </c>
      <c r="O41" s="296">
        <v>38353</v>
      </c>
      <c r="P41" s="299">
        <v>0.19500000000000001</v>
      </c>
      <c r="Q41" s="296">
        <v>39814</v>
      </c>
      <c r="R41" s="307">
        <v>6144.9210000000003</v>
      </c>
      <c r="S41" s="307">
        <v>5177.7223999999997</v>
      </c>
      <c r="T41" s="296">
        <v>39814</v>
      </c>
      <c r="U41" s="267">
        <v>1.62736E-4</v>
      </c>
      <c r="V41" s="267">
        <v>1.9313509999999999E-4</v>
      </c>
      <c r="W41" s="304">
        <f>1000/$R41*VLOOKUP(Q41,G$5:$I99,2)</f>
        <v>4.3222687484509557</v>
      </c>
      <c r="X41" s="300">
        <f>IFERROR(1000/$S41*VLOOKUP($Q41,G$5:$I99,3),"")</f>
        <v>4.5077735337838893</v>
      </c>
      <c r="Y41" s="1458">
        <f t="shared" si="0"/>
        <v>231.35997740963859</v>
      </c>
      <c r="Z41" s="300">
        <f t="shared" si="3"/>
        <v>221.83900599828621</v>
      </c>
      <c r="AA41" s="1462"/>
      <c r="AB41" s="410">
        <v>54</v>
      </c>
      <c r="AC41" s="410">
        <v>1</v>
      </c>
      <c r="AD41" s="560">
        <v>39448</v>
      </c>
      <c r="AE41" s="589">
        <v>4.1799999999999997E-2</v>
      </c>
    </row>
    <row r="42" spans="1:34" s="588" customFormat="1">
      <c r="A42" s="265"/>
      <c r="B42" s="287">
        <v>2007</v>
      </c>
      <c r="C42" s="288">
        <v>2450</v>
      </c>
      <c r="D42" s="288">
        <v>2100</v>
      </c>
      <c r="E42" s="288">
        <f t="shared" si="1"/>
        <v>24.5</v>
      </c>
      <c r="F42" s="288">
        <f t="shared" si="2"/>
        <v>2940</v>
      </c>
      <c r="G42" s="289">
        <v>39264</v>
      </c>
      <c r="H42" s="290">
        <v>26.27</v>
      </c>
      <c r="I42" s="291">
        <v>23.09</v>
      </c>
      <c r="J42" s="292">
        <v>2007</v>
      </c>
      <c r="K42" s="288">
        <v>29951</v>
      </c>
      <c r="L42" s="288">
        <v>24294</v>
      </c>
      <c r="M42" s="288">
        <v>63000</v>
      </c>
      <c r="N42" s="288">
        <v>54600</v>
      </c>
      <c r="O42" s="289">
        <v>38718</v>
      </c>
      <c r="P42" s="293">
        <v>0.19500000000000001</v>
      </c>
      <c r="Q42" s="289">
        <v>40179</v>
      </c>
      <c r="R42" s="306">
        <v>6368.5969999999998</v>
      </c>
      <c r="S42" s="306">
        <v>5356.7138000000004</v>
      </c>
      <c r="T42" s="289">
        <v>40179</v>
      </c>
      <c r="U42" s="302">
        <v>1.5702049999999999E-4</v>
      </c>
      <c r="V42" s="302">
        <v>1.866816E-4</v>
      </c>
      <c r="W42" s="303">
        <f>1000/$R42*VLOOKUP(Q42,G$5:$I100,2)</f>
        <v>4.2709563817588085</v>
      </c>
      <c r="X42" s="294">
        <f>IFERROR(1000/$S42*VLOOKUP($Q42,G$5:$I100,3),"")</f>
        <v>4.5046274452818436</v>
      </c>
      <c r="Y42" s="1459">
        <f t="shared" si="0"/>
        <v>234.13959558823527</v>
      </c>
      <c r="Z42" s="294">
        <f t="shared" si="3"/>
        <v>221.99394115209287</v>
      </c>
      <c r="AA42" s="1462"/>
      <c r="AB42" s="410">
        <v>55</v>
      </c>
      <c r="AC42" s="410">
        <v>1</v>
      </c>
      <c r="AD42" s="560">
        <v>39814</v>
      </c>
      <c r="AE42" s="589">
        <v>2.7E-2</v>
      </c>
      <c r="AG42" s="1406" t="s">
        <v>1600</v>
      </c>
    </row>
    <row r="43" spans="1:34" s="588" customFormat="1">
      <c r="A43" s="265"/>
      <c r="B43" s="295">
        <v>2008</v>
      </c>
      <c r="C43" s="282">
        <v>2485</v>
      </c>
      <c r="D43" s="282">
        <v>2100</v>
      </c>
      <c r="E43" s="282">
        <f t="shared" si="1"/>
        <v>24.85</v>
      </c>
      <c r="F43" s="282">
        <f t="shared" si="2"/>
        <v>2982</v>
      </c>
      <c r="G43" s="296">
        <v>39630</v>
      </c>
      <c r="H43" s="297">
        <v>26.56</v>
      </c>
      <c r="I43" s="298">
        <v>23.34</v>
      </c>
      <c r="J43" s="264">
        <v>2008</v>
      </c>
      <c r="K43" s="282">
        <v>30625</v>
      </c>
      <c r="L43" s="282">
        <v>25829</v>
      </c>
      <c r="M43" s="282">
        <v>63600</v>
      </c>
      <c r="N43" s="282">
        <v>54000</v>
      </c>
      <c r="O43" s="296">
        <v>39083</v>
      </c>
      <c r="P43" s="299">
        <v>0.19900000000000001</v>
      </c>
      <c r="Q43" s="296">
        <v>40544</v>
      </c>
      <c r="R43" s="307">
        <v>6023.3320000000003</v>
      </c>
      <c r="S43" s="307">
        <v>5270.2178999999996</v>
      </c>
      <c r="T43" s="296">
        <v>40544</v>
      </c>
      <c r="U43" s="267">
        <v>1.6602106608103287E-4</v>
      </c>
      <c r="V43" s="267">
        <v>1.8974547522978132E-4</v>
      </c>
      <c r="W43" s="304">
        <f>1000/$R43*VLOOKUP(Q43,G$5:$I101,2)</f>
        <v>4.5157729974040937</v>
      </c>
      <c r="X43" s="300">
        <f>IFERROR(1000/$S43*VLOOKUP($Q43,G$5:$I101,3),"")</f>
        <v>4.5785583172946227</v>
      </c>
      <c r="Y43" s="1458">
        <f t="shared" si="0"/>
        <v>221.44602941176475</v>
      </c>
      <c r="Z43" s="300">
        <f t="shared" si="3"/>
        <v>218.40936179030254</v>
      </c>
      <c r="AA43" s="1462"/>
      <c r="AB43" s="410">
        <v>56</v>
      </c>
      <c r="AC43" s="410">
        <v>1</v>
      </c>
      <c r="AD43" s="560">
        <v>40179</v>
      </c>
      <c r="AE43" s="589">
        <v>1.0999999999999999E-2</v>
      </c>
      <c r="AG43" s="1404">
        <v>1</v>
      </c>
      <c r="AH43" s="1405">
        <v>0.97399999999999998</v>
      </c>
    </row>
    <row r="44" spans="1:34" s="588" customFormat="1">
      <c r="A44" s="265"/>
      <c r="B44" s="287">
        <v>2009</v>
      </c>
      <c r="C44" s="288">
        <v>2520</v>
      </c>
      <c r="D44" s="288">
        <v>2135</v>
      </c>
      <c r="E44" s="288">
        <f t="shared" si="1"/>
        <v>25.2</v>
      </c>
      <c r="F44" s="288">
        <f t="shared" si="2"/>
        <v>3024</v>
      </c>
      <c r="G44" s="289">
        <v>39995</v>
      </c>
      <c r="H44" s="290">
        <v>27.2</v>
      </c>
      <c r="I44" s="291">
        <v>24.13</v>
      </c>
      <c r="J44" s="292">
        <v>2009</v>
      </c>
      <c r="K44" s="288">
        <v>30506</v>
      </c>
      <c r="L44" s="288">
        <v>26047</v>
      </c>
      <c r="M44" s="288">
        <v>64800</v>
      </c>
      <c r="N44" s="288">
        <v>54600</v>
      </c>
      <c r="O44" s="289">
        <v>39448</v>
      </c>
      <c r="P44" s="293">
        <v>0.19900000000000001</v>
      </c>
      <c r="Q44" s="289">
        <v>40909</v>
      </c>
      <c r="R44" s="306">
        <v>6359.4160000000002</v>
      </c>
      <c r="S44" s="306">
        <v>5410.4270999999999</v>
      </c>
      <c r="T44" s="289">
        <v>40909</v>
      </c>
      <c r="U44" s="302">
        <v>1.5724709999999999E-4</v>
      </c>
      <c r="V44" s="302">
        <v>1.8482829999999999E-4</v>
      </c>
      <c r="W44" s="303">
        <f>1000/$R44*VLOOKUP(Q44,G$5:$I102,2)</f>
        <v>4.3194658125840482</v>
      </c>
      <c r="X44" s="294">
        <f>IFERROR(1000/$S44*VLOOKUP($Q44,G$5:$I102,3),"")</f>
        <v>4.5042654765646875</v>
      </c>
      <c r="Y44" s="1459">
        <f t="shared" si="0"/>
        <v>231.51010874693478</v>
      </c>
      <c r="Z44" s="294">
        <f t="shared" si="3"/>
        <v>222.01178087812886</v>
      </c>
      <c r="AA44" s="1462"/>
      <c r="AB44" s="410">
        <v>57</v>
      </c>
      <c r="AC44" s="410">
        <v>0.9</v>
      </c>
      <c r="AD44" s="560">
        <v>40544</v>
      </c>
      <c r="AE44" s="589">
        <v>5.0000000000000001E-3</v>
      </c>
      <c r="AG44" s="1402">
        <v>2</v>
      </c>
      <c r="AH44" s="1403">
        <v>1.897</v>
      </c>
    </row>
    <row r="45" spans="1:34" s="588" customFormat="1">
      <c r="A45" s="265"/>
      <c r="B45" s="295">
        <v>2010</v>
      </c>
      <c r="C45" s="282">
        <v>2555</v>
      </c>
      <c r="D45" s="282">
        <v>2170</v>
      </c>
      <c r="E45" s="282">
        <f t="shared" si="1"/>
        <v>25.55</v>
      </c>
      <c r="F45" s="282">
        <f t="shared" si="2"/>
        <v>3066</v>
      </c>
      <c r="G45" s="296">
        <v>40360</v>
      </c>
      <c r="H45" s="297">
        <v>27.2</v>
      </c>
      <c r="I45" s="298">
        <v>24.13</v>
      </c>
      <c r="J45" s="264">
        <v>2010</v>
      </c>
      <c r="K45" s="282">
        <v>31144</v>
      </c>
      <c r="L45" s="282">
        <v>27292.341804536925</v>
      </c>
      <c r="M45" s="282">
        <v>66000</v>
      </c>
      <c r="N45" s="282">
        <v>55800</v>
      </c>
      <c r="O45" s="296">
        <v>39814</v>
      </c>
      <c r="P45" s="299">
        <v>0.19900000000000001</v>
      </c>
      <c r="Q45" s="296">
        <v>41275</v>
      </c>
      <c r="R45" s="307">
        <v>6439.4189999999999</v>
      </c>
      <c r="S45" s="307">
        <v>5472.4390000000003</v>
      </c>
      <c r="T45" s="296">
        <v>41275</v>
      </c>
      <c r="U45" s="267">
        <v>1.5529350000000001E-4</v>
      </c>
      <c r="V45" s="267">
        <v>1.8273390000000001E-4</v>
      </c>
      <c r="W45" s="304">
        <f>1000/$R45*VLOOKUP(Q45,G$5:$I103,2)</f>
        <v>4.3590889178045416</v>
      </c>
      <c r="X45" s="300">
        <f>IFERROR(1000/$S45*VLOOKUP($Q45,G$5:$I103,3),"")</f>
        <v>4.5537282370803949</v>
      </c>
      <c r="Y45" s="1458">
        <f t="shared" si="0"/>
        <v>229.40573566084785</v>
      </c>
      <c r="Z45" s="300">
        <f t="shared" si="3"/>
        <v>219.60028089887641</v>
      </c>
      <c r="AA45" s="1462"/>
      <c r="AB45" s="410">
        <v>58</v>
      </c>
      <c r="AC45" s="410">
        <v>0.9</v>
      </c>
      <c r="AD45" s="560">
        <v>40756</v>
      </c>
      <c r="AE45" s="589">
        <v>2E-3</v>
      </c>
      <c r="AG45" s="1402">
        <v>3</v>
      </c>
      <c r="AH45" s="1403">
        <v>2.7719999999999998</v>
      </c>
    </row>
    <row r="46" spans="1:34" s="588" customFormat="1">
      <c r="A46" s="265"/>
      <c r="B46" s="287">
        <v>2011</v>
      </c>
      <c r="C46" s="288">
        <v>2555</v>
      </c>
      <c r="D46" s="288">
        <v>2240</v>
      </c>
      <c r="E46" s="288">
        <f t="shared" si="1"/>
        <v>25.55</v>
      </c>
      <c r="F46" s="288">
        <f t="shared" si="2"/>
        <v>3066</v>
      </c>
      <c r="G46" s="289">
        <v>40725</v>
      </c>
      <c r="H46" s="290">
        <v>27.469280000000001</v>
      </c>
      <c r="I46" s="291">
        <v>24.37</v>
      </c>
      <c r="J46" s="292">
        <v>2011</v>
      </c>
      <c r="K46" s="288">
        <v>32100</v>
      </c>
      <c r="L46" s="288">
        <v>26484</v>
      </c>
      <c r="M46" s="288">
        <v>66000</v>
      </c>
      <c r="N46" s="288">
        <v>57600</v>
      </c>
      <c r="O46" s="289">
        <v>40179</v>
      </c>
      <c r="P46" s="293">
        <v>0.19900000000000001</v>
      </c>
      <c r="Q46" s="289">
        <v>41640</v>
      </c>
      <c r="R46" s="306">
        <v>6523.1459999999997</v>
      </c>
      <c r="S46" s="306">
        <v>5592.0668666952415</v>
      </c>
      <c r="T46" s="289">
        <v>41640</v>
      </c>
      <c r="U46" s="302">
        <v>1.5330026340051257E-4</v>
      </c>
      <c r="V46" s="302">
        <v>1.7882475725669795E-4</v>
      </c>
      <c r="W46" s="303">
        <f>1000/$R46*VLOOKUP(Q46,G$5:$I104,2)</f>
        <v>4.3138694120904244</v>
      </c>
      <c r="X46" s="294">
        <f>IFERROR(1000/$S46*VLOOKUP($Q46,G$5:$I104,3),"")</f>
        <v>4.6029492517874049</v>
      </c>
      <c r="Y46" s="1459">
        <f t="shared" si="0"/>
        <v>231.81044776119401</v>
      </c>
      <c r="Z46" s="294">
        <f t="shared" si="3"/>
        <v>217.25201502312515</v>
      </c>
      <c r="AA46" s="1462"/>
      <c r="AB46" s="410">
        <v>59</v>
      </c>
      <c r="AC46" s="410">
        <v>0.9</v>
      </c>
      <c r="AD46" s="560">
        <v>40969</v>
      </c>
      <c r="AE46" s="589">
        <v>3.2000000000000001E-2</v>
      </c>
      <c r="AG46" s="1402">
        <v>4</v>
      </c>
      <c r="AH46" s="1403">
        <v>3.6019999999999999</v>
      </c>
    </row>
    <row r="47" spans="1:34" s="588" customFormat="1">
      <c r="A47" s="265"/>
      <c r="B47" s="295">
        <v>2012</v>
      </c>
      <c r="C47" s="282">
        <v>2625</v>
      </c>
      <c r="D47" s="282">
        <v>2240</v>
      </c>
      <c r="E47" s="282">
        <f t="shared" si="1"/>
        <v>26.25</v>
      </c>
      <c r="F47" s="282">
        <f t="shared" si="2"/>
        <v>3150</v>
      </c>
      <c r="G47" s="296">
        <v>41091</v>
      </c>
      <c r="H47" s="297">
        <v>28.07</v>
      </c>
      <c r="I47" s="298">
        <v>24.92</v>
      </c>
      <c r="J47" s="264">
        <v>2012</v>
      </c>
      <c r="K47" s="282">
        <v>33002</v>
      </c>
      <c r="L47" s="282">
        <v>28077.25029777097</v>
      </c>
      <c r="M47" s="282">
        <v>67200</v>
      </c>
      <c r="N47" s="282">
        <v>57600</v>
      </c>
      <c r="O47" s="296">
        <v>40544</v>
      </c>
      <c r="P47" s="299">
        <v>0.19900000000000001</v>
      </c>
      <c r="Q47" s="296">
        <v>42005</v>
      </c>
      <c r="R47" s="307">
        <v>6544.8130000000001</v>
      </c>
      <c r="S47" s="307">
        <v>5585.7412000000004</v>
      </c>
      <c r="T47" s="296">
        <v>42005</v>
      </c>
      <c r="U47" s="267">
        <v>1.5279280000000001E-4</v>
      </c>
      <c r="V47" s="267">
        <v>1.790273E-4</v>
      </c>
      <c r="W47" s="304">
        <f>1000/$R47*VLOOKUP(Q47,G$5:$I105,2)</f>
        <v>4.3714006802027798</v>
      </c>
      <c r="X47" s="300">
        <f>IFERROR(1000/$S47*VLOOKUP($Q47,G$5:$I105,3),"")</f>
        <v>4.7245296649261155</v>
      </c>
      <c r="Y47" s="1458">
        <f t="shared" si="0"/>
        <v>228.75962950017478</v>
      </c>
      <c r="Z47" s="300">
        <f t="shared" si="3"/>
        <v>211.66128078817735</v>
      </c>
      <c r="AA47" s="1462"/>
      <c r="AB47" s="410">
        <v>60</v>
      </c>
      <c r="AC47" s="410">
        <v>0.9</v>
      </c>
      <c r="AD47" s="560">
        <v>41275</v>
      </c>
      <c r="AE47" s="589">
        <v>1.0999999999999999E-2</v>
      </c>
      <c r="AG47" s="1402">
        <v>5</v>
      </c>
      <c r="AH47" s="1403">
        <v>4.3879999999999999</v>
      </c>
    </row>
    <row r="48" spans="1:34" s="588" customFormat="1">
      <c r="A48" s="265"/>
      <c r="B48" s="287">
        <v>2013</v>
      </c>
      <c r="C48" s="288">
        <v>2695</v>
      </c>
      <c r="D48" s="288">
        <v>2275</v>
      </c>
      <c r="E48" s="288">
        <f t="shared" si="1"/>
        <v>26.95</v>
      </c>
      <c r="F48" s="288">
        <f t="shared" si="2"/>
        <v>3234</v>
      </c>
      <c r="G48" s="289">
        <v>41456</v>
      </c>
      <c r="H48" s="290">
        <v>28.14</v>
      </c>
      <c r="I48" s="291">
        <v>25.74</v>
      </c>
      <c r="J48" s="292">
        <v>2013</v>
      </c>
      <c r="K48" s="288">
        <v>33659</v>
      </c>
      <c r="L48" s="288">
        <v>28955</v>
      </c>
      <c r="M48" s="288">
        <v>69600</v>
      </c>
      <c r="N48" s="288">
        <v>58800</v>
      </c>
      <c r="O48" s="289">
        <v>40909</v>
      </c>
      <c r="P48" s="293">
        <v>0.19600000000000001</v>
      </c>
      <c r="Q48" s="289">
        <v>42370</v>
      </c>
      <c r="R48" s="306">
        <v>6781.9290000000001</v>
      </c>
      <c r="S48" s="306">
        <v>5908.1183000000001</v>
      </c>
      <c r="T48" s="289">
        <v>42370</v>
      </c>
      <c r="U48" s="302">
        <v>1.474507E-4</v>
      </c>
      <c r="V48" s="302">
        <v>1.692586E-4</v>
      </c>
      <c r="W48" s="303">
        <f>1000/$R48*VLOOKUP(Q48,G$5:$I106,2)</f>
        <v>4.3070341786238098</v>
      </c>
      <c r="X48" s="294">
        <f>IFERROR(1000/$S48*VLOOKUP($Q48,G$5:$I106,3),"")</f>
        <v>4.5784458987559544</v>
      </c>
      <c r="Y48" s="1459">
        <f t="shared" si="0"/>
        <v>232.17832933926741</v>
      </c>
      <c r="Z48" s="294">
        <f t="shared" si="3"/>
        <v>218.41472458410351</v>
      </c>
      <c r="AA48" s="1462"/>
      <c r="AB48" s="410">
        <v>61</v>
      </c>
      <c r="AC48" s="410">
        <v>0.9</v>
      </c>
      <c r="AD48" s="560">
        <v>41699</v>
      </c>
      <c r="AE48" s="589">
        <v>2.7E-2</v>
      </c>
      <c r="AG48" s="1402">
        <v>7</v>
      </c>
      <c r="AH48" s="1403">
        <v>5.8390000000000004</v>
      </c>
    </row>
    <row r="49" spans="1:34" s="588" customFormat="1">
      <c r="A49" s="265"/>
      <c r="B49" s="295">
        <v>2014</v>
      </c>
      <c r="C49" s="282">
        <v>2765</v>
      </c>
      <c r="D49" s="282">
        <v>2345</v>
      </c>
      <c r="E49" s="282">
        <f t="shared" si="1"/>
        <v>27.650000000000002</v>
      </c>
      <c r="F49" s="282">
        <f t="shared" si="2"/>
        <v>3318</v>
      </c>
      <c r="G49" s="296">
        <v>41821</v>
      </c>
      <c r="H49" s="297">
        <v>28.61</v>
      </c>
      <c r="I49" s="298">
        <v>26.39</v>
      </c>
      <c r="J49" s="264">
        <v>2014</v>
      </c>
      <c r="K49" s="282">
        <v>34514</v>
      </c>
      <c r="L49" s="282">
        <v>29587.655379339903</v>
      </c>
      <c r="M49" s="282">
        <v>71400</v>
      </c>
      <c r="N49" s="282">
        <v>60000</v>
      </c>
      <c r="O49" s="296">
        <v>41275</v>
      </c>
      <c r="P49" s="299">
        <v>0.189</v>
      </c>
      <c r="Q49" s="296">
        <v>42736</v>
      </c>
      <c r="R49" s="307">
        <v>6938.2610000000004</v>
      </c>
      <c r="S49" s="307">
        <v>6198.7501000000002</v>
      </c>
      <c r="T49" s="296">
        <v>42736</v>
      </c>
      <c r="U49" s="267">
        <v>1.4412830000000001E-4</v>
      </c>
      <c r="V49" s="267">
        <v>1.6132280000000001E-4</v>
      </c>
      <c r="W49" s="304">
        <f>1000/$R49*VLOOKUP(Q49,G$5:$I107,2)</f>
        <v>4.3887077756227386</v>
      </c>
      <c r="X49" s="300">
        <f>IFERROR(1000/$S49*VLOOKUP($Q49,G$5:$I107,3),"")</f>
        <v>4.623512730413184</v>
      </c>
      <c r="Y49" s="1458">
        <f t="shared" si="0"/>
        <v>227.85750410509033</v>
      </c>
      <c r="Z49" s="300">
        <f t="shared" si="3"/>
        <v>216.28576762037684</v>
      </c>
      <c r="AA49" s="1462"/>
      <c r="AB49" s="410">
        <v>62</v>
      </c>
      <c r="AC49" s="410">
        <v>0.8</v>
      </c>
      <c r="AD49" s="560">
        <v>42064</v>
      </c>
      <c r="AE49" s="589">
        <v>2.1999999999999999E-2</v>
      </c>
      <c r="AG49" s="1402">
        <v>8</v>
      </c>
      <c r="AH49" s="1403">
        <v>6.5090000000000003</v>
      </c>
    </row>
    <row r="50" spans="1:34" s="588" customFormat="1">
      <c r="A50" s="265"/>
      <c r="B50" s="287">
        <v>2015</v>
      </c>
      <c r="C50" s="288">
        <v>2835</v>
      </c>
      <c r="D50" s="288">
        <v>2835</v>
      </c>
      <c r="E50" s="288">
        <f t="shared" si="1"/>
        <v>28.35</v>
      </c>
      <c r="F50" s="288">
        <f t="shared" si="2"/>
        <v>3402</v>
      </c>
      <c r="G50" s="289">
        <v>42186</v>
      </c>
      <c r="H50" s="290">
        <v>29.21</v>
      </c>
      <c r="I50" s="291">
        <v>27.05</v>
      </c>
      <c r="J50" s="292">
        <v>2015</v>
      </c>
      <c r="K50" s="288">
        <v>35363</v>
      </c>
      <c r="L50" s="288">
        <v>29870</v>
      </c>
      <c r="M50" s="288">
        <v>72600</v>
      </c>
      <c r="N50" s="288">
        <v>62400</v>
      </c>
      <c r="O50" s="289">
        <v>41640</v>
      </c>
      <c r="P50" s="293">
        <v>0.189</v>
      </c>
      <c r="Q50" s="289">
        <v>43101</v>
      </c>
      <c r="R50" s="306">
        <v>7044.3779999999997</v>
      </c>
      <c r="S50" s="306">
        <v>6262.7826999999997</v>
      </c>
      <c r="T50" s="289">
        <v>43101</v>
      </c>
      <c r="U50" s="302">
        <v>1.419572E-4</v>
      </c>
      <c r="V50" s="302">
        <v>1.5967339999999999E-4</v>
      </c>
      <c r="W50" s="303">
        <f>1000/$R50*VLOOKUP(Q50,G$5:$I108,2)</f>
        <v>4.4049311379940148</v>
      </c>
      <c r="X50" s="294">
        <f>IFERROR(1000/$S50*VLOOKUP($Q50,G$5:$I108,3),"")</f>
        <v>4.7407041601491304</v>
      </c>
      <c r="Y50" s="1459">
        <f t="shared" si="0"/>
        <v>227.01830486625843</v>
      </c>
      <c r="Z50" s="294">
        <f t="shared" si="3"/>
        <v>210.93912765240819</v>
      </c>
      <c r="AA50" s="1462"/>
      <c r="AB50" s="410">
        <v>63</v>
      </c>
      <c r="AC50" s="410">
        <v>0.8</v>
      </c>
      <c r="AD50" s="560">
        <v>42430</v>
      </c>
      <c r="AE50" s="589">
        <v>2.1999999999999999E-2</v>
      </c>
      <c r="AG50" s="1402">
        <v>9</v>
      </c>
      <c r="AH50" s="1403">
        <v>7.1429999999999998</v>
      </c>
    </row>
    <row r="51" spans="1:34" s="588" customFormat="1">
      <c r="A51" s="265"/>
      <c r="B51" s="295">
        <v>2016</v>
      </c>
      <c r="C51" s="282">
        <v>2905</v>
      </c>
      <c r="D51" s="282">
        <v>2520</v>
      </c>
      <c r="E51" s="282">
        <f t="shared" si="1"/>
        <v>29.05</v>
      </c>
      <c r="F51" s="282">
        <f t="shared" si="2"/>
        <v>3486</v>
      </c>
      <c r="G51" s="296">
        <v>42552</v>
      </c>
      <c r="H51" s="297">
        <v>30.45</v>
      </c>
      <c r="I51" s="298">
        <v>28.66</v>
      </c>
      <c r="J51" s="264">
        <v>2016</v>
      </c>
      <c r="K51" s="282">
        <v>36187</v>
      </c>
      <c r="L51" s="282">
        <v>31594.215524000352</v>
      </c>
      <c r="M51" s="282">
        <v>74400</v>
      </c>
      <c r="N51" s="282">
        <v>64800</v>
      </c>
      <c r="O51" s="296">
        <v>42005</v>
      </c>
      <c r="P51" s="299">
        <v>0.187</v>
      </c>
      <c r="Q51" s="296">
        <v>43466</v>
      </c>
      <c r="R51" s="307">
        <v>7235.5860000000002</v>
      </c>
      <c r="S51" s="307">
        <v>6674.8948</v>
      </c>
      <c r="T51" s="296">
        <v>43466</v>
      </c>
      <c r="U51" s="267">
        <f>1/7235.586</f>
        <v>1.3820580668932688E-4</v>
      </c>
      <c r="V51" s="267">
        <v>1.4981510000000001E-4</v>
      </c>
      <c r="W51" s="304">
        <f>1000/$R51*VLOOKUP(Q51,G$5:$I109,2)</f>
        <v>4.4267319882591405</v>
      </c>
      <c r="X51" s="300">
        <f>IFERROR(1000/$S51*VLOOKUP($Q51,G$5:$I109,3),"")</f>
        <v>4.5978252720926776</v>
      </c>
      <c r="Y51" s="1458">
        <f t="shared" si="0"/>
        <v>225.90028098657507</v>
      </c>
      <c r="Z51" s="300">
        <f t="shared" si="3"/>
        <v>217.49412838058001</v>
      </c>
      <c r="AA51" s="1462"/>
      <c r="AB51" s="410">
        <v>64</v>
      </c>
      <c r="AC51" s="410">
        <v>0.8</v>
      </c>
      <c r="AD51" s="560">
        <v>42767</v>
      </c>
      <c r="AE51" s="589">
        <v>2.35E-2</v>
      </c>
      <c r="AG51" s="1402">
        <v>10</v>
      </c>
      <c r="AH51" s="1403">
        <v>7.7450000000000001</v>
      </c>
    </row>
    <row r="52" spans="1:34" s="588" customFormat="1">
      <c r="A52" s="265"/>
      <c r="B52" s="287">
        <v>2017</v>
      </c>
      <c r="C52" s="288">
        <v>2975</v>
      </c>
      <c r="D52" s="288">
        <v>2975</v>
      </c>
      <c r="E52" s="288">
        <f t="shared" si="1"/>
        <v>29.75</v>
      </c>
      <c r="F52" s="288">
        <f t="shared" si="2"/>
        <v>3570</v>
      </c>
      <c r="G52" s="289">
        <v>42917</v>
      </c>
      <c r="H52" s="290">
        <v>31.03</v>
      </c>
      <c r="I52" s="291">
        <v>29.69</v>
      </c>
      <c r="J52" s="292">
        <v>2017</v>
      </c>
      <c r="K52" s="288">
        <v>37077</v>
      </c>
      <c r="L52" s="288">
        <v>33148</v>
      </c>
      <c r="M52" s="288">
        <v>76200</v>
      </c>
      <c r="N52" s="288">
        <v>68400</v>
      </c>
      <c r="O52" s="289">
        <v>42370</v>
      </c>
      <c r="P52" s="293">
        <v>0.187</v>
      </c>
      <c r="Q52" s="289">
        <v>43831</v>
      </c>
      <c r="R52" s="306">
        <v>7542.4859999999999</v>
      </c>
      <c r="S52" s="306">
        <v>7049.0280000000002</v>
      </c>
      <c r="T52" s="289">
        <v>43831</v>
      </c>
      <c r="U52" s="302">
        <v>1.3258230000000001E-4</v>
      </c>
      <c r="V52" s="302">
        <v>1.4186299999999999E-4</v>
      </c>
      <c r="W52" s="303">
        <f>1000/$R52*VLOOKUP(Q52,G$5:$I110,2)</f>
        <v>4.3818443945404741</v>
      </c>
      <c r="X52" s="294">
        <f>IFERROR(1000/$S52*VLOOKUP($Q52,G$5:$I110,3),"")</f>
        <v>4.5240279936467838</v>
      </c>
      <c r="Y52" s="1459">
        <f t="shared" si="0"/>
        <v>228.21440242057486</v>
      </c>
      <c r="Z52" s="294">
        <f t="shared" si="3"/>
        <v>221.04195672624647</v>
      </c>
      <c r="AA52" s="1462"/>
      <c r="AD52" s="560">
        <v>43160</v>
      </c>
      <c r="AE52" s="589">
        <v>2.9899999999999999E-2</v>
      </c>
      <c r="AG52" s="1402">
        <v>11</v>
      </c>
      <c r="AH52" s="1403">
        <v>8.3149999999999995</v>
      </c>
    </row>
    <row r="53" spans="1:34" s="588" customFormat="1">
      <c r="A53" s="265"/>
      <c r="B53" s="295">
        <v>2018</v>
      </c>
      <c r="C53" s="282">
        <v>3045</v>
      </c>
      <c r="D53" s="282">
        <v>2695</v>
      </c>
      <c r="E53" s="282">
        <f t="shared" si="1"/>
        <v>30.45</v>
      </c>
      <c r="F53" s="282">
        <f t="shared" si="2"/>
        <v>3654</v>
      </c>
      <c r="G53" s="296">
        <v>43282</v>
      </c>
      <c r="H53" s="297">
        <v>32.03</v>
      </c>
      <c r="I53" s="298">
        <v>30.69</v>
      </c>
      <c r="J53" s="264">
        <v>2018</v>
      </c>
      <c r="K53" s="282">
        <v>38212</v>
      </c>
      <c r="L53" s="282">
        <v>33672</v>
      </c>
      <c r="M53" s="282">
        <v>78000</v>
      </c>
      <c r="N53" s="282">
        <v>69600</v>
      </c>
      <c r="O53" s="296">
        <v>42736</v>
      </c>
      <c r="P53" s="299">
        <v>0.187</v>
      </c>
      <c r="Q53" s="296">
        <v>44197</v>
      </c>
      <c r="R53" s="429">
        <v>7726.6260000000002</v>
      </c>
      <c r="S53" s="307">
        <v>7316.8806999999997</v>
      </c>
      <c r="T53" s="296">
        <v>44197</v>
      </c>
      <c r="U53" s="267">
        <v>1.2942260000000001E-4</v>
      </c>
      <c r="V53" s="267">
        <v>1.366703E-4</v>
      </c>
      <c r="W53" s="304">
        <f>1000/$R53*VLOOKUP(Q53,G$5:$I111,2)</f>
        <v>4.4249585782979528</v>
      </c>
      <c r="X53" s="300">
        <f>IFERROR(1000/$S53*VLOOKUP($Q53,G$5:$I111,3),"")</f>
        <v>4.5415527958519259</v>
      </c>
      <c r="Y53" s="1458">
        <f t="shared" si="0"/>
        <v>225.9908160280784</v>
      </c>
      <c r="Z53" s="300">
        <f t="shared" si="3"/>
        <v>220.18900692145652</v>
      </c>
      <c r="AA53" s="1462"/>
      <c r="AD53" s="560">
        <v>43556</v>
      </c>
      <c r="AE53" s="589">
        <v>3.09E-2</v>
      </c>
      <c r="AG53" s="1402">
        <v>12</v>
      </c>
      <c r="AH53" s="1403">
        <v>8.8559999999999999</v>
      </c>
    </row>
    <row r="54" spans="1:34" s="588" customFormat="1">
      <c r="A54" s="265"/>
      <c r="B54" s="287">
        <v>2019</v>
      </c>
      <c r="C54" s="288">
        <v>3115</v>
      </c>
      <c r="D54" s="288">
        <v>2870</v>
      </c>
      <c r="E54" s="288">
        <f t="shared" si="1"/>
        <v>31.150000000000002</v>
      </c>
      <c r="F54" s="288">
        <f t="shared" si="2"/>
        <v>3738</v>
      </c>
      <c r="G54" s="289">
        <v>43647</v>
      </c>
      <c r="H54" s="290">
        <v>33.049999999999997</v>
      </c>
      <c r="I54" s="291">
        <v>31.89</v>
      </c>
      <c r="J54" s="292">
        <v>2019</v>
      </c>
      <c r="K54" s="288">
        <v>39301</v>
      </c>
      <c r="L54" s="288">
        <f>+K54/1.084</f>
        <v>36255.535055350549</v>
      </c>
      <c r="M54" s="288">
        <v>80400</v>
      </c>
      <c r="N54" s="288">
        <v>73800</v>
      </c>
      <c r="O54" s="289">
        <v>43101</v>
      </c>
      <c r="P54" s="293">
        <v>0.186</v>
      </c>
      <c r="Q54" s="289">
        <v>44562</v>
      </c>
      <c r="R54" s="306">
        <f>ROUND(K57*P57,4)</f>
        <v>7821.8580000000002</v>
      </c>
      <c r="S54" s="306">
        <f>ROUND(P57*L57,4)</f>
        <v>7506.5879999999997</v>
      </c>
      <c r="T54" s="289">
        <v>44562</v>
      </c>
      <c r="U54" s="302">
        <v>1.382058E-4</v>
      </c>
      <c r="V54" s="302">
        <f t="shared" ref="V54:V56" si="4">1/S54</f>
        <v>1.3321631612125243E-4</v>
      </c>
      <c r="W54" s="303">
        <f>1000/$R54*VLOOKUP(Q54,G$5:$I112,2)</f>
        <v>4.3710842104267291</v>
      </c>
      <c r="X54" s="294">
        <f>IFERROR(1000/$S54*VLOOKUP($Q54,G$5:$I112,3),"")</f>
        <v>4.4587501005783183</v>
      </c>
      <c r="Y54" s="1459">
        <f t="shared" si="0"/>
        <v>228.77619186896757</v>
      </c>
      <c r="Z54" s="294">
        <f t="shared" si="3"/>
        <v>224.27809979085751</v>
      </c>
      <c r="AA54" s="1464"/>
      <c r="AD54" s="410"/>
      <c r="AE54" s="590"/>
      <c r="AG54" s="1402">
        <v>13</v>
      </c>
      <c r="AH54" s="1403">
        <v>9.3680000000000003</v>
      </c>
    </row>
    <row r="55" spans="1:34" s="588" customFormat="1">
      <c r="A55" s="265"/>
      <c r="B55" s="295">
        <v>2020</v>
      </c>
      <c r="C55" s="282">
        <v>3185</v>
      </c>
      <c r="D55" s="282">
        <v>3010</v>
      </c>
      <c r="E55" s="282">
        <f t="shared" si="1"/>
        <v>31.85</v>
      </c>
      <c r="F55" s="282">
        <f t="shared" si="2"/>
        <v>3822</v>
      </c>
      <c r="G55" s="296">
        <v>44013</v>
      </c>
      <c r="H55" s="297">
        <v>34.19</v>
      </c>
      <c r="I55" s="298">
        <v>33.229999999999997</v>
      </c>
      <c r="J55" s="264">
        <v>2020</v>
      </c>
      <c r="K55" s="282">
        <v>39167</v>
      </c>
      <c r="L55" s="1023">
        <f>+K55/1.07</f>
        <v>36604.672897196258</v>
      </c>
      <c r="M55" s="282">
        <v>82800</v>
      </c>
      <c r="N55" s="282">
        <v>77400</v>
      </c>
      <c r="O55" s="296">
        <v>43466</v>
      </c>
      <c r="P55" s="299">
        <v>0.186</v>
      </c>
      <c r="Q55" s="296">
        <v>44927</v>
      </c>
      <c r="R55" s="1026">
        <f>+P59*K58</f>
        <v>8320.152</v>
      </c>
      <c r="S55" s="1026">
        <f>+P59*L58</f>
        <v>7805.8620000000001</v>
      </c>
      <c r="T55" s="296">
        <v>44927</v>
      </c>
      <c r="U55" s="2283">
        <v>1.246497E-4</v>
      </c>
      <c r="V55" s="2283">
        <v>1.2810910000000001E-4</v>
      </c>
      <c r="W55" s="304">
        <f>1000/$R55*VLOOKUP(Q55,G$5:$I113,2)</f>
        <v>4.3292478310492406</v>
      </c>
      <c r="X55" s="300">
        <f>IFERROR(1000/$S55*VLOOKUP($Q55,G$5:$I113,3),"")</f>
        <v>4.5504263334401767</v>
      </c>
      <c r="Y55" s="1458">
        <f t="shared" si="0"/>
        <v>230.98700721821209</v>
      </c>
      <c r="Z55" s="300">
        <f t="shared" si="3"/>
        <v>219.75962837837835</v>
      </c>
      <c r="AA55" s="1462"/>
      <c r="AD55" s="410"/>
      <c r="AE55" s="589"/>
      <c r="AG55" s="1402">
        <v>14</v>
      </c>
      <c r="AH55" s="1403">
        <v>9.8529999999999998</v>
      </c>
    </row>
    <row r="56" spans="1:34" s="588" customFormat="1">
      <c r="A56" s="265"/>
      <c r="B56" s="287">
        <v>2021</v>
      </c>
      <c r="C56" s="288">
        <v>3290</v>
      </c>
      <c r="D56" s="288">
        <v>3115</v>
      </c>
      <c r="E56" s="288">
        <f t="shared" si="1"/>
        <v>32.9</v>
      </c>
      <c r="F56" s="288">
        <f t="shared" si="2"/>
        <v>3948</v>
      </c>
      <c r="G56" s="289">
        <v>44378</v>
      </c>
      <c r="H56" s="290">
        <v>34.19</v>
      </c>
      <c r="I56" s="291">
        <v>33.47</v>
      </c>
      <c r="J56" s="292">
        <v>2021</v>
      </c>
      <c r="K56" s="288">
        <v>40463</v>
      </c>
      <c r="L56" s="288">
        <v>38317</v>
      </c>
      <c r="M56" s="288">
        <v>85200</v>
      </c>
      <c r="N56" s="288">
        <v>80400</v>
      </c>
      <c r="O56" s="289">
        <v>43831</v>
      </c>
      <c r="P56" s="293">
        <v>0.186</v>
      </c>
      <c r="Q56" s="289">
        <v>45292</v>
      </c>
      <c r="R56" s="1466">
        <f>45358*18.6/100</f>
        <v>8436.5879999999997</v>
      </c>
      <c r="S56" s="1466">
        <f>44732*0.186</f>
        <v>8320.152</v>
      </c>
      <c r="T56" s="289">
        <v>45292</v>
      </c>
      <c r="U56" s="302">
        <f>ROUND(1/R56,10)</f>
        <v>1.185313E-4</v>
      </c>
      <c r="V56" s="302">
        <f t="shared" si="4"/>
        <v>1.2019011191141701E-4</v>
      </c>
      <c r="W56" s="303">
        <f>1000/$R56*VLOOKUP(Q56,G$5:$I114,2)</f>
        <v>4.4567780244809869</v>
      </c>
      <c r="X56" s="294">
        <f>IFERROR(1000/$S56*VLOOKUP($Q56,G$5:$I114,3),"")</f>
        <v>4.5191482078692795</v>
      </c>
      <c r="Y56" s="1459">
        <f t="shared" ref="Y56:Z58" si="5">1000/W56</f>
        <v>224.37734042553191</v>
      </c>
      <c r="Z56" s="294">
        <f t="shared" si="5"/>
        <v>221.28063829787234</v>
      </c>
      <c r="AA56" s="1462"/>
      <c r="AD56" s="410"/>
      <c r="AE56" s="589"/>
      <c r="AG56" s="1402">
        <v>15</v>
      </c>
      <c r="AH56" s="1403">
        <v>10.314</v>
      </c>
    </row>
    <row r="57" spans="1:34" s="588" customFormat="1">
      <c r="A57" s="265"/>
      <c r="B57" s="295">
        <v>2022</v>
      </c>
      <c r="C57" s="282">
        <v>3290</v>
      </c>
      <c r="D57" s="282">
        <v>3150</v>
      </c>
      <c r="E57" s="282">
        <f t="shared" si="1"/>
        <v>32.9</v>
      </c>
      <c r="F57" s="282">
        <f t="shared" si="2"/>
        <v>3948</v>
      </c>
      <c r="G57" s="296">
        <v>44743</v>
      </c>
      <c r="H57" s="297">
        <v>36.020000000000003</v>
      </c>
      <c r="I57" s="298">
        <v>35.520000000000003</v>
      </c>
      <c r="J57" s="264">
        <v>2022</v>
      </c>
      <c r="K57" s="1465">
        <v>42053</v>
      </c>
      <c r="L57" s="1465">
        <v>40358</v>
      </c>
      <c r="M57" s="282">
        <f>7050*12</f>
        <v>84600</v>
      </c>
      <c r="N57" s="282">
        <f>6750*12</f>
        <v>81000</v>
      </c>
      <c r="O57" s="296">
        <v>44197</v>
      </c>
      <c r="P57" s="299">
        <v>0.186</v>
      </c>
      <c r="Q57" s="296">
        <v>45658</v>
      </c>
      <c r="R57" s="307">
        <v>9391.6980000000003</v>
      </c>
      <c r="S57" s="307">
        <f>+R57</f>
        <v>9391.6980000000003</v>
      </c>
      <c r="T57" s="296">
        <v>45658</v>
      </c>
      <c r="U57" s="302">
        <f>ROUND(1/R57,10)</f>
        <v>1.06477E-4</v>
      </c>
      <c r="V57" s="267">
        <f>+U57</f>
        <v>1.06477E-4</v>
      </c>
      <c r="W57" s="304">
        <f>1000/$R57*VLOOKUP(Q57,G$5:$I115,2)</f>
        <v>4.1866763603344141</v>
      </c>
      <c r="X57" s="300">
        <f>IFERROR(1000/$S57*VLOOKUP($Q57,G$5:$I115,3),"")</f>
        <v>4.1866763603344141</v>
      </c>
      <c r="Y57" s="1458">
        <f t="shared" si="5"/>
        <v>238.85295015259413</v>
      </c>
      <c r="Z57" s="300">
        <f t="shared" si="5"/>
        <v>238.85295015259413</v>
      </c>
      <c r="AA57" s="1462"/>
      <c r="AD57" s="410"/>
      <c r="AE57" s="589"/>
      <c r="AG57" s="1402">
        <v>16</v>
      </c>
      <c r="AH57" s="1403">
        <v>10.75</v>
      </c>
    </row>
    <row r="58" spans="1:34" s="588" customFormat="1">
      <c r="A58" s="265"/>
      <c r="B58" s="287">
        <v>2023</v>
      </c>
      <c r="C58" s="288">
        <v>3395</v>
      </c>
      <c r="D58" s="288">
        <v>3290</v>
      </c>
      <c r="E58" s="288">
        <f t="shared" si="1"/>
        <v>33.950000000000003</v>
      </c>
      <c r="F58" s="288">
        <f t="shared" si="2"/>
        <v>4074</v>
      </c>
      <c r="G58" s="289">
        <v>45108</v>
      </c>
      <c r="H58" s="290">
        <v>37.6</v>
      </c>
      <c r="I58" s="291">
        <v>37.6</v>
      </c>
      <c r="J58" s="292">
        <v>2023</v>
      </c>
      <c r="K58" s="2309">
        <v>44732</v>
      </c>
      <c r="L58" s="1025">
        <v>41967</v>
      </c>
      <c r="M58" s="288">
        <f>7300*12</f>
        <v>87600</v>
      </c>
      <c r="N58" s="288">
        <f>7100*12</f>
        <v>85200</v>
      </c>
      <c r="O58" s="289">
        <v>44562</v>
      </c>
      <c r="P58" s="293">
        <v>0.186</v>
      </c>
      <c r="Q58" s="289">
        <v>46023</v>
      </c>
      <c r="R58" s="306">
        <v>9661.5840000000007</v>
      </c>
      <c r="S58" s="306">
        <f>+R58</f>
        <v>9661.5840000000007</v>
      </c>
      <c r="T58" s="289">
        <v>46023</v>
      </c>
      <c r="U58" s="302">
        <v>1.0350269999999999E-4</v>
      </c>
      <c r="V58" s="302">
        <f>+U58</f>
        <v>1.0350269999999999E-4</v>
      </c>
      <c r="W58" s="303">
        <f>1000/$R58*VLOOKUP(Q58,G$5:$I116,2)</f>
        <v>4.2218750051751339</v>
      </c>
      <c r="X58" s="294">
        <f>IFERROR(1000/$S58*VLOOKUP($Q58,G$5:$I116,3),"")</f>
        <v>4.2218750051751339</v>
      </c>
      <c r="Y58" s="1459">
        <f t="shared" si="5"/>
        <v>236.86158372150041</v>
      </c>
      <c r="Z58" s="294">
        <f t="shared" si="5"/>
        <v>236.86158372150041</v>
      </c>
      <c r="AA58" s="1462"/>
      <c r="AD58" s="410"/>
      <c r="AE58" s="589"/>
      <c r="AG58" s="1402">
        <v>17</v>
      </c>
      <c r="AH58" s="1403">
        <v>11.163</v>
      </c>
    </row>
    <row r="59" spans="1:34" s="588" customFormat="1">
      <c r="A59" s="265"/>
      <c r="B59" s="295">
        <v>2024</v>
      </c>
      <c r="C59" s="282">
        <v>3535</v>
      </c>
      <c r="D59" s="282">
        <v>3465</v>
      </c>
      <c r="E59" s="282">
        <f t="shared" si="1"/>
        <v>35.35</v>
      </c>
      <c r="F59" s="282">
        <f t="shared" si="2"/>
        <v>4242</v>
      </c>
      <c r="G59" s="296">
        <v>45474</v>
      </c>
      <c r="H59" s="297">
        <v>39.32</v>
      </c>
      <c r="I59" s="298">
        <f>+H59</f>
        <v>39.32</v>
      </c>
      <c r="J59" s="264">
        <v>2024</v>
      </c>
      <c r="K59" s="2310">
        <v>47085</v>
      </c>
      <c r="L59" s="2310">
        <v>44732</v>
      </c>
      <c r="M59" s="2310">
        <f>7550*12</f>
        <v>90600</v>
      </c>
      <c r="N59" s="2310">
        <f>+M59</f>
        <v>90600</v>
      </c>
      <c r="O59" s="296">
        <v>44927</v>
      </c>
      <c r="P59" s="299">
        <v>0.186</v>
      </c>
      <c r="Q59" s="296">
        <v>46388</v>
      </c>
      <c r="R59" s="307"/>
      <c r="S59" s="307"/>
      <c r="T59" s="296">
        <v>46388</v>
      </c>
      <c r="U59" s="267"/>
      <c r="V59" s="267"/>
      <c r="W59" s="304"/>
      <c r="X59" s="300"/>
      <c r="Y59" s="1458"/>
      <c r="Z59" s="300"/>
      <c r="AA59" s="1462"/>
      <c r="AD59" s="410"/>
      <c r="AE59" s="589"/>
      <c r="AG59" s="1402">
        <v>18</v>
      </c>
      <c r="AH59" s="1403">
        <v>11.555</v>
      </c>
    </row>
    <row r="60" spans="1:34" s="588" customFormat="1">
      <c r="A60" s="265"/>
      <c r="B60" s="287">
        <v>2025</v>
      </c>
      <c r="C60" s="288">
        <v>3745</v>
      </c>
      <c r="D60" s="288">
        <v>3745</v>
      </c>
      <c r="E60" s="288">
        <f t="shared" si="1"/>
        <v>37.450000000000003</v>
      </c>
      <c r="F60" s="288">
        <f t="shared" si="2"/>
        <v>4494</v>
      </c>
      <c r="G60" s="289">
        <v>45839</v>
      </c>
      <c r="H60" s="290">
        <v>40.79</v>
      </c>
      <c r="I60" s="291">
        <v>40.79</v>
      </c>
      <c r="J60" s="292">
        <v>2025</v>
      </c>
      <c r="K60" s="1025">
        <f>+L60</f>
        <v>50493</v>
      </c>
      <c r="L60" s="1025">
        <v>50493</v>
      </c>
      <c r="M60" s="1025">
        <v>96600</v>
      </c>
      <c r="N60" s="1025">
        <v>96600</v>
      </c>
      <c r="O60" s="289">
        <v>45292</v>
      </c>
      <c r="P60" s="293">
        <v>0.186</v>
      </c>
      <c r="Q60" s="289">
        <v>46753</v>
      </c>
      <c r="R60" s="306"/>
      <c r="S60" s="306"/>
      <c r="T60" s="289">
        <v>46753</v>
      </c>
      <c r="U60" s="302"/>
      <c r="V60" s="302"/>
      <c r="W60" s="303"/>
      <c r="X60" s="294"/>
      <c r="Y60" s="1459"/>
      <c r="Z60" s="294"/>
      <c r="AA60" s="1462"/>
      <c r="AD60" s="410"/>
      <c r="AE60" s="589"/>
      <c r="AG60" s="1402">
        <v>19</v>
      </c>
      <c r="AH60" s="1403">
        <v>11.927</v>
      </c>
    </row>
    <row r="61" spans="1:34" s="588" customFormat="1">
      <c r="A61" s="265"/>
      <c r="B61" s="295">
        <v>2026</v>
      </c>
      <c r="C61" s="282">
        <v>3955</v>
      </c>
      <c r="D61" s="282">
        <f>+C61</f>
        <v>3955</v>
      </c>
      <c r="E61" s="282">
        <f t="shared" si="1"/>
        <v>39.550000000000004</v>
      </c>
      <c r="F61" s="282">
        <f t="shared" si="2"/>
        <v>4746</v>
      </c>
      <c r="G61" s="296">
        <v>46204</v>
      </c>
      <c r="H61" s="297">
        <v>42.52</v>
      </c>
      <c r="I61" s="298">
        <f>+H61</f>
        <v>42.52</v>
      </c>
      <c r="J61" s="264">
        <v>2026</v>
      </c>
      <c r="K61" s="1024">
        <v>51944</v>
      </c>
      <c r="L61" s="1024">
        <v>51944</v>
      </c>
      <c r="M61" s="1024">
        <v>99600</v>
      </c>
      <c r="N61" s="1024">
        <v>99600</v>
      </c>
      <c r="O61" s="296">
        <v>45658</v>
      </c>
      <c r="P61" s="299">
        <v>0.186</v>
      </c>
      <c r="Q61" s="296">
        <v>47119</v>
      </c>
      <c r="R61" s="307"/>
      <c r="S61" s="307"/>
      <c r="T61" s="296"/>
      <c r="U61" s="267"/>
      <c r="V61" s="267"/>
      <c r="W61" s="304"/>
      <c r="X61" s="300"/>
      <c r="Y61" s="1458"/>
      <c r="Z61" s="300"/>
      <c r="AA61" s="1462"/>
      <c r="AD61" s="410"/>
      <c r="AE61" s="589"/>
      <c r="AG61" s="1402">
        <v>20</v>
      </c>
      <c r="AH61" s="1403">
        <v>12.279</v>
      </c>
    </row>
    <row r="62" spans="1:34" s="588" customFormat="1">
      <c r="A62" s="265"/>
      <c r="B62" s="287">
        <v>2027</v>
      </c>
      <c r="C62" s="288"/>
      <c r="D62" s="288"/>
      <c r="E62" s="288"/>
      <c r="F62" s="288"/>
      <c r="G62" s="289">
        <v>46569</v>
      </c>
      <c r="H62" s="2319"/>
      <c r="I62" s="291"/>
      <c r="J62" s="292">
        <v>2027</v>
      </c>
      <c r="K62" s="288"/>
      <c r="L62" s="288"/>
      <c r="M62" s="288"/>
      <c r="N62" s="288"/>
      <c r="O62" s="289">
        <v>46023</v>
      </c>
      <c r="P62" s="293">
        <v>0.186</v>
      </c>
      <c r="Q62" s="289">
        <v>47484</v>
      </c>
      <c r="R62" s="306"/>
      <c r="S62" s="306"/>
      <c r="T62" s="289"/>
      <c r="U62" s="302"/>
      <c r="V62" s="302"/>
      <c r="W62" s="303"/>
      <c r="X62" s="294"/>
      <c r="Y62" s="1459"/>
      <c r="Z62" s="294"/>
      <c r="AA62" s="1462"/>
      <c r="AD62" s="410"/>
      <c r="AE62" s="589"/>
      <c r="AG62" s="1402">
        <v>21</v>
      </c>
      <c r="AH62" s="1403">
        <v>12.613</v>
      </c>
    </row>
    <row r="63" spans="1:34" s="588" customFormat="1">
      <c r="A63" s="265"/>
      <c r="B63" s="295">
        <v>2028</v>
      </c>
      <c r="C63" s="282"/>
      <c r="D63" s="282"/>
      <c r="E63" s="282"/>
      <c r="F63" s="282"/>
      <c r="G63" s="296">
        <v>46935</v>
      </c>
      <c r="H63" s="297"/>
      <c r="I63" s="298"/>
      <c r="J63" s="264">
        <v>2028</v>
      </c>
      <c r="K63" s="282"/>
      <c r="L63" s="282"/>
      <c r="M63" s="282"/>
      <c r="N63" s="282"/>
      <c r="O63" s="296">
        <v>46388</v>
      </c>
      <c r="P63" s="299"/>
      <c r="Q63" s="296">
        <v>47849</v>
      </c>
      <c r="R63" s="307"/>
      <c r="S63" s="307"/>
      <c r="T63" s="296"/>
      <c r="U63" s="267"/>
      <c r="V63" s="267"/>
      <c r="W63" s="304"/>
      <c r="X63" s="300"/>
      <c r="Y63" s="1458"/>
      <c r="Z63" s="300"/>
      <c r="AA63" s="1462"/>
      <c r="AD63" s="410"/>
      <c r="AE63" s="589"/>
      <c r="AG63" s="1402">
        <v>22</v>
      </c>
      <c r="AH63" s="1403">
        <v>12.929</v>
      </c>
    </row>
    <row r="64" spans="1:34" s="588" customFormat="1">
      <c r="A64" s="265"/>
      <c r="B64" s="287">
        <v>2029</v>
      </c>
      <c r="C64" s="288"/>
      <c r="D64" s="288"/>
      <c r="E64" s="288"/>
      <c r="F64" s="288"/>
      <c r="G64" s="289">
        <v>47300</v>
      </c>
      <c r="H64" s="290"/>
      <c r="I64" s="291"/>
      <c r="J64" s="292">
        <v>2029</v>
      </c>
      <c r="K64" s="288"/>
      <c r="L64" s="288"/>
      <c r="M64" s="288"/>
      <c r="N64" s="288"/>
      <c r="O64" s="289">
        <v>46753</v>
      </c>
      <c r="P64" s="293"/>
      <c r="Q64" s="289">
        <v>48214</v>
      </c>
      <c r="R64" s="306"/>
      <c r="S64" s="306"/>
      <c r="T64" s="289"/>
      <c r="U64" s="302"/>
      <c r="V64" s="302"/>
      <c r="W64" s="303"/>
      <c r="X64" s="294"/>
      <c r="Y64" s="1459"/>
      <c r="Z64" s="294"/>
      <c r="AA64" s="1462"/>
      <c r="AD64" s="410"/>
      <c r="AE64" s="589"/>
      <c r="AG64" s="1402">
        <v>23</v>
      </c>
      <c r="AH64" s="1403">
        <v>13.228999999999999</v>
      </c>
    </row>
    <row r="65" spans="1:34" s="588" customFormat="1">
      <c r="A65" s="265"/>
      <c r="B65" s="295"/>
      <c r="C65" s="282"/>
      <c r="D65" s="282"/>
      <c r="E65" s="282"/>
      <c r="F65" s="282"/>
      <c r="G65" s="296"/>
      <c r="H65" s="297"/>
      <c r="I65" s="298"/>
      <c r="J65" s="264"/>
      <c r="K65" s="282"/>
      <c r="L65" s="282"/>
      <c r="M65" s="282"/>
      <c r="N65" s="282"/>
      <c r="O65" s="296"/>
      <c r="P65" s="299"/>
      <c r="Q65" s="296"/>
      <c r="R65" s="307"/>
      <c r="S65" s="307"/>
      <c r="T65" s="296"/>
      <c r="U65" s="267"/>
      <c r="V65" s="267"/>
      <c r="W65" s="304"/>
      <c r="X65" s="300"/>
      <c r="Y65" s="1458"/>
      <c r="Z65" s="300"/>
      <c r="AA65" s="1462"/>
      <c r="AD65" s="410"/>
      <c r="AE65" s="589"/>
      <c r="AG65" s="1402">
        <v>24</v>
      </c>
      <c r="AH65" s="1403">
        <v>13.513</v>
      </c>
    </row>
    <row r="66" spans="1:34" s="588" customFormat="1">
      <c r="A66" s="265"/>
      <c r="B66" s="264"/>
      <c r="C66" s="265"/>
      <c r="D66" s="265"/>
      <c r="E66" s="265"/>
      <c r="F66" s="282"/>
      <c r="G66" s="265"/>
      <c r="H66" s="265"/>
      <c r="I66" s="265"/>
      <c r="J66" s="264"/>
      <c r="K66" s="265"/>
      <c r="L66" s="265"/>
      <c r="M66" s="265"/>
      <c r="N66" s="265"/>
      <c r="O66" s="265"/>
      <c r="P66" s="265"/>
      <c r="Q66" s="265"/>
      <c r="R66" s="266"/>
      <c r="S66" s="266"/>
      <c r="T66" s="296"/>
      <c r="U66" s="267"/>
      <c r="V66" s="267"/>
      <c r="W66" s="265"/>
      <c r="X66" s="265"/>
      <c r="Y66" s="265"/>
      <c r="Z66" s="265"/>
      <c r="AA66" s="1462"/>
      <c r="AD66" s="410"/>
      <c r="AE66" s="589"/>
      <c r="AG66" s="1402">
        <v>25</v>
      </c>
      <c r="AH66" s="1403">
        <v>13.782999999999999</v>
      </c>
    </row>
    <row r="67" spans="1:34">
      <c r="T67" s="296"/>
      <c r="AD67" s="3"/>
      <c r="AE67" s="147"/>
      <c r="AG67" s="1402">
        <v>26</v>
      </c>
      <c r="AH67" s="1403">
        <v>14.038</v>
      </c>
    </row>
    <row r="68" spans="1:34">
      <c r="T68" s="296"/>
      <c r="AD68" s="3"/>
      <c r="AE68" s="147"/>
      <c r="AG68" s="1402">
        <v>27</v>
      </c>
      <c r="AH68" s="1403">
        <v>14.28</v>
      </c>
    </row>
    <row r="69" spans="1:34">
      <c r="T69" s="296"/>
      <c r="AG69" s="1402">
        <v>28</v>
      </c>
      <c r="AH69" s="1403">
        <v>14.51</v>
      </c>
    </row>
    <row r="70" spans="1:34">
      <c r="AG70" s="1402">
        <v>29</v>
      </c>
      <c r="AH70" s="1403">
        <v>14.727</v>
      </c>
    </row>
    <row r="71" spans="1:34">
      <c r="AG71" s="1402">
        <v>30</v>
      </c>
      <c r="AH71" s="1403">
        <v>14.933</v>
      </c>
    </row>
    <row r="72" spans="1:34">
      <c r="AG72" s="1402">
        <v>31</v>
      </c>
      <c r="AH72" s="1403">
        <v>15.129</v>
      </c>
    </row>
    <row r="73" spans="1:34">
      <c r="AG73" s="1402">
        <v>32</v>
      </c>
      <c r="AH73" s="1403">
        <v>15.314</v>
      </c>
    </row>
    <row r="74" spans="1:34">
      <c r="AG74" s="1402">
        <v>33</v>
      </c>
      <c r="AH74" s="1403">
        <v>15.49</v>
      </c>
    </row>
    <row r="75" spans="1:34">
      <c r="AG75" s="1402">
        <v>34</v>
      </c>
      <c r="AH75" s="1403">
        <v>15.656000000000001</v>
      </c>
    </row>
    <row r="76" spans="1:34">
      <c r="AG76" s="1402">
        <v>35</v>
      </c>
      <c r="AH76" s="1403">
        <v>15.814</v>
      </c>
    </row>
    <row r="77" spans="1:34">
      <c r="AG77" s="1402">
        <v>36</v>
      </c>
      <c r="AH77" s="1403">
        <v>15.962999999999999</v>
      </c>
    </row>
    <row r="78" spans="1:34">
      <c r="AG78" s="1402">
        <v>37</v>
      </c>
      <c r="AH78" s="1403">
        <v>16.105</v>
      </c>
    </row>
    <row r="79" spans="1:34">
      <c r="AG79" s="1402">
        <v>38</v>
      </c>
      <c r="AH79" s="1403">
        <v>16.239000000000001</v>
      </c>
    </row>
    <row r="80" spans="1:34">
      <c r="AG80" s="1402">
        <v>39</v>
      </c>
      <c r="AH80" s="1403">
        <v>16.367000000000001</v>
      </c>
    </row>
    <row r="81" spans="33:34">
      <c r="AG81" s="1402">
        <v>40</v>
      </c>
      <c r="AH81" s="1403">
        <v>16.486999999999998</v>
      </c>
    </row>
    <row r="82" spans="33:34">
      <c r="AG82" s="1402">
        <v>41</v>
      </c>
      <c r="AH82" s="1403">
        <v>16.602</v>
      </c>
    </row>
    <row r="83" spans="33:34">
      <c r="AG83" s="1402">
        <v>42</v>
      </c>
      <c r="AH83" s="1403">
        <v>16.71</v>
      </c>
    </row>
    <row r="84" spans="33:34">
      <c r="AG84" s="1402">
        <v>43</v>
      </c>
      <c r="AH84" s="1403">
        <v>16.812999999999999</v>
      </c>
    </row>
    <row r="85" spans="33:34">
      <c r="AG85" s="1402">
        <v>44</v>
      </c>
      <c r="AH85" s="1403">
        <v>16.91</v>
      </c>
    </row>
    <row r="86" spans="33:34">
      <c r="AG86" s="1402">
        <v>45</v>
      </c>
      <c r="AH86" s="1403">
        <v>17.003</v>
      </c>
    </row>
    <row r="87" spans="33:34">
      <c r="AG87" s="1402">
        <v>46</v>
      </c>
      <c r="AH87" s="1403">
        <v>17.09</v>
      </c>
    </row>
    <row r="88" spans="33:34">
      <c r="AG88" s="1402">
        <v>47</v>
      </c>
      <c r="AH88" s="1403">
        <v>17.172999999999998</v>
      </c>
    </row>
    <row r="89" spans="33:34">
      <c r="AG89" s="1402">
        <v>48</v>
      </c>
      <c r="AH89" s="1403">
        <v>17.251999999999999</v>
      </c>
    </row>
    <row r="90" spans="33:34">
      <c r="AG90" s="1402">
        <v>49</v>
      </c>
      <c r="AH90" s="1403">
        <v>17.326000000000001</v>
      </c>
    </row>
    <row r="91" spans="33:34">
      <c r="AG91" s="1402">
        <v>50</v>
      </c>
      <c r="AH91" s="1403">
        <v>17.396999999999998</v>
      </c>
    </row>
    <row r="92" spans="33:34">
      <c r="AG92" s="1402">
        <v>51</v>
      </c>
      <c r="AH92" s="1403">
        <v>17.463999999999999</v>
      </c>
    </row>
    <row r="93" spans="33:34">
      <c r="AG93" s="1402">
        <v>52</v>
      </c>
      <c r="AH93" s="1403">
        <v>17.527999999999999</v>
      </c>
    </row>
    <row r="94" spans="33:34">
      <c r="AG94" s="1402">
        <v>53</v>
      </c>
      <c r="AH94" s="1403">
        <v>17.588000000000001</v>
      </c>
    </row>
    <row r="95" spans="33:34">
      <c r="AG95" s="1402">
        <v>54</v>
      </c>
      <c r="AH95" s="1403">
        <v>17.645</v>
      </c>
    </row>
    <row r="96" spans="33:34">
      <c r="AG96" s="1402">
        <v>55</v>
      </c>
      <c r="AH96" s="1403">
        <v>17.699000000000002</v>
      </c>
    </row>
    <row r="97" spans="33:34">
      <c r="AG97" s="1402">
        <v>56</v>
      </c>
      <c r="AH97" s="1403">
        <v>17.75</v>
      </c>
    </row>
    <row r="98" spans="33:34">
      <c r="AG98" s="1402">
        <v>57</v>
      </c>
      <c r="AH98" s="1403">
        <v>17.798999999999999</v>
      </c>
    </row>
    <row r="99" spans="33:34">
      <c r="AG99" s="1402">
        <v>58</v>
      </c>
      <c r="AH99" s="1403">
        <v>17.844999999999999</v>
      </c>
    </row>
    <row r="100" spans="33:34">
      <c r="AG100" s="1402">
        <v>59</v>
      </c>
      <c r="AH100" s="1403">
        <v>17.888000000000002</v>
      </c>
    </row>
    <row r="101" spans="33:34">
      <c r="AG101" s="1402">
        <v>60</v>
      </c>
      <c r="AH101" s="1403">
        <v>17.93</v>
      </c>
    </row>
    <row r="102" spans="33:34">
      <c r="AG102" s="1402">
        <v>61</v>
      </c>
      <c r="AH102" s="1403">
        <v>17.969000000000001</v>
      </c>
    </row>
    <row r="103" spans="33:34">
      <c r="AG103" s="1402">
        <v>62</v>
      </c>
      <c r="AH103" s="1403">
        <v>18.006</v>
      </c>
    </row>
    <row r="104" spans="33:34">
      <c r="AG104" s="1402">
        <v>63</v>
      </c>
      <c r="AH104" s="1403">
        <v>18.041</v>
      </c>
    </row>
    <row r="105" spans="33:34">
      <c r="AG105" s="1402">
        <v>64</v>
      </c>
      <c r="AH105" s="1403">
        <v>18.074999999999999</v>
      </c>
    </row>
    <row r="106" spans="33:34">
      <c r="AG106" s="1402">
        <v>65</v>
      </c>
      <c r="AH106" s="1403">
        <v>18.106000000000002</v>
      </c>
    </row>
    <row r="107" spans="33:34">
      <c r="AG107" s="1402">
        <v>66</v>
      </c>
      <c r="AH107" s="1403">
        <v>18.135999999999999</v>
      </c>
    </row>
    <row r="108" spans="33:34">
      <c r="AG108" s="1402">
        <v>67</v>
      </c>
      <c r="AH108" s="1403">
        <v>18.164999999999999</v>
      </c>
    </row>
    <row r="109" spans="33:34">
      <c r="AG109" s="1402">
        <v>68</v>
      </c>
      <c r="AH109" s="1403">
        <v>18.192</v>
      </c>
    </row>
    <row r="110" spans="33:34">
      <c r="AG110" s="1402">
        <v>69</v>
      </c>
      <c r="AH110" s="1403">
        <v>18.216999999999999</v>
      </c>
    </row>
    <row r="111" spans="33:34">
      <c r="AG111" s="1402">
        <v>70</v>
      </c>
      <c r="AH111" s="1403">
        <v>18.242000000000001</v>
      </c>
    </row>
    <row r="112" spans="33:34">
      <c r="AG112" s="1402">
        <v>71</v>
      </c>
      <c r="AH112" s="1403">
        <v>18.263999999999999</v>
      </c>
    </row>
    <row r="113" spans="33:34">
      <c r="AG113" s="1402">
        <v>72</v>
      </c>
      <c r="AH113" s="1403">
        <v>18.286000000000001</v>
      </c>
    </row>
    <row r="114" spans="33:34">
      <c r="AG114" s="1402">
        <v>73</v>
      </c>
      <c r="AH114" s="1403">
        <v>18.306999999999999</v>
      </c>
    </row>
    <row r="115" spans="33:34">
      <c r="AG115" s="1402">
        <v>74</v>
      </c>
      <c r="AH115" s="1403">
        <v>18.326000000000001</v>
      </c>
    </row>
    <row r="116" spans="33:34">
      <c r="AG116" s="1402">
        <v>75</v>
      </c>
      <c r="AH116" s="1403">
        <v>18.344999999999999</v>
      </c>
    </row>
    <row r="117" spans="33:34">
      <c r="AG117" s="1402">
        <v>76</v>
      </c>
      <c r="AH117" s="1403">
        <v>18.361999999999998</v>
      </c>
    </row>
    <row r="118" spans="33:34">
      <c r="AG118" s="1402">
        <v>77</v>
      </c>
      <c r="AH118" s="1403">
        <v>18.379000000000001</v>
      </c>
    </row>
    <row r="119" spans="33:34">
      <c r="AG119" s="1402">
        <v>78</v>
      </c>
      <c r="AH119" s="1403">
        <v>18.395</v>
      </c>
    </row>
    <row r="120" spans="33:34">
      <c r="AG120" s="1402">
        <v>79</v>
      </c>
      <c r="AH120" s="1403">
        <v>18.41</v>
      </c>
    </row>
    <row r="121" spans="33:34">
      <c r="AG121" s="1402">
        <v>80</v>
      </c>
      <c r="AH121" s="1403">
        <v>18.423999999999999</v>
      </c>
    </row>
    <row r="122" spans="33:34">
      <c r="AG122" s="1402">
        <v>81</v>
      </c>
      <c r="AH122" s="1403">
        <v>18.437000000000001</v>
      </c>
    </row>
    <row r="123" spans="33:34">
      <c r="AG123" s="1402">
        <v>82</v>
      </c>
      <c r="AH123" s="1403">
        <v>18.45</v>
      </c>
    </row>
    <row r="124" spans="33:34">
      <c r="AG124" s="1402">
        <v>83</v>
      </c>
      <c r="AH124" s="1403">
        <v>18.462</v>
      </c>
    </row>
    <row r="125" spans="33:34">
      <c r="AG125" s="1402">
        <v>84</v>
      </c>
      <c r="AH125" s="1403">
        <v>18.474</v>
      </c>
    </row>
    <row r="126" spans="33:34">
      <c r="AG126" s="1402">
        <v>85</v>
      </c>
      <c r="AH126" s="1403">
        <v>18.484999999999999</v>
      </c>
    </row>
    <row r="127" spans="33:34">
      <c r="AG127" s="1402">
        <v>86</v>
      </c>
      <c r="AH127" s="1403">
        <v>18.495000000000001</v>
      </c>
    </row>
    <row r="128" spans="33:34">
      <c r="AG128" s="1402">
        <v>87</v>
      </c>
      <c r="AH128" s="1403">
        <v>18.504999999999999</v>
      </c>
    </row>
    <row r="129" spans="33:34">
      <c r="AG129" s="1402">
        <v>88</v>
      </c>
      <c r="AH129" s="1403">
        <v>18.513999999999999</v>
      </c>
    </row>
    <row r="130" spans="33:34">
      <c r="AG130" s="1402">
        <v>89</v>
      </c>
      <c r="AH130" s="1403">
        <v>18.523</v>
      </c>
    </row>
    <row r="131" spans="33:34">
      <c r="AG131" s="1402">
        <v>90</v>
      </c>
      <c r="AH131" s="1403">
        <v>18.530999999999999</v>
      </c>
    </row>
    <row r="132" spans="33:34">
      <c r="AG132" s="1402">
        <v>91</v>
      </c>
      <c r="AH132" s="1403">
        <v>18.539000000000001</v>
      </c>
    </row>
    <row r="133" spans="33:34">
      <c r="AG133" s="1402">
        <v>92</v>
      </c>
      <c r="AH133" s="1403">
        <v>18.545999999999999</v>
      </c>
    </row>
    <row r="134" spans="33:34">
      <c r="AG134" s="1402">
        <v>93</v>
      </c>
      <c r="AH134" s="1403">
        <v>18.553000000000001</v>
      </c>
    </row>
    <row r="135" spans="33:34">
      <c r="AG135" s="1402">
        <v>94</v>
      </c>
      <c r="AH135" s="1403">
        <v>18.559999999999999</v>
      </c>
    </row>
    <row r="136" spans="33:34">
      <c r="AG136" s="1402">
        <v>95</v>
      </c>
      <c r="AH136" s="1403">
        <v>18.565999999999999</v>
      </c>
    </row>
    <row r="137" spans="33:34">
      <c r="AG137" s="1402">
        <v>96</v>
      </c>
      <c r="AH137" s="1403">
        <v>18.571999999999999</v>
      </c>
    </row>
    <row r="138" spans="33:34">
      <c r="AG138" s="1402">
        <v>97</v>
      </c>
      <c r="AH138" s="1403">
        <v>18.577999999999999</v>
      </c>
    </row>
    <row r="139" spans="33:34">
      <c r="AG139" s="1402">
        <v>98</v>
      </c>
      <c r="AH139" s="1403">
        <v>18.582999999999998</v>
      </c>
    </row>
    <row r="140" spans="33:34">
      <c r="AG140" s="1402">
        <v>99</v>
      </c>
      <c r="AH140" s="1403">
        <v>18.588999999999999</v>
      </c>
    </row>
    <row r="141" spans="33:34">
      <c r="AG141" s="1402">
        <v>100</v>
      </c>
      <c r="AH141" s="1403">
        <v>18.593</v>
      </c>
    </row>
    <row r="142" spans="33:34">
      <c r="AG142" s="1402">
        <v>101</v>
      </c>
      <c r="AH142" s="1403">
        <v>18.597999999999999</v>
      </c>
    </row>
  </sheetData>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Zeros="0" topLeftCell="C1" zoomScale="85" zoomScaleNormal="85" workbookViewId="0">
      <selection activeCell="D17" sqref="D17"/>
    </sheetView>
  </sheetViews>
  <sheetFormatPr baseColWidth="10" defaultColWidth="0" defaultRowHeight="14.25" zeroHeight="1"/>
  <cols>
    <col min="1" max="1" width="5.125" style="25" customWidth="1"/>
    <col min="2" max="2" width="5.125" style="871"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1" customWidth="1"/>
    <col min="15" max="15" width="13.5" customWidth="1"/>
    <col min="16" max="16" width="13.5" style="617"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73"/>
      <c r="C1" s="3916" t="s">
        <v>1055</v>
      </c>
      <c r="D1" s="3917"/>
      <c r="E1" s="3917"/>
      <c r="F1" s="3917"/>
      <c r="G1" s="3917"/>
      <c r="H1" s="3917"/>
      <c r="I1" s="3917"/>
      <c r="J1" s="3917"/>
      <c r="K1" s="3917"/>
      <c r="L1" s="3917"/>
      <c r="M1" s="3917"/>
      <c r="N1" s="3917"/>
      <c r="O1" s="3917"/>
      <c r="P1" s="3917"/>
      <c r="Q1" s="2048"/>
      <c r="R1" s="2048"/>
      <c r="S1" s="2048"/>
      <c r="T1" s="2048"/>
      <c r="U1" s="85"/>
      <c r="V1" s="128">
        <f>VLOOKUP(IF(S8&lt;S11,S11,S8),CHOOSE(V3,Lebenserwartung_M_V2,Lebenserwartung_F_V2,Lebenserwartung_N_V2),YEAR(S5)+IF(MONTH(S5)&gt;6,1,0)-1900+2)</f>
        <v>49.311019164994661</v>
      </c>
      <c r="W1" s="877"/>
      <c r="X1" s="128" t="s">
        <v>217</v>
      </c>
      <c r="Y1" s="877"/>
      <c r="Z1" s="877"/>
      <c r="AA1" s="877"/>
      <c r="AB1" s="877"/>
      <c r="AC1" s="877"/>
    </row>
    <row r="2" spans="1:34" s="71" customFormat="1" ht="36" customHeight="1" thickTop="1" thickBot="1">
      <c r="A2" s="3824" t="s">
        <v>1012</v>
      </c>
      <c r="B2" s="3829" t="s">
        <v>392</v>
      </c>
      <c r="C2" s="3830"/>
      <c r="D2" s="3830"/>
      <c r="E2" s="3831"/>
      <c r="F2" s="903"/>
      <c r="G2" s="3879" t="s">
        <v>633</v>
      </c>
      <c r="H2" s="3880"/>
      <c r="I2" s="3880"/>
      <c r="J2" s="3881"/>
      <c r="K2" s="3888" t="s">
        <v>215</v>
      </c>
      <c r="L2" s="3889"/>
      <c r="M2" s="876"/>
      <c r="N2" s="3862" t="s">
        <v>341</v>
      </c>
      <c r="O2" s="3863"/>
      <c r="P2" s="3864"/>
      <c r="Q2" s="1126"/>
      <c r="R2" s="3924" t="s">
        <v>1838</v>
      </c>
      <c r="S2" s="3925"/>
      <c r="T2" s="3926"/>
      <c r="U2" s="64"/>
      <c r="W2" s="847"/>
      <c r="X2" s="128" t="s">
        <v>263</v>
      </c>
      <c r="Y2" s="847"/>
      <c r="Z2" s="847"/>
      <c r="AA2" s="847"/>
      <c r="AB2" s="847"/>
      <c r="AC2" s="847"/>
      <c r="AD2" s="847"/>
      <c r="AE2" s="847"/>
      <c r="AF2" s="847"/>
      <c r="AG2" s="847"/>
      <c r="AH2" s="847"/>
    </row>
    <row r="3" spans="1:34" s="71" customFormat="1" ht="17.100000000000001" customHeight="1">
      <c r="A3" s="3825"/>
      <c r="B3" s="732" t="s">
        <v>56</v>
      </c>
      <c r="C3" s="3834" t="s">
        <v>129</v>
      </c>
      <c r="D3" s="3835"/>
      <c r="E3" s="1757">
        <v>2.5999999999999999E-2</v>
      </c>
      <c r="F3" s="576"/>
      <c r="G3" s="3869" t="s">
        <v>389</v>
      </c>
      <c r="H3" s="3870"/>
      <c r="I3" s="3870"/>
      <c r="J3" s="3871"/>
      <c r="K3" s="412" t="s">
        <v>1179</v>
      </c>
      <c r="L3" s="587" t="s">
        <v>1180</v>
      </c>
      <c r="M3" s="3872"/>
      <c r="N3" s="3885" t="s">
        <v>982</v>
      </c>
      <c r="O3" s="3886"/>
      <c r="P3" s="3887"/>
      <c r="Q3" s="1126"/>
      <c r="R3" s="1794" t="s">
        <v>1959</v>
      </c>
      <c r="S3" s="1057" t="str">
        <f>IFERROR(IF(S5&gt;0,"",IF(Dat_GebDat_M&gt;0,TEXT(Dat_GebDat_M,"TT.MM.JJJ")&amp;männlich,"")),"")</f>
        <v>♂</v>
      </c>
      <c r="T3" s="1795" t="str">
        <f>IFERROR(IF(T5&gt;0,"",IF(Dat_GebDat_F&gt;0,TEXT(Dat_GebDat_F,"TT.MM.JJJ")&amp;weiblich,"")),"")</f>
        <v>♀</v>
      </c>
      <c r="U3" s="64">
        <f>+U2*U1</f>
        <v>0</v>
      </c>
      <c r="V3" s="16">
        <f>IF(S4="m",1,IF(S4="w",2,3))</f>
        <v>3</v>
      </c>
      <c r="W3" s="16">
        <f>IF(T4="m",1,IF(T4="w",2,3))</f>
        <v>3</v>
      </c>
      <c r="X3" s="128" t="s">
        <v>384</v>
      </c>
      <c r="Y3" s="847"/>
      <c r="Z3" s="847"/>
      <c r="AA3" s="847"/>
      <c r="AB3" s="847"/>
      <c r="AC3" s="847"/>
      <c r="AD3" s="847"/>
      <c r="AE3" s="847"/>
      <c r="AF3" s="847"/>
      <c r="AG3" s="847"/>
      <c r="AH3" s="847"/>
    </row>
    <row r="4" spans="1:34" s="71" customFormat="1" ht="17.100000000000001" customHeight="1">
      <c r="A4" s="3825"/>
      <c r="B4" s="881" t="s">
        <v>124</v>
      </c>
      <c r="C4" s="3834" t="s">
        <v>188</v>
      </c>
      <c r="D4" s="3835"/>
      <c r="E4" s="1758">
        <v>7.2999999999999995E-2</v>
      </c>
      <c r="F4" s="64"/>
      <c r="G4" s="3890" t="s">
        <v>635</v>
      </c>
      <c r="H4" s="3891"/>
      <c r="I4" s="3891"/>
      <c r="J4" s="571" t="s">
        <v>391</v>
      </c>
      <c r="K4" s="413">
        <v>8401</v>
      </c>
      <c r="L4" s="634">
        <v>3.5000000000000003E-2</v>
      </c>
      <c r="M4" s="3873"/>
      <c r="N4" s="358"/>
      <c r="O4" s="161" t="s">
        <v>22</v>
      </c>
      <c r="P4" s="311" t="s">
        <v>23</v>
      </c>
      <c r="Q4" s="64"/>
      <c r="R4" s="1796" t="s">
        <v>1960</v>
      </c>
      <c r="S4" s="1787" t="s">
        <v>384</v>
      </c>
      <c r="T4" s="1797" t="s">
        <v>384</v>
      </c>
      <c r="U4" s="64"/>
      <c r="W4" s="71" t="s">
        <v>190</v>
      </c>
      <c r="AD4" s="71" t="s">
        <v>125</v>
      </c>
      <c r="AE4" s="16" t="b">
        <v>1</v>
      </c>
    </row>
    <row r="5" spans="1:34" s="71" customFormat="1" ht="17.100000000000001" customHeight="1">
      <c r="A5" s="3825"/>
      <c r="B5" s="881" t="s">
        <v>134</v>
      </c>
      <c r="C5" s="3834" t="s">
        <v>136</v>
      </c>
      <c r="D5" s="3835"/>
      <c r="E5" s="1759">
        <f>+'Einzel-Bewertung'!J11</f>
        <v>1</v>
      </c>
      <c r="F5" s="64"/>
      <c r="G5" s="893" t="s">
        <v>632</v>
      </c>
      <c r="H5" s="872"/>
      <c r="I5" s="864" t="s">
        <v>966</v>
      </c>
      <c r="J5" s="571" t="s">
        <v>390</v>
      </c>
      <c r="K5" s="413">
        <v>15341</v>
      </c>
      <c r="L5" s="634">
        <v>0.04</v>
      </c>
      <c r="M5" s="3873"/>
      <c r="N5" s="308" t="s">
        <v>915</v>
      </c>
      <c r="O5" s="882"/>
      <c r="P5" s="849"/>
      <c r="Q5" s="64"/>
      <c r="R5" s="1794" t="s">
        <v>1961</v>
      </c>
      <c r="S5" s="882"/>
      <c r="T5" s="1798"/>
      <c r="U5" s="64"/>
      <c r="W5" s="1431" t="s">
        <v>1621</v>
      </c>
      <c r="X5" s="1431">
        <v>33238</v>
      </c>
      <c r="Z5" s="1440" t="e">
        <f>ROUND(IF(O5&gt;X5,VLOOKUP(O5,VPI,3),VLOOKUP(O5,VPI,2)),2)</f>
        <v>#N/A</v>
      </c>
      <c r="AA5" s="1431"/>
    </row>
    <row r="6" spans="1:34" s="71" customFormat="1" ht="17.100000000000001" customHeight="1">
      <c r="A6" s="3825"/>
      <c r="B6" s="881" t="s">
        <v>70</v>
      </c>
      <c r="C6" s="3834" t="s">
        <v>135</v>
      </c>
      <c r="D6" s="3835"/>
      <c r="E6" s="1760">
        <f>+'Einzel-Bewertung'!J12</f>
        <v>0.6</v>
      </c>
      <c r="F6" s="64"/>
      <c r="G6" s="893" t="s">
        <v>967</v>
      </c>
      <c r="H6" s="862"/>
      <c r="I6" s="863" t="s">
        <v>969</v>
      </c>
      <c r="J6" s="865" t="s">
        <v>968</v>
      </c>
      <c r="K6" s="413">
        <v>31593</v>
      </c>
      <c r="L6" s="634">
        <v>0.03</v>
      </c>
      <c r="M6" s="3873"/>
      <c r="N6" s="308" t="s">
        <v>914</v>
      </c>
      <c r="O6" s="3877"/>
      <c r="P6" s="3878"/>
      <c r="Q6" s="64"/>
      <c r="R6" s="1794" t="s">
        <v>1962</v>
      </c>
      <c r="S6" s="882"/>
      <c r="T6" s="1798"/>
      <c r="U6" s="64"/>
      <c r="W6" s="1431"/>
      <c r="X6" s="1432" t="e">
        <f>ROUND(VLOOKUP(P5,VPI,3),2)</f>
        <v>#N/A</v>
      </c>
      <c r="Y6" s="1431"/>
      <c r="Z6" s="1440" t="e">
        <f>ROUND(IF(O5&gt;X5,VLOOKUP(P5,VPI,3),VLOOKUP(P5,VPI,2)),2)</f>
        <v>#N/A</v>
      </c>
      <c r="AA6" s="1431"/>
      <c r="AD6" s="71" t="s">
        <v>173</v>
      </c>
      <c r="AE6" s="848" t="b">
        <v>1</v>
      </c>
    </row>
    <row r="7" spans="1:34" s="71" customFormat="1" ht="17.100000000000001" customHeight="1">
      <c r="A7" s="3825"/>
      <c r="B7" s="881" t="s">
        <v>195</v>
      </c>
      <c r="C7" s="3834" t="s">
        <v>261</v>
      </c>
      <c r="D7" s="3835"/>
      <c r="E7" s="1757">
        <v>0.01</v>
      </c>
      <c r="F7" s="64"/>
      <c r="G7" s="3856" t="s">
        <v>634</v>
      </c>
      <c r="H7" s="3857"/>
      <c r="I7" s="3857"/>
      <c r="J7" s="3858"/>
      <c r="K7" s="413">
        <v>34515</v>
      </c>
      <c r="L7" s="634">
        <v>3.5000000000000003E-2</v>
      </c>
      <c r="M7" s="3873"/>
      <c r="N7" s="1017" t="str">
        <f>IF(P5&gt;Enddatum,"VPI fehlt, letzter VPI","VPI")</f>
        <v>VPI</v>
      </c>
      <c r="O7" s="1127" t="str">
        <f>IFERROR(+Z5,"")</f>
        <v/>
      </c>
      <c r="P7" s="1128" t="str">
        <f>IFERROR(+Z6,"")</f>
        <v/>
      </c>
      <c r="Q7" s="64"/>
      <c r="R7" s="2013" t="s">
        <v>1963</v>
      </c>
      <c r="S7" s="317"/>
      <c r="T7" s="2014"/>
      <c r="U7" s="64"/>
      <c r="W7" s="71" t="s">
        <v>1844</v>
      </c>
      <c r="X7" s="620">
        <f>VLOOKUP(YEAR(S5),Regelaltersgrenze,3)</f>
        <v>65</v>
      </c>
      <c r="Y7" s="620">
        <f>IF(DuD_RAltersgr1&lt;S11,0,ROUND(DuD_RAltersgr1-S11,2))</f>
        <v>65</v>
      </c>
    </row>
    <row r="8" spans="1:34" s="71" customFormat="1" ht="17.100000000000001" customHeight="1">
      <c r="A8" s="3825"/>
      <c r="B8" s="881" t="s">
        <v>196</v>
      </c>
      <c r="C8" s="3834" t="s">
        <v>262</v>
      </c>
      <c r="D8" s="3835"/>
      <c r="E8" s="1761">
        <v>0.01</v>
      </c>
      <c r="F8" s="64"/>
      <c r="G8" s="3933" t="s">
        <v>641</v>
      </c>
      <c r="H8" s="3934"/>
      <c r="I8" s="3934"/>
      <c r="J8" s="3935"/>
      <c r="K8" s="413">
        <v>36707</v>
      </c>
      <c r="L8" s="634">
        <v>0.04</v>
      </c>
      <c r="M8" s="3873"/>
      <c r="N8" s="308" t="s">
        <v>911</v>
      </c>
      <c r="O8" s="3892" t="str">
        <f>IFERROR(+O6*P7/O7,"")</f>
        <v/>
      </c>
      <c r="P8" s="3893"/>
      <c r="Q8" s="64"/>
      <c r="R8" s="1794" t="str">
        <f>"6. Renteneintrittsalter (DRV: "&amp;TEXT(DuD_RAltersgr1,"0,00")&amp;" bzw. "&amp;TEXT(DuD_RAltersgr2,"0,00")&amp;" Jahre):"</f>
        <v>6. Renteneintrittsalter (DRV: 65,00 bzw. 65,00 Jahre):</v>
      </c>
      <c r="S8" s="875"/>
      <c r="T8" s="1799"/>
      <c r="U8" s="64"/>
      <c r="W8" s="71" t="s">
        <v>1845</v>
      </c>
      <c r="X8" s="620">
        <f>VLOOKUP(YEAR(T5),Regelaltersgrenze,3)</f>
        <v>65</v>
      </c>
      <c r="Y8" s="620">
        <f>IF(DuD_RAltersgr2&lt;T11,0,ROUND(DuD_RAltersgr2-T11,2))</f>
        <v>65</v>
      </c>
    </row>
    <row r="9" spans="1:34" s="71" customFormat="1" ht="17.100000000000001" customHeight="1" thickBot="1">
      <c r="A9" s="3825"/>
      <c r="B9" s="733" t="s">
        <v>197</v>
      </c>
      <c r="C9" s="3834" t="s">
        <v>1371</v>
      </c>
      <c r="D9" s="3835"/>
      <c r="E9" s="1762">
        <v>0</v>
      </c>
      <c r="F9" s="64"/>
      <c r="G9" s="3882" t="s">
        <v>638</v>
      </c>
      <c r="H9" s="3883"/>
      <c r="I9" s="3883"/>
      <c r="J9" s="3884"/>
      <c r="K9" s="413">
        <v>37986</v>
      </c>
      <c r="L9" s="634">
        <v>3.2500000000000001E-2</v>
      </c>
      <c r="M9" s="3873"/>
      <c r="N9" s="308" t="s">
        <v>913</v>
      </c>
      <c r="O9" s="3865" t="str">
        <f>IFERROR(+P7/O7-1,"")</f>
        <v/>
      </c>
      <c r="P9" s="3866"/>
      <c r="Q9" s="64"/>
      <c r="R9" s="1794" t="s">
        <v>1964</v>
      </c>
      <c r="S9" s="427"/>
      <c r="T9" s="1800"/>
      <c r="U9" s="64"/>
      <c r="Y9" s="16">
        <v>2</v>
      </c>
      <c r="AA9" s="71" t="e">
        <f>-PV(X13/12-S10/12,S13*12,S14)*S18</f>
        <v>#N/A</v>
      </c>
    </row>
    <row r="10" spans="1:34" s="71" customFormat="1" ht="17.100000000000001" customHeight="1" thickBot="1">
      <c r="A10" s="3826"/>
      <c r="B10" s="1763"/>
      <c r="C10" s="1764"/>
      <c r="D10" s="1764"/>
      <c r="E10" s="1765"/>
      <c r="F10" s="576"/>
      <c r="G10" s="3856" t="s">
        <v>640</v>
      </c>
      <c r="H10" s="3857"/>
      <c r="I10" s="3857"/>
      <c r="J10" s="3858"/>
      <c r="K10" s="413">
        <v>39082</v>
      </c>
      <c r="L10" s="634">
        <v>2.75E-2</v>
      </c>
      <c r="M10" s="3873"/>
      <c r="N10" s="869" t="s">
        <v>871</v>
      </c>
      <c r="O10" s="3867" t="str">
        <f>IFERROR(_xlfn.RRI(YEARFRAC(O5,P5,0),O6,O8),"")</f>
        <v/>
      </c>
      <c r="P10" s="3868"/>
      <c r="Q10" s="64"/>
      <c r="R10" s="1794" t="s">
        <v>1965</v>
      </c>
      <c r="S10" s="427"/>
      <c r="T10" s="1800"/>
      <c r="U10" s="64"/>
      <c r="W10" s="540" t="s">
        <v>192</v>
      </c>
      <c r="X10" s="1339" t="e">
        <f>VLOOKUP(S6,BilmoGZins,16)/100</f>
        <v>#N/A</v>
      </c>
      <c r="Y10" s="540"/>
      <c r="AB10" s="154" t="e">
        <f>S19*VLOOKUP(S6,Umrechnungsfaktoren_BeitraginEP,2)*VLOOKUP(S6,aktRW,2)</f>
        <v>#VALUE!</v>
      </c>
    </row>
    <row r="11" spans="1:34" s="71" customFormat="1" ht="17.100000000000001" customHeight="1" thickTop="1">
      <c r="A11" s="3832" t="s">
        <v>126</v>
      </c>
      <c r="B11" s="3847" t="s">
        <v>965</v>
      </c>
      <c r="C11" s="3848"/>
      <c r="D11" s="3848"/>
      <c r="E11" s="3849"/>
      <c r="F11" s="576"/>
      <c r="G11" s="3856" t="s">
        <v>636</v>
      </c>
      <c r="H11" s="3857"/>
      <c r="I11" s="3857"/>
      <c r="J11" s="3858"/>
      <c r="K11" s="413">
        <v>40908</v>
      </c>
      <c r="L11" s="634">
        <v>2.2499999999999999E-2</v>
      </c>
      <c r="M11" s="3873"/>
      <c r="N11" s="3927" t="s">
        <v>983</v>
      </c>
      <c r="O11" s="3928"/>
      <c r="P11" s="3929"/>
      <c r="Q11" s="64"/>
      <c r="R11" s="1794" t="s">
        <v>1966</v>
      </c>
      <c r="S11" s="218">
        <f>YEARFRAC(S5,S6,0)</f>
        <v>0</v>
      </c>
      <c r="T11" s="1801">
        <f>YEARFRAC(T5,T6,0)</f>
        <v>0</v>
      </c>
      <c r="U11" s="64"/>
      <c r="W11" s="978" t="s">
        <v>193</v>
      </c>
      <c r="X11" s="1339" t="e">
        <f>VLOOKUP(S6,BilMoG10,16)/100</f>
        <v>#N/A</v>
      </c>
      <c r="Y11" s="540"/>
    </row>
    <row r="12" spans="1:34" s="71" customFormat="1" ht="17.100000000000001" customHeight="1">
      <c r="A12" s="3832"/>
      <c r="B12" s="3850"/>
      <c r="C12" s="3851"/>
      <c r="D12" s="3851"/>
      <c r="E12" s="3852"/>
      <c r="F12" s="576"/>
      <c r="G12" s="3856" t="s">
        <v>637</v>
      </c>
      <c r="H12" s="3857"/>
      <c r="I12" s="3857"/>
      <c r="J12" s="3858"/>
      <c r="K12" s="413">
        <v>42004</v>
      </c>
      <c r="L12" s="634">
        <v>1.7500000000000002E-2</v>
      </c>
      <c r="M12" s="3873"/>
      <c r="N12" s="1018" t="s">
        <v>342</v>
      </c>
      <c r="O12" s="1122" t="str">
        <f>IFERROR(VLOOKUP(O5,AktuellerRentenwert,IF(Ost,3,2)),"")</f>
        <v/>
      </c>
      <c r="P12" s="221" t="str">
        <f>IFERROR(VLOOKUP(P5,AktuellerRentenwert,IF(Ost,3,2)),"")</f>
        <v/>
      </c>
      <c r="Q12" s="64"/>
      <c r="R12" s="1794" t="s">
        <v>1970</v>
      </c>
      <c r="S12" s="218">
        <f>IF(S11&lt;S8,S8-S11,0)</f>
        <v>0</v>
      </c>
      <c r="T12" s="1801">
        <f>IF(T11&lt;T8,T8-T11,0)</f>
        <v>0</v>
      </c>
      <c r="U12" s="64"/>
      <c r="W12" s="978" t="s">
        <v>1846</v>
      </c>
      <c r="X12" s="540"/>
      <c r="Y12" s="540"/>
    </row>
    <row r="13" spans="1:34" s="71" customFormat="1" ht="17.100000000000001" customHeight="1">
      <c r="A13" s="3832"/>
      <c r="B13" s="3827" t="str">
        <f>"Ehezeitende: "</f>
        <v xml:space="preserve">Ehezeitende: </v>
      </c>
      <c r="C13" s="3828"/>
      <c r="D13" s="2178">
        <v>45565</v>
      </c>
      <c r="E13" s="1748" t="str">
        <f>IFERROR("aktRW: "&amp;TEXT(X15,"0,00 €"),"")</f>
        <v>aktRW: 39,32 €</v>
      </c>
      <c r="F13" s="576"/>
      <c r="G13" s="3859" t="s">
        <v>689</v>
      </c>
      <c r="H13" s="3860"/>
      <c r="I13" s="3860"/>
      <c r="J13" s="3861"/>
      <c r="K13" s="413">
        <v>42735</v>
      </c>
      <c r="L13" s="634">
        <v>1.2500000000000001E-2</v>
      </c>
      <c r="M13" s="3873"/>
      <c r="N13" s="308" t="s">
        <v>912</v>
      </c>
      <c r="O13" s="3527" t="str">
        <f>IFERROR(O6*P12/O12,"")</f>
        <v/>
      </c>
      <c r="P13" s="3528"/>
      <c r="Q13" s="64"/>
      <c r="R13" s="1794" t="s">
        <v>1971</v>
      </c>
      <c r="S13" s="218">
        <f>IFERROR(ROUND(VLOOKUP(IF(S8&lt;S11,S11,S8),CHOOSE(V3,Lebenserwartung_M_V2,Lebenserwartung_F_V2,Lebenserwartung_N_V2),YEAR(S5)+IF(MONTH(S5)&gt;6,1,0)-1900+2),3),"")</f>
        <v>49.311</v>
      </c>
      <c r="T13" s="1801">
        <f>IFERROR(ROUND(VLOOKUP(IF(T8&lt;T11,T11,T8),CHOOSE(W3,Lebenserwartung_M_V2,Lebenserwartung_F_V2,Lebenserwartung_N_V2),YEAR(T5)+IF(MONTH(T5)&gt;6,1,0)-1900+2),3),"")</f>
        <v>49.311</v>
      </c>
      <c r="U13" s="64"/>
      <c r="W13" s="978" t="s">
        <v>617</v>
      </c>
      <c r="X13" s="1339" t="e">
        <f>IF(S17&gt;0,S17,CHOOSE(Y9,X10,X11,S17))</f>
        <v>#N/A</v>
      </c>
      <c r="Y13" s="1339" t="e">
        <f>IF(T17&gt;0,T17,CHOOSE(Y9,X10,X11,T17))</f>
        <v>#N/A</v>
      </c>
    </row>
    <row r="14" spans="1:34" s="71" customFormat="1" ht="17.100000000000001" customHeight="1" thickBot="1">
      <c r="A14" s="3832"/>
      <c r="B14" s="3827" t="s">
        <v>1712</v>
      </c>
      <c r="C14" s="3828"/>
      <c r="D14" s="1653">
        <v>23461</v>
      </c>
      <c r="E14" s="1749"/>
      <c r="F14" s="873"/>
      <c r="G14" s="3859" t="s">
        <v>1008</v>
      </c>
      <c r="H14" s="3860"/>
      <c r="I14" s="3860"/>
      <c r="J14" s="3861"/>
      <c r="K14" s="414">
        <v>44561</v>
      </c>
      <c r="L14" s="634">
        <v>8.9999999999999993E-3</v>
      </c>
      <c r="M14" s="3873"/>
      <c r="N14" s="1019" t="str">
        <f>+N9</f>
        <v>Steigerung in %</v>
      </c>
      <c r="O14" s="3865" t="str">
        <f>IFERROR(+(O13/O6)-1,"")</f>
        <v/>
      </c>
      <c r="P14" s="3866"/>
      <c r="Q14" s="64"/>
      <c r="R14" s="1802" t="s">
        <v>1972</v>
      </c>
      <c r="S14" s="225">
        <f>ROUND(S7*(1+S9)^S12,2)</f>
        <v>0</v>
      </c>
      <c r="T14" s="1803">
        <f>ROUND(T7*(1+T9)^T12,2)</f>
        <v>0</v>
      </c>
      <c r="U14" s="64"/>
      <c r="W14" s="71" t="str">
        <f>+B11</f>
        <v>Umrechnungen Kapital, Rente &amp; Entgeltpunkte</v>
      </c>
    </row>
    <row r="15" spans="1:34" s="71" customFormat="1" ht="17.100000000000001" customHeight="1" thickTop="1" thickBot="1">
      <c r="A15" s="3832"/>
      <c r="B15" s="3842" t="s">
        <v>1013</v>
      </c>
      <c r="C15" s="3843"/>
      <c r="D15" s="3843"/>
      <c r="E15" s="3844"/>
      <c r="F15" s="20"/>
      <c r="G15" s="1383" t="s">
        <v>1321</v>
      </c>
      <c r="H15" s="3932" t="s">
        <v>1588</v>
      </c>
      <c r="I15" s="3932"/>
      <c r="J15" s="25"/>
      <c r="K15" s="414">
        <v>45657</v>
      </c>
      <c r="L15" s="555">
        <v>2.5000000000000001E-3</v>
      </c>
      <c r="M15" s="3873"/>
      <c r="N15" s="1020" t="str">
        <f>N10</f>
        <v>Ø % pro Jahr</v>
      </c>
      <c r="O15" s="3930" t="str">
        <f>IFERROR(_xlfn.RRI(YEARFRAC(O5,P5,0),O12,P12),"")</f>
        <v/>
      </c>
      <c r="P15" s="3931"/>
      <c r="Q15" s="64"/>
      <c r="R15" s="1807" t="str">
        <f>"13. Summe der "&amp;IF(S12=0,"noch erwartbaren","erwartbaren")&amp;" Rentenzahlungen: "</f>
        <v xml:space="preserve">13. Summe der noch erwartbaren Rentenzahlungen: </v>
      </c>
      <c r="S15" s="1808">
        <f>-PV(-S10,S13,S14*12,,1)</f>
        <v>0</v>
      </c>
      <c r="T15" s="1809">
        <f>-PV(-T10,T13,T14*12,,1)</f>
        <v>0</v>
      </c>
      <c r="U15" s="2145"/>
      <c r="W15" s="71" t="s">
        <v>930</v>
      </c>
      <c r="X15" s="64">
        <f>VLOOKUP(EzE_P,aktRW,IF(Dies_und_Das_Ost,3,2))</f>
        <v>39.32</v>
      </c>
      <c r="Z15" s="71" t="s">
        <v>1708</v>
      </c>
    </row>
    <row r="16" spans="1:34" s="71" customFormat="1" ht="17.100000000000001" customHeight="1">
      <c r="A16" s="3832"/>
      <c r="B16" s="3827" t="str">
        <f>"Kapital i.H.v.  in EP zum EzE"</f>
        <v>Kapital i.H.v.  in EP zum EzE</v>
      </c>
      <c r="C16" s="3828"/>
      <c r="D16" s="1650" t="s">
        <v>805</v>
      </c>
      <c r="E16" s="1750" t="s">
        <v>61</v>
      </c>
      <c r="F16" s="20"/>
      <c r="G16" s="3853" t="s">
        <v>1424</v>
      </c>
      <c r="H16" s="3854"/>
      <c r="I16" s="3854"/>
      <c r="J16" s="3855"/>
      <c r="K16" s="414" t="s">
        <v>2006</v>
      </c>
      <c r="L16" s="634">
        <v>0.01</v>
      </c>
      <c r="M16" s="3873"/>
      <c r="N16" s="3936" t="s">
        <v>971</v>
      </c>
      <c r="O16" s="3937"/>
      <c r="P16" s="3938"/>
      <c r="Q16" s="64"/>
      <c r="R16" s="1810" t="s">
        <v>1997</v>
      </c>
      <c r="S16" s="1805">
        <f>IFERROR(+S15/12/S13,0)</f>
        <v>0</v>
      </c>
      <c r="T16" s="1806">
        <f>IFERROR(+T15/T13/12,"")</f>
        <v>0</v>
      </c>
      <c r="U16" s="64"/>
      <c r="W16" s="71" t="s">
        <v>931</v>
      </c>
      <c r="X16" s="64">
        <f>VLOOKUP(EzE_P,Umrechnungsfaktoren_BeitraginEP,IF(Dies_und_Das_Ost,3,2))</f>
        <v>1.185313E-4</v>
      </c>
      <c r="Z16" s="71" t="s">
        <v>1709</v>
      </c>
    </row>
    <row r="17" spans="1:30" s="71" customFormat="1" ht="17.100000000000001" customHeight="1" thickBot="1">
      <c r="A17" s="3832"/>
      <c r="B17" s="3827"/>
      <c r="C17" s="3828"/>
      <c r="D17" s="1651">
        <v>72067</v>
      </c>
      <c r="E17" s="1751">
        <f>IF(Kapital_P&gt;0,Kapital_P,IF(Rente_P&gt;0,Rente_P/X15/X16,IF(D21&gt;0,D21*X16,"")))</f>
        <v>72067</v>
      </c>
      <c r="F17" s="20"/>
      <c r="G17" s="3874" t="s">
        <v>639</v>
      </c>
      <c r="H17" s="3875"/>
      <c r="I17" s="3875"/>
      <c r="J17" s="3876"/>
      <c r="K17" s="570"/>
      <c r="L17" s="635"/>
      <c r="M17" s="3873"/>
      <c r="N17" s="3939"/>
      <c r="O17" s="3940"/>
      <c r="P17" s="3941"/>
      <c r="Q17" s="64"/>
      <c r="R17" s="1811" t="e">
        <f>"15.ReZins f. BW-Berechnung: "&amp;TEXT(X13,"0,00%")</f>
        <v>#N/A</v>
      </c>
      <c r="S17" s="427"/>
      <c r="T17" s="1800"/>
      <c r="U17" s="64"/>
      <c r="W17" s="71" t="s">
        <v>1318</v>
      </c>
      <c r="X17" s="16" t="b">
        <v>0</v>
      </c>
      <c r="Z17" s="71" t="s">
        <v>228</v>
      </c>
    </row>
    <row r="18" spans="1:30" s="71" customFormat="1" ht="17.100000000000001" customHeight="1" thickBot="1">
      <c r="A18" s="3832"/>
      <c r="B18" s="3827" t="str">
        <f>"Rente i.H.v. "&amp;TEXT(IF(D19=0,"…",D19),"###.##0 €")&amp;" in EP zum Ehezeitende "</f>
        <v xml:space="preserve">Rente i.H.v. … in EP zum Ehezeitende </v>
      </c>
      <c r="C18" s="3828"/>
      <c r="D18" s="1650" t="s">
        <v>806</v>
      </c>
      <c r="E18" s="1750" t="s">
        <v>21</v>
      </c>
      <c r="F18" s="20"/>
      <c r="G18" s="64"/>
      <c r="H18" s="874"/>
      <c r="I18" s="874"/>
      <c r="J18" s="574"/>
      <c r="K18" s="574"/>
      <c r="L18" s="575"/>
      <c r="M18" s="866"/>
      <c r="N18" s="3942" t="s">
        <v>1495</v>
      </c>
      <c r="O18" s="3943"/>
      <c r="P18" s="868" t="s">
        <v>979</v>
      </c>
      <c r="Q18" s="64"/>
      <c r="R18" s="1812" t="s">
        <v>1968</v>
      </c>
      <c r="S18" s="1788">
        <f>IFERROR(IF(DuD_VVR1,IF(S11&gt;S8,1,ROUND(VLOOKUP(S8,CHOOSE(V3,G_Kohorte_M,G_Kohorte_F,G_Kohorte_N),YEAR(S5)+IF(MONTH(S5)&gt;6,1,0)-1900+2)/VLOOKUP(S11,CHOOSE(V3,G_Kohorte_M,G_Kohorte_F,G_Kohorte_N),YEAR(S5)+IF(MONTH(S5)&gt;6,1,0)-1900+2),4)),1),"")</f>
        <v>1</v>
      </c>
      <c r="T18" s="1804">
        <f>IFERROR(IF(DuD_VVR1,IF(T11&gt;T8,1,ROUND(VLOOKUP(T8,CHOOSE(W3,G_Kohorte_M,G_Kohorte_F,G_Kohorte_N),YEAR(T5)+IF(MONTH(T5)&gt;6,1,0)-1900+2)/VLOOKUP(T11,CHOOSE(W3,G_Kohorte_M,G_Kohorte_F,G_Kohorte_N),YEAR(T5)+IF(MONTH(T5)&gt;6,1,0)-1900+2),4)),1),"")</f>
        <v>1</v>
      </c>
      <c r="U18" s="64"/>
      <c r="W18" s="71" t="s">
        <v>1840</v>
      </c>
      <c r="X18" s="16" t="b">
        <v>0</v>
      </c>
      <c r="Z18" s="71" t="s">
        <v>269</v>
      </c>
    </row>
    <row r="19" spans="1:30" s="71" customFormat="1" ht="17.100000000000001" customHeight="1" thickBot="1">
      <c r="A19" s="3832"/>
      <c r="B19" s="3827"/>
      <c r="C19" s="3828"/>
      <c r="D19" s="1651"/>
      <c r="E19" s="1752">
        <f>IFERROR(IF(D19&gt;0,D19,IF(D21&gt;0,D21*X15,IF(Kapital_P&gt;0,Kapital_P*X16*X15,""))),0)</f>
        <v>335.87911514997199</v>
      </c>
      <c r="F19" s="20"/>
      <c r="G19" s="3862" t="s">
        <v>264</v>
      </c>
      <c r="H19" s="3863"/>
      <c r="I19" s="3863"/>
      <c r="J19" s="3863"/>
      <c r="K19" s="3863"/>
      <c r="L19" s="3864"/>
      <c r="M19" s="64"/>
      <c r="N19" s="869" t="s">
        <v>594</v>
      </c>
      <c r="O19" s="562"/>
      <c r="P19" s="870" t="str">
        <f>IF(O19="","",DATE(YEAR(O19)+65,MONTH(O19)+1+VLOOKUP(YEAR(O19),Regelaltersgrenze,2),1))</f>
        <v/>
      </c>
      <c r="Q19" s="64"/>
      <c r="R19" s="2142" t="e">
        <f>"17. BW der Altersrente (AusglWert) berechnet mit "&amp;TEXT(X13,"0,00%")&amp;" bzw. "&amp;TEXT(Y13,"0,00%")&amp;": "</f>
        <v>#N/A</v>
      </c>
      <c r="S19" s="2140" t="str">
        <f>IFERROR(ROUND(-PV(X13/12-S9/12,S12*12,,-PV(X13/12-S10/12,S13*12,S14))*S18,0),"")</f>
        <v/>
      </c>
      <c r="T19" s="2143" t="str">
        <f>IFERROR(ROUND(-PV(Y13/12-T9/12,T12*12,,-PV(Y13/12-T10/12,T13*12,T14))*T18,0),"")</f>
        <v/>
      </c>
      <c r="U19" s="2145"/>
      <c r="AB19" s="540" t="s">
        <v>1710</v>
      </c>
      <c r="AC19" s="540"/>
      <c r="AD19" s="66" t="s">
        <v>126</v>
      </c>
    </row>
    <row r="20" spans="1:30" s="71" customFormat="1" ht="17.100000000000001" customHeight="1">
      <c r="A20" s="3832"/>
      <c r="B20" s="3840" t="str">
        <f>TEXT(E21,"0,0000")&amp;" Entgeltpunkte zum Ehezeitende am "&amp;TEXT(EzE_P,"TT.MM.JJJJ")&amp;Zeichen!B9&amp;IF(Rente_P&gt;0,TEXT(Rente_P,"#.##0,00 €")&amp;" Rente",IF(Kapital_P&gt;0,TEXT(Kapital_P,"#.##0,00€")&amp;" Kapital",""))</f>
        <v>8,5422 Entgeltpunkte zum Ehezeitende am 30.09.2024≙72.067,00€ Kapital</v>
      </c>
      <c r="C20" s="3841"/>
      <c r="D20" s="1650" t="s">
        <v>929</v>
      </c>
      <c r="E20" s="1750" t="s">
        <v>929</v>
      </c>
      <c r="F20" s="20"/>
      <c r="G20" s="3949"/>
      <c r="H20" s="3950"/>
      <c r="I20" s="3950"/>
      <c r="J20" s="3950"/>
      <c r="K20" s="3950"/>
      <c r="L20" s="3951"/>
      <c r="M20" s="64"/>
      <c r="N20" s="3944" t="s">
        <v>980</v>
      </c>
      <c r="O20" s="3945"/>
      <c r="P20" s="3946"/>
      <c r="Q20" s="64"/>
      <c r="R20" s="2149" t="s">
        <v>1969</v>
      </c>
      <c r="S20" s="2147"/>
      <c r="T20" s="2150"/>
      <c r="U20" s="64"/>
      <c r="AB20" s="540" t="s">
        <v>255</v>
      </c>
      <c r="AC20" s="540" t="s">
        <v>217</v>
      </c>
      <c r="AD20" s="362" t="b">
        <v>1</v>
      </c>
    </row>
    <row r="21" spans="1:30" s="71" customFormat="1" ht="17.100000000000001" customHeight="1">
      <c r="A21" s="3832"/>
      <c r="B21" s="3840"/>
      <c r="C21" s="3841"/>
      <c r="D21" s="1652"/>
      <c r="E21" s="1753">
        <f>IFERROR(IF(Kapital2_p&gt;0,Kapital2_p,IF(Rente_P&gt;0,Rente_P/X15,IF(Kapital_P&gt;0,Kapital_P*X16,""))),0)</f>
        <v>8.5421951970999999</v>
      </c>
      <c r="F21" s="20"/>
      <c r="G21" s="3805" t="s">
        <v>265</v>
      </c>
      <c r="H21" s="3806"/>
      <c r="I21" s="3806"/>
      <c r="J21" s="3806"/>
      <c r="K21" s="897"/>
      <c r="L21" s="1279" t="str">
        <f>IF(K21&gt;0,K21,IF(K22="m",Dat_GebDat_M,Dat_GebDat_F))</f>
        <v/>
      </c>
      <c r="M21" s="64"/>
      <c r="N21" s="3944"/>
      <c r="O21" s="3945"/>
      <c r="P21" s="3946"/>
      <c r="Q21" s="64"/>
      <c r="R21" s="2141" t="e">
        <f>"19. DRV-Rente zum "&amp;IF(S12=0,TEXT(S6,"TT.MM.JJ"),"Renteneintritt "&amp;TEXT(S8,"0,00"))&amp;" aus "&amp;TEXT(S19,"#.##0 €")&amp; " x "&amp;TEXT(VLOOKUP(S6,Umrechnungsfaktoren_BinEP,2),"0,000000000")&amp;"EP x "&amp;TEXT(VLOOKUP(S6,aktRW,2),"0,00 €")&amp;" im BerZtpkt.: "</f>
        <v>#N/A</v>
      </c>
      <c r="S21" s="2148">
        <f>IFERROR(IF(S20&gt;0,S20,S19)*VLOOKUP(S6,Umrechnungsfaktoren_BeitraginEP,2)*VLOOKUP(S6,aktRW,2)*(1+RententrendDRV)^S12,0)</f>
        <v>0</v>
      </c>
      <c r="T21" s="2151">
        <f>IFERROR(IF(T20&gt;0,T20,T19)*VLOOKUP(T6,Umrechnungsfaktoren_BeitraginEP,2)*VLOOKUP(T6,aktRW,2)*(1+RententrendDRV)^T12,0)</f>
        <v>0</v>
      </c>
      <c r="U21" s="2145"/>
      <c r="W21" s="71" t="s">
        <v>1165</v>
      </c>
      <c r="X21" s="71" t="s">
        <v>1166</v>
      </c>
      <c r="AB21" s="540"/>
      <c r="AC21" s="540" t="s">
        <v>263</v>
      </c>
      <c r="AD21" s="66"/>
    </row>
    <row r="22" spans="1:30" s="71" customFormat="1" ht="17.100000000000001" customHeight="1">
      <c r="A22" s="3832"/>
      <c r="B22" s="3845" t="str">
        <f>IFERROR("mit "&amp;TEXT(RententrendDRV,"#0,0%")&amp;" dynam. Rente i.H.v. "&amp;TEXT(E19,"0,00 €")&amp;" am: ","")</f>
        <v xml:space="preserve">mit 2,6% dynam. Rente i.H.v. 335,88 € am: </v>
      </c>
      <c r="C22" s="3846"/>
      <c r="D22" s="1653"/>
      <c r="E22" s="1793" t="str">
        <f>IF(D22="","",IFERROR(-FV(RententrendDRV,YEARFRAC(EzE_P,D22,4),,E19),""))</f>
        <v/>
      </c>
      <c r="F22" s="20"/>
      <c r="G22" s="3805" t="s">
        <v>266</v>
      </c>
      <c r="H22" s="3806"/>
      <c r="I22" s="3806"/>
      <c r="J22" s="3806"/>
      <c r="K22" s="1467"/>
      <c r="L22" s="578"/>
      <c r="M22" s="64"/>
      <c r="N22" s="308" t="s">
        <v>978</v>
      </c>
      <c r="O22" s="577"/>
      <c r="P22" s="3947" t="str">
        <f>IF(O23="","",IF(AND(O22&gt;W22,O22&gt;X22),"keine Änderung erwartbar",TEXT(VLOOKUP(YEAR(O23),Regelaltersgrenze,2),"00")&amp;" Monate"))</f>
        <v/>
      </c>
      <c r="Q22" s="64"/>
      <c r="R22" s="2141" t="s">
        <v>1973</v>
      </c>
      <c r="S22" s="2146">
        <f>IFERROR(-PV(X13-RententrendDRV,S13,S21*12),0)</f>
        <v>0</v>
      </c>
      <c r="T22" s="2152">
        <f>IFERROR(-PV(Y13-RententrendDRV,T13,T21*12),0)</f>
        <v>0</v>
      </c>
      <c r="U22" s="2145"/>
      <c r="W22" s="787">
        <v>39856</v>
      </c>
      <c r="X22" s="787">
        <v>37622</v>
      </c>
      <c r="AB22" s="540" t="s">
        <v>275</v>
      </c>
      <c r="AC22" s="1747" t="e">
        <f>ROUND(YEARFRAC(L21,K24,0),2)</f>
        <v>#VALUE!</v>
      </c>
      <c r="AD22" s="1107">
        <f>YEARFRAC(D14,EzE_P,0)</f>
        <v>60.513888888888886</v>
      </c>
    </row>
    <row r="23" spans="1:30" s="71" customFormat="1" ht="17.100000000000001" customHeight="1">
      <c r="A23" s="3832"/>
      <c r="B23" s="3836" t="s">
        <v>1791</v>
      </c>
      <c r="C23" s="3837"/>
      <c r="D23" s="1766" t="str">
        <f>IF(O_BilMoG,"10","7")</f>
        <v>10</v>
      </c>
      <c r="E23" s="1754">
        <f>AD32</f>
        <v>1.9099999999999999E-2</v>
      </c>
      <c r="F23" s="20"/>
      <c r="G23" s="3805" t="s">
        <v>267</v>
      </c>
      <c r="H23" s="3806"/>
      <c r="I23" s="3806"/>
      <c r="J23" s="3806"/>
      <c r="K23" s="1468"/>
      <c r="L23" s="205" t="s">
        <v>7</v>
      </c>
      <c r="M23" s="64"/>
      <c r="N23" s="308" t="s">
        <v>594</v>
      </c>
      <c r="O23" s="577"/>
      <c r="P23" s="3948"/>
      <c r="Q23" s="64"/>
      <c r="R23" s="1926" t="str">
        <f>"21. KoKa DRV zum "&amp;TEXT(S6,"TT.MM.JJJJ")</f>
        <v>21. KoKa DRV zum 00.01.1900</v>
      </c>
      <c r="S23" s="1927" t="str">
        <f>IFERROR(ROUND(S7/VLOOKUP(S6,aktRW,2),4)*VLOOKUP(S6,UmrechnungEP_Kap,2),"")</f>
        <v/>
      </c>
      <c r="T23" s="488" t="str">
        <f>IFERROR(ROUND(T7/VLOOKUP(T6,aktRW,2),4)*VLOOKUP(T6,UmrechnungEP_Kap,2),"")</f>
        <v/>
      </c>
      <c r="U23" s="64"/>
      <c r="AB23" s="540" t="s">
        <v>276</v>
      </c>
      <c r="AC23" s="1747" t="e">
        <f>VLOOKUP(AC22,IF(K22="M",Lebenserwartung_M_V2,Lebenserwartung_F_V2),YEAR(L21)-1900+2)</f>
        <v>#VALUE!</v>
      </c>
      <c r="AD23" s="66"/>
    </row>
    <row r="24" spans="1:30" s="71" customFormat="1" ht="17.100000000000001" customHeight="1" thickBot="1">
      <c r="A24" s="3833"/>
      <c r="B24" s="3838" t="s">
        <v>1792</v>
      </c>
      <c r="C24" s="3839"/>
      <c r="D24" s="1756"/>
      <c r="E24" s="1755">
        <f>IFERROR(AD33,"")</f>
        <v>100926.38996639999</v>
      </c>
      <c r="F24" s="20"/>
      <c r="G24" s="3805" t="s">
        <v>268</v>
      </c>
      <c r="H24" s="3806"/>
      <c r="I24" s="3806"/>
      <c r="J24" s="3806"/>
      <c r="K24" s="1467"/>
      <c r="L24" s="206" t="str">
        <f>IFERROR(AC22,"")</f>
        <v/>
      </c>
      <c r="M24" s="64"/>
      <c r="N24" s="3819" t="s">
        <v>974</v>
      </c>
      <c r="O24" s="3820"/>
      <c r="P24" s="320"/>
      <c r="Q24" s="64"/>
      <c r="R24" s="3918" t="str">
        <f>"22. "&amp;Summenzeichen&amp;" Rentenzahlung in DRV "</f>
        <v xml:space="preserve">22. ∑ Rentenzahlung in DRV </v>
      </c>
      <c r="S24" s="3920">
        <f>-PV(-RententrendDRV,S13,S21*12)</f>
        <v>0</v>
      </c>
      <c r="T24" s="3922">
        <f>-PV(-RententrendDRV,T13,T21*12)</f>
        <v>0</v>
      </c>
      <c r="U24" s="2144"/>
      <c r="AB24" s="540" t="s">
        <v>277</v>
      </c>
      <c r="AC24" s="1747" t="e">
        <f>VLOOKUP(YEAR(L21),Renteneintrittstabelle,3)</f>
        <v>#VALUE!</v>
      </c>
      <c r="AD24" s="66">
        <f>ROUND(VLOOKUP(YEAR(D14),Renteneintrittstabelle,3),2)</f>
        <v>67</v>
      </c>
    </row>
    <row r="25" spans="1:30" s="71" customFormat="1" ht="17.100000000000001" customHeight="1" thickBot="1">
      <c r="A25" s="572"/>
      <c r="B25" s="572"/>
      <c r="C25" s="85"/>
      <c r="D25" s="85"/>
      <c r="E25" s="85"/>
      <c r="F25" s="64"/>
      <c r="G25" s="3805" t="s">
        <v>269</v>
      </c>
      <c r="H25" s="3806"/>
      <c r="I25" s="3806"/>
      <c r="J25" s="3806"/>
      <c r="K25" s="1469"/>
      <c r="L25" s="205" t="s">
        <v>270</v>
      </c>
      <c r="M25" s="64"/>
      <c r="N25" s="3819" t="s">
        <v>972</v>
      </c>
      <c r="O25" s="3820"/>
      <c r="P25" s="941">
        <f>IF(O23="",0,DATE(YEAR(O23)+IF(P24&gt;0,P24,65),MONTH(O23)+1,1))</f>
        <v>0</v>
      </c>
      <c r="Q25" s="64"/>
      <c r="R25" s="3919"/>
      <c r="S25" s="3921"/>
      <c r="T25" s="3923"/>
      <c r="U25" s="2145"/>
      <c r="AB25" s="540" t="s">
        <v>278</v>
      </c>
      <c r="AC25" s="1744" t="e">
        <f>VLOOKUP(IF(AC24&lt;AC22,AC22,AC24),IF(K22="M",Lebenserwartung_M_V2,Lebenserwartung_F_V2),YEAR(L21)-1900+2)</f>
        <v>#VALUE!</v>
      </c>
      <c r="AD25" s="66">
        <f>ROUND(VLOOKUP(IF(AD24&gt;AD22,AD24,AD22),Lebenserwartung_N_V2,YEAR(D14)+IF(MONTH(D14)&gt;6,1,0)-1900+2),2)</f>
        <v>21</v>
      </c>
    </row>
    <row r="26" spans="1:30" s="71" customFormat="1" ht="17.100000000000001" customHeight="1" thickTop="1" thickBot="1">
      <c r="A26" s="572"/>
      <c r="B26" s="3794" t="str">
        <f>IF(ForderungRente=1,"Barwert einer zukünftigen Forderung","befristete Rente inkl. Vorversterbensrisiko")&amp;", ReZins: "&amp;TEXT(E34,"0,00%")</f>
        <v xml:space="preserve">Barwert einer zukünftigen Forderung, ReZins: </v>
      </c>
      <c r="C26" s="3795"/>
      <c r="D26" s="3795"/>
      <c r="E26" s="3796"/>
      <c r="F26" s="64"/>
      <c r="G26" s="3805" t="s">
        <v>271</v>
      </c>
      <c r="H26" s="3806"/>
      <c r="I26" s="3806"/>
      <c r="J26" s="3806"/>
      <c r="K26" s="579" t="str">
        <f>IFERROR(-PMT(K25/12,AC23*12,K23),"")</f>
        <v/>
      </c>
      <c r="L26" s="207" t="str">
        <f>IFERROR(IF(L21=0,"",+AC23),"")</f>
        <v/>
      </c>
      <c r="M26" s="64"/>
      <c r="N26" s="3819" t="s">
        <v>973</v>
      </c>
      <c r="O26" s="3820"/>
      <c r="P26" s="941">
        <f>IF(O23="",0,DATE(YEAR(O23)++IF(P24&gt;0,P24,65),MONTH(O23)+1+VLOOKUP(YEAR(O23),Regelaltersgrenze,2),1))</f>
        <v>0</v>
      </c>
      <c r="Q26" s="64"/>
      <c r="R26" s="1789"/>
      <c r="S26" s="1789"/>
      <c r="T26" s="1789"/>
      <c r="U26" s="64"/>
      <c r="W26" s="154">
        <f>-PV(4%,10,6000)</f>
        <v>48665.37467613021</v>
      </c>
      <c r="AB26" s="540" t="s">
        <v>257</v>
      </c>
      <c r="AC26" s="1744" t="e">
        <f>+AC24-AC22</f>
        <v>#VALUE!</v>
      </c>
      <c r="AD26" s="66">
        <f>IF(AD24&gt;AD22,AD24-AD22,0)</f>
        <v>6.4861111111111143</v>
      </c>
    </row>
    <row r="27" spans="1:30" s="71" customFormat="1" ht="17.100000000000001" customHeight="1" thickBot="1">
      <c r="A27" s="572"/>
      <c r="B27" s="3797"/>
      <c r="C27" s="3798"/>
      <c r="D27" s="3798"/>
      <c r="E27" s="3799"/>
      <c r="F27" s="64"/>
      <c r="G27" s="3805" t="s">
        <v>272</v>
      </c>
      <c r="H27" s="3806"/>
      <c r="I27" s="3806"/>
      <c r="J27" s="3806"/>
      <c r="K27" s="579" t="str">
        <f>IFERROR(-PMT(K25/12,AC25*12,IF(AC26&gt;0,-FV(K25,AC26,,K23),K23)),"")</f>
        <v/>
      </c>
      <c r="L27" s="207" t="str">
        <f>IFERROR(IF(L21=0,"",AC25),"")</f>
        <v/>
      </c>
      <c r="M27" s="64"/>
      <c r="N27" s="3914" t="s">
        <v>975</v>
      </c>
      <c r="O27" s="3915"/>
      <c r="P27" s="320"/>
      <c r="Q27" s="64"/>
      <c r="R27" s="3786" t="s">
        <v>1911</v>
      </c>
      <c r="S27" s="3787"/>
      <c r="T27" s="3788"/>
      <c r="U27" s="64"/>
      <c r="AB27" s="540" t="s">
        <v>280</v>
      </c>
      <c r="AC27" s="1745"/>
      <c r="AD27" s="614">
        <f>ROUND(VLOOKUP(AD22,CHOOSE(68-AD24,HRIR67,HRIR66,HRIR,HRIR64,HRIR63,HRIR62,HRIR61,HRIR60),25),4)</f>
        <v>1.4800000000000001E-2</v>
      </c>
    </row>
    <row r="28" spans="1:30" s="71" customFormat="1" ht="17.100000000000001" customHeight="1" thickBot="1">
      <c r="A28" s="572"/>
      <c r="B28" s="3804" t="s">
        <v>73</v>
      </c>
      <c r="C28" s="3611"/>
      <c r="D28" s="921"/>
      <c r="E28" s="329"/>
      <c r="F28" s="64"/>
      <c r="G28" s="3805" t="s">
        <v>273</v>
      </c>
      <c r="H28" s="3806"/>
      <c r="I28" s="3806"/>
      <c r="J28" s="3806"/>
      <c r="K28" s="580"/>
      <c r="L28" s="205" t="s">
        <v>274</v>
      </c>
      <c r="M28" s="64"/>
      <c r="N28" s="3819" t="s">
        <v>977</v>
      </c>
      <c r="O28" s="3820"/>
      <c r="P28" s="320"/>
      <c r="Q28" s="64"/>
      <c r="R28" s="3789"/>
      <c r="S28" s="3790"/>
      <c r="T28" s="3791"/>
      <c r="U28" s="64"/>
      <c r="AB28" s="540" t="s">
        <v>279</v>
      </c>
      <c r="AC28" s="1745"/>
      <c r="AD28" s="614">
        <f>ROUND(VLOOKUP(AD22,CHOOSE(68-AD24,HRIR67,HRIR66,HRIR,HRIR64,HRIR63,HRIR62,HRIR61,HRIR60),26)*0.55,4)</f>
        <v>9.1600000000000001E-2</v>
      </c>
    </row>
    <row r="29" spans="1:30" s="71" customFormat="1" ht="17.100000000000001" customHeight="1" thickBot="1">
      <c r="A29" s="572"/>
      <c r="B29" s="3804" t="s">
        <v>99</v>
      </c>
      <c r="C29" s="3611"/>
      <c r="D29" s="921"/>
      <c r="E29" s="329"/>
      <c r="F29" s="64"/>
      <c r="G29" s="3805" t="str">
        <f>"Monatsergebnis bei Verrentung über "&amp;TEXT(K28,"0,0")&amp;" Jahre"</f>
        <v>Monatsergebnis bei Verrentung über 0,0 Jahre</v>
      </c>
      <c r="H29" s="3806"/>
      <c r="I29" s="3806"/>
      <c r="J29" s="3806"/>
      <c r="K29" s="579" t="str">
        <f>IFERROR(-PMT(K25/12,K28*12,K23),"")</f>
        <v/>
      </c>
      <c r="L29" s="581"/>
      <c r="M29" s="64"/>
      <c r="N29" s="3819" t="s">
        <v>976</v>
      </c>
      <c r="O29" s="3820"/>
      <c r="P29" s="223" t="str">
        <f>IFERROR(IF(O29&gt;0,O29,+P28/P27),"")</f>
        <v/>
      </c>
      <c r="Q29" s="64"/>
      <c r="R29" s="727" t="s">
        <v>1940</v>
      </c>
      <c r="S29" s="1686"/>
      <c r="T29" s="3503" t="s">
        <v>1914</v>
      </c>
      <c r="U29" s="64"/>
      <c r="AB29" s="540" t="s">
        <v>1793</v>
      </c>
      <c r="AC29" s="1745"/>
      <c r="AD29" s="66">
        <f>VLOOKUP(ROUND(AD24,0),G_Kohorte_N,YEAR(D14)+IF(MONTH(D14)&gt;6,1,0)-1900+2)</f>
        <v>84518</v>
      </c>
    </row>
    <row r="30" spans="1:30" s="71" customFormat="1" ht="17.100000000000001" customHeight="1" thickBot="1">
      <c r="A30" s="572"/>
      <c r="B30" s="3804" t="s">
        <v>1636</v>
      </c>
      <c r="C30" s="3611"/>
      <c r="D30" s="860"/>
      <c r="E30" s="1001" t="s">
        <v>74</v>
      </c>
      <c r="F30" s="64"/>
      <c r="G30" s="3809" t="s">
        <v>138</v>
      </c>
      <c r="H30" s="3810"/>
      <c r="I30" s="3810"/>
      <c r="J30" s="3810"/>
      <c r="K30" s="3810"/>
      <c r="L30" s="3811"/>
      <c r="M30" s="64"/>
      <c r="N30" s="1006" t="str">
        <f>IFERROR("+ "&amp;TEXT(VLOOKUP(YEAR(O23),Regelaltersgrenze,2)/12,"0,00")&amp;IF(O30&lt;&gt;0,IF(O30&gt;0," + "," ")&amp;TEXT(O30,"0,00")&amp;" Dienstjahre?"," Dienstjahre?"),"")</f>
        <v>+ 0,00 Dienstjahre?</v>
      </c>
      <c r="O30" s="875"/>
      <c r="P30" s="220">
        <f>+P27+VLOOKUP(YEAR(O23),Regelaltersgrenze,2)/12+O30</f>
        <v>0</v>
      </c>
      <c r="Q30" s="64"/>
      <c r="R30" s="727" t="s">
        <v>1941</v>
      </c>
      <c r="S30" s="362"/>
      <c r="T30" s="3505"/>
      <c r="U30" s="64"/>
      <c r="AB30" s="540" t="s">
        <v>1711</v>
      </c>
      <c r="AC30" s="1745"/>
      <c r="AD30" s="66">
        <f>VLOOKUP(ROUND(AD22,0),G_Kohorte_N,YEAR(D14)+IF(MONTH(D14)&gt;6,1,0)-1900+2)</f>
        <v>88630</v>
      </c>
    </row>
    <row r="31" spans="1:30" s="71" customFormat="1" ht="17.100000000000001" customHeight="1" thickBot="1">
      <c r="A31" s="572"/>
      <c r="B31" s="1420" t="s">
        <v>71</v>
      </c>
      <c r="C31" s="1421"/>
      <c r="D31" s="921"/>
      <c r="E31" s="1002">
        <f>IF(D30="",1,VLOOKUP(YEARFRAC(D28,D31,0),IF(D30="m",G_Kohorte_M,IF(D30="w",G_Kohorte_F,G_Kohorte_N)),YEAR(D28)-1900+2))</f>
        <v>1</v>
      </c>
      <c r="F31" s="64"/>
      <c r="G31" s="3812" t="s">
        <v>1514</v>
      </c>
      <c r="H31" s="3813"/>
      <c r="I31" s="3813"/>
      <c r="J31" s="3813"/>
      <c r="K31" s="3813"/>
      <c r="L31" s="3814"/>
      <c r="M31" s="64"/>
      <c r="N31" s="358" t="s">
        <v>1168</v>
      </c>
      <c r="O31" s="1124"/>
      <c r="P31" s="737"/>
      <c r="Q31" s="64"/>
      <c r="R31" s="727" t="s">
        <v>1913</v>
      </c>
      <c r="S31" s="427"/>
      <c r="T31" s="223">
        <f>ROUND(IFERROR(IF(S31&gt;0,S31,RATE(S30,-S29,T32)),0),4)</f>
        <v>0</v>
      </c>
      <c r="U31" s="64"/>
      <c r="W31" s="71" t="s">
        <v>1167</v>
      </c>
      <c r="X31" s="16" t="b">
        <f>IF(O22&gt;=X22,TRUE,FALSE)</f>
        <v>0</v>
      </c>
      <c r="AB31" s="540" t="s">
        <v>1361</v>
      </c>
      <c r="AC31" s="1745"/>
      <c r="AD31" s="66">
        <f>ROUND(IF(AD29/AD30&gt;1,1,AD29/AD30),3)</f>
        <v>0.95399999999999996</v>
      </c>
    </row>
    <row r="32" spans="1:30" s="71" customFormat="1" ht="17.100000000000001" customHeight="1" thickBot="1">
      <c r="A32" s="572"/>
      <c r="B32" s="1420" t="s">
        <v>72</v>
      </c>
      <c r="C32" s="1421"/>
      <c r="D32" s="921"/>
      <c r="E32" s="1002">
        <f>IF(D30="",1,VLOOKUP(YEARFRAC(D28,D32,0),IF(D30="m",G_Kohorte_M,IF(D30="f",G_Kohorte_F,G_Kohorte_N)),YEAR(D28)-1900+2))</f>
        <v>1</v>
      </c>
      <c r="F32" s="64"/>
      <c r="G32" s="3815"/>
      <c r="H32" s="3816"/>
      <c r="I32" s="3816"/>
      <c r="J32" s="3816"/>
      <c r="K32" s="3816"/>
      <c r="L32" s="3817"/>
      <c r="M32" s="64"/>
      <c r="N32" s="727" t="s">
        <v>1053</v>
      </c>
      <c r="O32" s="222">
        <f>IF(O31&gt;0,O31,IF(Alt_Neu,IF(P27*0.7175/40&gt;71.75%,71.75%,P27*0.7175/40),IF(P27*0.75/40&gt;75%,75%,P27*0.75/40)))</f>
        <v>0</v>
      </c>
      <c r="P32" s="223">
        <f>IF(P31&gt;0,P31,IF(P30*0.7175/40&gt;0.7175,0.7175,P30*0.7175/40))</f>
        <v>0</v>
      </c>
      <c r="Q32" s="64"/>
      <c r="R32" s="727" t="s">
        <v>1912</v>
      </c>
      <c r="S32" s="1965"/>
      <c r="T32" s="1060">
        <f>IF(S32&gt;0,S32,-PV(S31,S30,S29))</f>
        <v>0</v>
      </c>
      <c r="U32" s="64"/>
      <c r="AB32" s="71" t="s">
        <v>617</v>
      </c>
      <c r="AC32" s="1746"/>
      <c r="AD32" s="555">
        <f>IF(D24&gt;0,D24,VLOOKUP(EzE_P,IF(O_BilMoG,BilmoGZins,BilMoG10),16)/100)</f>
        <v>1.9099999999999999E-2</v>
      </c>
    </row>
    <row r="33" spans="1:33" s="71" customFormat="1" ht="17.100000000000001" customHeight="1" thickBot="1">
      <c r="A33" s="572"/>
      <c r="B33" s="3804" t="s">
        <v>210</v>
      </c>
      <c r="C33" s="3611"/>
      <c r="D33" s="1050"/>
      <c r="E33" s="1003" t="str">
        <f>IFERROR(IF(ForderungRente=2,-PV(E34,YEARFRAC(D31,D32,0),D33),""),"")</f>
        <v/>
      </c>
      <c r="F33" s="64"/>
      <c r="G33" s="3807" t="s">
        <v>130</v>
      </c>
      <c r="H33" s="3808"/>
      <c r="I33" s="3808"/>
      <c r="J33" s="3808"/>
      <c r="K33" s="582"/>
      <c r="L33" s="583" t="s">
        <v>546</v>
      </c>
      <c r="M33" s="64"/>
      <c r="N33" s="3749" t="str">
        <f>"Ehezeitanteil (neu): "&amp;TEXT(P28,"0,00")&amp;" / "&amp;TEXT(P30,"0,00")</f>
        <v>Ehezeitanteil (neu): 0,00 / 0,00</v>
      </c>
      <c r="O33" s="3601"/>
      <c r="P33" s="223">
        <f>IFERROR(ROUND(P28/P30,4),0)</f>
        <v>0</v>
      </c>
      <c r="Q33" s="64"/>
      <c r="R33" s="3821" t="str">
        <f>IF(AND(S32&gt;0,S31&gt;0),"Achtung! Es kann nur ein Feld in Zeile 3 oder 4 eingegeben werden!","")</f>
        <v/>
      </c>
      <c r="S33" s="3822"/>
      <c r="T33" s="3823"/>
      <c r="U33" s="64"/>
      <c r="AB33" s="540" t="s">
        <v>1500</v>
      </c>
      <c r="AC33" s="540"/>
      <c r="AD33" s="1649">
        <f>ROUND(-PV(AD32-RententrendDRV,AD26,,-PV(AD32-RententrendDRV,AD25,E19*12)),0)*(1+AD28+AD27)*AD31</f>
        <v>100926.38996639999</v>
      </c>
      <c r="AG33" s="154">
        <f>-PV(AD32-RententrendDRV,AD25,E19*12)</f>
        <v>91420.244655539529</v>
      </c>
    </row>
    <row r="34" spans="1:33" s="71" customFormat="1" ht="17.100000000000001" customHeight="1" thickBot="1">
      <c r="A34" s="572"/>
      <c r="B34" s="3749" t="s">
        <v>1204</v>
      </c>
      <c r="C34" s="3601"/>
      <c r="D34" s="861"/>
      <c r="E34" s="1004" t="str">
        <f>IF(OR(D31=0,D32=0),"",IFERROR(IF(D34&gt;0,D34,VLOOKUP(D29,IF(BilMoG_10,BilMoG10,BilmoGZins),YEARFRAC(D31,D32,0)+1)/100),""))</f>
        <v/>
      </c>
      <c r="F34" s="64"/>
      <c r="G34" s="2852" t="s">
        <v>1513</v>
      </c>
      <c r="H34" s="2853"/>
      <c r="I34" s="2853"/>
      <c r="J34" s="2853"/>
      <c r="K34" s="584"/>
      <c r="L34" s="1021" t="str">
        <f>IFERROR(VLOOKUP(K34,BilmoGZins,16)/100,"Kein Zins")</f>
        <v>Kein Zins</v>
      </c>
      <c r="M34" s="64"/>
      <c r="N34" s="687" t="s">
        <v>1054</v>
      </c>
      <c r="O34" s="1129"/>
      <c r="P34" s="976" t="str">
        <f>IFERROR(O34*P32/O32*P33/P29,"")</f>
        <v/>
      </c>
      <c r="Q34" s="64"/>
      <c r="R34" s="3786" t="s">
        <v>1934</v>
      </c>
      <c r="S34" s="3787"/>
      <c r="T34" s="3788"/>
      <c r="U34" s="64"/>
      <c r="W34" s="71" t="s">
        <v>1040</v>
      </c>
      <c r="X34" s="16" t="b">
        <v>0</v>
      </c>
      <c r="AD34" s="71" t="s">
        <v>100</v>
      </c>
      <c r="AE34" s="16">
        <v>1</v>
      </c>
    </row>
    <row r="35" spans="1:33" s="71" customFormat="1" ht="17.100000000000001" customHeight="1">
      <c r="A35" s="572"/>
      <c r="B35" s="3021" t="str">
        <f>"Vorversterbensfaktor: "&amp;IF(VVR,TEXT(E32,"#.###")&amp;" / "&amp;TEXT(E31,"#.###")&amp;": ","")</f>
        <v xml:space="preserve">Vorversterbensfaktor: 1 / 1: </v>
      </c>
      <c r="C35" s="3800"/>
      <c r="D35" s="1423">
        <f>IF(VVR,+E32/E31,1)</f>
        <v>1</v>
      </c>
      <c r="E35" s="1005"/>
      <c r="F35" s="64"/>
      <c r="G35" s="2852" t="s">
        <v>1512</v>
      </c>
      <c r="H35" s="2853"/>
      <c r="I35" s="2853"/>
      <c r="J35" s="2853"/>
      <c r="K35" s="584"/>
      <c r="L35" s="1021" t="str">
        <f>IFERROR(VLOOKUP(K35,BilmoGZins,16)/100,"")</f>
        <v/>
      </c>
      <c r="M35" s="867"/>
      <c r="N35" s="685" t="s">
        <v>509</v>
      </c>
      <c r="O35" s="954">
        <f>IFERROR(O34/2,"")</f>
        <v>0</v>
      </c>
      <c r="P35" s="976" t="str">
        <f>IFERROR(P34/2,"")</f>
        <v/>
      </c>
      <c r="Q35" s="64"/>
      <c r="R35" s="3789"/>
      <c r="S35" s="3790"/>
      <c r="T35" s="3791"/>
      <c r="U35" s="64"/>
    </row>
    <row r="36" spans="1:33" s="71" customFormat="1" ht="17.100000000000001" customHeight="1">
      <c r="A36" s="572"/>
      <c r="B36" s="3749" t="str">
        <f>"Forderungsabschlag: "&amp;TEXT(D33,"#.###.##0,00")&amp;" x (1 - "&amp;TEXT(E32,"#.##0")&amp;" / "&amp;TEXT(E31,"#.##0")&amp;")"</f>
        <v>Forderungsabschlag: 0,00 x (1 - 1 / 1)</v>
      </c>
      <c r="C36" s="3818"/>
      <c r="D36" s="3601"/>
      <c r="E36" s="221">
        <f>IFERROR(-(1-D35)*IF(ForderungRente=2,E33,D33),"")</f>
        <v>0</v>
      </c>
      <c r="F36" s="64"/>
      <c r="G36" s="2852" t="s">
        <v>131</v>
      </c>
      <c r="H36" s="2853"/>
      <c r="I36" s="2853"/>
      <c r="J36" s="2853"/>
      <c r="K36" s="585"/>
      <c r="L36" s="1022" t="s">
        <v>133</v>
      </c>
      <c r="M36" s="64"/>
      <c r="N36" s="3899" t="str">
        <f>IF(P36&lt;5%,"Abweichungssoll 5% "&amp;IF(ABS(P36)&gt;=0.05,"über","unter")&amp;"schritten","relative Abweichung:")</f>
        <v>Abweichungssoll 5% unterschritten</v>
      </c>
      <c r="O36" s="3900"/>
      <c r="P36" s="977">
        <f>IFERROR(1-+O35/P35,0)</f>
        <v>0</v>
      </c>
      <c r="Q36" s="64"/>
      <c r="R36" s="727"/>
      <c r="S36" s="1057" t="s">
        <v>1935</v>
      </c>
      <c r="T36" s="329" t="s">
        <v>1936</v>
      </c>
      <c r="U36" s="64"/>
      <c r="W36" s="71">
        <f>ROUND(YEARFRAC(D31,D32,0),0)</f>
        <v>0</v>
      </c>
      <c r="AD36" s="71" t="s">
        <v>207</v>
      </c>
      <c r="AE36" s="16" t="b">
        <v>1</v>
      </c>
    </row>
    <row r="37" spans="1:33" s="71" customFormat="1" ht="17.100000000000001" customHeight="1">
      <c r="A37" s="572"/>
      <c r="B37" s="3801"/>
      <c r="C37" s="3802"/>
      <c r="D37" s="3803"/>
      <c r="E37" s="221"/>
      <c r="F37" s="64"/>
      <c r="G37" s="3911" t="str">
        <f>"Ergebnis der Aufzinsung mit Zinssatz "&amp;TEXT(IF(K36=0,L34,K36),"0,00%")&amp;": "&amp;TEXT(K33,"###.##0,00")&amp;" x (1 + "&amp;TEXT(IF(K36="",L34,K36),"0,00%")&amp;")^"&amp;IF(K34&gt;K35,"-","")&amp;TEXT(YEARFRAC(K34,K35,0),"#0,00")&amp;" ="</f>
        <v>Ergebnis der Aufzinsung mit Zinssatz Kein Zins: 0,00 x (1 + Kein Zins)^0,00 =</v>
      </c>
      <c r="H37" s="3912"/>
      <c r="I37" s="3912"/>
      <c r="J37" s="3912"/>
      <c r="K37" s="3913" t="str">
        <f>IFERROR(-FV(IF(K36&gt;0,K36,L34),YEARFRAC(K34,K35,3),,K33,1),"")</f>
        <v/>
      </c>
      <c r="L37" s="3901" t="str">
        <f>IFERROR(IF(K36&gt;0,K36,L34)*K33*IF(K34&gt;K35,-1,1)*YEARFRAC(K34,K35,0)+K33,"")</f>
        <v/>
      </c>
      <c r="M37" s="64"/>
      <c r="N37" s="1235"/>
      <c r="O37" s="1236"/>
      <c r="P37" s="977"/>
      <c r="Q37" s="64"/>
      <c r="R37" s="2042" t="s">
        <v>1937</v>
      </c>
      <c r="S37" s="2043"/>
      <c r="T37" s="2045"/>
      <c r="U37" s="64"/>
      <c r="AD37" s="71" t="s">
        <v>132</v>
      </c>
    </row>
    <row r="38" spans="1:33" s="71" customFormat="1" ht="17.100000000000001" customHeight="1">
      <c r="A38" s="572"/>
      <c r="B38" s="3792" t="str">
        <f>IFERROR("tatsächlicher "&amp;IF(ForderungRente=2,"Bar","Forderungs")&amp;"wert: "&amp;TEXT(IF(ForderungRente=1,D33,E33),"###.##0,00")&amp;" - "&amp;TEXT(ABS(E36),"###.##0,00"),"")</f>
        <v>tatsächlicher Forderungswert: 0,00 - 0,00</v>
      </c>
      <c r="C38" s="3793"/>
      <c r="D38" s="3793"/>
      <c r="E38" s="1422">
        <f>IFERROR(+IF(ForderungRente=1,D33,E33)+E36,"")</f>
        <v>0</v>
      </c>
      <c r="F38" s="64"/>
      <c r="G38" s="3911"/>
      <c r="H38" s="3912"/>
      <c r="I38" s="3912"/>
      <c r="J38" s="3912"/>
      <c r="K38" s="3913"/>
      <c r="L38" s="3901"/>
      <c r="M38" s="64"/>
      <c r="N38" s="3749" t="str">
        <f>"Wesentlichkeitsgr. § 225 III FamFG:"</f>
        <v>Wesentlichkeitsgr. § 225 III FamFG:</v>
      </c>
      <c r="O38" s="3601"/>
      <c r="P38" s="221">
        <f>IFERROR(VLOOKUP(YEAR(O22),MonatlicheBezugsgroesse,2)/100,0)</f>
        <v>0</v>
      </c>
      <c r="Q38" s="64"/>
      <c r="R38" s="2042" t="s">
        <v>1210</v>
      </c>
      <c r="S38" s="2044"/>
      <c r="T38" s="2046"/>
      <c r="U38" s="64"/>
      <c r="W38" s="16"/>
      <c r="X38" s="16"/>
      <c r="Y38" s="16"/>
      <c r="Z38" s="16"/>
      <c r="AA38" s="16"/>
      <c r="AB38" s="16"/>
      <c r="AC38" s="16"/>
    </row>
    <row r="39" spans="1:33" s="71" customFormat="1" ht="17.100000000000001" customHeight="1" thickBot="1">
      <c r="A39" s="572"/>
      <c r="B39" s="3905" t="str">
        <f>IF(ForderungRente=2,"","mit "&amp;TEXT(E34,"#0,00%")&amp;" abgezinst auf den "&amp;TEXT(D31,"TT.MM.JJJJ")&amp;": "&amp;TEXT(E38,"#.##0,00")&amp;" / (1 + "&amp;TEXT(E34,"0,00%")&amp;")^"&amp;TEXT(-YEARFRAC(D31,D32,0),"0,0"))</f>
        <v>mit  abgezinst auf den 00.01.1900: 0,00 / (1 + )^0,0</v>
      </c>
      <c r="C39" s="3906"/>
      <c r="D39" s="3906"/>
      <c r="E39" s="3909" t="str">
        <f>IFERROR(IF(DiesuDas_AboderAuf=1,-PV(E34,YEARFRAC(D31,D32,0),,E38),-FV(E34,YEARFRAC(D31,D32,0),,D33)),"")</f>
        <v/>
      </c>
      <c r="F39" s="64"/>
      <c r="G39" s="3902"/>
      <c r="H39" s="3903"/>
      <c r="I39" s="3903"/>
      <c r="J39" s="3903"/>
      <c r="K39" s="3903"/>
      <c r="L39" s="3904"/>
      <c r="M39" s="64"/>
      <c r="N39" s="3521" t="str">
        <f>IFERROR("Wesentlichkeitsgrenze "&amp;IF(ABS(P39)&lt;P38,"unterschritten","erreicht"),"")</f>
        <v/>
      </c>
      <c r="O39" s="3522"/>
      <c r="P39" s="221" t="str">
        <f>IFERROR(+P35-O35,"")</f>
        <v/>
      </c>
      <c r="Q39" s="64"/>
      <c r="R39" s="2042" t="s">
        <v>1938</v>
      </c>
      <c r="S39" s="3784" t="str">
        <f>IFERROR(ROUND(_xlfn.RRI(YEARFRAC(S37,T37,3),S38,T38),4),"")</f>
        <v/>
      </c>
      <c r="T39" s="3785"/>
      <c r="U39" s="64"/>
      <c r="W39" s="71" t="s">
        <v>1697</v>
      </c>
      <c r="X39" s="16">
        <v>1</v>
      </c>
    </row>
    <row r="40" spans="1:33" s="71" customFormat="1" ht="17.100000000000001" customHeight="1" thickBot="1">
      <c r="A40" s="572"/>
      <c r="B40" s="3907"/>
      <c r="C40" s="3908"/>
      <c r="D40" s="3908"/>
      <c r="E40" s="3910"/>
      <c r="F40" s="64"/>
      <c r="G40" s="2998" t="s">
        <v>138</v>
      </c>
      <c r="H40" s="2998"/>
      <c r="I40" s="2998"/>
      <c r="J40" s="2998"/>
      <c r="K40" s="2998"/>
      <c r="L40" s="2998"/>
      <c r="M40" s="64"/>
      <c r="N40" s="3896" t="str">
        <f>IFERROR(IF(SUM(P27:P28,O23)=0,"",IF(AND(ABS(P36)&gt;=5%,ABS(P39)&gt;=P38),"Abänderung voraussichtlich möglich","Abänderung voraussichtlich nicht möglich")),"")</f>
        <v/>
      </c>
      <c r="O40" s="3897"/>
      <c r="P40" s="3898"/>
      <c r="Q40" s="64"/>
      <c r="R40" s="2047" t="s">
        <v>1939</v>
      </c>
      <c r="S40" s="3822" t="str">
        <f>"("&amp;TEXT(T38,"0,00")&amp;"/"&amp;TEXT(S38,"0,00")&amp;")^(1/"&amp;TEXT(YEARFRAC(S37,T37,3),"0,00")&amp;") -1)"</f>
        <v>(0,00/0,00)^(1/0,00) -1)</v>
      </c>
      <c r="T40" s="3823"/>
      <c r="U40" s="64"/>
    </row>
    <row r="41" spans="1:33" s="71" customFormat="1" ht="17.100000000000001" customHeight="1" thickBot="1">
      <c r="A41" s="572"/>
      <c r="B41" s="3894" t="s">
        <v>1637</v>
      </c>
      <c r="C41" s="3895"/>
      <c r="D41" s="3895"/>
      <c r="E41" s="1473" t="str">
        <f>IFERROR(VLOOKUP(YEARFRAC(D31,D32,3),Abzinsungstabelle§12BewG,2)*D33,"")</f>
        <v/>
      </c>
      <c r="F41" s="850"/>
      <c r="G41" s="850"/>
      <c r="H41" s="850"/>
      <c r="I41" s="850"/>
      <c r="J41" s="850"/>
      <c r="K41" s="850"/>
      <c r="L41" s="850"/>
      <c r="M41" s="850"/>
      <c r="N41" s="1125"/>
      <c r="O41" s="1125"/>
      <c r="P41" s="573"/>
      <c r="Q41" s="64"/>
      <c r="R41" s="1789"/>
      <c r="S41" s="1789"/>
      <c r="T41" s="1789"/>
      <c r="U41" s="64"/>
    </row>
    <row r="42" spans="1:33" s="71" customFormat="1" hidden="1">
      <c r="B42" s="878"/>
      <c r="C42" s="128"/>
      <c r="D42" s="128"/>
      <c r="E42" s="128"/>
      <c r="N42" s="878"/>
      <c r="P42" s="879"/>
      <c r="R42" s="64"/>
      <c r="S42" s="64"/>
      <c r="T42" s="64"/>
      <c r="U42" s="64"/>
    </row>
    <row r="43" spans="1:33" s="71" customFormat="1" hidden="1">
      <c r="B43" s="878"/>
      <c r="C43" s="128"/>
      <c r="D43" s="128"/>
      <c r="E43" s="128"/>
      <c r="N43" s="878"/>
      <c r="P43" s="879"/>
      <c r="R43" s="64"/>
      <c r="S43" s="64"/>
      <c r="T43" s="64"/>
      <c r="U43" s="64"/>
    </row>
    <row r="44" spans="1:33" s="71" customFormat="1" hidden="1">
      <c r="B44" s="878"/>
      <c r="C44" s="128"/>
      <c r="D44" s="128"/>
      <c r="E44" s="128"/>
      <c r="N44" s="878"/>
      <c r="P44" s="879"/>
      <c r="R44" s="64"/>
      <c r="S44" s="64"/>
      <c r="T44" s="64"/>
      <c r="U44" s="64"/>
    </row>
    <row r="45" spans="1:33" s="71" customFormat="1" hidden="1">
      <c r="B45" s="878"/>
      <c r="C45" s="128"/>
      <c r="D45" s="128"/>
      <c r="E45" s="128"/>
      <c r="N45" s="878"/>
      <c r="P45" s="879"/>
      <c r="R45" s="64"/>
      <c r="S45" s="64"/>
      <c r="T45" s="64"/>
      <c r="U45" s="64"/>
    </row>
    <row r="46" spans="1:33" s="71" customFormat="1" hidden="1">
      <c r="B46" s="878"/>
      <c r="C46" s="128"/>
      <c r="D46" s="128"/>
      <c r="E46" s="128"/>
      <c r="N46" s="878"/>
      <c r="P46" s="879"/>
      <c r="R46" s="64"/>
      <c r="S46" s="64"/>
      <c r="T46" s="64"/>
      <c r="U46" s="64"/>
    </row>
    <row r="47" spans="1:33" s="71" customFormat="1" hidden="1">
      <c r="B47" s="878"/>
      <c r="C47" s="128"/>
      <c r="D47" s="128"/>
      <c r="E47" s="128"/>
      <c r="N47" s="878"/>
      <c r="P47" s="879"/>
      <c r="R47" s="64"/>
      <c r="S47" s="64"/>
      <c r="T47" s="64"/>
      <c r="U47" s="64"/>
    </row>
    <row r="48" spans="1:33" s="71" customFormat="1" hidden="1">
      <c r="B48" s="878"/>
      <c r="C48" s="128"/>
      <c r="D48" s="128"/>
      <c r="E48" s="128"/>
      <c r="N48" s="878"/>
      <c r="P48" s="879"/>
      <c r="R48" s="64"/>
      <c r="S48" s="64"/>
      <c r="T48" s="64"/>
      <c r="U48" s="64"/>
    </row>
    <row r="49" spans="1:21" s="71" customFormat="1" hidden="1">
      <c r="B49" s="878"/>
      <c r="C49" s="128"/>
      <c r="D49" s="128"/>
      <c r="E49" s="128"/>
      <c r="N49" s="878"/>
      <c r="P49" s="879"/>
      <c r="R49" s="64"/>
      <c r="S49" s="64"/>
      <c r="T49" s="64"/>
      <c r="U49" s="64"/>
    </row>
    <row r="50" spans="1:21" s="71" customFormat="1" hidden="1">
      <c r="B50" s="878"/>
      <c r="C50" s="128"/>
      <c r="D50" s="128"/>
      <c r="E50" s="128"/>
      <c r="N50" s="878"/>
      <c r="P50" s="879"/>
      <c r="R50" s="64"/>
      <c r="S50" s="64"/>
      <c r="T50" s="64"/>
      <c r="U50" s="64"/>
    </row>
    <row r="51" spans="1:21" s="71" customFormat="1" hidden="1">
      <c r="A51" s="64"/>
      <c r="B51" s="878"/>
      <c r="C51" s="128"/>
      <c r="D51" s="128"/>
      <c r="E51" s="128"/>
      <c r="N51" s="878"/>
      <c r="P51" s="879"/>
      <c r="R51" s="64"/>
      <c r="S51" s="64"/>
      <c r="T51" s="64"/>
      <c r="U51" s="64"/>
    </row>
    <row r="52" spans="1:21" s="71" customFormat="1" hidden="1">
      <c r="A52" s="64"/>
      <c r="B52" s="878"/>
      <c r="C52" s="128"/>
      <c r="D52" s="128"/>
      <c r="E52" s="128"/>
      <c r="N52" s="878"/>
      <c r="P52" s="879"/>
      <c r="R52" s="64"/>
      <c r="S52" s="64"/>
      <c r="T52" s="64"/>
      <c r="U52" s="64"/>
    </row>
    <row r="53" spans="1:21" s="71" customFormat="1" hidden="1">
      <c r="A53" s="64"/>
      <c r="B53" s="878"/>
      <c r="C53" s="128"/>
      <c r="D53" s="128"/>
      <c r="E53" s="128"/>
      <c r="N53" s="878"/>
      <c r="P53" s="879"/>
      <c r="R53" s="64"/>
      <c r="S53" s="64"/>
      <c r="T53" s="64"/>
      <c r="U53" s="64"/>
    </row>
    <row r="54" spans="1:21" s="71" customFormat="1" hidden="1">
      <c r="A54" s="64"/>
      <c r="B54" s="878"/>
      <c r="C54" s="128"/>
      <c r="D54" s="128"/>
      <c r="E54" s="128"/>
      <c r="N54" s="878"/>
      <c r="P54" s="879"/>
      <c r="R54" s="64"/>
      <c r="S54" s="64"/>
      <c r="T54" s="64"/>
      <c r="U54" s="64"/>
    </row>
    <row r="55" spans="1:21" s="71" customFormat="1" hidden="1">
      <c r="A55" s="64"/>
      <c r="B55" s="878"/>
      <c r="C55" s="128"/>
      <c r="D55" s="128"/>
      <c r="E55" s="128"/>
      <c r="N55" s="878"/>
      <c r="P55" s="879"/>
      <c r="R55" s="64"/>
      <c r="S55" s="64"/>
      <c r="T55" s="64"/>
      <c r="U55" s="64"/>
    </row>
    <row r="56" spans="1:21" s="71" customFormat="1" hidden="1">
      <c r="A56" s="64"/>
      <c r="B56" s="878"/>
      <c r="C56" s="128"/>
      <c r="D56" s="128"/>
      <c r="E56" s="128"/>
      <c r="N56" s="878"/>
      <c r="P56" s="879"/>
      <c r="R56" s="64"/>
      <c r="S56" s="64"/>
      <c r="T56" s="64"/>
      <c r="U56" s="64"/>
    </row>
    <row r="57" spans="1:21" s="71" customFormat="1" hidden="1">
      <c r="A57" s="64"/>
      <c r="B57" s="878"/>
      <c r="C57" s="128"/>
      <c r="D57" s="128"/>
      <c r="E57" s="128"/>
      <c r="N57" s="878"/>
      <c r="P57" s="879"/>
      <c r="R57" s="64"/>
      <c r="S57" s="64"/>
      <c r="T57" s="64"/>
      <c r="U57" s="64"/>
    </row>
    <row r="58" spans="1:21" s="71" customFormat="1" hidden="1">
      <c r="A58" s="64"/>
      <c r="B58" s="878"/>
      <c r="C58" s="128"/>
      <c r="D58" s="128"/>
      <c r="E58" s="128"/>
      <c r="N58" s="878"/>
      <c r="P58" s="879"/>
      <c r="R58" s="64"/>
      <c r="S58" s="64"/>
      <c r="T58" s="64"/>
      <c r="U58" s="64"/>
    </row>
    <row r="59" spans="1:21" s="71" customFormat="1" hidden="1">
      <c r="A59" s="64"/>
      <c r="B59" s="878"/>
      <c r="C59" s="128"/>
      <c r="D59" s="128"/>
      <c r="E59" s="128"/>
      <c r="N59" s="878"/>
      <c r="P59" s="879"/>
      <c r="R59" s="64"/>
      <c r="S59" s="64"/>
      <c r="T59" s="64"/>
      <c r="U59" s="64"/>
    </row>
    <row r="60" spans="1:21" s="71" customFormat="1" hidden="1">
      <c r="A60" s="64"/>
      <c r="B60" s="878"/>
      <c r="C60" s="128"/>
      <c r="D60" s="128"/>
      <c r="E60" s="128"/>
      <c r="N60" s="878"/>
      <c r="P60" s="879"/>
      <c r="R60" s="64"/>
      <c r="S60" s="64"/>
      <c r="T60" s="64"/>
      <c r="U60" s="64"/>
    </row>
    <row r="61" spans="1:21" s="71" customFormat="1" hidden="1">
      <c r="A61" s="64"/>
      <c r="B61" s="878"/>
      <c r="C61" s="128"/>
      <c r="D61" s="128"/>
      <c r="E61" s="128"/>
      <c r="N61" s="878"/>
      <c r="P61" s="879"/>
      <c r="R61" s="64"/>
      <c r="S61" s="64"/>
      <c r="T61" s="64"/>
      <c r="U61" s="64"/>
    </row>
    <row r="62" spans="1:21" s="71" customFormat="1" hidden="1">
      <c r="A62" s="64"/>
      <c r="B62" s="878"/>
      <c r="C62" s="128"/>
      <c r="D62" s="128"/>
      <c r="E62" s="128"/>
      <c r="N62" s="878"/>
      <c r="P62" s="879"/>
      <c r="R62" s="64"/>
      <c r="S62" s="64"/>
      <c r="T62" s="64"/>
      <c r="U62" s="64"/>
    </row>
    <row r="63" spans="1:21" s="71" customFormat="1" hidden="1">
      <c r="A63" s="64"/>
      <c r="B63" s="878"/>
      <c r="C63" s="128"/>
      <c r="D63" s="128"/>
      <c r="E63" s="128"/>
      <c r="N63" s="878"/>
      <c r="P63" s="879"/>
      <c r="R63" s="64"/>
      <c r="S63" s="64"/>
      <c r="T63" s="64"/>
      <c r="U63" s="64"/>
    </row>
    <row r="64" spans="1:21" s="71" customFormat="1" hidden="1">
      <c r="A64" s="64"/>
      <c r="B64" s="878"/>
      <c r="C64" s="128"/>
      <c r="D64" s="128"/>
      <c r="E64" s="128"/>
      <c r="N64" s="878"/>
      <c r="P64" s="879"/>
      <c r="R64" s="64"/>
      <c r="S64" s="64"/>
      <c r="T64" s="64"/>
      <c r="U64" s="64"/>
    </row>
    <row r="65" spans="1:21" s="71" customFormat="1" hidden="1">
      <c r="A65" s="64"/>
      <c r="B65" s="878"/>
      <c r="C65" s="128"/>
      <c r="D65" s="128"/>
      <c r="E65" s="128"/>
      <c r="N65" s="878"/>
      <c r="P65" s="879"/>
      <c r="R65" s="64"/>
      <c r="S65" s="64"/>
      <c r="T65" s="64"/>
      <c r="U65" s="64"/>
    </row>
    <row r="66" spans="1:21" s="71" customFormat="1" hidden="1">
      <c r="A66" s="64"/>
      <c r="B66" s="878"/>
      <c r="C66" s="128"/>
      <c r="D66" s="128"/>
      <c r="E66" s="128"/>
      <c r="N66" s="878"/>
      <c r="P66" s="879"/>
      <c r="R66" s="64"/>
      <c r="S66" s="64"/>
      <c r="T66" s="64"/>
      <c r="U66" s="64"/>
    </row>
    <row r="67" spans="1:21" s="71" customFormat="1" hidden="1">
      <c r="A67" s="64"/>
      <c r="B67" s="878"/>
      <c r="C67" s="128"/>
      <c r="D67" s="128"/>
      <c r="E67" s="128"/>
      <c r="N67" s="878"/>
      <c r="P67" s="879"/>
      <c r="R67" s="64"/>
      <c r="S67" s="64"/>
      <c r="T67" s="64"/>
      <c r="U67" s="64"/>
    </row>
    <row r="68" spans="1:21" s="71" customFormat="1" hidden="1">
      <c r="A68" s="64"/>
      <c r="B68" s="878"/>
      <c r="C68" s="128"/>
      <c r="D68" s="128"/>
      <c r="E68" s="128"/>
      <c r="N68" s="878"/>
      <c r="P68" s="879"/>
      <c r="R68" s="64"/>
      <c r="S68" s="64"/>
      <c r="T68" s="64"/>
      <c r="U68" s="64"/>
    </row>
    <row r="69" spans="1:21" s="71" customFormat="1" hidden="1">
      <c r="A69" s="64"/>
      <c r="B69" s="878"/>
      <c r="C69" s="128"/>
      <c r="D69" s="128"/>
      <c r="E69" s="128"/>
      <c r="N69" s="878"/>
      <c r="P69" s="879"/>
      <c r="R69" s="64"/>
      <c r="S69" s="64"/>
      <c r="T69" s="64"/>
      <c r="U69" s="64"/>
    </row>
    <row r="70" spans="1:21" s="71" customFormat="1" hidden="1">
      <c r="A70" s="64"/>
      <c r="B70" s="878"/>
      <c r="C70" s="128"/>
      <c r="D70" s="128"/>
      <c r="E70" s="128"/>
      <c r="N70" s="878"/>
      <c r="P70" s="879"/>
      <c r="R70" s="64"/>
      <c r="S70" s="64"/>
      <c r="T70" s="64"/>
      <c r="U70" s="64"/>
    </row>
    <row r="71" spans="1:21" s="71" customFormat="1" hidden="1">
      <c r="A71" s="64"/>
      <c r="B71" s="878"/>
      <c r="C71" s="128"/>
      <c r="D71" s="128"/>
      <c r="E71" s="128"/>
      <c r="N71" s="878"/>
      <c r="P71" s="879"/>
      <c r="R71" s="64"/>
      <c r="S71" s="64"/>
      <c r="T71" s="64"/>
      <c r="U71" s="64"/>
    </row>
    <row r="72" spans="1:21" s="71" customFormat="1" hidden="1">
      <c r="A72" s="64"/>
      <c r="B72" s="878"/>
      <c r="C72" s="128"/>
      <c r="D72" s="128"/>
      <c r="E72" s="128"/>
      <c r="N72" s="878"/>
      <c r="P72" s="879"/>
      <c r="R72" s="64"/>
      <c r="S72" s="64"/>
      <c r="T72" s="64"/>
      <c r="U72" s="64"/>
    </row>
    <row r="73" spans="1:21" s="71" customFormat="1" hidden="1">
      <c r="A73" s="64"/>
      <c r="B73" s="878"/>
      <c r="C73" s="128"/>
      <c r="D73" s="128"/>
      <c r="E73" s="128"/>
      <c r="N73" s="878"/>
      <c r="P73" s="879"/>
      <c r="R73" s="64"/>
      <c r="S73" s="64"/>
      <c r="T73" s="64"/>
      <c r="U73" s="64"/>
    </row>
    <row r="74" spans="1:21" s="71" customFormat="1" hidden="1">
      <c r="A74" s="64"/>
      <c r="B74" s="878"/>
      <c r="C74" s="128"/>
      <c r="D74" s="128"/>
      <c r="E74" s="128"/>
      <c r="N74" s="878"/>
      <c r="P74" s="879"/>
      <c r="R74" s="64"/>
      <c r="S74" s="64"/>
      <c r="T74" s="64"/>
      <c r="U74" s="64"/>
    </row>
    <row r="75" spans="1:21" s="71" customFormat="1" hidden="1">
      <c r="A75" s="64"/>
      <c r="B75" s="878"/>
      <c r="C75" s="128"/>
      <c r="D75" s="128"/>
      <c r="E75" s="128"/>
      <c r="N75" s="878"/>
      <c r="P75" s="879"/>
      <c r="R75" s="64"/>
      <c r="S75" s="64"/>
      <c r="T75" s="64"/>
      <c r="U75" s="64"/>
    </row>
    <row r="76" spans="1:21" s="71" customFormat="1" hidden="1">
      <c r="A76" s="64"/>
      <c r="B76" s="878"/>
      <c r="C76" s="128"/>
      <c r="D76" s="128"/>
      <c r="E76" s="128"/>
      <c r="N76" s="878"/>
      <c r="P76" s="879"/>
      <c r="R76" s="64"/>
      <c r="S76" s="64"/>
      <c r="T76" s="64"/>
      <c r="U76" s="64"/>
    </row>
    <row r="77" spans="1:21" s="71" customFormat="1" hidden="1">
      <c r="A77" s="64"/>
      <c r="B77" s="878"/>
      <c r="C77" s="128"/>
      <c r="D77" s="128"/>
      <c r="E77" s="128"/>
      <c r="N77" s="878"/>
      <c r="P77" s="879"/>
      <c r="R77" s="64"/>
      <c r="S77" s="64"/>
      <c r="T77" s="64"/>
      <c r="U77" s="64"/>
    </row>
    <row r="78" spans="1:21" s="71" customFormat="1" hidden="1">
      <c r="A78" s="64"/>
      <c r="B78" s="878"/>
      <c r="C78" s="128"/>
      <c r="D78" s="128"/>
      <c r="E78" s="128"/>
      <c r="N78" s="878"/>
      <c r="P78" s="879"/>
      <c r="R78" s="64"/>
      <c r="S78" s="64"/>
      <c r="T78" s="64"/>
      <c r="U78" s="64"/>
    </row>
    <row r="79" spans="1:21" s="71" customFormat="1" hidden="1">
      <c r="A79" s="64"/>
      <c r="B79" s="878"/>
      <c r="C79" s="128"/>
      <c r="D79" s="128"/>
      <c r="E79" s="128"/>
      <c r="N79" s="878"/>
      <c r="P79" s="879"/>
      <c r="R79" s="64"/>
      <c r="S79" s="64"/>
      <c r="T79" s="64"/>
      <c r="U79" s="64"/>
    </row>
    <row r="80" spans="1:21" s="71" customFormat="1" hidden="1">
      <c r="A80" s="64"/>
      <c r="B80" s="878"/>
      <c r="C80" s="128"/>
      <c r="D80" s="128"/>
      <c r="E80" s="128"/>
      <c r="N80" s="878"/>
      <c r="P80" s="879"/>
      <c r="R80" s="64"/>
      <c r="S80" s="64"/>
      <c r="T80" s="64"/>
      <c r="U80" s="64"/>
    </row>
    <row r="81" spans="1:21" s="71" customFormat="1" hidden="1">
      <c r="A81" s="64"/>
      <c r="B81" s="878"/>
      <c r="C81" s="128"/>
      <c r="D81" s="128"/>
      <c r="E81" s="128"/>
      <c r="N81" s="878"/>
      <c r="P81" s="879"/>
      <c r="R81" s="64"/>
      <c r="S81" s="64"/>
      <c r="T81" s="64"/>
      <c r="U81" s="64"/>
    </row>
    <row r="82" spans="1:21" s="71" customFormat="1" hidden="1">
      <c r="A82" s="64"/>
      <c r="B82" s="878"/>
      <c r="C82" s="128"/>
      <c r="D82" s="128"/>
      <c r="E82" s="128"/>
      <c r="N82" s="878"/>
      <c r="P82" s="879"/>
      <c r="R82" s="64"/>
      <c r="S82" s="64"/>
      <c r="T82" s="64"/>
      <c r="U82" s="64"/>
    </row>
    <row r="83" spans="1:21" s="71" customFormat="1" hidden="1">
      <c r="A83" s="64"/>
      <c r="B83" s="878"/>
      <c r="C83" s="128"/>
      <c r="D83" s="128"/>
      <c r="E83" s="128"/>
      <c r="N83" s="878"/>
      <c r="P83" s="879"/>
      <c r="R83" s="64"/>
      <c r="S83" s="64"/>
      <c r="T83" s="64"/>
      <c r="U83" s="64"/>
    </row>
    <row r="84" spans="1:21" s="71" customFormat="1" hidden="1">
      <c r="A84" s="64"/>
      <c r="B84" s="878"/>
      <c r="C84" s="128"/>
      <c r="D84" s="128"/>
      <c r="E84" s="128"/>
      <c r="N84" s="878"/>
      <c r="P84" s="879"/>
      <c r="R84" s="64"/>
      <c r="S84" s="64"/>
      <c r="T84" s="64"/>
      <c r="U84" s="64"/>
    </row>
    <row r="85" spans="1:21" s="71" customFormat="1" hidden="1">
      <c r="A85" s="64"/>
      <c r="B85" s="878"/>
      <c r="C85" s="128"/>
      <c r="D85" s="128"/>
      <c r="E85" s="128"/>
      <c r="N85" s="878"/>
      <c r="P85" s="879"/>
      <c r="R85" s="64"/>
      <c r="S85" s="64"/>
      <c r="T85" s="64"/>
      <c r="U85" s="64"/>
    </row>
    <row r="86" spans="1:21" s="71" customFormat="1" hidden="1">
      <c r="A86" s="64"/>
      <c r="B86" s="878"/>
      <c r="C86" s="128"/>
      <c r="D86" s="128"/>
      <c r="E86" s="128"/>
      <c r="N86" s="878"/>
      <c r="P86" s="879"/>
      <c r="R86" s="64"/>
      <c r="S86" s="64"/>
      <c r="T86" s="64"/>
      <c r="U86" s="64"/>
    </row>
    <row r="87" spans="1:21" s="71" customFormat="1" hidden="1">
      <c r="A87" s="64"/>
      <c r="B87" s="878"/>
      <c r="C87" s="128"/>
      <c r="D87" s="128"/>
      <c r="E87" s="128"/>
      <c r="N87" s="878"/>
      <c r="P87" s="879"/>
      <c r="R87" s="64"/>
      <c r="S87" s="64"/>
      <c r="T87" s="64"/>
      <c r="U87" s="64"/>
    </row>
    <row r="88" spans="1:21" s="71" customFormat="1" hidden="1">
      <c r="A88" s="64"/>
      <c r="B88" s="878"/>
      <c r="C88" s="128"/>
      <c r="D88" s="128"/>
      <c r="E88" s="128"/>
      <c r="N88" s="878"/>
      <c r="P88" s="879"/>
      <c r="R88" s="64"/>
      <c r="S88" s="64"/>
      <c r="T88" s="64"/>
      <c r="U88" s="64"/>
    </row>
    <row r="89" spans="1:21" s="71" customFormat="1" hidden="1">
      <c r="A89" s="64"/>
      <c r="B89" s="878"/>
      <c r="C89" s="128"/>
      <c r="D89" s="128"/>
      <c r="E89" s="128"/>
      <c r="N89" s="878"/>
      <c r="P89" s="879"/>
      <c r="R89" s="64"/>
      <c r="S89" s="64"/>
      <c r="T89" s="64"/>
      <c r="U89" s="64"/>
    </row>
    <row r="90" spans="1:21" s="71" customFormat="1" hidden="1">
      <c r="A90" s="64"/>
      <c r="B90" s="878"/>
      <c r="C90" s="128"/>
      <c r="D90" s="128"/>
      <c r="E90" s="128"/>
      <c r="N90" s="878"/>
      <c r="P90" s="879"/>
      <c r="R90" s="64"/>
      <c r="S90" s="64"/>
      <c r="T90" s="64"/>
      <c r="U90" s="64"/>
    </row>
    <row r="91" spans="1:21" s="71" customFormat="1" hidden="1">
      <c r="A91" s="64"/>
      <c r="B91" s="878"/>
      <c r="C91" s="128"/>
      <c r="D91" s="128"/>
      <c r="E91" s="128"/>
      <c r="N91" s="878"/>
      <c r="P91" s="879"/>
      <c r="R91" s="64"/>
      <c r="S91" s="64"/>
      <c r="T91" s="64"/>
      <c r="U91" s="64"/>
    </row>
    <row r="92" spans="1:21" s="71" customFormat="1" hidden="1">
      <c r="A92" s="64"/>
      <c r="B92" s="878"/>
      <c r="C92" s="128"/>
      <c r="D92" s="128"/>
      <c r="E92" s="128"/>
      <c r="N92" s="878"/>
      <c r="P92" s="879"/>
      <c r="R92" s="64"/>
      <c r="S92" s="64"/>
      <c r="T92" s="64"/>
      <c r="U92" s="64"/>
    </row>
    <row r="93" spans="1:21" s="71" customFormat="1" hidden="1">
      <c r="A93" s="64"/>
      <c r="B93" s="878"/>
      <c r="C93" s="128"/>
      <c r="D93" s="128"/>
      <c r="E93" s="128"/>
      <c r="N93" s="878"/>
      <c r="P93" s="879"/>
      <c r="R93" s="64"/>
      <c r="S93" s="64"/>
      <c r="T93" s="64"/>
      <c r="U93" s="64"/>
    </row>
    <row r="94" spans="1:21" s="71" customFormat="1" hidden="1">
      <c r="A94" s="64"/>
      <c r="B94" s="878"/>
      <c r="C94" s="128"/>
      <c r="D94" s="128"/>
      <c r="E94" s="128"/>
      <c r="N94" s="878"/>
      <c r="P94" s="879"/>
      <c r="R94" s="64"/>
      <c r="S94" s="64"/>
      <c r="T94" s="64"/>
      <c r="U94" s="64"/>
    </row>
    <row r="95" spans="1:21" s="71" customFormat="1" hidden="1">
      <c r="A95" s="64"/>
      <c r="B95" s="878"/>
      <c r="C95" s="128"/>
      <c r="D95" s="128"/>
      <c r="E95" s="128"/>
      <c r="N95" s="878"/>
      <c r="P95" s="879"/>
      <c r="R95" s="64"/>
      <c r="S95" s="64"/>
      <c r="T95" s="64"/>
      <c r="U95" s="64"/>
    </row>
    <row r="96" spans="1:21" s="71" customFormat="1" hidden="1">
      <c r="A96" s="64"/>
      <c r="B96" s="878"/>
      <c r="C96" s="128"/>
      <c r="D96" s="128"/>
      <c r="E96" s="128"/>
      <c r="N96" s="878"/>
      <c r="P96" s="879"/>
      <c r="R96" s="64"/>
      <c r="S96" s="64"/>
      <c r="T96" s="64"/>
      <c r="U96" s="64"/>
    </row>
    <row r="97" spans="1:21" s="71" customFormat="1" hidden="1">
      <c r="A97" s="64"/>
      <c r="B97" s="878"/>
      <c r="C97" s="128"/>
      <c r="D97" s="128"/>
      <c r="E97" s="128"/>
      <c r="N97" s="878"/>
      <c r="P97" s="879"/>
      <c r="R97" s="64"/>
      <c r="S97" s="64"/>
      <c r="T97" s="64"/>
      <c r="U97" s="64"/>
    </row>
    <row r="98" spans="1:21" s="71" customFormat="1" hidden="1">
      <c r="A98" s="64"/>
      <c r="B98" s="878"/>
      <c r="C98" s="128"/>
      <c r="D98" s="128"/>
      <c r="E98" s="128"/>
      <c r="N98" s="878"/>
      <c r="P98" s="879"/>
      <c r="R98" s="64"/>
      <c r="S98" s="64"/>
      <c r="T98" s="64"/>
      <c r="U98" s="64"/>
    </row>
    <row r="99" spans="1:21" s="71" customFormat="1" hidden="1">
      <c r="A99" s="64"/>
      <c r="B99" s="878"/>
      <c r="C99" s="128"/>
      <c r="D99" s="128"/>
      <c r="E99" s="128"/>
      <c r="N99" s="878"/>
      <c r="P99" s="879"/>
      <c r="R99" s="64"/>
      <c r="S99" s="64"/>
      <c r="T99" s="64"/>
      <c r="U99" s="64"/>
    </row>
    <row r="100" spans="1:21" s="71" customFormat="1" hidden="1">
      <c r="A100" s="64"/>
      <c r="B100" s="878"/>
      <c r="C100" s="128"/>
      <c r="D100" s="128"/>
      <c r="E100" s="128"/>
      <c r="N100" s="878"/>
      <c r="P100" s="879"/>
      <c r="R100" s="64"/>
      <c r="S100" s="64"/>
      <c r="T100" s="64"/>
      <c r="U100" s="64"/>
    </row>
    <row r="101" spans="1:21" s="71" customFormat="1" hidden="1">
      <c r="A101" s="64"/>
      <c r="B101" s="878"/>
      <c r="C101" s="128"/>
      <c r="D101" s="128"/>
      <c r="E101" s="128"/>
      <c r="N101" s="878"/>
      <c r="P101" s="879"/>
      <c r="R101" s="64"/>
      <c r="S101" s="64"/>
      <c r="T101" s="64"/>
      <c r="U101" s="64"/>
    </row>
    <row r="102" spans="1:21" s="71" customFormat="1" hidden="1">
      <c r="A102" s="64"/>
      <c r="B102" s="878"/>
      <c r="C102" s="128"/>
      <c r="D102" s="128"/>
      <c r="E102" s="128"/>
      <c r="N102" s="878"/>
      <c r="P102" s="879"/>
      <c r="R102" s="64"/>
      <c r="S102" s="64"/>
      <c r="T102" s="64"/>
      <c r="U102" s="64"/>
    </row>
    <row r="103" spans="1:21" s="71" customFormat="1" hidden="1">
      <c r="A103" s="64"/>
      <c r="B103" s="878"/>
      <c r="C103" s="128"/>
      <c r="D103" s="128"/>
      <c r="E103" s="128"/>
      <c r="N103" s="878"/>
      <c r="P103" s="879"/>
      <c r="R103" s="64"/>
      <c r="S103" s="64"/>
      <c r="T103" s="64"/>
      <c r="U103" s="64"/>
    </row>
    <row r="104" spans="1:21" s="71" customFormat="1" hidden="1">
      <c r="A104" s="64"/>
      <c r="B104" s="878"/>
      <c r="C104" s="128"/>
      <c r="D104" s="128"/>
      <c r="E104" s="128"/>
      <c r="N104" s="878"/>
      <c r="P104" s="879"/>
      <c r="R104" s="64"/>
      <c r="S104" s="64"/>
      <c r="T104" s="64"/>
      <c r="U104" s="64"/>
    </row>
    <row r="105" spans="1:21" s="71" customFormat="1" hidden="1">
      <c r="A105" s="64"/>
      <c r="B105" s="878"/>
      <c r="C105" s="128"/>
      <c r="D105" s="128"/>
      <c r="E105" s="128"/>
      <c r="N105" s="878"/>
      <c r="P105" s="879"/>
      <c r="R105" s="64"/>
      <c r="S105" s="64"/>
      <c r="T105" s="64"/>
      <c r="U105" s="64"/>
    </row>
    <row r="106" spans="1:21" s="71" customFormat="1" hidden="1">
      <c r="A106" s="64"/>
      <c r="B106" s="878"/>
      <c r="C106" s="128"/>
      <c r="D106" s="128"/>
      <c r="E106" s="128"/>
      <c r="N106" s="878"/>
      <c r="P106" s="879"/>
      <c r="R106" s="64"/>
      <c r="S106" s="64"/>
      <c r="T106" s="64"/>
      <c r="U106" s="64"/>
    </row>
    <row r="107" spans="1:21" s="71" customFormat="1" hidden="1">
      <c r="A107" s="64"/>
      <c r="B107" s="878"/>
      <c r="C107" s="128"/>
      <c r="D107" s="128"/>
      <c r="E107" s="128"/>
      <c r="N107" s="878"/>
      <c r="P107" s="879"/>
      <c r="R107" s="64"/>
      <c r="S107" s="64"/>
      <c r="T107" s="64"/>
      <c r="U107" s="64"/>
    </row>
    <row r="108" spans="1:21" s="71" customFormat="1" hidden="1">
      <c r="A108" s="64"/>
      <c r="B108" s="878"/>
      <c r="C108" s="128"/>
      <c r="D108" s="128"/>
      <c r="E108" s="128"/>
      <c r="N108" s="878"/>
      <c r="P108" s="879"/>
      <c r="R108" s="64"/>
      <c r="S108" s="64"/>
      <c r="T108" s="64"/>
      <c r="U108" s="64"/>
    </row>
    <row r="109" spans="1:21" s="71" customFormat="1" hidden="1">
      <c r="A109" s="64"/>
      <c r="B109" s="878"/>
      <c r="C109" s="128"/>
      <c r="D109" s="128"/>
      <c r="E109" s="128"/>
      <c r="N109" s="878"/>
      <c r="P109" s="879"/>
      <c r="R109" s="64"/>
      <c r="S109" s="64"/>
      <c r="T109" s="64"/>
      <c r="U109" s="64"/>
    </row>
    <row r="110" spans="1:21" s="71" customFormat="1" hidden="1">
      <c r="A110" s="64"/>
      <c r="B110" s="878"/>
      <c r="C110" s="128"/>
      <c r="D110" s="128"/>
      <c r="E110" s="128"/>
      <c r="N110" s="878"/>
      <c r="P110" s="879"/>
      <c r="R110" s="64"/>
      <c r="S110" s="64"/>
      <c r="T110" s="64"/>
      <c r="U110" s="64"/>
    </row>
    <row r="111" spans="1:21" s="71" customFormat="1" hidden="1">
      <c r="A111" s="64"/>
      <c r="B111" s="878"/>
      <c r="C111" s="128"/>
      <c r="D111" s="128"/>
      <c r="E111" s="128"/>
      <c r="N111" s="878"/>
      <c r="P111" s="879"/>
      <c r="R111" s="64"/>
      <c r="S111" s="64"/>
      <c r="T111" s="64"/>
      <c r="U111" s="64"/>
    </row>
    <row r="112" spans="1:21" s="71" customFormat="1" hidden="1">
      <c r="A112" s="64"/>
      <c r="B112" s="878"/>
      <c r="C112" s="128"/>
      <c r="D112" s="128"/>
      <c r="E112" s="128"/>
      <c r="N112" s="878"/>
      <c r="P112" s="879"/>
      <c r="R112" s="64"/>
      <c r="S112" s="64"/>
      <c r="T112" s="64"/>
      <c r="U112" s="64"/>
    </row>
    <row r="113" spans="1:21" s="71" customFormat="1" hidden="1">
      <c r="A113" s="64"/>
      <c r="B113" s="878"/>
      <c r="C113" s="128"/>
      <c r="D113" s="128"/>
      <c r="E113" s="128"/>
      <c r="N113" s="878"/>
      <c r="P113" s="879"/>
      <c r="R113" s="64"/>
      <c r="S113" s="64"/>
      <c r="T113" s="64"/>
      <c r="U113" s="64"/>
    </row>
    <row r="114" spans="1:21" s="71" customFormat="1" hidden="1">
      <c r="A114" s="64"/>
      <c r="B114" s="878"/>
      <c r="C114" s="128"/>
      <c r="D114" s="128"/>
      <c r="E114" s="128"/>
      <c r="N114" s="878"/>
      <c r="P114" s="879"/>
      <c r="R114" s="64"/>
      <c r="S114" s="64"/>
      <c r="T114" s="64"/>
      <c r="U114" s="64"/>
    </row>
    <row r="115" spans="1:21" s="71" customFormat="1" hidden="1">
      <c r="A115" s="64"/>
      <c r="B115" s="878"/>
      <c r="C115" s="128"/>
      <c r="D115" s="128"/>
      <c r="E115" s="128"/>
      <c r="N115" s="878"/>
      <c r="P115" s="879"/>
      <c r="R115" s="64"/>
      <c r="S115" s="64"/>
      <c r="T115" s="64"/>
      <c r="U115" s="64"/>
    </row>
    <row r="116" spans="1:21" s="71" customFormat="1" hidden="1">
      <c r="A116" s="64"/>
      <c r="B116" s="878"/>
      <c r="C116" s="128"/>
      <c r="D116" s="128"/>
      <c r="E116" s="128"/>
      <c r="N116" s="878"/>
      <c r="P116" s="879"/>
      <c r="R116" s="64"/>
      <c r="S116" s="64"/>
      <c r="T116" s="64"/>
      <c r="U116" s="64"/>
    </row>
    <row r="117" spans="1:21" s="71" customFormat="1" hidden="1">
      <c r="A117" s="64"/>
      <c r="B117" s="878"/>
      <c r="C117" s="128"/>
      <c r="D117" s="128"/>
      <c r="E117" s="128"/>
      <c r="N117" s="878"/>
      <c r="P117" s="879"/>
      <c r="R117" s="64"/>
      <c r="S117" s="64"/>
      <c r="T117" s="64"/>
      <c r="U117" s="64"/>
    </row>
    <row r="118" spans="1:21" s="71" customFormat="1" hidden="1">
      <c r="A118" s="64"/>
      <c r="B118" s="878"/>
      <c r="C118" s="128"/>
      <c r="D118" s="128"/>
      <c r="E118" s="128"/>
      <c r="N118" s="878"/>
      <c r="P118" s="879"/>
      <c r="R118" s="64"/>
      <c r="S118" s="64"/>
      <c r="T118" s="64"/>
      <c r="U118" s="64"/>
    </row>
    <row r="119" spans="1:21" s="71" customFormat="1" hidden="1">
      <c r="A119" s="64"/>
      <c r="B119" s="878"/>
      <c r="C119" s="128"/>
      <c r="D119" s="128"/>
      <c r="E119" s="128"/>
      <c r="N119" s="878"/>
      <c r="P119" s="879"/>
      <c r="R119" s="64"/>
      <c r="S119" s="64"/>
      <c r="T119" s="64"/>
      <c r="U119" s="64"/>
    </row>
    <row r="120" spans="1:21" s="71" customFormat="1" hidden="1">
      <c r="A120" s="64"/>
      <c r="B120" s="878"/>
      <c r="C120" s="128"/>
      <c r="D120" s="128"/>
      <c r="E120" s="128"/>
      <c r="N120" s="878"/>
      <c r="P120" s="879"/>
      <c r="R120" s="64"/>
      <c r="S120" s="64"/>
      <c r="T120" s="64"/>
      <c r="U120" s="64"/>
    </row>
    <row r="121" spans="1:21" s="71" customFormat="1" hidden="1">
      <c r="A121" s="64"/>
      <c r="B121" s="878"/>
      <c r="C121" s="128"/>
      <c r="D121" s="128"/>
      <c r="E121" s="128"/>
      <c r="N121" s="878"/>
      <c r="P121" s="879"/>
      <c r="R121" s="64"/>
      <c r="S121" s="64"/>
      <c r="T121" s="64"/>
      <c r="U121" s="64"/>
    </row>
    <row r="122" spans="1:21" s="71" customFormat="1" hidden="1">
      <c r="A122" s="64"/>
      <c r="B122" s="878"/>
      <c r="C122" s="128"/>
      <c r="D122" s="128"/>
      <c r="E122" s="128"/>
      <c r="N122" s="878"/>
      <c r="P122" s="879"/>
      <c r="R122" s="64"/>
      <c r="S122" s="64"/>
      <c r="T122" s="64"/>
      <c r="U122" s="64"/>
    </row>
    <row r="123" spans="1:21" s="71" customFormat="1" hidden="1">
      <c r="A123" s="64"/>
      <c r="B123" s="878"/>
      <c r="C123" s="128"/>
      <c r="D123" s="128"/>
      <c r="E123" s="128"/>
      <c r="N123" s="878"/>
      <c r="P123" s="879"/>
      <c r="R123" s="64"/>
      <c r="S123" s="64"/>
      <c r="T123" s="64"/>
      <c r="U123" s="64"/>
    </row>
    <row r="124" spans="1:21" s="71" customFormat="1" hidden="1">
      <c r="A124" s="64"/>
      <c r="B124" s="878"/>
      <c r="C124" s="128"/>
      <c r="D124" s="128"/>
      <c r="E124" s="128"/>
      <c r="N124" s="878"/>
      <c r="P124" s="879"/>
      <c r="R124" s="64"/>
      <c r="S124" s="64"/>
      <c r="T124" s="64"/>
      <c r="U124" s="64"/>
    </row>
    <row r="125" spans="1:21" s="71" customFormat="1" hidden="1">
      <c r="A125" s="64"/>
      <c r="B125" s="878"/>
      <c r="C125" s="128"/>
      <c r="D125" s="128"/>
      <c r="E125" s="128"/>
      <c r="N125" s="878"/>
      <c r="P125" s="879"/>
      <c r="R125" s="64"/>
      <c r="S125" s="64"/>
      <c r="T125" s="64"/>
      <c r="U125" s="64"/>
    </row>
    <row r="126" spans="1:21" s="71" customFormat="1" hidden="1">
      <c r="A126" s="64"/>
      <c r="B126" s="878"/>
      <c r="C126" s="128"/>
      <c r="D126" s="128"/>
      <c r="E126" s="128"/>
      <c r="N126" s="878"/>
      <c r="P126" s="879"/>
      <c r="R126" s="64"/>
      <c r="S126" s="64"/>
      <c r="T126" s="64"/>
      <c r="U126" s="64"/>
    </row>
    <row r="127" spans="1:21" s="71" customFormat="1" hidden="1">
      <c r="A127" s="64"/>
      <c r="B127" s="878"/>
      <c r="C127" s="128"/>
      <c r="D127" s="128"/>
      <c r="E127" s="128"/>
      <c r="N127" s="878"/>
      <c r="P127" s="879"/>
      <c r="R127" s="64"/>
      <c r="S127" s="64"/>
      <c r="T127" s="64"/>
      <c r="U127" s="64"/>
    </row>
    <row r="128" spans="1:21" s="71" customFormat="1" hidden="1">
      <c r="A128" s="64"/>
      <c r="B128" s="878"/>
      <c r="C128" s="128"/>
      <c r="D128" s="128"/>
      <c r="E128" s="128"/>
      <c r="N128" s="878"/>
      <c r="P128" s="879"/>
      <c r="R128" s="64"/>
      <c r="S128" s="64"/>
      <c r="T128" s="64"/>
      <c r="U128" s="64"/>
    </row>
    <row r="129" spans="1:21" s="71" customFormat="1" hidden="1">
      <c r="A129" s="64"/>
      <c r="B129" s="878"/>
      <c r="C129" s="128"/>
      <c r="D129" s="128"/>
      <c r="E129" s="128"/>
      <c r="N129" s="878"/>
      <c r="P129" s="879"/>
      <c r="R129" s="64"/>
      <c r="S129" s="64"/>
      <c r="T129" s="64"/>
      <c r="U129" s="64"/>
    </row>
    <row r="130" spans="1:21" s="71" customFormat="1" hidden="1">
      <c r="A130" s="64"/>
      <c r="B130" s="878"/>
      <c r="C130" s="128"/>
      <c r="D130" s="128"/>
      <c r="E130" s="128"/>
      <c r="N130" s="878"/>
      <c r="P130" s="879"/>
      <c r="R130" s="64"/>
      <c r="S130" s="64"/>
      <c r="T130" s="64"/>
      <c r="U130" s="64"/>
    </row>
    <row r="131" spans="1:21" s="71" customFormat="1" hidden="1">
      <c r="A131" s="64"/>
      <c r="B131" s="878"/>
      <c r="C131" s="128"/>
      <c r="D131" s="128"/>
      <c r="E131" s="128"/>
      <c r="N131" s="878"/>
      <c r="P131" s="879"/>
      <c r="R131" s="64"/>
      <c r="S131" s="64"/>
      <c r="T131" s="64"/>
      <c r="U131" s="64"/>
    </row>
    <row r="132" spans="1:21" s="71" customFormat="1" hidden="1">
      <c r="A132" s="64"/>
      <c r="B132" s="878"/>
      <c r="C132" s="128"/>
      <c r="D132" s="128"/>
      <c r="E132" s="128"/>
      <c r="N132" s="878"/>
      <c r="P132" s="879"/>
      <c r="R132" s="64"/>
      <c r="S132" s="64"/>
      <c r="T132" s="64"/>
      <c r="U132" s="64"/>
    </row>
    <row r="133" spans="1:21" s="71" customFormat="1" hidden="1">
      <c r="A133" s="64"/>
      <c r="B133" s="878"/>
      <c r="C133" s="128"/>
      <c r="D133" s="128"/>
      <c r="E133" s="128"/>
      <c r="N133" s="878"/>
      <c r="P133" s="879"/>
      <c r="R133" s="64"/>
      <c r="S133" s="64"/>
      <c r="T133" s="64"/>
      <c r="U133" s="64"/>
    </row>
    <row r="134" spans="1:21" s="71" customFormat="1" hidden="1">
      <c r="A134" s="64"/>
      <c r="B134" s="878"/>
      <c r="C134" s="128"/>
      <c r="D134" s="128"/>
      <c r="E134" s="128"/>
      <c r="N134" s="878"/>
      <c r="P134" s="879"/>
      <c r="R134" s="64"/>
      <c r="S134" s="64"/>
      <c r="T134" s="64"/>
      <c r="U134" s="64"/>
    </row>
    <row r="135" spans="1:21" s="71" customFormat="1" hidden="1">
      <c r="A135" s="64"/>
      <c r="B135" s="878"/>
      <c r="C135" s="128"/>
      <c r="D135" s="128"/>
      <c r="E135" s="128"/>
      <c r="N135" s="878"/>
      <c r="P135" s="879"/>
      <c r="R135" s="64"/>
      <c r="S135" s="64"/>
      <c r="T135" s="64"/>
      <c r="U135" s="64"/>
    </row>
    <row r="136" spans="1:21" s="71" customFormat="1" hidden="1">
      <c r="A136" s="64"/>
      <c r="B136" s="878"/>
      <c r="C136" s="128"/>
      <c r="D136" s="128"/>
      <c r="E136" s="128"/>
      <c r="N136" s="878"/>
      <c r="P136" s="879"/>
      <c r="R136" s="64"/>
      <c r="S136" s="64"/>
      <c r="T136" s="64"/>
      <c r="U136" s="64"/>
    </row>
    <row r="137" spans="1:21" s="71" customFormat="1" hidden="1">
      <c r="A137" s="64"/>
      <c r="B137" s="878"/>
      <c r="C137" s="128"/>
      <c r="D137" s="128"/>
      <c r="E137" s="128"/>
      <c r="N137" s="878"/>
      <c r="P137" s="879"/>
      <c r="R137" s="64"/>
      <c r="S137" s="64"/>
      <c r="T137" s="64"/>
      <c r="U137" s="64"/>
    </row>
    <row r="138" spans="1:21" s="71" customFormat="1" hidden="1">
      <c r="A138" s="64"/>
      <c r="B138" s="878"/>
      <c r="C138" s="128"/>
      <c r="D138" s="128"/>
      <c r="E138" s="128"/>
      <c r="N138" s="878"/>
      <c r="P138" s="879"/>
      <c r="R138" s="64"/>
      <c r="S138" s="64"/>
      <c r="T138" s="64"/>
      <c r="U138" s="64"/>
    </row>
    <row r="139" spans="1:21" s="71" customFormat="1" hidden="1">
      <c r="A139" s="64"/>
      <c r="B139" s="878"/>
      <c r="C139" s="128"/>
      <c r="D139" s="128"/>
      <c r="E139" s="128"/>
      <c r="N139" s="878"/>
      <c r="P139" s="879"/>
      <c r="R139" s="64"/>
      <c r="S139" s="64"/>
      <c r="T139" s="64"/>
      <c r="U139" s="64"/>
    </row>
    <row r="140" spans="1:21" s="71" customFormat="1" hidden="1">
      <c r="A140" s="64"/>
      <c r="B140" s="878"/>
      <c r="C140" s="128"/>
      <c r="D140" s="128"/>
      <c r="E140" s="128"/>
      <c r="N140" s="878"/>
      <c r="P140" s="879"/>
      <c r="R140" s="64"/>
      <c r="S140" s="64"/>
      <c r="T140" s="64"/>
      <c r="U140" s="64"/>
    </row>
    <row r="141" spans="1:21" s="71" customFormat="1" hidden="1">
      <c r="A141" s="64"/>
      <c r="B141" s="878"/>
      <c r="C141" s="128"/>
      <c r="D141" s="128"/>
      <c r="E141" s="128"/>
      <c r="N141" s="878"/>
      <c r="P141" s="879"/>
      <c r="R141" s="64"/>
      <c r="S141" s="64"/>
      <c r="T141" s="64"/>
      <c r="U141" s="64"/>
    </row>
    <row r="142" spans="1:21" s="71" customFormat="1" hidden="1">
      <c r="A142" s="64"/>
      <c r="B142" s="878"/>
      <c r="C142" s="128"/>
      <c r="D142" s="128"/>
      <c r="E142" s="128"/>
      <c r="N142" s="878"/>
      <c r="P142" s="879"/>
      <c r="R142" s="64"/>
      <c r="S142" s="64"/>
      <c r="T142" s="64"/>
      <c r="U142" s="64"/>
    </row>
    <row r="143" spans="1:21" s="71" customFormat="1" hidden="1">
      <c r="A143" s="64"/>
      <c r="B143" s="878"/>
      <c r="C143" s="128"/>
      <c r="D143" s="128"/>
      <c r="E143" s="128"/>
      <c r="N143" s="878"/>
      <c r="P143" s="879"/>
      <c r="R143" s="64"/>
      <c r="S143" s="64"/>
      <c r="T143" s="64"/>
      <c r="U143" s="64"/>
    </row>
    <row r="144" spans="1:21" s="71" customFormat="1" hidden="1">
      <c r="A144" s="64"/>
      <c r="B144" s="878"/>
      <c r="C144" s="128"/>
      <c r="D144" s="128"/>
      <c r="E144" s="128"/>
      <c r="N144" s="878"/>
      <c r="P144" s="879"/>
      <c r="R144" s="64"/>
      <c r="S144" s="64"/>
      <c r="T144" s="64"/>
      <c r="U144" s="64"/>
    </row>
    <row r="145" spans="1:21" s="71" customFormat="1" hidden="1">
      <c r="A145" s="64"/>
      <c r="B145" s="878"/>
      <c r="C145" s="128"/>
      <c r="D145" s="128"/>
      <c r="E145" s="128"/>
      <c r="N145" s="878"/>
      <c r="P145" s="879"/>
      <c r="R145" s="64"/>
      <c r="S145" s="64"/>
      <c r="T145" s="64"/>
      <c r="U145" s="64"/>
    </row>
    <row r="146" spans="1:21" s="71" customFormat="1" hidden="1">
      <c r="A146" s="64"/>
      <c r="B146" s="878"/>
      <c r="C146" s="128"/>
      <c r="D146" s="128"/>
      <c r="E146" s="128"/>
      <c r="N146" s="878"/>
      <c r="P146" s="879"/>
      <c r="R146" s="64"/>
      <c r="S146" s="64"/>
      <c r="T146" s="64"/>
      <c r="U146" s="64"/>
    </row>
    <row r="147" spans="1:21" s="71" customFormat="1" hidden="1">
      <c r="A147" s="64"/>
      <c r="B147" s="878"/>
      <c r="C147" s="128"/>
      <c r="D147" s="128"/>
      <c r="E147" s="128"/>
      <c r="N147" s="878"/>
      <c r="P147" s="879"/>
      <c r="R147" s="64"/>
      <c r="S147" s="64"/>
      <c r="T147" s="64"/>
      <c r="U147" s="64"/>
    </row>
    <row r="148" spans="1:21" s="71" customFormat="1" hidden="1">
      <c r="A148" s="64"/>
      <c r="B148" s="878"/>
      <c r="C148" s="128"/>
      <c r="D148" s="128"/>
      <c r="E148" s="128"/>
      <c r="N148" s="878"/>
      <c r="P148" s="879"/>
      <c r="R148" s="64"/>
      <c r="S148" s="64"/>
      <c r="T148" s="64"/>
      <c r="U148" s="64"/>
    </row>
    <row r="149" spans="1:21" s="71" customFormat="1" hidden="1">
      <c r="A149" s="64"/>
      <c r="B149" s="878"/>
      <c r="C149" s="128"/>
      <c r="D149" s="128"/>
      <c r="E149" s="128"/>
      <c r="N149" s="878"/>
      <c r="P149" s="879"/>
      <c r="R149" s="64"/>
      <c r="S149" s="64"/>
      <c r="T149" s="64"/>
      <c r="U149" s="64"/>
    </row>
    <row r="150" spans="1:21" s="71" customFormat="1" hidden="1">
      <c r="A150" s="64"/>
      <c r="B150" s="878"/>
      <c r="C150" s="128"/>
      <c r="D150" s="128"/>
      <c r="E150" s="128"/>
      <c r="N150" s="878"/>
      <c r="P150" s="879"/>
      <c r="R150" s="64"/>
      <c r="S150" s="64"/>
      <c r="T150" s="64"/>
      <c r="U150" s="64"/>
    </row>
    <row r="151" spans="1:21" s="71" customFormat="1" hidden="1">
      <c r="A151" s="64"/>
      <c r="B151" s="878"/>
      <c r="C151" s="128"/>
      <c r="D151" s="128"/>
      <c r="E151" s="128"/>
      <c r="N151" s="878"/>
      <c r="P151" s="879"/>
      <c r="R151" s="64"/>
      <c r="S151" s="64"/>
      <c r="T151" s="64"/>
      <c r="U151" s="64"/>
    </row>
    <row r="152" spans="1:21" s="71" customFormat="1" hidden="1">
      <c r="A152" s="64"/>
      <c r="B152" s="878"/>
      <c r="C152" s="128"/>
      <c r="D152" s="128"/>
      <c r="E152" s="128"/>
      <c r="N152" s="878"/>
      <c r="P152" s="879"/>
      <c r="R152" s="64"/>
      <c r="S152" s="64"/>
      <c r="T152" s="64"/>
      <c r="U152" s="64"/>
    </row>
    <row r="153" spans="1:21" s="71" customFormat="1" hidden="1">
      <c r="A153" s="64"/>
      <c r="B153" s="878"/>
      <c r="C153" s="128"/>
      <c r="D153" s="128"/>
      <c r="E153" s="128"/>
      <c r="N153" s="878"/>
      <c r="P153" s="879"/>
      <c r="R153" s="64"/>
      <c r="S153" s="64"/>
      <c r="T153" s="64"/>
      <c r="U153" s="64"/>
    </row>
    <row r="154" spans="1:21" s="71" customFormat="1" hidden="1">
      <c r="A154" s="64"/>
      <c r="B154" s="878"/>
      <c r="C154" s="128"/>
      <c r="D154" s="128"/>
      <c r="E154" s="128"/>
      <c r="N154" s="878"/>
      <c r="P154" s="879"/>
      <c r="R154" s="64"/>
      <c r="S154" s="64"/>
      <c r="T154" s="64"/>
      <c r="U154" s="64"/>
    </row>
    <row r="155" spans="1:21" s="71" customFormat="1" hidden="1">
      <c r="A155" s="64"/>
      <c r="B155" s="878"/>
      <c r="C155" s="128"/>
      <c r="D155" s="128"/>
      <c r="E155" s="128"/>
      <c r="N155" s="878"/>
      <c r="P155" s="879"/>
      <c r="R155" s="64"/>
      <c r="S155" s="64"/>
      <c r="T155" s="64"/>
      <c r="U155" s="64"/>
    </row>
    <row r="156" spans="1:21" s="71" customFormat="1" hidden="1">
      <c r="A156" s="64"/>
      <c r="B156" s="878"/>
      <c r="C156" s="128"/>
      <c r="D156" s="128"/>
      <c r="E156" s="128"/>
      <c r="N156" s="878"/>
      <c r="P156" s="879"/>
      <c r="R156" s="64"/>
      <c r="S156" s="64"/>
      <c r="T156" s="64"/>
      <c r="U156" s="64"/>
    </row>
    <row r="157" spans="1:21" s="71" customFormat="1" hidden="1">
      <c r="A157" s="64"/>
      <c r="B157" s="878"/>
      <c r="C157" s="128"/>
      <c r="D157" s="128"/>
      <c r="E157" s="128"/>
      <c r="N157" s="878"/>
      <c r="P157" s="879"/>
      <c r="R157" s="64"/>
      <c r="S157" s="64"/>
      <c r="T157" s="64"/>
      <c r="U157" s="64"/>
    </row>
    <row r="158" spans="1:21" s="71" customFormat="1" hidden="1">
      <c r="A158" s="64"/>
      <c r="B158" s="878"/>
      <c r="C158" s="128"/>
      <c r="D158" s="128"/>
      <c r="E158" s="128"/>
      <c r="N158" s="878"/>
      <c r="P158" s="879"/>
      <c r="R158" s="64"/>
      <c r="S158" s="64"/>
      <c r="T158" s="64"/>
      <c r="U158" s="64"/>
    </row>
    <row r="159" spans="1:21" s="71" customFormat="1" hidden="1">
      <c r="A159" s="64"/>
      <c r="B159" s="878"/>
      <c r="C159" s="128"/>
      <c r="D159" s="128"/>
      <c r="E159" s="128"/>
      <c r="N159" s="878"/>
      <c r="P159" s="879"/>
      <c r="R159" s="64"/>
      <c r="S159" s="64"/>
      <c r="T159" s="64"/>
      <c r="U159" s="64"/>
    </row>
    <row r="160" spans="1:21" s="71" customFormat="1" hidden="1">
      <c r="A160" s="64"/>
      <c r="B160" s="878"/>
      <c r="C160" s="128"/>
      <c r="D160" s="128"/>
      <c r="E160" s="128"/>
      <c r="N160" s="878"/>
      <c r="P160" s="879"/>
      <c r="R160" s="64"/>
      <c r="S160" s="64"/>
      <c r="T160" s="64"/>
      <c r="U160" s="64"/>
    </row>
    <row r="161" spans="1:21" s="71" customFormat="1" hidden="1">
      <c r="A161" s="64"/>
      <c r="B161" s="878"/>
      <c r="C161" s="128"/>
      <c r="D161" s="128"/>
      <c r="E161" s="128"/>
      <c r="N161" s="878"/>
      <c r="P161" s="879"/>
      <c r="R161" s="64"/>
      <c r="S161" s="64"/>
      <c r="T161" s="64"/>
      <c r="U161" s="64"/>
    </row>
    <row r="162" spans="1:21" s="71" customFormat="1" hidden="1">
      <c r="A162" s="64"/>
      <c r="B162" s="878"/>
      <c r="C162" s="128"/>
      <c r="D162" s="128"/>
      <c r="E162" s="128"/>
      <c r="N162" s="878"/>
      <c r="P162" s="879"/>
      <c r="R162" s="64"/>
      <c r="S162" s="64"/>
      <c r="T162" s="64"/>
      <c r="U162" s="64"/>
    </row>
    <row r="163" spans="1:21" s="71" customFormat="1" hidden="1">
      <c r="A163" s="64"/>
      <c r="B163" s="878"/>
      <c r="C163" s="128"/>
      <c r="D163" s="128"/>
      <c r="E163" s="128"/>
      <c r="N163" s="878"/>
      <c r="P163" s="879"/>
      <c r="R163" s="64"/>
      <c r="S163" s="64"/>
      <c r="T163" s="64"/>
      <c r="U163" s="64"/>
    </row>
    <row r="164" spans="1:21" s="71" customFormat="1" hidden="1">
      <c r="A164" s="64"/>
      <c r="B164" s="878"/>
      <c r="C164" s="128"/>
      <c r="D164" s="128"/>
      <c r="E164" s="128"/>
      <c r="N164" s="878"/>
      <c r="P164" s="879"/>
      <c r="R164" s="64"/>
      <c r="S164" s="64"/>
      <c r="T164" s="64"/>
      <c r="U164" s="64"/>
    </row>
    <row r="165" spans="1:21" s="71" customFormat="1" hidden="1">
      <c r="A165" s="64"/>
      <c r="B165" s="878"/>
      <c r="C165" s="128"/>
      <c r="D165" s="128"/>
      <c r="E165" s="128"/>
      <c r="N165" s="878"/>
      <c r="P165" s="879"/>
      <c r="R165" s="64"/>
      <c r="S165" s="64"/>
      <c r="T165" s="64"/>
      <c r="U165" s="64"/>
    </row>
    <row r="166" spans="1:21" s="71" customFormat="1" hidden="1">
      <c r="A166" s="64"/>
      <c r="B166" s="878"/>
      <c r="C166" s="128"/>
      <c r="D166" s="128"/>
      <c r="E166" s="128"/>
      <c r="N166" s="878"/>
      <c r="P166" s="879"/>
      <c r="R166" s="64"/>
      <c r="S166" s="64"/>
      <c r="T166" s="64"/>
      <c r="U166" s="64"/>
    </row>
    <row r="167" spans="1:21" s="71" customFormat="1" hidden="1">
      <c r="A167" s="64"/>
      <c r="B167" s="878"/>
      <c r="C167" s="128"/>
      <c r="D167" s="128"/>
      <c r="E167" s="128"/>
      <c r="N167" s="878"/>
      <c r="P167" s="879"/>
      <c r="R167" s="64"/>
      <c r="S167" s="64"/>
      <c r="T167" s="64"/>
      <c r="U167" s="64"/>
    </row>
    <row r="168" spans="1:21" s="71" customFormat="1" hidden="1">
      <c r="A168" s="64"/>
      <c r="B168" s="878"/>
      <c r="C168" s="128"/>
      <c r="D168" s="128"/>
      <c r="E168" s="128"/>
      <c r="N168" s="878"/>
      <c r="P168" s="879"/>
      <c r="R168" s="64"/>
      <c r="S168" s="64"/>
      <c r="T168" s="64"/>
      <c r="U168" s="64"/>
    </row>
    <row r="169" spans="1:21" s="71" customFormat="1" hidden="1">
      <c r="A169" s="64"/>
      <c r="B169" s="878"/>
      <c r="C169" s="128"/>
      <c r="D169" s="128"/>
      <c r="E169" s="128"/>
      <c r="N169" s="878"/>
      <c r="P169" s="879"/>
      <c r="R169" s="64"/>
      <c r="S169" s="64"/>
      <c r="T169" s="64"/>
      <c r="U169" s="64"/>
    </row>
    <row r="170" spans="1:21" s="71" customFormat="1" hidden="1">
      <c r="A170" s="64"/>
      <c r="B170" s="878"/>
      <c r="C170" s="128"/>
      <c r="D170" s="128"/>
      <c r="E170" s="128"/>
      <c r="N170" s="878"/>
      <c r="P170" s="879"/>
      <c r="R170" s="64"/>
      <c r="S170" s="64"/>
      <c r="T170" s="64"/>
      <c r="U170" s="64"/>
    </row>
    <row r="171" spans="1:21" s="71" customFormat="1" hidden="1">
      <c r="A171" s="64"/>
      <c r="B171" s="878"/>
      <c r="C171" s="128"/>
      <c r="D171" s="128"/>
      <c r="E171" s="128"/>
      <c r="N171" s="878"/>
      <c r="P171" s="879"/>
      <c r="R171" s="64"/>
      <c r="S171" s="64"/>
      <c r="T171" s="64"/>
      <c r="U171" s="64"/>
    </row>
    <row r="172" spans="1:21" s="71" customFormat="1" hidden="1">
      <c r="A172" s="64"/>
      <c r="B172" s="878"/>
      <c r="C172" s="128"/>
      <c r="D172" s="128"/>
      <c r="E172" s="128"/>
      <c r="N172" s="878"/>
      <c r="P172" s="879"/>
      <c r="R172" s="64"/>
      <c r="S172" s="64"/>
      <c r="T172" s="64"/>
      <c r="U172" s="64"/>
    </row>
    <row r="173" spans="1:21" s="71" customFormat="1" hidden="1">
      <c r="A173" s="64"/>
      <c r="B173" s="878"/>
      <c r="C173" s="128"/>
      <c r="D173" s="128"/>
      <c r="E173" s="128"/>
      <c r="N173" s="878"/>
      <c r="P173" s="879"/>
      <c r="R173" s="64"/>
      <c r="S173" s="64"/>
      <c r="T173" s="64"/>
      <c r="U173" s="64"/>
    </row>
    <row r="174" spans="1:21" s="71" customFormat="1" hidden="1">
      <c r="A174" s="64"/>
      <c r="B174" s="878"/>
      <c r="C174" s="128"/>
      <c r="D174" s="128"/>
      <c r="E174" s="128"/>
      <c r="N174" s="878"/>
      <c r="P174" s="879"/>
      <c r="R174" s="64"/>
      <c r="S174" s="64"/>
      <c r="T174" s="64"/>
      <c r="U174" s="64"/>
    </row>
    <row r="175" spans="1:21" s="71" customFormat="1" hidden="1">
      <c r="A175" s="64"/>
      <c r="B175" s="878"/>
      <c r="C175" s="128"/>
      <c r="D175" s="128"/>
      <c r="E175" s="128"/>
      <c r="N175" s="878"/>
      <c r="P175" s="879"/>
      <c r="R175" s="64"/>
      <c r="S175" s="64"/>
      <c r="T175" s="64"/>
      <c r="U175" s="64"/>
    </row>
    <row r="176" spans="1:21" s="71" customFormat="1" hidden="1">
      <c r="A176" s="64"/>
      <c r="B176" s="878"/>
      <c r="C176" s="128"/>
      <c r="D176" s="128"/>
      <c r="E176" s="128"/>
      <c r="N176" s="878"/>
      <c r="P176" s="879"/>
      <c r="R176" s="64"/>
      <c r="S176" s="64"/>
      <c r="T176" s="64"/>
      <c r="U176" s="64"/>
    </row>
    <row r="177" spans="1:21" s="71" customFormat="1" hidden="1">
      <c r="A177" s="64"/>
      <c r="B177" s="878"/>
      <c r="C177" s="128"/>
      <c r="D177" s="128"/>
      <c r="E177" s="128"/>
      <c r="N177" s="878"/>
      <c r="P177" s="879"/>
      <c r="R177" s="64"/>
      <c r="S177" s="64"/>
      <c r="T177" s="64"/>
      <c r="U177" s="64"/>
    </row>
    <row r="178" spans="1:21" s="71" customFormat="1" hidden="1">
      <c r="A178" s="64"/>
      <c r="B178" s="878"/>
      <c r="C178" s="128"/>
      <c r="D178" s="128"/>
      <c r="E178" s="128"/>
      <c r="N178" s="878"/>
      <c r="P178" s="879"/>
      <c r="R178" s="64"/>
      <c r="S178" s="64"/>
      <c r="T178" s="64"/>
      <c r="U178" s="64"/>
    </row>
    <row r="179" spans="1:21" s="71" customFormat="1" hidden="1">
      <c r="A179" s="64"/>
      <c r="B179" s="878"/>
      <c r="C179" s="128"/>
      <c r="D179" s="128"/>
      <c r="E179" s="128"/>
      <c r="N179" s="878"/>
      <c r="P179" s="879"/>
      <c r="R179" s="64"/>
      <c r="S179" s="64"/>
      <c r="T179" s="64"/>
      <c r="U179" s="64"/>
    </row>
    <row r="180" spans="1:21" s="71" customFormat="1" hidden="1">
      <c r="A180" s="64"/>
      <c r="B180" s="878"/>
      <c r="C180" s="128"/>
      <c r="D180" s="128"/>
      <c r="E180" s="128"/>
      <c r="N180" s="878"/>
      <c r="P180" s="879"/>
      <c r="R180" s="64"/>
      <c r="S180" s="64"/>
      <c r="T180" s="64"/>
      <c r="U180" s="64"/>
    </row>
    <row r="181" spans="1:21" s="71" customFormat="1" hidden="1">
      <c r="A181" s="64"/>
      <c r="B181" s="878"/>
      <c r="C181" s="128"/>
      <c r="D181" s="128"/>
      <c r="E181" s="128"/>
      <c r="N181" s="878"/>
      <c r="P181" s="879"/>
      <c r="R181" s="64"/>
      <c r="S181" s="64"/>
      <c r="T181" s="64"/>
      <c r="U181" s="64"/>
    </row>
    <row r="182" spans="1:21" s="71" customFormat="1" hidden="1">
      <c r="A182" s="64"/>
      <c r="B182" s="878"/>
      <c r="C182" s="128"/>
      <c r="D182" s="128"/>
      <c r="E182" s="128"/>
      <c r="N182" s="878"/>
      <c r="P182" s="879"/>
      <c r="R182" s="64"/>
      <c r="S182" s="64"/>
      <c r="T182" s="64"/>
      <c r="U182" s="64"/>
    </row>
    <row r="183" spans="1:21" s="71" customFormat="1" hidden="1">
      <c r="A183" s="64"/>
      <c r="B183" s="878"/>
      <c r="C183" s="128"/>
      <c r="D183" s="128"/>
      <c r="E183" s="128"/>
      <c r="N183" s="878"/>
      <c r="P183" s="879"/>
      <c r="R183" s="64"/>
      <c r="S183" s="64"/>
      <c r="T183" s="64"/>
      <c r="U183" s="64"/>
    </row>
    <row r="184" spans="1:21" s="71" customFormat="1" hidden="1">
      <c r="A184" s="64"/>
      <c r="B184" s="878"/>
      <c r="C184" s="128"/>
      <c r="D184" s="128"/>
      <c r="E184" s="128"/>
      <c r="N184" s="878"/>
      <c r="P184" s="879"/>
      <c r="R184" s="64"/>
      <c r="S184" s="64"/>
      <c r="T184" s="64"/>
      <c r="U184" s="64"/>
    </row>
    <row r="185" spans="1:21" s="71" customFormat="1" hidden="1">
      <c r="A185" s="64"/>
      <c r="B185" s="878"/>
      <c r="C185" s="128"/>
      <c r="D185" s="128"/>
      <c r="E185" s="128"/>
      <c r="N185" s="878"/>
      <c r="P185" s="879"/>
      <c r="R185" s="64"/>
      <c r="S185" s="64"/>
      <c r="T185" s="64"/>
      <c r="U185" s="64"/>
    </row>
    <row r="186" spans="1:21" s="71" customFormat="1" hidden="1">
      <c r="A186" s="64"/>
      <c r="B186" s="878"/>
      <c r="C186" s="128"/>
      <c r="D186" s="128"/>
      <c r="E186" s="128"/>
      <c r="N186" s="878"/>
      <c r="P186" s="879"/>
      <c r="R186" s="64"/>
      <c r="S186" s="64"/>
      <c r="T186" s="64"/>
      <c r="U186" s="64"/>
    </row>
    <row r="187" spans="1:21" s="71" customFormat="1" hidden="1">
      <c r="A187" s="64"/>
      <c r="B187" s="878"/>
      <c r="C187" s="128"/>
      <c r="D187" s="128"/>
      <c r="E187" s="128"/>
      <c r="N187" s="878"/>
      <c r="P187" s="879"/>
      <c r="R187" s="64"/>
      <c r="S187" s="64"/>
      <c r="T187" s="64"/>
      <c r="U187" s="64"/>
    </row>
    <row r="188" spans="1:21" s="71" customFormat="1" hidden="1">
      <c r="A188" s="64"/>
      <c r="B188" s="878"/>
      <c r="C188" s="128"/>
      <c r="D188" s="128"/>
      <c r="E188" s="128"/>
      <c r="N188" s="878"/>
      <c r="P188" s="879"/>
      <c r="R188" s="64"/>
      <c r="S188" s="64"/>
      <c r="T188" s="64"/>
      <c r="U188" s="64"/>
    </row>
    <row r="189" spans="1:21" s="71" customFormat="1" hidden="1">
      <c r="A189" s="64"/>
      <c r="B189" s="878"/>
      <c r="C189" s="128"/>
      <c r="D189" s="128"/>
      <c r="E189" s="128"/>
      <c r="N189" s="878"/>
      <c r="P189" s="879"/>
      <c r="R189" s="64"/>
      <c r="S189" s="64"/>
      <c r="T189" s="64"/>
      <c r="U189" s="64"/>
    </row>
    <row r="190" spans="1:21" s="71" customFormat="1" hidden="1">
      <c r="A190" s="64"/>
      <c r="B190" s="878"/>
      <c r="C190" s="128"/>
      <c r="D190" s="128"/>
      <c r="E190" s="128"/>
      <c r="N190" s="878"/>
      <c r="P190" s="879"/>
      <c r="R190" s="64"/>
      <c r="S190" s="64"/>
      <c r="T190" s="64"/>
      <c r="U190" s="64"/>
    </row>
    <row r="191" spans="1:21" s="71" customFormat="1" hidden="1">
      <c r="A191" s="64"/>
      <c r="B191" s="878"/>
      <c r="C191" s="128"/>
      <c r="D191" s="128"/>
      <c r="E191" s="128"/>
      <c r="N191" s="878"/>
      <c r="P191" s="879"/>
      <c r="R191" s="64"/>
      <c r="S191" s="64"/>
      <c r="T191" s="64"/>
      <c r="U191" s="64"/>
    </row>
    <row r="192" spans="1:21" s="71" customFormat="1" hidden="1">
      <c r="A192" s="64"/>
      <c r="B192" s="878"/>
      <c r="C192" s="128"/>
      <c r="D192" s="128"/>
      <c r="E192" s="128"/>
      <c r="N192" s="878"/>
      <c r="P192" s="879"/>
      <c r="R192" s="64"/>
      <c r="S192" s="64"/>
      <c r="T192" s="64"/>
      <c r="U192" s="64"/>
    </row>
    <row r="193" spans="1:21" s="71" customFormat="1" hidden="1">
      <c r="A193" s="64"/>
      <c r="B193" s="878"/>
      <c r="C193" s="128"/>
      <c r="D193" s="128"/>
      <c r="E193" s="128"/>
      <c r="N193" s="878"/>
      <c r="P193" s="879"/>
      <c r="R193" s="64"/>
      <c r="S193" s="64"/>
      <c r="T193" s="64"/>
      <c r="U193" s="64"/>
    </row>
    <row r="194" spans="1:21" s="71" customFormat="1" hidden="1">
      <c r="A194" s="64"/>
      <c r="B194" s="878"/>
      <c r="C194" s="128"/>
      <c r="D194" s="128"/>
      <c r="E194" s="128"/>
      <c r="N194" s="878"/>
      <c r="P194" s="879"/>
      <c r="R194" s="64"/>
      <c r="S194" s="64"/>
      <c r="T194" s="64"/>
      <c r="U194" s="64"/>
    </row>
    <row r="195" spans="1:21" s="71" customFormat="1" hidden="1">
      <c r="A195" s="64"/>
      <c r="B195" s="878"/>
      <c r="C195" s="128"/>
      <c r="D195" s="128"/>
      <c r="E195" s="128"/>
      <c r="N195" s="878"/>
      <c r="P195" s="879"/>
      <c r="R195" s="64"/>
      <c r="S195" s="64"/>
      <c r="T195" s="64"/>
      <c r="U195" s="64"/>
    </row>
    <row r="196" spans="1:21" s="71" customFormat="1" hidden="1">
      <c r="A196" s="64"/>
      <c r="B196" s="878"/>
      <c r="C196" s="128"/>
      <c r="D196" s="128"/>
      <c r="E196" s="128"/>
      <c r="N196" s="878"/>
      <c r="P196" s="879"/>
      <c r="R196" s="64"/>
      <c r="S196" s="64"/>
      <c r="T196" s="64"/>
      <c r="U196" s="64"/>
    </row>
    <row r="197" spans="1:21" s="71" customFormat="1" hidden="1">
      <c r="A197" s="64"/>
      <c r="B197" s="878"/>
      <c r="C197" s="128"/>
      <c r="D197" s="128"/>
      <c r="E197" s="128"/>
      <c r="N197" s="878"/>
      <c r="P197" s="879"/>
      <c r="R197" s="64"/>
      <c r="S197" s="64"/>
      <c r="T197" s="64"/>
      <c r="U197" s="64"/>
    </row>
    <row r="198" spans="1:21" s="71" customFormat="1" hidden="1">
      <c r="A198" s="64"/>
      <c r="B198" s="878"/>
      <c r="C198" s="128"/>
      <c r="D198" s="128"/>
      <c r="E198" s="128"/>
      <c r="N198" s="878"/>
      <c r="P198" s="879"/>
      <c r="R198" s="64"/>
      <c r="S198" s="64"/>
      <c r="T198" s="64"/>
      <c r="U198" s="64"/>
    </row>
    <row r="199" spans="1:21" s="71" customFormat="1" hidden="1">
      <c r="A199" s="64"/>
      <c r="B199" s="878"/>
      <c r="C199" s="128"/>
      <c r="D199" s="128"/>
      <c r="E199" s="128"/>
      <c r="N199" s="878"/>
      <c r="P199" s="879"/>
      <c r="R199" s="64"/>
      <c r="S199" s="64"/>
      <c r="T199" s="64"/>
      <c r="U199" s="64"/>
    </row>
    <row r="200" spans="1:21" s="71" customFormat="1" hidden="1">
      <c r="A200" s="64"/>
      <c r="B200" s="878"/>
      <c r="C200" s="128"/>
      <c r="D200" s="128"/>
      <c r="E200" s="128"/>
      <c r="N200" s="878"/>
      <c r="P200" s="879"/>
      <c r="R200" s="64"/>
      <c r="S200" s="64"/>
      <c r="T200" s="64"/>
      <c r="U200" s="64"/>
    </row>
    <row r="201" spans="1:21" s="71" customFormat="1" hidden="1">
      <c r="A201" s="64"/>
      <c r="B201" s="878"/>
      <c r="C201" s="128"/>
      <c r="D201" s="128"/>
      <c r="E201" s="128"/>
      <c r="N201" s="878"/>
      <c r="P201" s="879"/>
      <c r="R201" s="64"/>
      <c r="S201" s="64"/>
      <c r="T201" s="64"/>
      <c r="U201" s="64"/>
    </row>
    <row r="202" spans="1:21" s="71" customFormat="1" hidden="1">
      <c r="A202" s="64"/>
      <c r="B202" s="878"/>
      <c r="C202" s="128"/>
      <c r="D202" s="128"/>
      <c r="E202" s="128"/>
      <c r="N202" s="878"/>
      <c r="P202" s="879"/>
      <c r="R202" s="64"/>
      <c r="S202" s="64"/>
      <c r="T202" s="64"/>
      <c r="U202" s="64"/>
    </row>
    <row r="203" spans="1:21" s="71" customFormat="1" hidden="1">
      <c r="A203" s="64"/>
      <c r="B203" s="878"/>
      <c r="C203" s="128"/>
      <c r="D203" s="128"/>
      <c r="E203" s="128"/>
      <c r="N203" s="878"/>
      <c r="P203" s="879"/>
      <c r="R203" s="64"/>
      <c r="S203" s="64"/>
      <c r="T203" s="64"/>
      <c r="U203" s="64"/>
    </row>
    <row r="204" spans="1:21" s="71" customFormat="1" hidden="1">
      <c r="A204" s="64"/>
      <c r="B204" s="878"/>
      <c r="C204" s="128"/>
      <c r="D204" s="128"/>
      <c r="E204" s="128"/>
      <c r="N204" s="878"/>
      <c r="P204" s="879"/>
      <c r="R204" s="64"/>
      <c r="S204" s="64"/>
      <c r="T204" s="64"/>
      <c r="U204" s="64"/>
    </row>
    <row r="205" spans="1:21" s="71" customFormat="1" hidden="1">
      <c r="A205" s="64"/>
      <c r="B205" s="878"/>
      <c r="C205" s="128"/>
      <c r="D205" s="128"/>
      <c r="E205" s="128"/>
      <c r="N205" s="878"/>
      <c r="P205" s="879"/>
      <c r="R205" s="64"/>
      <c r="S205" s="64"/>
      <c r="T205" s="64"/>
      <c r="U205" s="64"/>
    </row>
    <row r="206" spans="1:21" s="71" customFormat="1" hidden="1">
      <c r="A206" s="64"/>
      <c r="B206" s="878"/>
      <c r="C206" s="128"/>
      <c r="D206" s="128"/>
      <c r="E206" s="128"/>
      <c r="N206" s="878"/>
      <c r="P206" s="879"/>
      <c r="R206" s="64"/>
      <c r="S206" s="64"/>
      <c r="T206" s="64"/>
      <c r="U206" s="64"/>
    </row>
    <row r="207" spans="1:21" s="71" customFormat="1" hidden="1">
      <c r="A207" s="64"/>
      <c r="B207" s="878"/>
      <c r="C207" s="128"/>
      <c r="D207" s="128"/>
      <c r="E207" s="128"/>
      <c r="N207" s="878"/>
      <c r="P207" s="879"/>
      <c r="R207" s="64"/>
      <c r="S207" s="64"/>
      <c r="T207" s="64"/>
      <c r="U207" s="64"/>
    </row>
    <row r="208" spans="1:21" s="71" customFormat="1" hidden="1">
      <c r="A208" s="64"/>
      <c r="B208" s="878"/>
      <c r="C208" s="128"/>
      <c r="D208" s="128"/>
      <c r="E208" s="128"/>
      <c r="N208" s="878"/>
      <c r="P208" s="879"/>
      <c r="R208" s="64"/>
      <c r="S208" s="64"/>
      <c r="T208" s="64"/>
      <c r="U208" s="64"/>
    </row>
    <row r="209" spans="1:21" s="71" customFormat="1" hidden="1">
      <c r="A209" s="64"/>
      <c r="B209" s="878"/>
      <c r="C209" s="128"/>
      <c r="D209" s="128"/>
      <c r="E209" s="128"/>
      <c r="N209" s="878"/>
      <c r="P209" s="879"/>
      <c r="R209" s="64"/>
      <c r="S209" s="64"/>
      <c r="T209" s="64"/>
      <c r="U209" s="64"/>
    </row>
    <row r="210" spans="1:21" s="71" customFormat="1" hidden="1">
      <c r="A210" s="64"/>
      <c r="B210" s="878"/>
      <c r="C210" s="128"/>
      <c r="D210" s="128"/>
      <c r="E210" s="128"/>
      <c r="N210" s="878"/>
      <c r="P210" s="879"/>
      <c r="R210" s="64"/>
      <c r="S210" s="64"/>
      <c r="T210" s="64"/>
      <c r="U210" s="64"/>
    </row>
    <row r="211" spans="1:21" s="71" customFormat="1" hidden="1">
      <c r="A211" s="64"/>
      <c r="B211" s="878"/>
      <c r="C211" s="128"/>
      <c r="D211" s="128"/>
      <c r="E211" s="128"/>
      <c r="N211" s="878"/>
      <c r="P211" s="879"/>
      <c r="R211" s="64"/>
      <c r="S211" s="64"/>
      <c r="T211" s="64"/>
      <c r="U211" s="64"/>
    </row>
    <row r="212" spans="1:21" s="71" customFormat="1" hidden="1">
      <c r="A212" s="64"/>
      <c r="B212" s="878"/>
      <c r="C212" s="128"/>
      <c r="D212" s="128"/>
      <c r="E212" s="128"/>
      <c r="N212" s="878"/>
      <c r="P212" s="879"/>
      <c r="R212" s="64"/>
      <c r="S212" s="64"/>
      <c r="T212" s="64"/>
      <c r="U212" s="64"/>
    </row>
    <row r="213" spans="1:21" s="71" customFormat="1" hidden="1">
      <c r="A213" s="64"/>
      <c r="B213" s="878"/>
      <c r="C213" s="128"/>
      <c r="D213" s="128"/>
      <c r="E213" s="128"/>
      <c r="N213" s="878"/>
      <c r="P213" s="879"/>
      <c r="R213" s="64"/>
      <c r="S213" s="64"/>
      <c r="T213" s="64"/>
      <c r="U213" s="64"/>
    </row>
    <row r="214" spans="1:21" s="71" customFormat="1" hidden="1">
      <c r="A214" s="64"/>
      <c r="B214" s="878"/>
      <c r="C214" s="128"/>
      <c r="D214" s="128"/>
      <c r="E214" s="128"/>
      <c r="N214" s="878"/>
      <c r="P214" s="879"/>
      <c r="R214" s="64"/>
      <c r="S214" s="64"/>
      <c r="T214" s="64"/>
      <c r="U214" s="64"/>
    </row>
    <row r="215" spans="1:21" s="71" customFormat="1" hidden="1">
      <c r="A215" s="64"/>
      <c r="B215" s="878"/>
      <c r="C215" s="128"/>
      <c r="D215" s="128"/>
      <c r="E215" s="128"/>
      <c r="N215" s="878"/>
      <c r="P215" s="879"/>
      <c r="R215" s="64"/>
      <c r="S215" s="64"/>
      <c r="T215" s="64"/>
      <c r="U215" s="64"/>
    </row>
    <row r="216" spans="1:21" s="71" customFormat="1" hidden="1">
      <c r="A216" s="64"/>
      <c r="B216" s="878"/>
      <c r="C216" s="128"/>
      <c r="D216" s="128"/>
      <c r="E216" s="128"/>
      <c r="N216" s="878"/>
      <c r="P216" s="879"/>
      <c r="R216" s="64"/>
      <c r="S216" s="64"/>
      <c r="T216" s="64"/>
      <c r="U216" s="64"/>
    </row>
    <row r="217" spans="1:21" s="71" customFormat="1" hidden="1">
      <c r="A217" s="64"/>
      <c r="B217" s="878"/>
      <c r="C217" s="128"/>
      <c r="D217" s="128"/>
      <c r="E217" s="128"/>
      <c r="N217" s="878"/>
      <c r="P217" s="879"/>
      <c r="R217" s="64"/>
      <c r="S217" s="64"/>
      <c r="T217" s="64"/>
      <c r="U217" s="64"/>
    </row>
    <row r="218" spans="1:21" s="71" customFormat="1" hidden="1">
      <c r="A218" s="64"/>
      <c r="B218" s="878"/>
      <c r="C218" s="128"/>
      <c r="D218" s="128"/>
      <c r="E218" s="128"/>
      <c r="N218" s="878"/>
      <c r="P218" s="879"/>
      <c r="R218" s="64"/>
      <c r="S218" s="64"/>
      <c r="T218" s="64"/>
      <c r="U218" s="64"/>
    </row>
    <row r="219" spans="1:21" s="71" customFormat="1" hidden="1">
      <c r="A219" s="64"/>
      <c r="B219" s="878"/>
      <c r="C219" s="128"/>
      <c r="D219" s="128"/>
      <c r="E219" s="128"/>
      <c r="N219" s="878"/>
      <c r="P219" s="879"/>
      <c r="R219" s="64"/>
      <c r="S219" s="64"/>
      <c r="T219" s="64"/>
      <c r="U219" s="64"/>
    </row>
    <row r="220" spans="1:21" s="71" customFormat="1" hidden="1">
      <c r="A220" s="64"/>
      <c r="B220" s="878"/>
      <c r="C220" s="128"/>
      <c r="D220" s="128"/>
      <c r="E220" s="128"/>
      <c r="N220" s="878"/>
      <c r="P220" s="879"/>
      <c r="R220" s="64"/>
      <c r="S220" s="64"/>
      <c r="T220" s="64"/>
      <c r="U220" s="64"/>
    </row>
    <row r="221" spans="1:21" s="71" customFormat="1" hidden="1">
      <c r="A221" s="64"/>
      <c r="B221" s="878"/>
      <c r="C221" s="128"/>
      <c r="D221" s="128"/>
      <c r="E221" s="128"/>
      <c r="N221" s="878"/>
      <c r="P221" s="879"/>
      <c r="R221" s="64"/>
      <c r="S221" s="64"/>
      <c r="T221" s="64"/>
      <c r="U221" s="64"/>
    </row>
    <row r="222" spans="1:21" s="71" customFormat="1" hidden="1">
      <c r="A222" s="64"/>
      <c r="B222" s="878"/>
      <c r="C222" s="128"/>
      <c r="D222" s="128"/>
      <c r="E222" s="128"/>
      <c r="N222" s="878"/>
      <c r="P222" s="879"/>
      <c r="R222" s="64"/>
      <c r="S222" s="64"/>
      <c r="T222" s="64"/>
      <c r="U222" s="64"/>
    </row>
    <row r="223" spans="1:21" s="71" customFormat="1" hidden="1">
      <c r="A223" s="64"/>
      <c r="B223" s="878"/>
      <c r="C223" s="128"/>
      <c r="D223" s="128"/>
      <c r="E223" s="128"/>
      <c r="N223" s="878"/>
      <c r="P223" s="879"/>
      <c r="R223" s="64"/>
      <c r="S223" s="64"/>
      <c r="T223" s="64"/>
      <c r="U223" s="64"/>
    </row>
    <row r="224" spans="1:21" s="71" customFormat="1" hidden="1">
      <c r="A224" s="64"/>
      <c r="B224" s="878"/>
      <c r="C224" s="128"/>
      <c r="D224" s="128"/>
      <c r="E224" s="128"/>
      <c r="N224" s="878"/>
      <c r="P224" s="879"/>
      <c r="R224" s="64"/>
      <c r="S224" s="64"/>
      <c r="T224" s="64"/>
      <c r="U224" s="64"/>
    </row>
    <row r="225" spans="1:21" s="71" customFormat="1" hidden="1">
      <c r="A225" s="64"/>
      <c r="B225" s="878"/>
      <c r="C225" s="128"/>
      <c r="D225" s="128"/>
      <c r="E225" s="128"/>
      <c r="N225" s="878"/>
      <c r="P225" s="879"/>
      <c r="R225" s="64"/>
      <c r="S225" s="64"/>
      <c r="T225" s="64"/>
      <c r="U225" s="64"/>
    </row>
    <row r="226" spans="1:21" s="71" customFormat="1" hidden="1">
      <c r="A226" s="64"/>
      <c r="B226" s="878"/>
      <c r="C226" s="128"/>
      <c r="D226" s="128"/>
      <c r="E226" s="128"/>
      <c r="N226" s="878"/>
      <c r="P226" s="879"/>
      <c r="R226" s="64"/>
      <c r="S226" s="64"/>
      <c r="T226" s="64"/>
      <c r="U226" s="64"/>
    </row>
    <row r="227" spans="1:21" s="71" customFormat="1" hidden="1">
      <c r="A227" s="64"/>
      <c r="B227" s="878"/>
      <c r="C227" s="128"/>
      <c r="D227" s="128"/>
      <c r="E227" s="128"/>
      <c r="N227" s="878"/>
      <c r="P227" s="879"/>
      <c r="R227" s="64"/>
      <c r="S227" s="64"/>
      <c r="T227" s="64"/>
      <c r="U227" s="64"/>
    </row>
    <row r="228" spans="1:21" s="71" customFormat="1" hidden="1">
      <c r="A228" s="64"/>
      <c r="B228" s="878"/>
      <c r="C228" s="128"/>
      <c r="D228" s="128"/>
      <c r="E228" s="128"/>
      <c r="N228" s="878"/>
      <c r="P228" s="879"/>
      <c r="R228" s="64"/>
      <c r="S228" s="64"/>
      <c r="T228" s="64"/>
      <c r="U228" s="64"/>
    </row>
    <row r="229" spans="1:21" s="71" customFormat="1" hidden="1">
      <c r="A229" s="64"/>
      <c r="B229" s="878"/>
      <c r="C229" s="128"/>
      <c r="D229" s="128"/>
      <c r="E229" s="128"/>
      <c r="N229" s="878"/>
      <c r="P229" s="879"/>
      <c r="R229" s="64"/>
      <c r="S229" s="64"/>
      <c r="T229" s="64"/>
      <c r="U229" s="64"/>
    </row>
    <row r="230" spans="1:21" s="71" customFormat="1" hidden="1">
      <c r="A230" s="64"/>
      <c r="B230" s="878"/>
      <c r="C230" s="128"/>
      <c r="D230" s="128"/>
      <c r="E230" s="128"/>
      <c r="N230" s="878"/>
      <c r="P230" s="879"/>
      <c r="R230" s="64"/>
      <c r="S230" s="64"/>
      <c r="T230" s="64"/>
      <c r="U230" s="64"/>
    </row>
    <row r="231" spans="1:21" s="71" customFormat="1" hidden="1">
      <c r="A231" s="64"/>
      <c r="B231" s="878"/>
      <c r="C231" s="128"/>
      <c r="D231" s="128"/>
      <c r="E231" s="128"/>
      <c r="N231" s="878"/>
      <c r="P231" s="879"/>
      <c r="R231" s="64"/>
      <c r="S231" s="64"/>
      <c r="T231" s="64"/>
      <c r="U231" s="64"/>
    </row>
    <row r="232" spans="1:21" s="71" customFormat="1" hidden="1">
      <c r="A232" s="64"/>
      <c r="B232" s="878"/>
      <c r="C232" s="128"/>
      <c r="D232" s="128"/>
      <c r="E232" s="128"/>
      <c r="N232" s="878"/>
      <c r="P232" s="879"/>
      <c r="R232" s="64"/>
      <c r="S232" s="64"/>
      <c r="T232" s="64"/>
      <c r="U232" s="64"/>
    </row>
    <row r="233" spans="1:21" s="71" customFormat="1" hidden="1">
      <c r="A233" s="64"/>
      <c r="B233" s="878"/>
      <c r="C233" s="128"/>
      <c r="D233" s="128"/>
      <c r="E233" s="128"/>
      <c r="N233" s="878"/>
      <c r="P233" s="879"/>
      <c r="R233" s="64"/>
      <c r="S233" s="64"/>
      <c r="T233" s="64"/>
      <c r="U233" s="64"/>
    </row>
    <row r="234" spans="1:21" s="71" customFormat="1" hidden="1">
      <c r="A234" s="64"/>
      <c r="B234" s="878"/>
      <c r="C234" s="128"/>
      <c r="D234" s="128"/>
      <c r="E234" s="128"/>
      <c r="N234" s="878"/>
      <c r="P234" s="879"/>
      <c r="R234" s="64"/>
      <c r="S234" s="64"/>
      <c r="T234" s="64"/>
      <c r="U234" s="64"/>
    </row>
    <row r="235" spans="1:21" s="71" customFormat="1" hidden="1">
      <c r="A235" s="64"/>
      <c r="B235" s="878"/>
      <c r="C235" s="128"/>
      <c r="D235" s="128"/>
      <c r="E235" s="128"/>
      <c r="N235" s="878"/>
      <c r="P235" s="879"/>
      <c r="R235" s="64"/>
      <c r="S235" s="64"/>
      <c r="T235" s="64"/>
      <c r="U235" s="64"/>
    </row>
    <row r="236" spans="1:21" s="71" customFormat="1" hidden="1">
      <c r="A236" s="64"/>
      <c r="B236" s="878"/>
      <c r="C236" s="128"/>
      <c r="D236" s="128"/>
      <c r="E236" s="128"/>
      <c r="N236" s="878"/>
      <c r="P236" s="879"/>
      <c r="R236" s="64"/>
      <c r="S236" s="64"/>
      <c r="T236" s="64"/>
      <c r="U236" s="64"/>
    </row>
    <row r="237" spans="1:21" s="71" customFormat="1" hidden="1">
      <c r="A237" s="64"/>
      <c r="B237" s="878"/>
      <c r="C237" s="128"/>
      <c r="D237" s="128"/>
      <c r="E237" s="128"/>
      <c r="N237" s="878"/>
      <c r="P237" s="879"/>
      <c r="R237" s="64"/>
      <c r="S237" s="64"/>
      <c r="T237" s="64"/>
      <c r="U237" s="64"/>
    </row>
    <row r="238" spans="1:21" s="71" customFormat="1" hidden="1">
      <c r="A238" s="64"/>
      <c r="B238" s="878"/>
      <c r="C238" s="128"/>
      <c r="D238" s="128"/>
      <c r="E238" s="128"/>
      <c r="N238" s="878"/>
      <c r="P238" s="879"/>
      <c r="R238" s="64"/>
      <c r="S238" s="64"/>
      <c r="T238" s="64"/>
      <c r="U238" s="64"/>
    </row>
    <row r="239" spans="1:21" s="71" customFormat="1" hidden="1">
      <c r="A239" s="64"/>
      <c r="B239" s="878"/>
      <c r="C239" s="128"/>
      <c r="D239" s="128"/>
      <c r="E239" s="128"/>
      <c r="N239" s="878"/>
      <c r="P239" s="879"/>
      <c r="R239" s="64"/>
      <c r="S239" s="64"/>
      <c r="T239" s="64"/>
      <c r="U239" s="64"/>
    </row>
    <row r="240" spans="1:21" s="71" customFormat="1" hidden="1">
      <c r="A240" s="64"/>
      <c r="B240" s="878"/>
      <c r="C240" s="128"/>
      <c r="D240" s="128"/>
      <c r="E240" s="128"/>
      <c r="N240" s="878"/>
      <c r="P240" s="879"/>
      <c r="R240" s="64"/>
      <c r="S240" s="64"/>
      <c r="T240" s="64"/>
      <c r="U240" s="64"/>
    </row>
    <row r="241" spans="1:21" s="71" customFormat="1" hidden="1">
      <c r="A241" s="64"/>
      <c r="B241" s="878"/>
      <c r="C241" s="128"/>
      <c r="D241" s="128"/>
      <c r="E241" s="128"/>
      <c r="N241" s="878"/>
      <c r="P241" s="879"/>
      <c r="R241" s="64"/>
      <c r="S241" s="64"/>
      <c r="T241" s="64"/>
      <c r="U241" s="64"/>
    </row>
    <row r="242" spans="1:21" s="71" customFormat="1" hidden="1">
      <c r="A242" s="64"/>
      <c r="B242" s="878"/>
      <c r="C242" s="128"/>
      <c r="D242" s="128"/>
      <c r="E242" s="128"/>
      <c r="N242" s="878"/>
      <c r="P242" s="879"/>
      <c r="R242" s="64"/>
      <c r="S242" s="64"/>
      <c r="T242" s="64"/>
      <c r="U242" s="64"/>
    </row>
    <row r="243" spans="1:21" s="71" customFormat="1" hidden="1">
      <c r="A243" s="64"/>
      <c r="B243" s="878"/>
      <c r="C243" s="128"/>
      <c r="D243" s="128"/>
      <c r="E243" s="128"/>
      <c r="N243" s="878"/>
      <c r="P243" s="879"/>
      <c r="R243" s="64"/>
      <c r="S243" s="64"/>
      <c r="T243" s="64"/>
      <c r="U243" s="64"/>
    </row>
    <row r="244" spans="1:21" s="71" customFormat="1" hidden="1">
      <c r="A244" s="64"/>
      <c r="B244" s="878"/>
      <c r="C244" s="128"/>
      <c r="D244" s="128"/>
      <c r="E244" s="128"/>
      <c r="N244" s="878"/>
      <c r="P244" s="879"/>
      <c r="R244" s="64"/>
      <c r="S244" s="64"/>
      <c r="T244" s="64"/>
      <c r="U244" s="64"/>
    </row>
    <row r="245" spans="1:21" s="71" customFormat="1" hidden="1">
      <c r="A245" s="64"/>
      <c r="B245" s="878"/>
      <c r="C245" s="128"/>
      <c r="D245" s="128"/>
      <c r="E245" s="128"/>
      <c r="N245" s="878"/>
      <c r="P245" s="879"/>
      <c r="R245" s="64"/>
      <c r="S245" s="64"/>
      <c r="T245" s="64"/>
      <c r="U245" s="64"/>
    </row>
    <row r="246" spans="1:21" s="71" customFormat="1" hidden="1">
      <c r="A246" s="64"/>
      <c r="B246" s="878"/>
      <c r="C246" s="128"/>
      <c r="D246" s="128"/>
      <c r="E246" s="128"/>
      <c r="N246" s="878"/>
      <c r="P246" s="879"/>
      <c r="R246" s="64"/>
      <c r="S246" s="64"/>
      <c r="T246" s="64"/>
      <c r="U246" s="64"/>
    </row>
    <row r="247" spans="1:21" s="71" customFormat="1" hidden="1">
      <c r="A247" s="64"/>
      <c r="B247" s="878"/>
      <c r="C247" s="128"/>
      <c r="D247" s="128"/>
      <c r="E247" s="128"/>
      <c r="N247" s="878"/>
      <c r="P247" s="879"/>
      <c r="R247" s="64"/>
      <c r="S247" s="64"/>
      <c r="T247" s="64"/>
      <c r="U247" s="64"/>
    </row>
    <row r="248" spans="1:21" s="71" customFormat="1" hidden="1">
      <c r="A248" s="64"/>
      <c r="B248" s="878"/>
      <c r="C248" s="128"/>
      <c r="D248" s="128"/>
      <c r="E248" s="128"/>
      <c r="N248" s="878"/>
      <c r="P248" s="879"/>
      <c r="R248" s="64"/>
      <c r="S248" s="64"/>
      <c r="T248" s="64"/>
      <c r="U248" s="64"/>
    </row>
    <row r="249" spans="1:21" s="71" customFormat="1" hidden="1">
      <c r="A249" s="64"/>
      <c r="B249" s="878"/>
      <c r="C249" s="128"/>
      <c r="D249" s="128"/>
      <c r="E249" s="128"/>
      <c r="N249" s="878"/>
      <c r="P249" s="879"/>
      <c r="R249" s="64"/>
      <c r="S249" s="64"/>
      <c r="T249" s="64"/>
      <c r="U249" s="64"/>
    </row>
    <row r="250" spans="1:21" s="71" customFormat="1" hidden="1">
      <c r="A250" s="64"/>
      <c r="B250" s="878"/>
      <c r="C250" s="128"/>
      <c r="D250" s="128"/>
      <c r="E250" s="128"/>
      <c r="N250" s="878"/>
      <c r="P250" s="879"/>
      <c r="R250" s="64"/>
      <c r="S250" s="64"/>
      <c r="T250" s="64"/>
      <c r="U250" s="64"/>
    </row>
    <row r="251" spans="1:21" s="71" customFormat="1" hidden="1">
      <c r="A251" s="64"/>
      <c r="B251" s="878"/>
      <c r="C251" s="128"/>
      <c r="D251" s="128"/>
      <c r="E251" s="128"/>
      <c r="N251" s="878"/>
      <c r="P251" s="879"/>
      <c r="R251" s="64"/>
      <c r="S251" s="64"/>
      <c r="T251" s="64"/>
      <c r="U251" s="64"/>
    </row>
    <row r="252" spans="1:21" s="71" customFormat="1" hidden="1">
      <c r="A252" s="64"/>
      <c r="B252" s="878"/>
      <c r="C252" s="128"/>
      <c r="D252" s="128"/>
      <c r="E252" s="128"/>
      <c r="N252" s="878"/>
      <c r="P252" s="879"/>
      <c r="R252" s="64"/>
      <c r="S252" s="64"/>
      <c r="T252" s="64"/>
      <c r="U252" s="64"/>
    </row>
    <row r="253" spans="1:21" s="71" customFormat="1" hidden="1">
      <c r="A253" s="64"/>
      <c r="B253" s="878"/>
      <c r="C253" s="128"/>
      <c r="D253" s="128"/>
      <c r="E253" s="128"/>
      <c r="N253" s="878"/>
      <c r="P253" s="879"/>
      <c r="R253" s="64"/>
      <c r="S253" s="64"/>
      <c r="T253" s="64"/>
      <c r="U253" s="64"/>
    </row>
    <row r="254" spans="1:21" s="71" customFormat="1" hidden="1">
      <c r="A254" s="64"/>
      <c r="B254" s="878"/>
      <c r="C254" s="128"/>
      <c r="D254" s="128"/>
      <c r="E254" s="128"/>
      <c r="N254" s="878"/>
      <c r="P254" s="879"/>
      <c r="R254" s="64"/>
      <c r="S254" s="64"/>
      <c r="T254" s="64"/>
      <c r="U254" s="64"/>
    </row>
    <row r="255" spans="1:21" s="71" customFormat="1" hidden="1">
      <c r="A255" s="64"/>
      <c r="B255" s="878"/>
      <c r="C255" s="128"/>
      <c r="D255" s="128"/>
      <c r="E255" s="128"/>
      <c r="N255" s="878"/>
      <c r="P255" s="879"/>
      <c r="R255" s="64"/>
      <c r="S255" s="64"/>
      <c r="T255" s="64"/>
      <c r="U255" s="64"/>
    </row>
    <row r="256" spans="1:21" s="71" customFormat="1" hidden="1">
      <c r="A256" s="64"/>
      <c r="B256" s="878"/>
      <c r="C256" s="128"/>
      <c r="D256" s="128"/>
      <c r="E256" s="128"/>
      <c r="N256" s="878"/>
      <c r="P256" s="879"/>
      <c r="R256" s="64"/>
      <c r="S256" s="64"/>
      <c r="T256" s="64"/>
      <c r="U256" s="64"/>
    </row>
    <row r="257" spans="1:21" s="71" customFormat="1" hidden="1">
      <c r="A257" s="64"/>
      <c r="B257" s="878"/>
      <c r="C257" s="128"/>
      <c r="D257" s="128"/>
      <c r="E257" s="128"/>
      <c r="N257" s="878"/>
      <c r="P257" s="879"/>
      <c r="R257" s="64"/>
      <c r="S257" s="64"/>
      <c r="T257" s="64"/>
      <c r="U257" s="64"/>
    </row>
    <row r="258" spans="1:21" s="71" customFormat="1" hidden="1">
      <c r="A258" s="64"/>
      <c r="B258" s="878"/>
      <c r="C258" s="128"/>
      <c r="D258" s="128"/>
      <c r="E258" s="128"/>
      <c r="N258" s="878"/>
      <c r="P258" s="879"/>
      <c r="R258" s="64"/>
      <c r="S258" s="64"/>
      <c r="T258" s="64"/>
      <c r="U258" s="64"/>
    </row>
    <row r="259" spans="1:21" s="71" customFormat="1" hidden="1">
      <c r="A259" s="64"/>
      <c r="B259" s="878"/>
      <c r="C259" s="128"/>
      <c r="D259" s="128"/>
      <c r="E259" s="128"/>
      <c r="N259" s="878"/>
      <c r="P259" s="879"/>
      <c r="R259" s="64"/>
      <c r="S259" s="64"/>
      <c r="T259" s="64"/>
      <c r="U259" s="64"/>
    </row>
    <row r="260" spans="1:21" s="71" customFormat="1" hidden="1">
      <c r="A260" s="64"/>
      <c r="B260" s="878"/>
      <c r="C260" s="128"/>
      <c r="D260" s="128"/>
      <c r="E260" s="128"/>
      <c r="N260" s="878"/>
      <c r="P260" s="879"/>
      <c r="R260" s="64"/>
      <c r="S260" s="64"/>
      <c r="T260" s="64"/>
      <c r="U260" s="64"/>
    </row>
    <row r="261" spans="1:21" s="71" customFormat="1" hidden="1">
      <c r="A261" s="64"/>
      <c r="B261" s="878"/>
      <c r="C261" s="128"/>
      <c r="D261" s="128"/>
      <c r="E261" s="128"/>
      <c r="N261" s="878"/>
      <c r="P261" s="879"/>
      <c r="R261" s="64"/>
      <c r="S261" s="64"/>
      <c r="T261" s="64"/>
      <c r="U261" s="64"/>
    </row>
    <row r="262" spans="1:21" s="71" customFormat="1" hidden="1">
      <c r="A262" s="64"/>
      <c r="B262" s="878"/>
      <c r="C262" s="128"/>
      <c r="D262" s="128"/>
      <c r="E262" s="128"/>
      <c r="N262" s="878"/>
      <c r="P262" s="879"/>
      <c r="R262" s="64"/>
      <c r="S262" s="64"/>
      <c r="T262" s="64"/>
      <c r="U262" s="64"/>
    </row>
    <row r="263" spans="1:21" s="71" customFormat="1" hidden="1">
      <c r="A263" s="64"/>
      <c r="B263" s="878"/>
      <c r="C263" s="128"/>
      <c r="D263" s="128"/>
      <c r="E263" s="128"/>
      <c r="N263" s="878"/>
      <c r="P263" s="879"/>
      <c r="R263" s="64"/>
      <c r="S263" s="64"/>
      <c r="T263" s="64"/>
      <c r="U263" s="64"/>
    </row>
    <row r="264" spans="1:21" s="71" customFormat="1" hidden="1">
      <c r="A264" s="64"/>
      <c r="B264" s="878"/>
      <c r="C264" s="128"/>
      <c r="D264" s="128"/>
      <c r="E264" s="128"/>
      <c r="N264" s="878"/>
      <c r="P264" s="879"/>
      <c r="R264" s="64"/>
      <c r="S264" s="64"/>
      <c r="T264" s="64"/>
      <c r="U264" s="64"/>
    </row>
    <row r="265" spans="1:21" s="71" customFormat="1" hidden="1">
      <c r="A265" s="64"/>
      <c r="B265" s="878"/>
      <c r="C265" s="128"/>
      <c r="D265" s="128"/>
      <c r="E265" s="128"/>
      <c r="N265" s="878"/>
      <c r="P265" s="879"/>
      <c r="R265" s="64"/>
      <c r="S265" s="64"/>
      <c r="T265" s="64"/>
      <c r="U265" s="64"/>
    </row>
    <row r="266" spans="1:21" s="71" customFormat="1" hidden="1">
      <c r="A266" s="64"/>
      <c r="B266" s="878"/>
      <c r="C266" s="128"/>
      <c r="D266" s="128"/>
      <c r="E266" s="128"/>
      <c r="N266" s="878"/>
      <c r="P266" s="879"/>
      <c r="R266" s="64"/>
      <c r="S266" s="64"/>
      <c r="T266" s="64"/>
      <c r="U266" s="64"/>
    </row>
    <row r="267" spans="1:21" s="71" customFormat="1" hidden="1">
      <c r="A267" s="64"/>
      <c r="B267" s="878"/>
      <c r="C267" s="128"/>
      <c r="D267" s="128"/>
      <c r="E267" s="128"/>
      <c r="N267" s="878"/>
      <c r="P267" s="879"/>
      <c r="R267" s="64"/>
      <c r="S267" s="64"/>
      <c r="T267" s="64"/>
      <c r="U267" s="64"/>
    </row>
    <row r="268" spans="1:21" s="71" customFormat="1" hidden="1">
      <c r="A268" s="64"/>
      <c r="B268" s="878"/>
      <c r="C268" s="128"/>
      <c r="D268" s="128"/>
      <c r="E268" s="128"/>
      <c r="N268" s="878"/>
      <c r="P268" s="879"/>
      <c r="R268" s="64"/>
      <c r="S268" s="64"/>
      <c r="T268" s="64"/>
      <c r="U268" s="64"/>
    </row>
    <row r="269" spans="1:21" s="71" customFormat="1" hidden="1">
      <c r="A269" s="64"/>
      <c r="B269" s="878"/>
      <c r="C269" s="128"/>
      <c r="D269" s="128"/>
      <c r="E269" s="128"/>
      <c r="N269" s="878"/>
      <c r="P269" s="879"/>
      <c r="R269" s="64"/>
      <c r="S269" s="64"/>
      <c r="T269" s="64"/>
      <c r="U269" s="64"/>
    </row>
    <row r="270" spans="1:21" s="71" customFormat="1" hidden="1">
      <c r="A270" s="64"/>
      <c r="B270" s="878"/>
      <c r="C270" s="128"/>
      <c r="D270" s="128"/>
      <c r="E270" s="128"/>
      <c r="N270" s="878"/>
      <c r="P270" s="879"/>
      <c r="R270" s="64"/>
      <c r="S270" s="64"/>
      <c r="T270" s="64"/>
      <c r="U270" s="64"/>
    </row>
    <row r="271" spans="1:21" s="71" customFormat="1" hidden="1">
      <c r="A271" s="64"/>
      <c r="B271" s="878"/>
      <c r="C271" s="128"/>
      <c r="D271" s="128"/>
      <c r="E271" s="128"/>
      <c r="N271" s="878"/>
      <c r="P271" s="879"/>
      <c r="R271" s="64"/>
      <c r="S271" s="64"/>
      <c r="T271" s="64"/>
      <c r="U271" s="64"/>
    </row>
    <row r="272" spans="1:21" s="71" customFormat="1" hidden="1">
      <c r="A272" s="64"/>
      <c r="B272" s="878"/>
      <c r="C272" s="128"/>
      <c r="D272" s="128"/>
      <c r="E272" s="128"/>
      <c r="N272" s="878"/>
      <c r="P272" s="879"/>
      <c r="R272" s="64"/>
      <c r="S272" s="64"/>
      <c r="T272" s="64"/>
      <c r="U272" s="64"/>
    </row>
    <row r="273" spans="1:21" s="71" customFormat="1" hidden="1">
      <c r="A273" s="64"/>
      <c r="B273" s="878"/>
      <c r="C273" s="128"/>
      <c r="D273" s="128"/>
      <c r="E273" s="128"/>
      <c r="N273" s="878"/>
      <c r="P273" s="879"/>
      <c r="R273" s="64"/>
      <c r="S273" s="64"/>
      <c r="T273" s="64"/>
      <c r="U273" s="64"/>
    </row>
    <row r="274" spans="1:21" s="71" customFormat="1" hidden="1">
      <c r="A274" s="64"/>
      <c r="B274" s="878"/>
      <c r="C274" s="128"/>
      <c r="D274" s="128"/>
      <c r="E274" s="128"/>
      <c r="N274" s="878"/>
      <c r="P274" s="879"/>
      <c r="R274" s="64"/>
      <c r="S274" s="64"/>
      <c r="T274" s="64"/>
      <c r="U274" s="64"/>
    </row>
    <row r="275" spans="1:21" s="71" customFormat="1" hidden="1">
      <c r="A275" s="64"/>
      <c r="B275" s="878"/>
      <c r="C275" s="128"/>
      <c r="D275" s="128"/>
      <c r="E275" s="128"/>
      <c r="N275" s="878"/>
      <c r="P275" s="879"/>
      <c r="R275" s="64"/>
      <c r="S275" s="64"/>
      <c r="T275" s="64"/>
      <c r="U275" s="64"/>
    </row>
    <row r="276" spans="1:21" s="71" customFormat="1" hidden="1">
      <c r="A276" s="64"/>
      <c r="B276" s="878"/>
      <c r="C276" s="128"/>
      <c r="D276" s="128"/>
      <c r="E276" s="128"/>
      <c r="N276" s="878"/>
      <c r="P276" s="879"/>
      <c r="R276" s="64"/>
      <c r="S276" s="64"/>
      <c r="T276" s="64"/>
      <c r="U276" s="64"/>
    </row>
    <row r="277" spans="1:21" s="71" customFormat="1" hidden="1">
      <c r="A277" s="64"/>
      <c r="B277" s="878"/>
      <c r="C277" s="128"/>
      <c r="D277" s="128"/>
      <c r="E277" s="128"/>
      <c r="N277" s="878"/>
      <c r="P277" s="879"/>
      <c r="R277" s="64"/>
      <c r="S277" s="64"/>
      <c r="T277" s="64"/>
      <c r="U277" s="64"/>
    </row>
    <row r="278" spans="1:21" s="71" customFormat="1" hidden="1">
      <c r="A278" s="64"/>
      <c r="B278" s="878"/>
      <c r="C278" s="128"/>
      <c r="D278" s="128"/>
      <c r="E278" s="128"/>
      <c r="N278" s="878"/>
      <c r="P278" s="879"/>
      <c r="R278" s="64"/>
      <c r="S278" s="64"/>
      <c r="T278" s="64"/>
      <c r="U278" s="64"/>
    </row>
    <row r="279" spans="1:21" s="71" customFormat="1" hidden="1">
      <c r="A279" s="64"/>
      <c r="B279" s="878"/>
      <c r="C279" s="128"/>
      <c r="D279" s="128"/>
      <c r="E279" s="128"/>
      <c r="N279" s="878"/>
      <c r="P279" s="879"/>
      <c r="R279" s="64"/>
      <c r="S279" s="64"/>
      <c r="T279" s="64"/>
      <c r="U279" s="64"/>
    </row>
    <row r="280" spans="1:21" s="71" customFormat="1" hidden="1">
      <c r="A280" s="64"/>
      <c r="B280" s="878"/>
      <c r="C280" s="128"/>
      <c r="D280" s="128"/>
      <c r="E280" s="128"/>
      <c r="N280" s="878"/>
      <c r="P280" s="879"/>
      <c r="R280" s="64"/>
      <c r="S280" s="64"/>
      <c r="T280" s="64"/>
      <c r="U280" s="64"/>
    </row>
    <row r="281" spans="1:21" s="71" customFormat="1" hidden="1">
      <c r="A281" s="64"/>
      <c r="B281" s="878"/>
      <c r="C281" s="128"/>
      <c r="D281" s="128"/>
      <c r="E281" s="128"/>
      <c r="N281" s="878"/>
      <c r="P281" s="879"/>
      <c r="R281" s="64"/>
      <c r="S281" s="64"/>
      <c r="T281" s="64"/>
      <c r="U281" s="64"/>
    </row>
    <row r="282" spans="1:21" s="71" customFormat="1" hidden="1">
      <c r="A282" s="64"/>
      <c r="B282" s="878"/>
      <c r="C282" s="128"/>
      <c r="D282" s="128"/>
      <c r="E282" s="128"/>
      <c r="N282" s="878"/>
      <c r="P282" s="879"/>
      <c r="R282" s="64"/>
      <c r="S282" s="64"/>
      <c r="T282" s="64"/>
      <c r="U282" s="64"/>
    </row>
    <row r="283" spans="1:21" s="71" customFormat="1" hidden="1">
      <c r="A283" s="64"/>
      <c r="B283" s="878"/>
      <c r="C283" s="128"/>
      <c r="D283" s="128"/>
      <c r="E283" s="128"/>
      <c r="N283" s="878"/>
      <c r="P283" s="879"/>
      <c r="R283" s="64"/>
      <c r="S283" s="64"/>
      <c r="T283" s="64"/>
      <c r="U283" s="64"/>
    </row>
    <row r="284" spans="1:21" s="71" customFormat="1" hidden="1">
      <c r="A284" s="64"/>
      <c r="B284" s="878"/>
      <c r="C284" s="128"/>
      <c r="D284" s="128"/>
      <c r="E284" s="128"/>
      <c r="N284" s="878"/>
      <c r="P284" s="879"/>
      <c r="R284" s="64"/>
      <c r="S284" s="64"/>
      <c r="T284" s="64"/>
      <c r="U284" s="64"/>
    </row>
    <row r="285" spans="1:21" s="71" customFormat="1" hidden="1">
      <c r="A285" s="64"/>
      <c r="B285" s="878"/>
      <c r="C285" s="128"/>
      <c r="D285" s="128"/>
      <c r="E285" s="128"/>
      <c r="N285" s="878"/>
      <c r="P285" s="879"/>
      <c r="R285" s="64"/>
      <c r="S285" s="64"/>
      <c r="T285" s="64"/>
      <c r="U285" s="64"/>
    </row>
    <row r="286" spans="1:21" s="71" customFormat="1" hidden="1">
      <c r="A286" s="64"/>
      <c r="B286" s="878"/>
      <c r="C286" s="128"/>
      <c r="D286" s="128"/>
      <c r="E286" s="128"/>
      <c r="N286" s="878"/>
      <c r="P286" s="879"/>
      <c r="R286" s="64"/>
      <c r="S286" s="64"/>
      <c r="T286" s="64"/>
      <c r="U286" s="64"/>
    </row>
    <row r="287" spans="1:21" s="71" customFormat="1" hidden="1">
      <c r="A287" s="64"/>
      <c r="B287" s="878"/>
      <c r="C287" s="128"/>
      <c r="D287" s="128"/>
      <c r="E287" s="128"/>
      <c r="N287" s="878"/>
      <c r="P287" s="879"/>
      <c r="R287" s="64"/>
      <c r="S287" s="64"/>
      <c r="T287" s="64"/>
      <c r="U287" s="64"/>
    </row>
    <row r="288" spans="1:21" s="71" customFormat="1" hidden="1">
      <c r="A288" s="64"/>
      <c r="B288" s="878"/>
      <c r="C288" s="128"/>
      <c r="D288" s="128"/>
      <c r="E288" s="128"/>
      <c r="N288" s="878"/>
      <c r="P288" s="879"/>
      <c r="R288" s="64"/>
      <c r="S288" s="64"/>
      <c r="T288" s="64"/>
      <c r="U288" s="64"/>
    </row>
    <row r="289" spans="1:21" s="71" customFormat="1" hidden="1">
      <c r="A289" s="64"/>
      <c r="B289" s="878"/>
      <c r="C289" s="128"/>
      <c r="D289" s="128"/>
      <c r="E289" s="128"/>
      <c r="N289" s="878"/>
      <c r="P289" s="879"/>
      <c r="R289" s="64"/>
      <c r="S289" s="64"/>
      <c r="T289" s="64"/>
      <c r="U289" s="64"/>
    </row>
    <row r="290" spans="1:21" s="71" customFormat="1" hidden="1">
      <c r="A290" s="64"/>
      <c r="B290" s="878"/>
      <c r="C290" s="128"/>
      <c r="D290" s="128"/>
      <c r="E290" s="128"/>
      <c r="N290" s="878"/>
      <c r="P290" s="879"/>
      <c r="R290" s="64"/>
      <c r="S290" s="64"/>
      <c r="T290" s="64"/>
      <c r="U290" s="64"/>
    </row>
    <row r="291" spans="1:21" s="71" customFormat="1" hidden="1">
      <c r="A291" s="64"/>
      <c r="B291" s="878"/>
      <c r="C291" s="128"/>
      <c r="D291" s="128"/>
      <c r="E291" s="128"/>
      <c r="N291" s="878"/>
      <c r="P291" s="879"/>
      <c r="R291" s="64"/>
      <c r="S291" s="64"/>
      <c r="T291" s="64"/>
      <c r="U291" s="64"/>
    </row>
    <row r="292" spans="1:21" s="71" customFormat="1" hidden="1">
      <c r="A292" s="64"/>
      <c r="B292" s="878"/>
      <c r="C292" s="128"/>
      <c r="D292" s="128"/>
      <c r="E292" s="128"/>
      <c r="N292" s="878"/>
      <c r="P292" s="879"/>
      <c r="R292" s="64"/>
      <c r="S292" s="64"/>
      <c r="T292" s="64"/>
      <c r="U292" s="64"/>
    </row>
    <row r="293" spans="1:21" s="71" customFormat="1" hidden="1">
      <c r="A293" s="64"/>
      <c r="B293" s="878"/>
      <c r="C293" s="128"/>
      <c r="D293" s="128"/>
      <c r="E293" s="128"/>
      <c r="N293" s="878"/>
      <c r="P293" s="879"/>
      <c r="R293" s="64"/>
      <c r="S293" s="64"/>
      <c r="T293" s="64"/>
      <c r="U293" s="64"/>
    </row>
    <row r="294" spans="1:21" s="71" customFormat="1" hidden="1">
      <c r="A294" s="64"/>
      <c r="B294" s="878"/>
      <c r="C294" s="128"/>
      <c r="D294" s="128"/>
      <c r="E294" s="128"/>
      <c r="N294" s="878"/>
      <c r="P294" s="879"/>
      <c r="R294" s="64"/>
      <c r="S294" s="64"/>
      <c r="T294" s="64"/>
      <c r="U294" s="64"/>
    </row>
    <row r="295" spans="1:21" s="71" customFormat="1" hidden="1">
      <c r="A295" s="64"/>
      <c r="B295" s="878"/>
      <c r="C295" s="128"/>
      <c r="D295" s="128"/>
      <c r="E295" s="128"/>
      <c r="N295" s="878"/>
      <c r="P295" s="879"/>
      <c r="R295" s="64"/>
      <c r="S295" s="64"/>
      <c r="T295" s="64"/>
      <c r="U295" s="64"/>
    </row>
    <row r="296" spans="1:21" s="71" customFormat="1" hidden="1">
      <c r="A296" s="64"/>
      <c r="B296" s="878"/>
      <c r="C296" s="128"/>
      <c r="D296" s="128"/>
      <c r="E296" s="128"/>
      <c r="N296" s="878"/>
      <c r="P296" s="879"/>
      <c r="R296" s="64"/>
      <c r="S296" s="64"/>
      <c r="T296" s="64"/>
      <c r="U296" s="64"/>
    </row>
    <row r="297" spans="1:21" s="71" customFormat="1" hidden="1">
      <c r="A297" s="64"/>
      <c r="B297" s="878"/>
      <c r="C297" s="128"/>
      <c r="D297" s="128"/>
      <c r="E297" s="128"/>
      <c r="N297" s="878"/>
      <c r="P297" s="879"/>
      <c r="R297" s="64"/>
      <c r="S297" s="64"/>
      <c r="T297" s="64"/>
      <c r="U297" s="64"/>
    </row>
    <row r="298" spans="1:21" s="71" customFormat="1" hidden="1">
      <c r="A298" s="64"/>
      <c r="B298" s="878"/>
      <c r="C298" s="128"/>
      <c r="D298" s="128"/>
      <c r="E298" s="128"/>
      <c r="N298" s="878"/>
      <c r="P298" s="879"/>
      <c r="R298" s="64"/>
      <c r="S298" s="64"/>
      <c r="T298" s="64"/>
      <c r="U298" s="64"/>
    </row>
    <row r="299" spans="1:21" s="71" customFormat="1" hidden="1">
      <c r="A299" s="64"/>
      <c r="B299" s="878"/>
      <c r="C299" s="128"/>
      <c r="D299" s="128"/>
      <c r="E299" s="128"/>
      <c r="N299" s="878"/>
      <c r="P299" s="879"/>
      <c r="R299" s="64"/>
      <c r="S299" s="64"/>
      <c r="T299" s="64"/>
      <c r="U299" s="64"/>
    </row>
    <row r="300" spans="1:21" s="71" customFormat="1" hidden="1">
      <c r="A300" s="64"/>
      <c r="B300" s="878"/>
      <c r="C300" s="128"/>
      <c r="D300" s="128"/>
      <c r="E300" s="128"/>
      <c r="N300" s="878"/>
      <c r="P300" s="879"/>
      <c r="R300" s="64"/>
      <c r="S300" s="64"/>
      <c r="T300" s="64"/>
      <c r="U300" s="64"/>
    </row>
    <row r="301" spans="1:21" s="71" customFormat="1" hidden="1">
      <c r="A301" s="64"/>
      <c r="B301" s="878"/>
      <c r="C301" s="128"/>
      <c r="D301" s="128"/>
      <c r="E301" s="128"/>
      <c r="N301" s="878"/>
      <c r="P301" s="879"/>
      <c r="R301" s="64"/>
      <c r="S301" s="64"/>
      <c r="T301" s="64"/>
      <c r="U301" s="64"/>
    </row>
    <row r="302" spans="1:21" s="71" customFormat="1" hidden="1">
      <c r="A302" s="64"/>
      <c r="B302" s="878"/>
      <c r="C302" s="128"/>
      <c r="D302" s="128"/>
      <c r="E302" s="128"/>
      <c r="N302" s="878"/>
      <c r="P302" s="879"/>
      <c r="R302" s="64"/>
      <c r="S302" s="64"/>
      <c r="T302" s="64"/>
      <c r="U302" s="64"/>
    </row>
    <row r="303" spans="1:21" s="71" customFormat="1" hidden="1">
      <c r="A303" s="64"/>
      <c r="B303" s="878"/>
      <c r="C303" s="128"/>
      <c r="D303" s="128"/>
      <c r="E303" s="128"/>
      <c r="N303" s="878"/>
      <c r="P303" s="879"/>
      <c r="R303" s="64"/>
      <c r="S303" s="64"/>
      <c r="T303" s="64"/>
      <c r="U303" s="64"/>
    </row>
    <row r="304" spans="1:21" s="71" customFormat="1" hidden="1">
      <c r="A304" s="64"/>
      <c r="B304" s="878"/>
      <c r="C304" s="128"/>
      <c r="D304" s="128"/>
      <c r="E304" s="128"/>
      <c r="N304" s="878"/>
      <c r="P304" s="879"/>
      <c r="R304" s="64"/>
      <c r="S304" s="64"/>
      <c r="T304" s="64"/>
      <c r="U304" s="64"/>
    </row>
    <row r="305" spans="1:21" s="71" customFormat="1" hidden="1">
      <c r="A305" s="64"/>
      <c r="B305" s="878"/>
      <c r="C305" s="128"/>
      <c r="D305" s="128"/>
      <c r="E305" s="128"/>
      <c r="N305" s="878"/>
      <c r="P305" s="879"/>
      <c r="R305" s="64"/>
      <c r="S305" s="64"/>
      <c r="T305" s="64"/>
      <c r="U305" s="64"/>
    </row>
    <row r="306" spans="1:21" s="71" customFormat="1" hidden="1">
      <c r="A306" s="64"/>
      <c r="B306" s="878"/>
      <c r="C306" s="128"/>
      <c r="D306" s="128"/>
      <c r="E306" s="128"/>
      <c r="N306" s="878"/>
      <c r="P306" s="879"/>
      <c r="R306" s="64"/>
      <c r="S306" s="64"/>
      <c r="T306" s="64"/>
      <c r="U306" s="64"/>
    </row>
    <row r="307" spans="1:21" s="71" customFormat="1" hidden="1">
      <c r="A307" s="64"/>
      <c r="B307" s="878"/>
      <c r="C307" s="128"/>
      <c r="D307" s="128"/>
      <c r="E307" s="128"/>
      <c r="N307" s="878"/>
      <c r="P307" s="879"/>
      <c r="R307" s="64"/>
      <c r="S307" s="64"/>
      <c r="T307" s="64"/>
      <c r="U307" s="64"/>
    </row>
    <row r="308" spans="1:21" s="71" customFormat="1" hidden="1">
      <c r="A308" s="64"/>
      <c r="B308" s="878"/>
      <c r="C308" s="128"/>
      <c r="D308" s="128"/>
      <c r="E308" s="128"/>
      <c r="N308" s="878"/>
      <c r="P308" s="879"/>
      <c r="R308" s="64"/>
      <c r="S308" s="64"/>
      <c r="T308" s="64"/>
      <c r="U308" s="64"/>
    </row>
    <row r="309" spans="1:21" s="71" customFormat="1" hidden="1">
      <c r="A309" s="64"/>
      <c r="B309" s="878"/>
      <c r="C309" s="128"/>
      <c r="D309" s="128"/>
      <c r="E309" s="128"/>
      <c r="N309" s="878"/>
      <c r="P309" s="879"/>
      <c r="R309" s="64"/>
      <c r="S309" s="64"/>
      <c r="T309" s="64"/>
      <c r="U309" s="64"/>
    </row>
    <row r="310" spans="1:21" s="71" customFormat="1" hidden="1">
      <c r="A310" s="64"/>
      <c r="B310" s="878"/>
      <c r="C310" s="128"/>
      <c r="D310" s="128"/>
      <c r="E310" s="128"/>
      <c r="N310" s="878"/>
      <c r="P310" s="879"/>
      <c r="R310" s="64"/>
      <c r="S310" s="64"/>
      <c r="T310" s="64"/>
      <c r="U310" s="64"/>
    </row>
    <row r="311" spans="1:21" s="71" customFormat="1" hidden="1">
      <c r="A311" s="64"/>
      <c r="B311" s="878"/>
      <c r="C311" s="128"/>
      <c r="D311" s="128"/>
      <c r="E311" s="128"/>
      <c r="N311" s="878"/>
      <c r="P311" s="879"/>
      <c r="R311" s="64"/>
      <c r="S311" s="64"/>
      <c r="T311" s="64"/>
      <c r="U311" s="64"/>
    </row>
    <row r="312" spans="1:21" s="71" customFormat="1" hidden="1">
      <c r="A312" s="64"/>
      <c r="B312" s="878"/>
      <c r="C312" s="128"/>
      <c r="D312" s="128"/>
      <c r="E312" s="128"/>
      <c r="N312" s="878"/>
      <c r="P312" s="879"/>
      <c r="R312" s="64"/>
      <c r="S312" s="64"/>
      <c r="T312" s="64"/>
      <c r="U312" s="64"/>
    </row>
    <row r="313" spans="1:21" s="71" customFormat="1" hidden="1">
      <c r="A313" s="64"/>
      <c r="B313" s="878"/>
      <c r="C313" s="128"/>
      <c r="D313" s="128"/>
      <c r="E313" s="128"/>
      <c r="N313" s="878"/>
      <c r="P313" s="879"/>
      <c r="R313" s="64"/>
      <c r="S313" s="64"/>
      <c r="T313" s="64"/>
      <c r="U313" s="64"/>
    </row>
    <row r="314" spans="1:21" s="71" customFormat="1" hidden="1">
      <c r="A314" s="64"/>
      <c r="B314" s="878"/>
      <c r="C314" s="128"/>
      <c r="D314" s="128"/>
      <c r="E314" s="128"/>
      <c r="N314" s="878"/>
      <c r="P314" s="879"/>
      <c r="R314" s="64"/>
      <c r="S314" s="64"/>
      <c r="T314" s="64"/>
      <c r="U314" s="64"/>
    </row>
    <row r="315" spans="1:21" s="71" customFormat="1" hidden="1">
      <c r="A315" s="64"/>
      <c r="B315" s="878"/>
      <c r="C315" s="128"/>
      <c r="D315" s="128"/>
      <c r="E315" s="128"/>
      <c r="N315" s="878"/>
      <c r="P315" s="879"/>
      <c r="R315" s="64"/>
      <c r="S315" s="64"/>
      <c r="T315" s="64"/>
      <c r="U315" s="64"/>
    </row>
    <row r="316" spans="1:21" s="71" customFormat="1" hidden="1">
      <c r="A316" s="64"/>
      <c r="B316" s="878"/>
      <c r="C316" s="128"/>
      <c r="D316" s="128"/>
      <c r="E316" s="128"/>
      <c r="N316" s="878"/>
      <c r="P316" s="879"/>
      <c r="R316" s="64"/>
      <c r="S316" s="64"/>
      <c r="T316" s="64"/>
      <c r="U316" s="64"/>
    </row>
    <row r="317" spans="1:21" s="71" customFormat="1" hidden="1">
      <c r="A317" s="64"/>
      <c r="B317" s="878"/>
      <c r="C317" s="128"/>
      <c r="D317" s="128"/>
      <c r="E317" s="128"/>
      <c r="N317" s="878"/>
      <c r="P317" s="879"/>
      <c r="R317" s="64"/>
      <c r="S317" s="64"/>
      <c r="T317" s="64"/>
      <c r="U317" s="64"/>
    </row>
    <row r="318" spans="1:21" s="71" customFormat="1" hidden="1">
      <c r="A318" s="64"/>
      <c r="B318" s="878"/>
      <c r="C318" s="128"/>
      <c r="D318" s="128"/>
      <c r="E318" s="128"/>
      <c r="N318" s="878"/>
      <c r="P318" s="879"/>
      <c r="R318" s="64"/>
      <c r="S318" s="64"/>
      <c r="T318" s="64"/>
      <c r="U318" s="64"/>
    </row>
    <row r="319" spans="1:21" s="71" customFormat="1" hidden="1">
      <c r="A319" s="64"/>
      <c r="B319" s="878"/>
      <c r="C319" s="128"/>
      <c r="D319" s="128"/>
      <c r="E319" s="128"/>
      <c r="N319" s="878"/>
      <c r="P319" s="879"/>
      <c r="R319" s="64"/>
      <c r="S319" s="64"/>
      <c r="T319" s="64"/>
      <c r="U319" s="64"/>
    </row>
    <row r="320" spans="1:21" s="71" customFormat="1" hidden="1">
      <c r="A320" s="64"/>
      <c r="B320" s="878"/>
      <c r="C320" s="128"/>
      <c r="D320" s="128"/>
      <c r="E320" s="128"/>
      <c r="N320" s="878"/>
      <c r="P320" s="879"/>
      <c r="R320" s="64"/>
      <c r="S320" s="64"/>
      <c r="T320" s="64"/>
      <c r="U320" s="64"/>
    </row>
    <row r="321" spans="1:21" s="71" customFormat="1" hidden="1">
      <c r="A321" s="64"/>
      <c r="B321" s="878"/>
      <c r="C321" s="128"/>
      <c r="D321" s="128"/>
      <c r="E321" s="128"/>
      <c r="N321" s="878"/>
      <c r="P321" s="879"/>
      <c r="R321" s="64"/>
      <c r="S321" s="64"/>
      <c r="T321" s="64"/>
      <c r="U321" s="64"/>
    </row>
    <row r="322" spans="1:21" s="71" customFormat="1" hidden="1">
      <c r="A322" s="64"/>
      <c r="B322" s="878"/>
      <c r="C322" s="128"/>
      <c r="D322" s="128"/>
      <c r="E322" s="128"/>
      <c r="N322" s="878"/>
      <c r="P322" s="879"/>
      <c r="R322" s="64"/>
      <c r="S322" s="64"/>
      <c r="T322" s="64"/>
      <c r="U322" s="64"/>
    </row>
    <row r="323" spans="1:21" s="71" customFormat="1" hidden="1">
      <c r="A323" s="64"/>
      <c r="B323" s="878"/>
      <c r="C323" s="128"/>
      <c r="D323" s="128"/>
      <c r="E323" s="128"/>
      <c r="N323" s="878"/>
      <c r="P323" s="879"/>
      <c r="R323" s="64"/>
      <c r="S323" s="64"/>
      <c r="T323" s="64"/>
      <c r="U323" s="64"/>
    </row>
    <row r="324" spans="1:21" s="71" customFormat="1" hidden="1">
      <c r="A324" s="64"/>
      <c r="B324" s="878"/>
      <c r="C324" s="128"/>
      <c r="D324" s="128"/>
      <c r="E324" s="128"/>
      <c r="N324" s="878"/>
      <c r="P324" s="879"/>
      <c r="R324" s="64"/>
      <c r="S324" s="64"/>
      <c r="T324" s="64"/>
      <c r="U324" s="64"/>
    </row>
    <row r="325" spans="1:21" s="71" customFormat="1" hidden="1">
      <c r="A325" s="64"/>
      <c r="B325" s="878"/>
      <c r="C325" s="128"/>
      <c r="D325" s="128"/>
      <c r="E325" s="128"/>
      <c r="N325" s="878"/>
      <c r="P325" s="879"/>
      <c r="R325" s="64"/>
      <c r="S325" s="64"/>
      <c r="T325" s="64"/>
      <c r="U325" s="64"/>
    </row>
    <row r="326" spans="1:21" s="71" customFormat="1" hidden="1">
      <c r="A326" s="64"/>
      <c r="B326" s="878"/>
      <c r="C326" s="128"/>
      <c r="D326" s="128"/>
      <c r="E326" s="128"/>
      <c r="N326" s="878"/>
      <c r="P326" s="879"/>
      <c r="R326" s="64"/>
      <c r="S326" s="64"/>
      <c r="T326" s="64"/>
      <c r="U326" s="64"/>
    </row>
    <row r="327" spans="1:21" s="71" customFormat="1" hidden="1">
      <c r="A327" s="64"/>
      <c r="B327" s="878"/>
      <c r="C327" s="128"/>
      <c r="D327" s="128"/>
      <c r="E327" s="128"/>
      <c r="N327" s="878"/>
      <c r="P327" s="879"/>
      <c r="R327" s="64"/>
      <c r="S327" s="64"/>
      <c r="T327" s="64"/>
      <c r="U327" s="64"/>
    </row>
    <row r="328" spans="1:21" s="71" customFormat="1" hidden="1">
      <c r="A328" s="64"/>
      <c r="B328" s="878"/>
      <c r="C328" s="128"/>
      <c r="D328" s="128"/>
      <c r="E328" s="128"/>
      <c r="N328" s="878"/>
      <c r="P328" s="879"/>
      <c r="R328" s="64"/>
      <c r="S328" s="64"/>
      <c r="T328" s="64"/>
      <c r="U328" s="64"/>
    </row>
    <row r="329" spans="1:21" s="71" customFormat="1" hidden="1">
      <c r="A329" s="64"/>
      <c r="B329" s="878"/>
      <c r="C329" s="128"/>
      <c r="D329" s="128"/>
      <c r="E329" s="128"/>
      <c r="N329" s="878"/>
      <c r="P329" s="879"/>
      <c r="R329" s="64"/>
      <c r="S329" s="64"/>
      <c r="T329" s="64"/>
      <c r="U329" s="64"/>
    </row>
    <row r="330" spans="1:21" s="71" customFormat="1" hidden="1">
      <c r="A330" s="64"/>
      <c r="B330" s="878"/>
      <c r="C330" s="128"/>
      <c r="D330" s="128"/>
      <c r="E330" s="128"/>
      <c r="N330" s="878"/>
      <c r="P330" s="879"/>
      <c r="R330" s="64"/>
      <c r="S330" s="64"/>
      <c r="T330" s="64"/>
      <c r="U330" s="64"/>
    </row>
    <row r="331" spans="1:21" s="71" customFormat="1" hidden="1">
      <c r="A331" s="64"/>
      <c r="B331" s="878"/>
      <c r="C331" s="128"/>
      <c r="D331" s="128"/>
      <c r="E331" s="128"/>
      <c r="N331" s="878"/>
      <c r="P331" s="879"/>
      <c r="R331" s="64"/>
      <c r="S331" s="64"/>
      <c r="T331" s="64"/>
      <c r="U331" s="64"/>
    </row>
    <row r="332" spans="1:21" s="71" customFormat="1" hidden="1">
      <c r="A332" s="64"/>
      <c r="B332" s="878"/>
      <c r="C332" s="128"/>
      <c r="D332" s="128"/>
      <c r="E332" s="128"/>
      <c r="N332" s="878"/>
      <c r="P332" s="879"/>
      <c r="R332" s="64"/>
      <c r="S332" s="64"/>
      <c r="T332" s="64"/>
      <c r="U332" s="64"/>
    </row>
    <row r="333" spans="1:21" s="71" customFormat="1" hidden="1">
      <c r="A333" s="64"/>
      <c r="B333" s="878"/>
      <c r="C333" s="128"/>
      <c r="D333" s="128"/>
      <c r="E333" s="128"/>
      <c r="N333" s="878"/>
      <c r="P333" s="879"/>
      <c r="R333" s="64"/>
      <c r="S333" s="64"/>
      <c r="T333" s="64"/>
      <c r="U333" s="64"/>
    </row>
    <row r="334" spans="1:21" s="71" customFormat="1" hidden="1">
      <c r="A334" s="64"/>
      <c r="B334" s="878"/>
      <c r="C334" s="128"/>
      <c r="D334" s="128"/>
      <c r="E334" s="128"/>
      <c r="N334" s="878"/>
      <c r="P334" s="879"/>
      <c r="R334" s="64"/>
      <c r="S334" s="64"/>
      <c r="T334" s="64"/>
      <c r="U334" s="64"/>
    </row>
    <row r="335" spans="1:21" s="71" customFormat="1" hidden="1">
      <c r="A335" s="64"/>
      <c r="B335" s="878"/>
      <c r="C335" s="128"/>
      <c r="D335" s="128"/>
      <c r="E335" s="128"/>
      <c r="N335" s="878"/>
      <c r="P335" s="879"/>
      <c r="R335" s="64"/>
      <c r="S335" s="64"/>
      <c r="T335" s="64"/>
      <c r="U335" s="64"/>
    </row>
    <row r="336" spans="1:21" s="71" customFormat="1" hidden="1">
      <c r="A336" s="64"/>
      <c r="B336" s="878"/>
      <c r="C336" s="128"/>
      <c r="D336" s="128"/>
      <c r="E336" s="128"/>
      <c r="N336" s="878"/>
      <c r="P336" s="879"/>
      <c r="R336" s="64"/>
      <c r="S336" s="64"/>
      <c r="T336" s="64"/>
      <c r="U336" s="64"/>
    </row>
    <row r="337" spans="1:21" s="71" customFormat="1" hidden="1">
      <c r="A337" s="64"/>
      <c r="B337" s="878"/>
      <c r="C337" s="128"/>
      <c r="D337" s="128"/>
      <c r="E337" s="128"/>
      <c r="N337" s="878"/>
      <c r="P337" s="879"/>
      <c r="R337" s="64"/>
      <c r="S337" s="64"/>
      <c r="T337" s="64"/>
      <c r="U337" s="64"/>
    </row>
    <row r="338" spans="1:21" s="71" customFormat="1" hidden="1">
      <c r="A338" s="64"/>
      <c r="B338" s="878"/>
      <c r="C338" s="128"/>
      <c r="D338" s="128"/>
      <c r="E338" s="128"/>
      <c r="N338" s="878"/>
      <c r="P338" s="879"/>
      <c r="R338" s="64"/>
      <c r="S338" s="64"/>
      <c r="T338" s="64"/>
      <c r="U338" s="64"/>
    </row>
    <row r="339" spans="1:21" s="71" customFormat="1" hidden="1">
      <c r="A339" s="64"/>
      <c r="B339" s="878"/>
      <c r="C339" s="128"/>
      <c r="D339" s="128"/>
      <c r="E339" s="128"/>
      <c r="N339" s="878"/>
      <c r="P339" s="879"/>
      <c r="R339" s="64"/>
      <c r="S339" s="64"/>
      <c r="T339" s="64"/>
      <c r="U339" s="64"/>
    </row>
    <row r="340" spans="1:21" s="71" customFormat="1" hidden="1">
      <c r="A340" s="64"/>
      <c r="B340" s="878"/>
      <c r="C340" s="128"/>
      <c r="D340" s="128"/>
      <c r="E340" s="128"/>
      <c r="N340" s="878"/>
      <c r="P340" s="879"/>
      <c r="R340" s="64"/>
      <c r="S340" s="64"/>
      <c r="T340" s="64"/>
      <c r="U340" s="64"/>
    </row>
    <row r="341" spans="1:21" s="71" customFormat="1" hidden="1">
      <c r="A341" s="64"/>
      <c r="B341" s="878"/>
      <c r="C341" s="128"/>
      <c r="D341" s="128"/>
      <c r="E341" s="128"/>
      <c r="N341" s="878"/>
      <c r="P341" s="879"/>
      <c r="R341" s="64"/>
      <c r="S341" s="64"/>
      <c r="T341" s="64"/>
      <c r="U341" s="64"/>
    </row>
    <row r="342" spans="1:21" s="71" customFormat="1" hidden="1">
      <c r="A342" s="64"/>
      <c r="B342" s="878"/>
      <c r="C342" s="128"/>
      <c r="D342" s="128"/>
      <c r="E342" s="128"/>
      <c r="N342" s="878"/>
      <c r="P342" s="879"/>
      <c r="R342" s="64"/>
      <c r="S342" s="64"/>
      <c r="T342" s="64"/>
      <c r="U342" s="64"/>
    </row>
    <row r="343" spans="1:21" s="71" customFormat="1" hidden="1">
      <c r="A343" s="64"/>
      <c r="B343" s="878"/>
      <c r="C343" s="128"/>
      <c r="D343" s="128"/>
      <c r="E343" s="128"/>
      <c r="N343" s="878"/>
      <c r="P343" s="879"/>
      <c r="R343" s="64"/>
      <c r="S343" s="64"/>
      <c r="T343" s="64"/>
      <c r="U343" s="64"/>
    </row>
    <row r="344" spans="1:21" s="71" customFormat="1" hidden="1">
      <c r="A344" s="64"/>
      <c r="B344" s="878"/>
      <c r="C344" s="128"/>
      <c r="D344" s="128"/>
      <c r="E344" s="128"/>
      <c r="N344" s="878"/>
      <c r="P344" s="879"/>
      <c r="R344" s="64"/>
      <c r="S344" s="64"/>
      <c r="T344" s="64"/>
      <c r="U344" s="64"/>
    </row>
    <row r="345" spans="1:21" s="71" customFormat="1" hidden="1">
      <c r="A345" s="64"/>
      <c r="B345" s="878"/>
      <c r="C345" s="128"/>
      <c r="D345" s="128"/>
      <c r="E345" s="128"/>
      <c r="N345" s="878"/>
      <c r="P345" s="879"/>
      <c r="R345" s="64"/>
      <c r="S345" s="64"/>
      <c r="T345" s="64"/>
      <c r="U345" s="64"/>
    </row>
    <row r="346" spans="1:21" s="71" customFormat="1" hidden="1">
      <c r="A346" s="64"/>
      <c r="B346" s="878"/>
      <c r="C346" s="128"/>
      <c r="D346" s="128"/>
      <c r="E346" s="128"/>
      <c r="N346" s="878"/>
      <c r="P346" s="879"/>
      <c r="R346" s="64"/>
      <c r="S346" s="64"/>
      <c r="T346" s="64"/>
      <c r="U346" s="64"/>
    </row>
    <row r="347" spans="1:21" s="71" customFormat="1" hidden="1">
      <c r="A347" s="64"/>
      <c r="B347" s="878"/>
      <c r="C347" s="128"/>
      <c r="D347" s="128"/>
      <c r="E347" s="128"/>
      <c r="N347" s="878"/>
      <c r="P347" s="879"/>
      <c r="R347" s="64"/>
      <c r="S347" s="64"/>
      <c r="T347" s="64"/>
      <c r="U347" s="64"/>
    </row>
    <row r="348" spans="1:21" s="71" customFormat="1" hidden="1">
      <c r="A348" s="64"/>
      <c r="B348" s="878"/>
      <c r="C348" s="128"/>
      <c r="D348" s="128"/>
      <c r="E348" s="128"/>
      <c r="N348" s="878"/>
      <c r="P348" s="879"/>
      <c r="R348" s="64"/>
      <c r="S348" s="64"/>
      <c r="T348" s="64"/>
      <c r="U348" s="64"/>
    </row>
    <row r="349" spans="1:21" s="71" customFormat="1" hidden="1">
      <c r="A349" s="64"/>
      <c r="B349" s="878"/>
      <c r="C349" s="128"/>
      <c r="D349" s="128"/>
      <c r="E349" s="128"/>
      <c r="N349" s="878"/>
      <c r="P349" s="879"/>
      <c r="R349" s="64"/>
      <c r="S349" s="64"/>
      <c r="T349" s="64"/>
      <c r="U349" s="64"/>
    </row>
    <row r="350" spans="1:21" s="71" customFormat="1" hidden="1">
      <c r="A350" s="64"/>
      <c r="B350" s="878"/>
      <c r="C350" s="128"/>
      <c r="D350" s="128"/>
      <c r="E350" s="128"/>
      <c r="N350" s="878"/>
      <c r="P350" s="879"/>
      <c r="R350" s="64"/>
      <c r="S350" s="64"/>
      <c r="T350" s="64"/>
      <c r="U350" s="64"/>
    </row>
    <row r="351" spans="1:21" s="71" customFormat="1" hidden="1">
      <c r="A351" s="64"/>
      <c r="B351" s="878"/>
      <c r="C351" s="128"/>
      <c r="D351" s="128"/>
      <c r="E351" s="128"/>
      <c r="N351" s="878"/>
      <c r="P351" s="879"/>
      <c r="R351" s="64"/>
      <c r="S351" s="64"/>
      <c r="T351" s="64"/>
      <c r="U351" s="64"/>
    </row>
    <row r="352" spans="1:21" s="71" customFormat="1" hidden="1">
      <c r="A352" s="64"/>
      <c r="B352" s="878"/>
      <c r="C352" s="128"/>
      <c r="D352" s="128"/>
      <c r="E352" s="128"/>
      <c r="N352" s="878"/>
      <c r="P352" s="879"/>
      <c r="R352" s="64"/>
      <c r="S352" s="64"/>
      <c r="T352" s="64"/>
      <c r="U352" s="64"/>
    </row>
    <row r="353" spans="1:21" s="71" customFormat="1" hidden="1">
      <c r="A353" s="64"/>
      <c r="B353" s="878"/>
      <c r="C353" s="128"/>
      <c r="D353" s="128"/>
      <c r="E353" s="128"/>
      <c r="N353" s="878"/>
      <c r="P353" s="879"/>
      <c r="R353" s="64"/>
      <c r="S353" s="64"/>
      <c r="T353" s="64"/>
      <c r="U353" s="64"/>
    </row>
    <row r="354" spans="1:21" s="71" customFormat="1" hidden="1">
      <c r="A354" s="64"/>
      <c r="B354" s="878"/>
      <c r="C354" s="128"/>
      <c r="D354" s="128"/>
      <c r="E354" s="128"/>
      <c r="N354" s="878"/>
      <c r="P354" s="879"/>
      <c r="R354" s="64"/>
      <c r="S354" s="64"/>
      <c r="T354" s="64"/>
      <c r="U354" s="64"/>
    </row>
    <row r="355" spans="1:21" s="71" customFormat="1" hidden="1">
      <c r="A355" s="64"/>
      <c r="B355" s="878"/>
      <c r="C355" s="128"/>
      <c r="D355" s="128"/>
      <c r="E355" s="128"/>
      <c r="N355" s="878"/>
      <c r="P355" s="879"/>
      <c r="R355" s="64"/>
      <c r="S355" s="64"/>
      <c r="T355" s="64"/>
      <c r="U355" s="64"/>
    </row>
    <row r="356" spans="1:21" s="71" customFormat="1" hidden="1">
      <c r="A356" s="64"/>
      <c r="B356" s="878"/>
      <c r="C356" s="128"/>
      <c r="D356" s="128"/>
      <c r="E356" s="128"/>
      <c r="N356" s="878"/>
      <c r="P356" s="879"/>
      <c r="R356" s="64"/>
      <c r="S356" s="64"/>
      <c r="T356" s="64"/>
      <c r="U356" s="64"/>
    </row>
    <row r="357" spans="1:21" s="71" customFormat="1" hidden="1">
      <c r="A357" s="64"/>
      <c r="B357" s="878"/>
      <c r="C357" s="128"/>
      <c r="D357" s="128"/>
      <c r="E357" s="128"/>
      <c r="N357" s="878"/>
      <c r="P357" s="879"/>
      <c r="R357" s="64"/>
      <c r="S357" s="64"/>
      <c r="T357" s="64"/>
      <c r="U357" s="64"/>
    </row>
    <row r="358" spans="1:21" s="71" customFormat="1" hidden="1">
      <c r="A358" s="64"/>
      <c r="B358" s="878"/>
      <c r="C358" s="128"/>
      <c r="D358" s="128"/>
      <c r="E358" s="128"/>
      <c r="N358" s="878"/>
      <c r="P358" s="879"/>
      <c r="R358" s="64"/>
      <c r="S358" s="64"/>
      <c r="T358" s="64"/>
      <c r="U358" s="64"/>
    </row>
    <row r="359" spans="1:21" s="71" customFormat="1" hidden="1">
      <c r="A359" s="64"/>
      <c r="B359" s="878"/>
      <c r="C359" s="128"/>
      <c r="D359" s="128"/>
      <c r="E359" s="128"/>
      <c r="N359" s="878"/>
      <c r="P359" s="879"/>
      <c r="R359" s="64"/>
      <c r="S359" s="64"/>
      <c r="T359" s="64"/>
      <c r="U359" s="64"/>
    </row>
    <row r="360" spans="1:21" s="71" customFormat="1" hidden="1">
      <c r="A360" s="64"/>
      <c r="B360" s="878"/>
      <c r="C360" s="128"/>
      <c r="D360" s="128"/>
      <c r="E360" s="128"/>
      <c r="N360" s="878"/>
      <c r="P360" s="879"/>
      <c r="R360" s="64"/>
      <c r="S360" s="64"/>
      <c r="T360" s="64"/>
      <c r="U360" s="64"/>
    </row>
    <row r="361" spans="1:21" s="71" customFormat="1" hidden="1">
      <c r="A361" s="64"/>
      <c r="B361" s="878"/>
      <c r="C361" s="128"/>
      <c r="D361" s="128"/>
      <c r="E361" s="128"/>
      <c r="N361" s="878"/>
      <c r="P361" s="879"/>
      <c r="R361" s="64"/>
      <c r="S361" s="64"/>
      <c r="T361" s="64"/>
      <c r="U361" s="64"/>
    </row>
    <row r="362" spans="1:21" s="71" customFormat="1" hidden="1">
      <c r="A362" s="64"/>
      <c r="B362" s="878"/>
      <c r="C362" s="128"/>
      <c r="D362" s="128"/>
      <c r="E362" s="128"/>
      <c r="N362" s="878"/>
      <c r="P362" s="879"/>
      <c r="R362" s="64"/>
      <c r="S362" s="64"/>
      <c r="T362" s="64"/>
      <c r="U362" s="64"/>
    </row>
    <row r="363" spans="1:21" s="71" customFormat="1" hidden="1">
      <c r="A363" s="64"/>
      <c r="B363" s="878"/>
      <c r="C363" s="128"/>
      <c r="D363" s="128"/>
      <c r="E363" s="128"/>
      <c r="N363" s="878"/>
      <c r="P363" s="879"/>
      <c r="R363" s="64"/>
      <c r="S363" s="64"/>
      <c r="T363" s="64"/>
      <c r="U363" s="64"/>
    </row>
    <row r="364" spans="1:21" s="71" customFormat="1" hidden="1">
      <c r="A364" s="64"/>
      <c r="B364" s="878"/>
      <c r="C364" s="128"/>
      <c r="D364" s="128"/>
      <c r="E364" s="128"/>
      <c r="N364" s="878"/>
      <c r="P364" s="879"/>
      <c r="R364" s="64"/>
      <c r="S364" s="64"/>
      <c r="T364" s="64"/>
      <c r="U364" s="64"/>
    </row>
    <row r="365" spans="1:21" s="71" customFormat="1" hidden="1">
      <c r="A365" s="64"/>
      <c r="B365" s="878"/>
      <c r="C365" s="128"/>
      <c r="D365" s="128"/>
      <c r="E365" s="128"/>
      <c r="N365" s="878"/>
      <c r="P365" s="879"/>
      <c r="R365" s="64"/>
      <c r="S365" s="64"/>
      <c r="T365" s="64"/>
      <c r="U365" s="64"/>
    </row>
    <row r="366" spans="1:21" s="71" customFormat="1" hidden="1">
      <c r="A366" s="64"/>
      <c r="B366" s="878"/>
      <c r="C366" s="128"/>
      <c r="D366" s="128"/>
      <c r="E366" s="128"/>
      <c r="N366" s="878"/>
      <c r="P366" s="879"/>
      <c r="R366" s="64"/>
      <c r="S366" s="64"/>
      <c r="T366" s="64"/>
      <c r="U366" s="64"/>
    </row>
    <row r="367" spans="1:21" s="71" customFormat="1" hidden="1">
      <c r="A367" s="64"/>
      <c r="B367" s="878"/>
      <c r="C367" s="128"/>
      <c r="D367" s="128"/>
      <c r="E367" s="128"/>
      <c r="N367" s="878"/>
      <c r="P367" s="879"/>
      <c r="R367" s="64"/>
      <c r="S367" s="64"/>
      <c r="T367" s="64"/>
      <c r="U367" s="64"/>
    </row>
    <row r="368" spans="1:21" s="71" customFormat="1" hidden="1">
      <c r="A368" s="64"/>
      <c r="B368" s="878"/>
      <c r="C368" s="128"/>
      <c r="D368" s="128"/>
      <c r="E368" s="128"/>
      <c r="N368" s="878"/>
      <c r="P368" s="879"/>
      <c r="R368" s="64"/>
      <c r="S368" s="64"/>
      <c r="T368" s="64"/>
      <c r="U368" s="64"/>
    </row>
    <row r="369" spans="1:21" s="71" customFormat="1" hidden="1">
      <c r="A369" s="64"/>
      <c r="B369" s="878"/>
      <c r="C369" s="128"/>
      <c r="D369" s="128"/>
      <c r="E369" s="128"/>
      <c r="N369" s="878"/>
      <c r="P369" s="879"/>
      <c r="R369" s="64"/>
      <c r="S369" s="64"/>
      <c r="T369" s="64"/>
      <c r="U369" s="64"/>
    </row>
    <row r="370" spans="1:21" s="71" customFormat="1" hidden="1">
      <c r="A370" s="64"/>
      <c r="B370" s="878"/>
      <c r="C370" s="128"/>
      <c r="D370" s="128"/>
      <c r="E370" s="128"/>
      <c r="N370" s="878"/>
      <c r="P370" s="879"/>
      <c r="R370" s="64"/>
      <c r="S370" s="64"/>
      <c r="T370" s="64"/>
      <c r="U370" s="64"/>
    </row>
    <row r="371" spans="1:21" s="71" customFormat="1" hidden="1">
      <c r="A371" s="64"/>
      <c r="B371" s="878"/>
      <c r="C371" s="128"/>
      <c r="D371" s="128"/>
      <c r="E371" s="128"/>
      <c r="N371" s="878"/>
      <c r="P371" s="879"/>
      <c r="R371" s="64"/>
      <c r="S371" s="64"/>
      <c r="T371" s="64"/>
      <c r="U371" s="64"/>
    </row>
    <row r="372" spans="1:21" s="71" customFormat="1" hidden="1">
      <c r="A372" s="64"/>
      <c r="B372" s="878"/>
      <c r="C372" s="128"/>
      <c r="D372" s="128"/>
      <c r="E372" s="128"/>
      <c r="N372" s="878"/>
      <c r="P372" s="879"/>
      <c r="R372" s="64"/>
      <c r="S372" s="64"/>
      <c r="T372" s="64"/>
      <c r="U372" s="64"/>
    </row>
    <row r="373" spans="1:21" s="71" customFormat="1" hidden="1">
      <c r="A373" s="64"/>
      <c r="B373" s="878"/>
      <c r="C373" s="128"/>
      <c r="D373" s="128"/>
      <c r="E373" s="128"/>
      <c r="N373" s="878"/>
      <c r="P373" s="879"/>
      <c r="R373" s="64"/>
      <c r="S373" s="64"/>
      <c r="T373" s="64"/>
      <c r="U373" s="64"/>
    </row>
    <row r="374" spans="1:21" s="71" customFormat="1" hidden="1">
      <c r="A374" s="64"/>
      <c r="B374" s="878"/>
      <c r="C374" s="128"/>
      <c r="D374" s="128"/>
      <c r="E374" s="128"/>
      <c r="N374" s="878"/>
      <c r="P374" s="879"/>
      <c r="R374" s="64"/>
      <c r="S374" s="64"/>
      <c r="T374" s="64"/>
      <c r="U374" s="64"/>
    </row>
    <row r="375" spans="1:21" s="71" customFormat="1" hidden="1">
      <c r="A375" s="64"/>
      <c r="B375" s="878"/>
      <c r="C375" s="128"/>
      <c r="D375" s="128"/>
      <c r="E375" s="128"/>
      <c r="N375" s="878"/>
      <c r="P375" s="879"/>
      <c r="R375" s="64"/>
      <c r="S375" s="64"/>
      <c r="T375" s="64"/>
      <c r="U375" s="64"/>
    </row>
    <row r="376" spans="1:21" s="71" customFormat="1" hidden="1">
      <c r="A376" s="64"/>
      <c r="B376" s="878"/>
      <c r="C376" s="128"/>
      <c r="D376" s="128"/>
      <c r="E376" s="128"/>
      <c r="N376" s="878"/>
      <c r="P376" s="879"/>
      <c r="R376" s="64"/>
      <c r="S376" s="64"/>
      <c r="T376" s="64"/>
      <c r="U376" s="64"/>
    </row>
    <row r="377" spans="1:21" s="71" customFormat="1" hidden="1">
      <c r="A377" s="64"/>
      <c r="B377" s="878"/>
      <c r="C377" s="128"/>
      <c r="D377" s="128"/>
      <c r="E377" s="128"/>
      <c r="N377" s="878"/>
      <c r="P377" s="879"/>
      <c r="R377" s="64"/>
      <c r="S377" s="64"/>
      <c r="T377" s="64"/>
      <c r="U377" s="64"/>
    </row>
    <row r="378" spans="1:21" s="71" customFormat="1" hidden="1">
      <c r="A378" s="64"/>
      <c r="B378" s="878"/>
      <c r="C378" s="128"/>
      <c r="D378" s="128"/>
      <c r="E378" s="128"/>
      <c r="N378" s="878"/>
      <c r="P378" s="879"/>
      <c r="R378" s="64"/>
      <c r="S378" s="64"/>
      <c r="T378" s="64"/>
      <c r="U378" s="64"/>
    </row>
    <row r="379" spans="1:21" s="71" customFormat="1" hidden="1">
      <c r="A379" s="64"/>
      <c r="B379" s="878"/>
      <c r="C379" s="128"/>
      <c r="D379" s="128"/>
      <c r="E379" s="128"/>
      <c r="N379" s="878"/>
      <c r="P379" s="879"/>
      <c r="R379" s="64"/>
      <c r="S379" s="64"/>
      <c r="T379" s="64"/>
      <c r="U379" s="64"/>
    </row>
    <row r="380" spans="1:21" s="71" customFormat="1" hidden="1">
      <c r="A380" s="64"/>
      <c r="B380" s="878"/>
      <c r="C380" s="128"/>
      <c r="D380" s="128"/>
      <c r="E380" s="128"/>
      <c r="N380" s="878"/>
      <c r="P380" s="879"/>
      <c r="R380" s="64"/>
      <c r="S380" s="64"/>
      <c r="T380" s="64"/>
      <c r="U380" s="64"/>
    </row>
    <row r="381" spans="1:21" s="71" customFormat="1" hidden="1">
      <c r="A381" s="64"/>
      <c r="B381" s="878"/>
      <c r="C381" s="128"/>
      <c r="D381" s="128"/>
      <c r="E381" s="128"/>
      <c r="N381" s="878"/>
      <c r="P381" s="879"/>
      <c r="R381" s="64"/>
      <c r="S381" s="64"/>
      <c r="T381" s="64"/>
      <c r="U381" s="64"/>
    </row>
    <row r="382" spans="1:21" s="71" customFormat="1" hidden="1">
      <c r="A382" s="64"/>
      <c r="B382" s="878"/>
      <c r="C382" s="128"/>
      <c r="D382" s="128"/>
      <c r="E382" s="128"/>
      <c r="N382" s="878"/>
      <c r="P382" s="879"/>
      <c r="R382" s="64"/>
      <c r="S382" s="64"/>
      <c r="T382" s="64"/>
      <c r="U382" s="64"/>
    </row>
    <row r="383" spans="1:21" s="71" customFormat="1" hidden="1">
      <c r="A383" s="64"/>
      <c r="B383" s="878"/>
      <c r="C383" s="128"/>
      <c r="D383" s="128"/>
      <c r="E383" s="128"/>
      <c r="N383" s="878"/>
      <c r="P383" s="879"/>
      <c r="R383" s="64"/>
      <c r="S383" s="64"/>
      <c r="T383" s="64"/>
      <c r="U383" s="64"/>
    </row>
    <row r="384" spans="1:21" s="71" customFormat="1" hidden="1">
      <c r="A384" s="64"/>
      <c r="B384" s="878"/>
      <c r="C384" s="128"/>
      <c r="D384" s="128"/>
      <c r="E384" s="128"/>
      <c r="N384" s="878"/>
      <c r="P384" s="879"/>
      <c r="R384" s="64"/>
      <c r="S384" s="64"/>
      <c r="T384" s="64"/>
      <c r="U384" s="64"/>
    </row>
    <row r="385" spans="1:21" s="71" customFormat="1" hidden="1">
      <c r="A385" s="64"/>
      <c r="B385" s="878"/>
      <c r="C385" s="128"/>
      <c r="D385" s="128"/>
      <c r="E385" s="128"/>
      <c r="N385" s="878"/>
      <c r="P385" s="879"/>
      <c r="R385" s="64"/>
      <c r="S385" s="64"/>
      <c r="T385" s="64"/>
      <c r="U385" s="64"/>
    </row>
    <row r="386" spans="1:21" s="71" customFormat="1" hidden="1">
      <c r="A386" s="64"/>
      <c r="B386" s="878"/>
      <c r="C386" s="128"/>
      <c r="D386" s="128"/>
      <c r="E386" s="128"/>
      <c r="N386" s="878"/>
      <c r="P386" s="879"/>
      <c r="R386" s="64"/>
      <c r="S386" s="64"/>
      <c r="T386" s="64"/>
      <c r="U386" s="64"/>
    </row>
    <row r="387" spans="1:21" s="71" customFormat="1" hidden="1">
      <c r="A387" s="64"/>
      <c r="B387" s="878"/>
      <c r="C387" s="128"/>
      <c r="D387" s="128"/>
      <c r="E387" s="128"/>
      <c r="N387" s="878"/>
      <c r="P387" s="879"/>
      <c r="R387" s="64"/>
      <c r="S387" s="64"/>
      <c r="T387" s="64"/>
      <c r="U387" s="64"/>
    </row>
    <row r="388" spans="1:21" s="71" customFormat="1" hidden="1">
      <c r="A388" s="64"/>
      <c r="B388" s="878"/>
      <c r="C388" s="128"/>
      <c r="D388" s="128"/>
      <c r="E388" s="128"/>
      <c r="N388" s="878"/>
      <c r="P388" s="879"/>
      <c r="R388" s="64"/>
      <c r="S388" s="64"/>
      <c r="T388" s="64"/>
      <c r="U388" s="64"/>
    </row>
    <row r="389" spans="1:21" s="71" customFormat="1" hidden="1">
      <c r="A389" s="64"/>
      <c r="B389" s="878"/>
      <c r="C389" s="128"/>
      <c r="D389" s="128"/>
      <c r="E389" s="128"/>
      <c r="N389" s="878"/>
      <c r="P389" s="879"/>
      <c r="R389" s="64"/>
      <c r="S389" s="64"/>
      <c r="T389" s="64"/>
      <c r="U389" s="64"/>
    </row>
    <row r="390" spans="1:21" s="71" customFormat="1" hidden="1">
      <c r="A390" s="64"/>
      <c r="B390" s="878"/>
      <c r="C390" s="128"/>
      <c r="D390" s="128"/>
      <c r="E390" s="128"/>
      <c r="N390" s="878"/>
      <c r="P390" s="879"/>
      <c r="R390" s="64"/>
      <c r="S390" s="64"/>
      <c r="T390" s="64"/>
      <c r="U390" s="64"/>
    </row>
    <row r="391" spans="1:21" s="71" customFormat="1" hidden="1">
      <c r="A391" s="64"/>
      <c r="B391" s="878"/>
      <c r="C391" s="128"/>
      <c r="D391" s="128"/>
      <c r="E391" s="128"/>
      <c r="N391" s="878"/>
      <c r="P391" s="879"/>
      <c r="R391" s="64"/>
      <c r="S391" s="64"/>
      <c r="T391" s="64"/>
      <c r="U391" s="64"/>
    </row>
    <row r="392" spans="1:21" s="71" customFormat="1" hidden="1">
      <c r="A392" s="64"/>
      <c r="B392" s="878"/>
      <c r="C392" s="128"/>
      <c r="D392" s="128"/>
      <c r="E392" s="128"/>
      <c r="N392" s="878"/>
      <c r="P392" s="879"/>
      <c r="R392" s="64"/>
      <c r="S392" s="64"/>
      <c r="T392" s="64"/>
      <c r="U392" s="64"/>
    </row>
    <row r="393" spans="1:21" s="71" customFormat="1" hidden="1">
      <c r="A393" s="64"/>
      <c r="B393" s="878"/>
      <c r="C393" s="128"/>
      <c r="D393" s="128"/>
      <c r="E393" s="128"/>
      <c r="N393" s="878"/>
      <c r="P393" s="879"/>
      <c r="R393" s="64"/>
      <c r="S393" s="64"/>
      <c r="T393" s="64"/>
      <c r="U393" s="64"/>
    </row>
    <row r="394" spans="1:21" s="71" customFormat="1" hidden="1">
      <c r="A394" s="64"/>
      <c r="B394" s="878"/>
      <c r="C394" s="128"/>
      <c r="D394" s="128"/>
      <c r="E394" s="128"/>
      <c r="N394" s="878"/>
      <c r="P394" s="879"/>
      <c r="R394" s="64"/>
      <c r="S394" s="64"/>
      <c r="T394" s="64"/>
      <c r="U394" s="64"/>
    </row>
    <row r="395" spans="1:21" s="71" customFormat="1" hidden="1">
      <c r="A395" s="64"/>
      <c r="B395" s="878"/>
      <c r="C395" s="128"/>
      <c r="D395" s="128"/>
      <c r="E395" s="128"/>
      <c r="N395" s="878"/>
      <c r="P395" s="879"/>
      <c r="R395" s="64"/>
      <c r="S395" s="64"/>
      <c r="T395" s="64"/>
      <c r="U395" s="64"/>
    </row>
    <row r="396" spans="1:21" s="71" customFormat="1" hidden="1">
      <c r="A396" s="64"/>
      <c r="B396" s="878"/>
      <c r="C396" s="128"/>
      <c r="D396" s="128"/>
      <c r="E396" s="128"/>
      <c r="N396" s="878"/>
      <c r="P396" s="879"/>
      <c r="R396" s="64"/>
      <c r="S396" s="64"/>
      <c r="T396" s="64"/>
      <c r="U396" s="64"/>
    </row>
    <row r="397" spans="1:21" s="71" customFormat="1" hidden="1">
      <c r="A397" s="64"/>
      <c r="B397" s="878"/>
      <c r="C397" s="128"/>
      <c r="D397" s="128"/>
      <c r="E397" s="128"/>
      <c r="N397" s="878"/>
      <c r="P397" s="879"/>
      <c r="R397" s="64"/>
      <c r="S397" s="64"/>
      <c r="T397" s="64"/>
      <c r="U397" s="64"/>
    </row>
    <row r="398" spans="1:21" s="71" customFormat="1" hidden="1">
      <c r="A398" s="64"/>
      <c r="B398" s="878"/>
      <c r="C398" s="128"/>
      <c r="D398" s="128"/>
      <c r="E398" s="128"/>
      <c r="N398" s="878"/>
      <c r="P398" s="879"/>
      <c r="R398" s="64"/>
      <c r="S398" s="64"/>
      <c r="T398" s="64"/>
      <c r="U398" s="64"/>
    </row>
    <row r="399" spans="1:21" s="71" customFormat="1" hidden="1">
      <c r="A399" s="64"/>
      <c r="B399" s="878"/>
      <c r="C399" s="128"/>
      <c r="D399" s="128"/>
      <c r="E399" s="128"/>
      <c r="N399" s="878"/>
      <c r="P399" s="879"/>
      <c r="R399" s="64"/>
      <c r="S399" s="64"/>
      <c r="T399" s="64"/>
      <c r="U399" s="64"/>
    </row>
    <row r="400" spans="1:21" s="71" customFormat="1" hidden="1">
      <c r="A400" s="64"/>
      <c r="B400" s="878"/>
      <c r="C400" s="128"/>
      <c r="D400" s="128"/>
      <c r="E400" s="128"/>
      <c r="N400" s="878"/>
      <c r="P400" s="879"/>
      <c r="R400" s="64"/>
      <c r="S400" s="64"/>
      <c r="T400" s="64"/>
      <c r="U400" s="64"/>
    </row>
    <row r="401" spans="1:21" s="71" customFormat="1" hidden="1">
      <c r="A401" s="64"/>
      <c r="B401" s="878"/>
      <c r="C401" s="128"/>
      <c r="D401" s="128"/>
      <c r="E401" s="128"/>
      <c r="N401" s="878"/>
      <c r="P401" s="879"/>
      <c r="R401" s="64"/>
      <c r="S401" s="64"/>
      <c r="T401" s="64"/>
      <c r="U401" s="64"/>
    </row>
    <row r="402" spans="1:21" s="71" customFormat="1" hidden="1">
      <c r="A402" s="64"/>
      <c r="B402" s="878"/>
      <c r="C402" s="128"/>
      <c r="D402" s="128"/>
      <c r="E402" s="128"/>
      <c r="N402" s="878"/>
      <c r="P402" s="879"/>
      <c r="R402" s="64"/>
      <c r="S402" s="64"/>
      <c r="T402" s="64"/>
      <c r="U402" s="64"/>
    </row>
    <row r="403" spans="1:21" s="71" customFormat="1" hidden="1">
      <c r="A403" s="64"/>
      <c r="B403" s="878"/>
      <c r="C403" s="128"/>
      <c r="D403" s="128"/>
      <c r="E403" s="128"/>
      <c r="N403" s="878"/>
      <c r="P403" s="879"/>
      <c r="R403" s="64"/>
      <c r="S403" s="64"/>
      <c r="T403" s="64"/>
      <c r="U403" s="64"/>
    </row>
    <row r="404" spans="1:21" s="71" customFormat="1" hidden="1">
      <c r="A404" s="64"/>
      <c r="B404" s="878"/>
      <c r="C404" s="128"/>
      <c r="D404" s="128"/>
      <c r="E404" s="128"/>
      <c r="N404" s="878"/>
      <c r="P404" s="879"/>
      <c r="R404" s="64"/>
      <c r="S404" s="64"/>
      <c r="T404" s="64"/>
      <c r="U404" s="64"/>
    </row>
    <row r="405" spans="1:21" s="71" customFormat="1" hidden="1">
      <c r="A405" s="64"/>
      <c r="B405" s="878"/>
      <c r="C405" s="128"/>
      <c r="D405" s="128"/>
      <c r="E405" s="128"/>
      <c r="N405" s="878"/>
      <c r="P405" s="879"/>
      <c r="R405" s="64"/>
      <c r="S405" s="64"/>
      <c r="T405" s="64"/>
      <c r="U405" s="64"/>
    </row>
    <row r="406" spans="1:21" s="71" customFormat="1" hidden="1">
      <c r="A406" s="64"/>
      <c r="B406" s="878"/>
      <c r="C406" s="128"/>
      <c r="D406" s="128"/>
      <c r="E406" s="128"/>
      <c r="N406" s="878"/>
      <c r="P406" s="879"/>
      <c r="R406" s="64"/>
      <c r="S406" s="64"/>
      <c r="T406" s="64"/>
      <c r="U406" s="64"/>
    </row>
    <row r="407" spans="1:21" s="71" customFormat="1" hidden="1">
      <c r="A407" s="64"/>
      <c r="B407" s="878"/>
      <c r="C407" s="128"/>
      <c r="D407" s="128"/>
      <c r="E407" s="128"/>
      <c r="N407" s="878"/>
      <c r="P407" s="879"/>
      <c r="R407" s="64"/>
      <c r="S407" s="64"/>
      <c r="T407" s="64"/>
      <c r="U407" s="64"/>
    </row>
    <row r="408" spans="1:21" s="71" customFormat="1" hidden="1">
      <c r="A408" s="64"/>
      <c r="B408" s="878"/>
      <c r="C408" s="128"/>
      <c r="D408" s="128"/>
      <c r="E408" s="128"/>
      <c r="N408" s="878"/>
      <c r="P408" s="879"/>
      <c r="R408" s="64"/>
      <c r="S408" s="64"/>
      <c r="T408" s="64"/>
      <c r="U408" s="64"/>
    </row>
    <row r="409" spans="1:21" s="71" customFormat="1" hidden="1">
      <c r="A409" s="64"/>
      <c r="B409" s="878"/>
      <c r="C409" s="128"/>
      <c r="D409" s="128"/>
      <c r="E409" s="128"/>
      <c r="N409" s="878"/>
      <c r="P409" s="879"/>
      <c r="R409" s="64"/>
      <c r="S409" s="64"/>
      <c r="T409" s="64"/>
      <c r="U409" s="64"/>
    </row>
    <row r="410" spans="1:21" s="71" customFormat="1" hidden="1">
      <c r="A410" s="64"/>
      <c r="B410" s="878"/>
      <c r="C410" s="128"/>
      <c r="D410" s="128"/>
      <c r="E410" s="128"/>
      <c r="N410" s="878"/>
      <c r="P410" s="879"/>
      <c r="R410" s="64"/>
      <c r="S410" s="64"/>
      <c r="T410" s="64"/>
      <c r="U410" s="64"/>
    </row>
    <row r="411" spans="1:21" s="71" customFormat="1" hidden="1">
      <c r="A411" s="64"/>
      <c r="B411" s="878"/>
      <c r="C411" s="128"/>
      <c r="D411" s="128"/>
      <c r="E411" s="128"/>
      <c r="N411" s="878"/>
      <c r="P411" s="879"/>
      <c r="R411" s="64"/>
      <c r="S411" s="64"/>
      <c r="T411" s="64"/>
      <c r="U411" s="64"/>
    </row>
    <row r="412" spans="1:21" s="71" customFormat="1" hidden="1">
      <c r="A412" s="64"/>
      <c r="B412" s="878"/>
      <c r="C412" s="128"/>
      <c r="D412" s="128"/>
      <c r="E412" s="128"/>
      <c r="N412" s="878"/>
      <c r="P412" s="879"/>
      <c r="R412" s="64"/>
      <c r="S412" s="64"/>
      <c r="T412" s="64"/>
      <c r="U412" s="64"/>
    </row>
    <row r="413" spans="1:21" s="71" customFormat="1" hidden="1">
      <c r="A413" s="64"/>
      <c r="B413" s="878"/>
      <c r="C413" s="128"/>
      <c r="D413" s="128"/>
      <c r="E413" s="128"/>
      <c r="N413" s="878"/>
      <c r="P413" s="879"/>
      <c r="R413" s="64"/>
      <c r="S413" s="64"/>
      <c r="T413" s="64"/>
      <c r="U413" s="64"/>
    </row>
    <row r="414" spans="1:21" s="71" customFormat="1" hidden="1">
      <c r="A414" s="64"/>
      <c r="B414" s="878"/>
      <c r="C414" s="128"/>
      <c r="D414" s="128"/>
      <c r="E414" s="128"/>
      <c r="N414" s="878"/>
      <c r="P414" s="879"/>
      <c r="R414" s="64"/>
      <c r="S414" s="64"/>
      <c r="T414" s="64"/>
      <c r="U414" s="64"/>
    </row>
    <row r="415" spans="1:21" s="71" customFormat="1" hidden="1">
      <c r="A415" s="64"/>
      <c r="B415" s="878"/>
      <c r="C415" s="128"/>
      <c r="D415" s="128"/>
      <c r="E415" s="128"/>
      <c r="N415" s="878"/>
      <c r="P415" s="879"/>
      <c r="R415" s="64"/>
      <c r="S415" s="64"/>
      <c r="T415" s="64"/>
      <c r="U415" s="64"/>
    </row>
    <row r="416" spans="1:21" s="71" customFormat="1" hidden="1">
      <c r="A416" s="64"/>
      <c r="B416" s="878"/>
      <c r="C416" s="128"/>
      <c r="D416" s="128"/>
      <c r="E416" s="128"/>
      <c r="N416" s="878"/>
      <c r="P416" s="879"/>
      <c r="R416" s="64"/>
      <c r="S416" s="64"/>
      <c r="T416" s="64"/>
      <c r="U416" s="64"/>
    </row>
    <row r="417" spans="1:21" s="71" customFormat="1" hidden="1">
      <c r="A417" s="64"/>
      <c r="B417" s="878"/>
      <c r="C417" s="128"/>
      <c r="D417" s="128"/>
      <c r="E417" s="128"/>
      <c r="N417" s="878"/>
      <c r="P417" s="879"/>
      <c r="R417" s="64"/>
      <c r="S417" s="64"/>
      <c r="T417" s="64"/>
      <c r="U417" s="64"/>
    </row>
    <row r="418" spans="1:21" s="71" customFormat="1" hidden="1">
      <c r="A418" s="64"/>
      <c r="B418" s="878"/>
      <c r="C418" s="128"/>
      <c r="D418" s="128"/>
      <c r="E418" s="128"/>
      <c r="N418" s="878"/>
      <c r="P418" s="879"/>
      <c r="R418" s="64"/>
      <c r="S418" s="64"/>
      <c r="T418" s="64"/>
      <c r="U418" s="64"/>
    </row>
    <row r="419" spans="1:21" s="71" customFormat="1" hidden="1">
      <c r="A419" s="64"/>
      <c r="B419" s="878"/>
      <c r="C419" s="128"/>
      <c r="D419" s="128"/>
      <c r="E419" s="128"/>
      <c r="N419" s="878"/>
      <c r="P419" s="879"/>
      <c r="R419" s="64"/>
      <c r="S419" s="64"/>
      <c r="T419" s="64"/>
      <c r="U419" s="64"/>
    </row>
    <row r="420" spans="1:21" s="71" customFormat="1" hidden="1">
      <c r="A420" s="64"/>
      <c r="B420" s="878"/>
      <c r="C420" s="128"/>
      <c r="D420" s="128"/>
      <c r="E420" s="128"/>
      <c r="N420" s="878"/>
      <c r="P420" s="879"/>
      <c r="R420" s="64"/>
      <c r="S420" s="64"/>
      <c r="T420" s="64"/>
      <c r="U420" s="64"/>
    </row>
    <row r="421" spans="1:21" s="71" customFormat="1" hidden="1">
      <c r="A421" s="64"/>
      <c r="B421" s="878"/>
      <c r="C421" s="128"/>
      <c r="D421" s="128"/>
      <c r="E421" s="128"/>
      <c r="N421" s="878"/>
      <c r="P421" s="879"/>
      <c r="R421" s="64"/>
      <c r="S421" s="64"/>
      <c r="T421" s="64"/>
      <c r="U421" s="64"/>
    </row>
    <row r="422" spans="1:21" s="71" customFormat="1" hidden="1">
      <c r="A422" s="64"/>
      <c r="B422" s="878"/>
      <c r="C422" s="128"/>
      <c r="D422" s="128"/>
      <c r="E422" s="128"/>
      <c r="N422" s="878"/>
      <c r="P422" s="879"/>
      <c r="R422" s="64"/>
      <c r="S422" s="64"/>
      <c r="T422" s="64"/>
      <c r="U422" s="64"/>
    </row>
    <row r="423" spans="1:21" s="71" customFormat="1" hidden="1">
      <c r="A423" s="64"/>
      <c r="B423" s="878"/>
      <c r="C423" s="128"/>
      <c r="D423" s="128"/>
      <c r="E423" s="128"/>
      <c r="N423" s="878"/>
      <c r="P423" s="879"/>
      <c r="R423" s="64"/>
      <c r="S423" s="64"/>
      <c r="T423" s="64"/>
      <c r="U423" s="64"/>
    </row>
    <row r="424" spans="1:21" s="71" customFormat="1" hidden="1">
      <c r="A424" s="64"/>
      <c r="B424" s="878"/>
      <c r="C424" s="128"/>
      <c r="D424" s="128"/>
      <c r="E424" s="128"/>
      <c r="N424" s="878"/>
      <c r="P424" s="879"/>
      <c r="R424" s="64"/>
      <c r="S424" s="64"/>
      <c r="T424" s="64"/>
      <c r="U424" s="64"/>
    </row>
    <row r="425" spans="1:21" s="71" customFormat="1" hidden="1">
      <c r="A425" s="64"/>
      <c r="B425" s="878"/>
      <c r="C425" s="128"/>
      <c r="D425" s="128"/>
      <c r="E425" s="128"/>
      <c r="N425" s="878"/>
      <c r="P425" s="879"/>
      <c r="R425" s="64"/>
      <c r="S425" s="64"/>
      <c r="T425" s="64"/>
      <c r="U425" s="64"/>
    </row>
    <row r="426" spans="1:21" s="71" customFormat="1" hidden="1">
      <c r="A426" s="64"/>
      <c r="B426" s="878"/>
      <c r="C426" s="128"/>
      <c r="D426" s="128"/>
      <c r="E426" s="128"/>
      <c r="N426" s="878"/>
      <c r="P426" s="879"/>
      <c r="R426" s="64"/>
      <c r="S426" s="64"/>
      <c r="T426" s="64"/>
      <c r="U426" s="64"/>
    </row>
    <row r="427" spans="1:21" s="71" customFormat="1" hidden="1">
      <c r="A427" s="64"/>
      <c r="B427" s="878"/>
      <c r="C427" s="128"/>
      <c r="D427" s="128"/>
      <c r="E427" s="128"/>
      <c r="N427" s="878"/>
      <c r="P427" s="879"/>
      <c r="R427" s="64"/>
      <c r="S427" s="64"/>
      <c r="T427" s="64"/>
      <c r="U427" s="64"/>
    </row>
    <row r="428" spans="1:21" s="71" customFormat="1" hidden="1">
      <c r="A428" s="64"/>
      <c r="B428" s="878"/>
      <c r="C428" s="128"/>
      <c r="D428" s="128"/>
      <c r="E428" s="128"/>
      <c r="N428" s="878"/>
      <c r="P428" s="879"/>
      <c r="R428" s="64"/>
      <c r="S428" s="64"/>
      <c r="T428" s="64"/>
      <c r="U428" s="64"/>
    </row>
    <row r="429" spans="1:21" s="71" customFormat="1" hidden="1">
      <c r="A429" s="64"/>
      <c r="B429" s="878"/>
      <c r="C429" s="128"/>
      <c r="D429" s="128"/>
      <c r="E429" s="128"/>
      <c r="N429" s="878"/>
      <c r="P429" s="879"/>
      <c r="R429" s="64"/>
      <c r="S429" s="64"/>
      <c r="T429" s="64"/>
      <c r="U429" s="64"/>
    </row>
    <row r="430" spans="1:21" s="71" customFormat="1" hidden="1">
      <c r="A430" s="64"/>
      <c r="B430" s="878"/>
      <c r="C430" s="128"/>
      <c r="D430" s="128"/>
      <c r="E430" s="128"/>
      <c r="N430" s="878"/>
      <c r="P430" s="879"/>
      <c r="R430" s="64"/>
      <c r="S430" s="64"/>
      <c r="T430" s="64"/>
      <c r="U430" s="64"/>
    </row>
    <row r="431" spans="1:21" s="71" customFormat="1" hidden="1">
      <c r="A431" s="64"/>
      <c r="B431" s="878"/>
      <c r="C431" s="128"/>
      <c r="D431" s="128"/>
      <c r="E431" s="128"/>
      <c r="N431" s="878"/>
      <c r="P431" s="879"/>
      <c r="R431" s="64"/>
      <c r="S431" s="64"/>
      <c r="T431" s="64"/>
      <c r="U431" s="64"/>
    </row>
    <row r="432" spans="1:21" s="71" customFormat="1" hidden="1">
      <c r="A432" s="64"/>
      <c r="B432" s="878"/>
      <c r="C432" s="128"/>
      <c r="D432" s="128"/>
      <c r="E432" s="128"/>
      <c r="N432" s="878"/>
      <c r="P432" s="879"/>
      <c r="R432" s="64"/>
      <c r="S432" s="64"/>
      <c r="T432" s="64"/>
      <c r="U432" s="64"/>
    </row>
    <row r="433" spans="1:21" s="71" customFormat="1" hidden="1">
      <c r="A433" s="64"/>
      <c r="B433" s="878"/>
      <c r="C433" s="128"/>
      <c r="D433" s="128"/>
      <c r="E433" s="128"/>
      <c r="N433" s="878"/>
      <c r="P433" s="879"/>
      <c r="R433" s="64"/>
      <c r="S433" s="64"/>
      <c r="T433" s="64"/>
      <c r="U433" s="64"/>
    </row>
    <row r="434" spans="1:21" s="71" customFormat="1" hidden="1">
      <c r="A434" s="64"/>
      <c r="B434" s="878"/>
      <c r="C434" s="128"/>
      <c r="D434" s="128"/>
      <c r="E434" s="128"/>
      <c r="N434" s="878"/>
      <c r="P434" s="879"/>
      <c r="R434" s="64"/>
      <c r="S434" s="64"/>
      <c r="T434" s="64"/>
      <c r="U434" s="64"/>
    </row>
    <row r="435" spans="1:21" s="71" customFormat="1" hidden="1">
      <c r="A435" s="64"/>
      <c r="B435" s="878"/>
      <c r="C435" s="128"/>
      <c r="D435" s="128"/>
      <c r="E435" s="128"/>
      <c r="N435" s="878"/>
      <c r="P435" s="879"/>
      <c r="R435" s="64"/>
      <c r="S435" s="64"/>
      <c r="T435" s="64"/>
      <c r="U435" s="64"/>
    </row>
    <row r="436" spans="1:21" s="71" customFormat="1" hidden="1">
      <c r="A436" s="64"/>
      <c r="B436" s="878"/>
      <c r="C436" s="128"/>
      <c r="D436" s="128"/>
      <c r="E436" s="128"/>
      <c r="N436" s="878"/>
      <c r="P436" s="879"/>
      <c r="R436" s="64"/>
      <c r="S436" s="64"/>
      <c r="T436" s="64"/>
      <c r="U436" s="64"/>
    </row>
    <row r="437" spans="1:21" s="71" customFormat="1" hidden="1">
      <c r="A437" s="64"/>
      <c r="B437" s="878"/>
      <c r="C437" s="128"/>
      <c r="D437" s="128"/>
      <c r="E437" s="128"/>
      <c r="N437" s="878"/>
      <c r="P437" s="879"/>
      <c r="R437" s="64"/>
      <c r="S437" s="64"/>
      <c r="T437" s="64"/>
      <c r="U437" s="64"/>
    </row>
    <row r="438" spans="1:21" s="71" customFormat="1" hidden="1">
      <c r="A438" s="64"/>
      <c r="B438" s="878"/>
      <c r="C438" s="128"/>
      <c r="D438" s="128"/>
      <c r="E438" s="128"/>
      <c r="N438" s="878"/>
      <c r="P438" s="879"/>
      <c r="R438" s="64"/>
      <c r="S438" s="64"/>
      <c r="T438" s="64"/>
      <c r="U438" s="64"/>
    </row>
    <row r="439" spans="1:21" s="71" customFormat="1" hidden="1">
      <c r="A439" s="64"/>
      <c r="B439" s="878"/>
      <c r="C439" s="128"/>
      <c r="D439" s="128"/>
      <c r="E439" s="128"/>
      <c r="N439" s="878"/>
      <c r="P439" s="879"/>
      <c r="R439" s="64"/>
      <c r="S439" s="64"/>
      <c r="T439" s="64"/>
      <c r="U439" s="64"/>
    </row>
    <row r="440" spans="1:21" s="71" customFormat="1" hidden="1">
      <c r="A440" s="64"/>
      <c r="B440" s="878"/>
      <c r="C440" s="128"/>
      <c r="D440" s="128"/>
      <c r="E440" s="128"/>
      <c r="N440" s="878"/>
      <c r="P440" s="879"/>
      <c r="R440" s="64"/>
      <c r="S440" s="64"/>
      <c r="T440" s="64"/>
      <c r="U440" s="64"/>
    </row>
    <row r="441" spans="1:21" s="71" customFormat="1" hidden="1">
      <c r="A441" s="64"/>
      <c r="B441" s="878"/>
      <c r="C441" s="128"/>
      <c r="D441" s="128"/>
      <c r="E441" s="128"/>
      <c r="N441" s="878"/>
      <c r="P441" s="879"/>
      <c r="R441" s="64"/>
      <c r="S441" s="64"/>
      <c r="T441" s="64"/>
      <c r="U441" s="64"/>
    </row>
    <row r="442" spans="1:21" s="71" customFormat="1" hidden="1">
      <c r="A442" s="64"/>
      <c r="B442" s="878"/>
      <c r="C442" s="128"/>
      <c r="D442" s="128"/>
      <c r="E442" s="128"/>
      <c r="N442" s="878"/>
      <c r="P442" s="879"/>
      <c r="R442" s="64"/>
      <c r="S442" s="64"/>
      <c r="T442" s="64"/>
      <c r="U442" s="64"/>
    </row>
    <row r="443" spans="1:21" s="71" customFormat="1" hidden="1">
      <c r="A443" s="64"/>
      <c r="B443" s="878"/>
      <c r="C443" s="128"/>
      <c r="D443" s="128"/>
      <c r="E443" s="128"/>
      <c r="N443" s="878"/>
      <c r="P443" s="879"/>
      <c r="R443" s="64"/>
      <c r="S443" s="64"/>
      <c r="T443" s="64"/>
      <c r="U443" s="64"/>
    </row>
    <row r="444" spans="1:21" s="71" customFormat="1" hidden="1">
      <c r="A444" s="64"/>
      <c r="B444" s="878"/>
      <c r="C444" s="128"/>
      <c r="D444" s="128"/>
      <c r="E444" s="128"/>
      <c r="N444" s="878"/>
      <c r="P444" s="879"/>
      <c r="R444" s="64"/>
      <c r="S444" s="64"/>
      <c r="T444" s="64"/>
      <c r="U444" s="64"/>
    </row>
    <row r="445" spans="1:21" s="71" customFormat="1" hidden="1">
      <c r="A445" s="64"/>
      <c r="B445" s="878"/>
      <c r="C445" s="128"/>
      <c r="D445" s="128"/>
      <c r="E445" s="128"/>
      <c r="N445" s="878"/>
      <c r="P445" s="879"/>
      <c r="R445" s="64"/>
      <c r="S445" s="64"/>
      <c r="T445" s="64"/>
      <c r="U445" s="64"/>
    </row>
    <row r="446" spans="1:21" s="71" customFormat="1" hidden="1">
      <c r="A446" s="64"/>
      <c r="B446" s="878"/>
      <c r="C446" s="128"/>
      <c r="D446" s="128"/>
      <c r="E446" s="128"/>
      <c r="N446" s="878"/>
      <c r="P446" s="879"/>
      <c r="R446" s="64"/>
      <c r="S446" s="64"/>
      <c r="T446" s="64"/>
      <c r="U446" s="64"/>
    </row>
    <row r="447" spans="1:21" s="71" customFormat="1" hidden="1">
      <c r="A447" s="64"/>
      <c r="B447" s="878"/>
      <c r="C447" s="128"/>
      <c r="D447" s="128"/>
      <c r="E447" s="128"/>
      <c r="N447" s="878"/>
      <c r="P447" s="879"/>
      <c r="R447" s="64"/>
      <c r="S447" s="64"/>
      <c r="T447" s="64"/>
      <c r="U447" s="64"/>
    </row>
    <row r="448" spans="1:21" s="71" customFormat="1" hidden="1">
      <c r="A448" s="64"/>
      <c r="B448" s="878"/>
      <c r="C448" s="128"/>
      <c r="D448" s="128"/>
      <c r="E448" s="128"/>
      <c r="N448" s="878"/>
      <c r="P448" s="879"/>
      <c r="R448" s="64"/>
      <c r="S448" s="64"/>
      <c r="T448" s="64"/>
      <c r="U448" s="64"/>
    </row>
    <row r="449" spans="1:21" s="71" customFormat="1" hidden="1">
      <c r="A449" s="64"/>
      <c r="B449" s="878"/>
      <c r="C449" s="128"/>
      <c r="D449" s="128"/>
      <c r="E449" s="128"/>
      <c r="N449" s="878"/>
      <c r="P449" s="879"/>
      <c r="R449" s="64"/>
      <c r="S449" s="64"/>
      <c r="T449" s="64"/>
      <c r="U449" s="64"/>
    </row>
    <row r="450" spans="1:21" s="71" customFormat="1" hidden="1">
      <c r="A450" s="64"/>
      <c r="B450" s="878"/>
      <c r="C450" s="128"/>
      <c r="D450" s="128"/>
      <c r="E450" s="128"/>
      <c r="N450" s="878"/>
      <c r="P450" s="879"/>
      <c r="R450" s="64"/>
      <c r="S450" s="64"/>
      <c r="T450" s="64"/>
      <c r="U450" s="64"/>
    </row>
    <row r="451" spans="1:21" s="71" customFormat="1" hidden="1">
      <c r="A451" s="64"/>
      <c r="B451" s="878"/>
      <c r="C451" s="128"/>
      <c r="D451" s="128"/>
      <c r="E451" s="128"/>
      <c r="N451" s="878"/>
      <c r="P451" s="879"/>
      <c r="R451" s="64"/>
      <c r="S451" s="64"/>
      <c r="T451" s="64"/>
      <c r="U451" s="64"/>
    </row>
    <row r="452" spans="1:21" s="71" customFormat="1" hidden="1">
      <c r="A452" s="64"/>
      <c r="B452" s="878"/>
      <c r="C452" s="128"/>
      <c r="D452" s="128"/>
      <c r="E452" s="128"/>
      <c r="N452" s="878"/>
      <c r="P452" s="879"/>
      <c r="R452" s="64"/>
      <c r="S452" s="64"/>
      <c r="T452" s="64"/>
      <c r="U452" s="64"/>
    </row>
    <row r="453" spans="1:21" s="71" customFormat="1" hidden="1">
      <c r="A453" s="64"/>
      <c r="B453" s="878"/>
      <c r="C453" s="128"/>
      <c r="D453" s="128"/>
      <c r="E453" s="128"/>
      <c r="N453" s="878"/>
      <c r="P453" s="879"/>
      <c r="R453" s="64"/>
      <c r="S453" s="64"/>
      <c r="T453" s="64"/>
      <c r="U453" s="64"/>
    </row>
    <row r="454" spans="1:21" s="71" customFormat="1" hidden="1">
      <c r="A454" s="64"/>
      <c r="B454" s="878"/>
      <c r="C454" s="128"/>
      <c r="D454" s="128"/>
      <c r="E454" s="128"/>
      <c r="N454" s="878"/>
      <c r="P454" s="879"/>
      <c r="R454" s="64"/>
      <c r="S454" s="64"/>
      <c r="T454" s="64"/>
      <c r="U454" s="64"/>
    </row>
    <row r="455" spans="1:21" s="71" customFormat="1" hidden="1">
      <c r="A455" s="64"/>
      <c r="B455" s="878"/>
      <c r="C455" s="128"/>
      <c r="D455" s="128"/>
      <c r="E455" s="128"/>
      <c r="N455" s="878"/>
      <c r="P455" s="879"/>
      <c r="R455" s="64"/>
      <c r="S455" s="64"/>
      <c r="T455" s="64"/>
      <c r="U455" s="64"/>
    </row>
    <row r="456" spans="1:21" s="71" customFormat="1" hidden="1">
      <c r="A456" s="64"/>
      <c r="B456" s="878"/>
      <c r="C456" s="128"/>
      <c r="D456" s="128"/>
      <c r="E456" s="128"/>
      <c r="N456" s="878"/>
      <c r="P456" s="879"/>
      <c r="R456" s="64"/>
      <c r="S456" s="64"/>
      <c r="T456" s="64"/>
      <c r="U456" s="64"/>
    </row>
    <row r="457" spans="1:21" s="71" customFormat="1" hidden="1">
      <c r="A457" s="64"/>
      <c r="B457" s="878"/>
      <c r="C457" s="128"/>
      <c r="D457" s="128"/>
      <c r="E457" s="128"/>
      <c r="N457" s="878"/>
      <c r="P457" s="879"/>
      <c r="R457" s="64"/>
      <c r="S457" s="64"/>
      <c r="T457" s="64"/>
      <c r="U457" s="64"/>
    </row>
    <row r="458" spans="1:21" s="71" customFormat="1" hidden="1">
      <c r="A458" s="64"/>
      <c r="B458" s="878"/>
      <c r="C458" s="128"/>
      <c r="D458" s="128"/>
      <c r="E458" s="128"/>
      <c r="N458" s="878"/>
      <c r="P458" s="879"/>
      <c r="R458" s="64"/>
      <c r="S458" s="64"/>
      <c r="T458" s="64"/>
      <c r="U458" s="64"/>
    </row>
    <row r="459" spans="1:21" s="71" customFormat="1" hidden="1">
      <c r="A459" s="64"/>
      <c r="B459" s="878"/>
      <c r="C459" s="128"/>
      <c r="D459" s="128"/>
      <c r="E459" s="128"/>
      <c r="N459" s="878"/>
      <c r="P459" s="879"/>
      <c r="R459" s="64"/>
      <c r="S459" s="64"/>
      <c r="T459" s="64"/>
      <c r="U459" s="64"/>
    </row>
    <row r="460" spans="1:21" s="71" customFormat="1" hidden="1">
      <c r="A460" s="64"/>
      <c r="B460" s="878"/>
      <c r="C460" s="128"/>
      <c r="D460" s="128"/>
      <c r="E460" s="128"/>
      <c r="N460" s="878"/>
      <c r="P460" s="879"/>
      <c r="R460" s="64"/>
      <c r="S460" s="64"/>
      <c r="T460" s="64"/>
      <c r="U460" s="64"/>
    </row>
    <row r="461" spans="1:21" s="71" customFormat="1" hidden="1">
      <c r="A461" s="64"/>
      <c r="B461" s="878"/>
      <c r="C461" s="128"/>
      <c r="D461" s="128"/>
      <c r="E461" s="128"/>
      <c r="N461" s="878"/>
      <c r="P461" s="879"/>
      <c r="R461" s="64"/>
      <c r="S461" s="64"/>
      <c r="T461" s="64"/>
      <c r="U461" s="64"/>
    </row>
    <row r="462" spans="1:21" s="71" customFormat="1" hidden="1">
      <c r="A462" s="64"/>
      <c r="B462" s="878"/>
      <c r="C462" s="128"/>
      <c r="D462" s="128"/>
      <c r="E462" s="128"/>
      <c r="N462" s="878"/>
      <c r="P462" s="879"/>
      <c r="R462" s="64"/>
      <c r="S462" s="64"/>
      <c r="T462" s="64"/>
      <c r="U462" s="64"/>
    </row>
    <row r="463" spans="1:21" s="71" customFormat="1" hidden="1">
      <c r="A463" s="64"/>
      <c r="B463" s="878"/>
      <c r="C463" s="128"/>
      <c r="D463" s="128"/>
      <c r="E463" s="128"/>
      <c r="N463" s="878"/>
      <c r="P463" s="879"/>
      <c r="R463" s="64"/>
      <c r="S463" s="64"/>
      <c r="T463" s="64"/>
      <c r="U463" s="64"/>
    </row>
    <row r="464" spans="1:21" s="71" customFormat="1" hidden="1">
      <c r="A464" s="64"/>
      <c r="B464" s="878"/>
      <c r="C464" s="128"/>
      <c r="D464" s="128"/>
      <c r="E464" s="128"/>
      <c r="N464" s="878"/>
      <c r="P464" s="879"/>
      <c r="R464" s="64"/>
      <c r="S464" s="64"/>
      <c r="T464" s="64"/>
      <c r="U464" s="64"/>
    </row>
    <row r="465" spans="1:21" s="71" customFormat="1" hidden="1">
      <c r="A465" s="64"/>
      <c r="B465" s="878"/>
      <c r="C465" s="128"/>
      <c r="D465" s="128"/>
      <c r="E465" s="128"/>
      <c r="N465" s="878"/>
      <c r="P465" s="879"/>
      <c r="R465" s="64"/>
      <c r="S465" s="64"/>
      <c r="T465" s="64"/>
      <c r="U465" s="64"/>
    </row>
    <row r="466" spans="1:21" s="71" customFormat="1" hidden="1">
      <c r="A466" s="64"/>
      <c r="B466" s="878"/>
      <c r="C466" s="128"/>
      <c r="D466" s="128"/>
      <c r="E466" s="128"/>
      <c r="N466" s="878"/>
      <c r="P466" s="879"/>
      <c r="R466" s="64"/>
      <c r="S466" s="64"/>
      <c r="T466" s="64"/>
      <c r="U466" s="64"/>
    </row>
    <row r="467" spans="1:21" s="71" customFormat="1" hidden="1">
      <c r="A467" s="64"/>
      <c r="B467" s="878"/>
      <c r="C467" s="128"/>
      <c r="D467" s="128"/>
      <c r="E467" s="128"/>
      <c r="N467" s="878"/>
      <c r="P467" s="879"/>
      <c r="R467" s="64"/>
      <c r="S467" s="64"/>
      <c r="T467" s="64"/>
      <c r="U467" s="64"/>
    </row>
    <row r="468" spans="1:21" s="71" customFormat="1" hidden="1">
      <c r="A468" s="64"/>
      <c r="B468" s="878"/>
      <c r="C468" s="128"/>
      <c r="D468" s="128"/>
      <c r="E468" s="128"/>
      <c r="N468" s="878"/>
      <c r="P468" s="879"/>
      <c r="R468" s="64"/>
      <c r="S468" s="64"/>
      <c r="T468" s="64"/>
      <c r="U468" s="64"/>
    </row>
    <row r="469" spans="1:21" s="71" customFormat="1" hidden="1">
      <c r="A469" s="64"/>
      <c r="B469" s="878"/>
      <c r="C469" s="128"/>
      <c r="D469" s="128"/>
      <c r="E469" s="128"/>
      <c r="N469" s="878"/>
      <c r="P469" s="879"/>
      <c r="R469" s="64"/>
      <c r="S469" s="64"/>
      <c r="T469" s="64"/>
      <c r="U469" s="64"/>
    </row>
    <row r="470" spans="1:21" s="71" customFormat="1" hidden="1">
      <c r="A470" s="64"/>
      <c r="B470" s="878"/>
      <c r="C470" s="128"/>
      <c r="D470" s="128"/>
      <c r="E470" s="128"/>
      <c r="N470" s="878"/>
      <c r="P470" s="879"/>
      <c r="R470" s="64"/>
      <c r="S470" s="64"/>
      <c r="T470" s="64"/>
      <c r="U470" s="64"/>
    </row>
    <row r="471" spans="1:21" s="71" customFormat="1" hidden="1">
      <c r="A471" s="64"/>
      <c r="B471" s="878"/>
      <c r="C471" s="128"/>
      <c r="D471" s="128"/>
      <c r="E471" s="128"/>
      <c r="N471" s="878"/>
      <c r="P471" s="879"/>
      <c r="R471" s="64"/>
      <c r="S471" s="64"/>
      <c r="T471" s="64"/>
      <c r="U471" s="64"/>
    </row>
    <row r="472" spans="1:21" s="71" customFormat="1" hidden="1">
      <c r="A472" s="64"/>
      <c r="B472" s="878"/>
      <c r="C472" s="128"/>
      <c r="D472" s="128"/>
      <c r="E472" s="128"/>
      <c r="N472" s="878"/>
      <c r="P472" s="879"/>
      <c r="R472" s="64"/>
      <c r="S472" s="64"/>
      <c r="T472" s="64"/>
      <c r="U472" s="64"/>
    </row>
    <row r="473" spans="1:21" s="71" customFormat="1" hidden="1">
      <c r="A473" s="64"/>
      <c r="B473" s="878"/>
      <c r="C473" s="128"/>
      <c r="D473" s="128"/>
      <c r="E473" s="128"/>
      <c r="N473" s="878"/>
      <c r="P473" s="879"/>
      <c r="R473" s="64"/>
      <c r="S473" s="64"/>
      <c r="T473" s="64"/>
      <c r="U473" s="64"/>
    </row>
    <row r="474" spans="1:21" s="71" customFormat="1" hidden="1">
      <c r="A474" s="64"/>
      <c r="B474" s="878"/>
      <c r="C474" s="128"/>
      <c r="D474" s="128"/>
      <c r="E474" s="128"/>
      <c r="N474" s="878"/>
      <c r="P474" s="879"/>
      <c r="R474" s="64"/>
      <c r="S474" s="64"/>
      <c r="T474" s="64"/>
      <c r="U474" s="64"/>
    </row>
    <row r="475" spans="1:21" s="71" customFormat="1" hidden="1">
      <c r="A475" s="64"/>
      <c r="B475" s="878"/>
      <c r="C475" s="128"/>
      <c r="D475" s="128"/>
      <c r="E475" s="128"/>
      <c r="N475" s="878"/>
      <c r="P475" s="879"/>
      <c r="R475" s="64"/>
      <c r="S475" s="64"/>
      <c r="T475" s="64"/>
      <c r="U475" s="64"/>
    </row>
    <row r="476" spans="1:21" s="71" customFormat="1" hidden="1">
      <c r="A476" s="64"/>
      <c r="B476" s="878"/>
      <c r="C476" s="128"/>
      <c r="D476" s="128"/>
      <c r="E476" s="128"/>
      <c r="N476" s="878"/>
      <c r="P476" s="879"/>
      <c r="R476" s="64"/>
      <c r="S476" s="64"/>
      <c r="T476" s="64"/>
      <c r="U476" s="64"/>
    </row>
    <row r="477" spans="1:21" s="71" customFormat="1" hidden="1">
      <c r="A477" s="64"/>
      <c r="B477" s="878"/>
      <c r="C477" s="128"/>
      <c r="D477" s="128"/>
      <c r="E477" s="128"/>
      <c r="N477" s="878"/>
      <c r="P477" s="879"/>
      <c r="R477" s="64"/>
      <c r="S477" s="64"/>
      <c r="T477" s="64"/>
      <c r="U477" s="64"/>
    </row>
    <row r="478" spans="1:21" s="71" customFormat="1" hidden="1">
      <c r="A478" s="64"/>
      <c r="B478" s="878"/>
      <c r="C478" s="128"/>
      <c r="D478" s="128"/>
      <c r="E478" s="128"/>
      <c r="N478" s="878"/>
      <c r="P478" s="879"/>
      <c r="R478" s="64"/>
      <c r="S478" s="64"/>
      <c r="T478" s="64"/>
      <c r="U478" s="64"/>
    </row>
    <row r="479" spans="1:21" s="71" customFormat="1" hidden="1">
      <c r="A479" s="64"/>
      <c r="B479" s="878"/>
      <c r="C479" s="128"/>
      <c r="D479" s="128"/>
      <c r="E479" s="128"/>
      <c r="N479" s="878"/>
      <c r="P479" s="879"/>
      <c r="R479" s="64"/>
      <c r="S479" s="64"/>
      <c r="T479" s="64"/>
      <c r="U479" s="64"/>
    </row>
    <row r="480" spans="1:21" s="71" customFormat="1" hidden="1">
      <c r="A480" s="64"/>
      <c r="B480" s="878"/>
      <c r="C480" s="128"/>
      <c r="D480" s="128"/>
      <c r="E480" s="128"/>
      <c r="N480" s="878"/>
      <c r="P480" s="879"/>
      <c r="R480" s="64"/>
      <c r="S480" s="64"/>
      <c r="T480" s="64"/>
      <c r="U480" s="64"/>
    </row>
    <row r="481" spans="1:21" s="71" customFormat="1" hidden="1">
      <c r="A481" s="64"/>
      <c r="B481" s="878"/>
      <c r="C481" s="128"/>
      <c r="D481" s="128"/>
      <c r="E481" s="128"/>
      <c r="N481" s="878"/>
      <c r="P481" s="879"/>
      <c r="R481" s="64"/>
      <c r="S481" s="64"/>
      <c r="T481" s="64"/>
      <c r="U481" s="64"/>
    </row>
    <row r="482" spans="1:21" s="71" customFormat="1" hidden="1">
      <c r="A482" s="64"/>
      <c r="B482" s="878"/>
      <c r="C482" s="128"/>
      <c r="D482" s="128"/>
      <c r="E482" s="128"/>
      <c r="N482" s="878"/>
      <c r="P482" s="879"/>
      <c r="R482" s="64"/>
      <c r="S482" s="64"/>
      <c r="T482" s="64"/>
      <c r="U482" s="64"/>
    </row>
    <row r="483" spans="1:21" s="71" customFormat="1" hidden="1">
      <c r="A483" s="64"/>
      <c r="B483" s="878"/>
      <c r="C483" s="128"/>
      <c r="D483" s="128"/>
      <c r="E483" s="128"/>
      <c r="N483" s="878"/>
      <c r="P483" s="879"/>
      <c r="R483" s="64"/>
      <c r="S483" s="64"/>
      <c r="T483" s="64"/>
      <c r="U483" s="64"/>
    </row>
    <row r="484" spans="1:21" s="71" customFormat="1" hidden="1">
      <c r="A484" s="64"/>
      <c r="B484" s="878"/>
      <c r="C484" s="128"/>
      <c r="D484" s="128"/>
      <c r="E484" s="128"/>
      <c r="N484" s="878"/>
      <c r="P484" s="879"/>
      <c r="R484" s="64"/>
      <c r="S484" s="64"/>
      <c r="T484" s="64"/>
      <c r="U484" s="64"/>
    </row>
    <row r="485" spans="1:21" s="71" customFormat="1" hidden="1">
      <c r="A485" s="64"/>
      <c r="B485" s="878"/>
      <c r="C485" s="128"/>
      <c r="D485" s="128"/>
      <c r="E485" s="128"/>
      <c r="N485" s="878"/>
      <c r="P485" s="879"/>
      <c r="R485" s="64"/>
      <c r="S485" s="64"/>
      <c r="T485" s="64"/>
      <c r="U485" s="64"/>
    </row>
    <row r="486" spans="1:21" s="71" customFormat="1" hidden="1">
      <c r="A486" s="64"/>
      <c r="B486" s="878"/>
      <c r="C486" s="128"/>
      <c r="D486" s="128"/>
      <c r="E486" s="128"/>
      <c r="N486" s="878"/>
      <c r="P486" s="879"/>
      <c r="R486" s="64"/>
      <c r="S486" s="64"/>
      <c r="T486" s="64"/>
      <c r="U486" s="64"/>
    </row>
    <row r="487" spans="1:21" s="71" customFormat="1" hidden="1">
      <c r="A487" s="64"/>
      <c r="B487" s="878"/>
      <c r="C487" s="128"/>
      <c r="D487" s="128"/>
      <c r="E487" s="128"/>
      <c r="N487" s="878"/>
      <c r="P487" s="879"/>
      <c r="R487" s="64"/>
      <c r="S487" s="64"/>
      <c r="T487" s="64"/>
      <c r="U487" s="64"/>
    </row>
    <row r="488" spans="1:21" s="71" customFormat="1" hidden="1">
      <c r="A488" s="64"/>
      <c r="B488" s="878"/>
      <c r="C488" s="128"/>
      <c r="D488" s="128"/>
      <c r="E488" s="128"/>
      <c r="N488" s="878"/>
      <c r="P488" s="879"/>
      <c r="R488" s="64"/>
      <c r="S488" s="64"/>
      <c r="T488" s="64"/>
      <c r="U488" s="64"/>
    </row>
    <row r="489" spans="1:21" s="71" customFormat="1" hidden="1">
      <c r="A489" s="64"/>
      <c r="B489" s="878"/>
      <c r="C489" s="128"/>
      <c r="D489" s="128"/>
      <c r="E489" s="128"/>
      <c r="N489" s="878"/>
      <c r="P489" s="879"/>
      <c r="R489" s="64"/>
      <c r="S489" s="64"/>
      <c r="T489" s="64"/>
      <c r="U489" s="64"/>
    </row>
    <row r="490" spans="1:21" s="71" customFormat="1" hidden="1">
      <c r="A490" s="64"/>
      <c r="B490" s="878"/>
      <c r="C490" s="128"/>
      <c r="D490" s="128"/>
      <c r="E490" s="128"/>
      <c r="N490" s="878"/>
      <c r="P490" s="879"/>
      <c r="R490" s="64"/>
      <c r="S490" s="64"/>
      <c r="T490" s="64"/>
      <c r="U490" s="64"/>
    </row>
    <row r="491" spans="1:21" s="71" customFormat="1" hidden="1">
      <c r="A491" s="64"/>
      <c r="B491" s="878"/>
      <c r="C491" s="128"/>
      <c r="D491" s="128"/>
      <c r="E491" s="128"/>
      <c r="N491" s="878"/>
      <c r="P491" s="879"/>
      <c r="R491" s="64"/>
      <c r="S491" s="64"/>
      <c r="T491" s="64"/>
      <c r="U491" s="64"/>
    </row>
    <row r="492" spans="1:21" s="71" customFormat="1" hidden="1">
      <c r="A492" s="64"/>
      <c r="B492" s="878"/>
      <c r="C492" s="128"/>
      <c r="D492" s="128"/>
      <c r="E492" s="128"/>
      <c r="N492" s="878"/>
      <c r="P492" s="879"/>
      <c r="R492" s="64"/>
      <c r="S492" s="64"/>
      <c r="T492" s="64"/>
      <c r="U492" s="64"/>
    </row>
    <row r="493" spans="1:21" s="71" customFormat="1" hidden="1">
      <c r="A493" s="64"/>
      <c r="B493" s="878"/>
      <c r="C493" s="128"/>
      <c r="D493" s="128"/>
      <c r="E493" s="128"/>
      <c r="N493" s="878"/>
      <c r="P493" s="879"/>
      <c r="R493" s="64"/>
      <c r="S493" s="64"/>
      <c r="T493" s="64"/>
      <c r="U493" s="64"/>
    </row>
    <row r="494" spans="1:21" s="71" customFormat="1" hidden="1">
      <c r="A494" s="64"/>
      <c r="B494" s="878"/>
      <c r="C494" s="128"/>
      <c r="D494" s="128"/>
      <c r="E494" s="128"/>
      <c r="N494" s="878"/>
      <c r="P494" s="879"/>
      <c r="R494" s="64"/>
      <c r="S494" s="64"/>
      <c r="T494" s="64"/>
      <c r="U494" s="64"/>
    </row>
    <row r="495" spans="1:21" s="71" customFormat="1" hidden="1">
      <c r="A495" s="64"/>
      <c r="B495" s="878"/>
      <c r="C495" s="128"/>
      <c r="D495" s="128"/>
      <c r="E495" s="128"/>
      <c r="N495" s="878"/>
      <c r="P495" s="879"/>
      <c r="R495" s="64"/>
      <c r="S495" s="64"/>
      <c r="T495" s="64"/>
      <c r="U495" s="64"/>
    </row>
    <row r="496" spans="1:21" s="71" customFormat="1" hidden="1">
      <c r="A496" s="64"/>
      <c r="B496" s="878"/>
      <c r="C496" s="128"/>
      <c r="D496" s="128"/>
      <c r="E496" s="128"/>
      <c r="N496" s="878"/>
      <c r="P496" s="879"/>
      <c r="R496" s="64"/>
      <c r="S496" s="64"/>
      <c r="T496" s="64"/>
      <c r="U496" s="64"/>
    </row>
    <row r="497" spans="1:21" s="71" customFormat="1" hidden="1">
      <c r="A497" s="64"/>
      <c r="B497" s="878"/>
      <c r="C497" s="128"/>
      <c r="D497" s="128"/>
      <c r="E497" s="128"/>
      <c r="N497" s="878"/>
      <c r="P497" s="879"/>
      <c r="R497" s="64"/>
      <c r="S497" s="64"/>
      <c r="T497" s="64"/>
      <c r="U497" s="64"/>
    </row>
    <row r="498" spans="1:21" s="71" customFormat="1" hidden="1">
      <c r="A498" s="64"/>
      <c r="B498" s="878"/>
      <c r="C498" s="128"/>
      <c r="D498" s="128"/>
      <c r="E498" s="128"/>
      <c r="N498" s="878"/>
      <c r="P498" s="879"/>
      <c r="R498" s="64"/>
      <c r="S498" s="64"/>
      <c r="T498" s="64"/>
      <c r="U498" s="64"/>
    </row>
    <row r="499" spans="1:21" s="71" customFormat="1" hidden="1">
      <c r="A499" s="64"/>
      <c r="B499" s="878"/>
      <c r="C499" s="128"/>
      <c r="D499" s="128"/>
      <c r="E499" s="128"/>
      <c r="N499" s="878"/>
      <c r="P499" s="879"/>
      <c r="R499" s="64"/>
      <c r="S499" s="64"/>
      <c r="T499" s="64"/>
      <c r="U499" s="64"/>
    </row>
    <row r="500" spans="1:21" s="71" customFormat="1" hidden="1">
      <c r="A500" s="64"/>
      <c r="B500" s="878"/>
      <c r="C500" s="128"/>
      <c r="D500" s="128"/>
      <c r="E500" s="128"/>
      <c r="N500" s="878"/>
      <c r="P500" s="879"/>
      <c r="R500" s="64"/>
      <c r="S500" s="64"/>
      <c r="T500" s="64"/>
      <c r="U500" s="64"/>
    </row>
    <row r="501" spans="1:21" s="71" customFormat="1" hidden="1">
      <c r="A501" s="64"/>
      <c r="B501" s="878"/>
      <c r="C501" s="128"/>
      <c r="D501" s="128"/>
      <c r="E501" s="128"/>
      <c r="N501" s="878"/>
      <c r="P501" s="879"/>
      <c r="R501" s="64"/>
      <c r="S501" s="64"/>
      <c r="T501" s="64"/>
      <c r="U501" s="64"/>
    </row>
    <row r="502" spans="1:21" s="71" customFormat="1" hidden="1">
      <c r="A502" s="64"/>
      <c r="B502" s="878"/>
      <c r="C502" s="128"/>
      <c r="D502" s="128"/>
      <c r="E502" s="128"/>
      <c r="N502" s="878"/>
      <c r="P502" s="879"/>
      <c r="R502" s="64"/>
      <c r="S502" s="64"/>
      <c r="T502" s="64"/>
      <c r="U502" s="64"/>
    </row>
    <row r="503" spans="1:21" s="71" customFormat="1" hidden="1">
      <c r="A503" s="64"/>
      <c r="B503" s="878"/>
      <c r="C503" s="128"/>
      <c r="D503" s="128"/>
      <c r="E503" s="128"/>
      <c r="N503" s="878"/>
      <c r="P503" s="879"/>
      <c r="R503" s="64"/>
      <c r="S503" s="64"/>
      <c r="T503" s="64"/>
      <c r="U503" s="64"/>
    </row>
    <row r="504" spans="1:21" s="71" customFormat="1" hidden="1">
      <c r="A504" s="64"/>
      <c r="B504" s="878"/>
      <c r="C504" s="128"/>
      <c r="D504" s="128"/>
      <c r="E504" s="128"/>
      <c r="N504" s="878"/>
      <c r="P504" s="879"/>
      <c r="R504" s="64"/>
      <c r="S504" s="64"/>
      <c r="T504" s="64"/>
      <c r="U504" s="64"/>
    </row>
    <row r="505" spans="1:21" s="71" customFormat="1" hidden="1">
      <c r="A505" s="64"/>
      <c r="B505" s="878"/>
      <c r="C505" s="128"/>
      <c r="D505" s="128"/>
      <c r="E505" s="128"/>
      <c r="N505" s="878"/>
      <c r="P505" s="879"/>
      <c r="R505" s="64"/>
      <c r="S505" s="64"/>
      <c r="T505" s="64"/>
      <c r="U505" s="64"/>
    </row>
    <row r="506" spans="1:21" s="71" customFormat="1" hidden="1">
      <c r="A506" s="64"/>
      <c r="B506" s="878"/>
      <c r="C506" s="128"/>
      <c r="D506" s="128"/>
      <c r="E506" s="128"/>
      <c r="N506" s="878"/>
      <c r="P506" s="879"/>
      <c r="R506" s="64"/>
      <c r="S506" s="64"/>
      <c r="T506" s="64"/>
      <c r="U506" s="64"/>
    </row>
    <row r="507" spans="1:21" s="71" customFormat="1" hidden="1">
      <c r="A507" s="64"/>
      <c r="B507" s="878"/>
      <c r="C507" s="128"/>
      <c r="D507" s="128"/>
      <c r="E507" s="128"/>
      <c r="N507" s="878"/>
      <c r="P507" s="879"/>
      <c r="R507" s="64"/>
      <c r="S507" s="64"/>
      <c r="T507" s="64"/>
      <c r="U507" s="64"/>
    </row>
    <row r="508" spans="1:21" s="71" customFormat="1" hidden="1">
      <c r="A508" s="64"/>
      <c r="B508" s="878"/>
      <c r="C508" s="128"/>
      <c r="D508" s="128"/>
      <c r="E508" s="128"/>
      <c r="N508" s="878"/>
      <c r="P508" s="879"/>
      <c r="R508" s="64"/>
      <c r="S508" s="64"/>
      <c r="T508" s="64"/>
      <c r="U508" s="64"/>
    </row>
    <row r="509" spans="1:21" s="71" customFormat="1" hidden="1">
      <c r="A509" s="64"/>
      <c r="B509" s="878"/>
      <c r="C509" s="128"/>
      <c r="D509" s="128"/>
      <c r="E509" s="128"/>
      <c r="N509" s="878"/>
      <c r="P509" s="879"/>
      <c r="R509" s="64"/>
      <c r="S509" s="64"/>
      <c r="T509" s="64"/>
      <c r="U509" s="64"/>
    </row>
    <row r="510" spans="1:21" s="71" customFormat="1" hidden="1">
      <c r="A510" s="64"/>
      <c r="B510" s="878"/>
      <c r="C510" s="128"/>
      <c r="D510" s="128"/>
      <c r="E510" s="128"/>
      <c r="N510" s="878"/>
      <c r="P510" s="879"/>
      <c r="R510" s="64"/>
      <c r="S510" s="64"/>
      <c r="T510" s="64"/>
      <c r="U510" s="64"/>
    </row>
    <row r="511" spans="1:21" s="71" customFormat="1" hidden="1">
      <c r="A511" s="64"/>
      <c r="B511" s="878"/>
      <c r="C511" s="128"/>
      <c r="D511" s="128"/>
      <c r="E511" s="128"/>
      <c r="N511" s="878"/>
      <c r="P511" s="879"/>
      <c r="R511" s="64"/>
      <c r="S511" s="64"/>
      <c r="T511" s="64"/>
      <c r="U511" s="64"/>
    </row>
    <row r="512" spans="1:21" s="71" customFormat="1" hidden="1">
      <c r="A512" s="64"/>
      <c r="B512" s="878"/>
      <c r="C512" s="128"/>
      <c r="D512" s="128"/>
      <c r="E512" s="128"/>
      <c r="N512" s="878"/>
      <c r="P512" s="879"/>
      <c r="R512" s="64"/>
      <c r="S512" s="64"/>
      <c r="T512" s="64"/>
      <c r="U512" s="64"/>
    </row>
    <row r="513" spans="1:21" s="71" customFormat="1" hidden="1">
      <c r="A513" s="64"/>
      <c r="B513" s="878"/>
      <c r="C513" s="128"/>
      <c r="D513" s="128"/>
      <c r="E513" s="128"/>
      <c r="N513" s="878"/>
      <c r="P513" s="879"/>
      <c r="R513" s="64"/>
      <c r="S513" s="64"/>
      <c r="T513" s="64"/>
      <c r="U513" s="64"/>
    </row>
    <row r="514" spans="1:21" s="71" customFormat="1" hidden="1">
      <c r="A514" s="64"/>
      <c r="B514" s="878"/>
      <c r="C514" s="128"/>
      <c r="D514" s="128"/>
      <c r="E514" s="128"/>
      <c r="N514" s="878"/>
      <c r="P514" s="879"/>
      <c r="R514" s="64"/>
      <c r="S514" s="64"/>
      <c r="T514" s="64"/>
      <c r="U514" s="64"/>
    </row>
    <row r="515" spans="1:21" s="71" customFormat="1" hidden="1">
      <c r="A515" s="64"/>
      <c r="B515" s="878"/>
      <c r="C515" s="128"/>
      <c r="D515" s="128"/>
      <c r="E515" s="128"/>
      <c r="N515" s="878"/>
      <c r="P515" s="879"/>
      <c r="R515" s="64"/>
      <c r="S515" s="64"/>
      <c r="T515" s="64"/>
      <c r="U515" s="64"/>
    </row>
    <row r="516" spans="1:21" s="71" customFormat="1" hidden="1">
      <c r="A516" s="64"/>
      <c r="B516" s="878"/>
      <c r="C516" s="128"/>
      <c r="D516" s="128"/>
      <c r="E516" s="128"/>
      <c r="N516" s="878"/>
      <c r="P516" s="879"/>
      <c r="R516" s="64"/>
      <c r="S516" s="64"/>
      <c r="T516" s="64"/>
      <c r="U516" s="64"/>
    </row>
    <row r="517" spans="1:21" s="71" customFormat="1" hidden="1">
      <c r="A517" s="64"/>
      <c r="B517" s="878"/>
      <c r="C517" s="128"/>
      <c r="D517" s="128"/>
      <c r="E517" s="128"/>
      <c r="N517" s="878"/>
      <c r="P517" s="879"/>
      <c r="R517" s="64"/>
      <c r="S517" s="64"/>
      <c r="T517" s="64"/>
      <c r="U517" s="64"/>
    </row>
    <row r="518" spans="1:21" s="71" customFormat="1" hidden="1">
      <c r="A518" s="64"/>
      <c r="B518" s="878"/>
      <c r="C518" s="128"/>
      <c r="D518" s="128"/>
      <c r="E518" s="128"/>
      <c r="N518" s="878"/>
      <c r="P518" s="879"/>
      <c r="R518" s="64"/>
      <c r="S518" s="64"/>
      <c r="T518" s="64"/>
      <c r="U518" s="64"/>
    </row>
    <row r="519" spans="1:21" s="71" customFormat="1" hidden="1">
      <c r="A519" s="64"/>
      <c r="B519" s="878"/>
      <c r="C519" s="128"/>
      <c r="D519" s="128"/>
      <c r="E519" s="128"/>
      <c r="N519" s="878"/>
      <c r="P519" s="879"/>
      <c r="R519" s="64"/>
      <c r="S519" s="64"/>
      <c r="T519" s="64"/>
      <c r="U519" s="64"/>
    </row>
    <row r="520" spans="1:21" s="71" customFormat="1" hidden="1">
      <c r="A520" s="64"/>
      <c r="B520" s="878"/>
      <c r="C520" s="128"/>
      <c r="D520" s="128"/>
      <c r="E520" s="128"/>
      <c r="N520" s="878"/>
      <c r="P520" s="879"/>
      <c r="R520" s="64"/>
      <c r="S520" s="64"/>
      <c r="T520" s="64"/>
      <c r="U520" s="64"/>
    </row>
    <row r="521" spans="1:21" s="71" customFormat="1" hidden="1">
      <c r="A521" s="64"/>
      <c r="B521" s="878"/>
      <c r="C521" s="128"/>
      <c r="D521" s="128"/>
      <c r="E521" s="128"/>
      <c r="N521" s="878"/>
      <c r="P521" s="879"/>
      <c r="R521" s="64"/>
      <c r="S521" s="64"/>
      <c r="T521" s="64"/>
      <c r="U521" s="64"/>
    </row>
    <row r="522" spans="1:21" s="71" customFormat="1" hidden="1">
      <c r="A522" s="64"/>
      <c r="B522" s="878"/>
      <c r="C522" s="128"/>
      <c r="D522" s="128"/>
      <c r="E522" s="128"/>
      <c r="N522" s="878"/>
      <c r="P522" s="879"/>
      <c r="R522" s="64"/>
      <c r="S522" s="64"/>
      <c r="T522" s="64"/>
      <c r="U522" s="64"/>
    </row>
    <row r="523" spans="1:21" s="71" customFormat="1" hidden="1">
      <c r="A523" s="64"/>
      <c r="B523" s="878"/>
      <c r="C523" s="128"/>
      <c r="D523" s="128"/>
      <c r="E523" s="128"/>
      <c r="N523" s="878"/>
      <c r="P523" s="879"/>
      <c r="R523" s="64"/>
      <c r="S523" s="64"/>
      <c r="T523" s="64"/>
      <c r="U523" s="64"/>
    </row>
    <row r="524" spans="1:21" s="71" customFormat="1" hidden="1">
      <c r="A524" s="64"/>
      <c r="B524" s="878"/>
      <c r="C524" s="128"/>
      <c r="D524" s="128"/>
      <c r="E524" s="128"/>
      <c r="N524" s="878"/>
      <c r="P524" s="879"/>
      <c r="R524" s="64"/>
      <c r="S524" s="64"/>
      <c r="T524" s="64"/>
      <c r="U524" s="64"/>
    </row>
    <row r="525" spans="1:21" s="71" customFormat="1" hidden="1">
      <c r="A525" s="64"/>
      <c r="B525" s="878"/>
      <c r="C525" s="128"/>
      <c r="D525" s="128"/>
      <c r="E525" s="128"/>
      <c r="N525" s="878"/>
      <c r="P525" s="879"/>
      <c r="R525" s="64"/>
      <c r="S525" s="64"/>
      <c r="T525" s="64"/>
      <c r="U525" s="64"/>
    </row>
    <row r="526" spans="1:21" s="71" customFormat="1" hidden="1">
      <c r="A526" s="64"/>
      <c r="B526" s="878"/>
      <c r="C526" s="128"/>
      <c r="D526" s="128"/>
      <c r="E526" s="128"/>
      <c r="N526" s="878"/>
      <c r="P526" s="879"/>
      <c r="R526" s="64"/>
      <c r="S526" s="64"/>
      <c r="T526" s="64"/>
      <c r="U526" s="64"/>
    </row>
    <row r="527" spans="1:21" s="71" customFormat="1" hidden="1">
      <c r="A527" s="64"/>
      <c r="B527" s="878"/>
      <c r="C527" s="128"/>
      <c r="D527" s="128"/>
      <c r="E527" s="128"/>
      <c r="N527" s="878"/>
      <c r="P527" s="879"/>
      <c r="R527" s="64"/>
      <c r="S527" s="64"/>
      <c r="T527" s="64"/>
      <c r="U527" s="64"/>
    </row>
    <row r="528" spans="1:21" s="71" customFormat="1" hidden="1">
      <c r="A528" s="64"/>
      <c r="B528" s="878"/>
      <c r="C528" s="128"/>
      <c r="D528" s="128"/>
      <c r="E528" s="128"/>
      <c r="N528" s="878"/>
      <c r="P528" s="879"/>
      <c r="R528" s="64"/>
      <c r="S528" s="64"/>
      <c r="T528" s="64"/>
      <c r="U528" s="64"/>
    </row>
    <row r="529" spans="1:21" s="71" customFormat="1" hidden="1">
      <c r="A529" s="64"/>
      <c r="B529" s="878"/>
      <c r="C529" s="128"/>
      <c r="D529" s="128"/>
      <c r="E529" s="128"/>
      <c r="N529" s="878"/>
      <c r="P529" s="879"/>
      <c r="R529" s="64"/>
      <c r="S529" s="64"/>
      <c r="T529" s="64"/>
      <c r="U529" s="64"/>
    </row>
    <row r="530" spans="1:21" s="71" customFormat="1" hidden="1">
      <c r="A530" s="64"/>
      <c r="B530" s="878"/>
      <c r="C530" s="128"/>
      <c r="D530" s="128"/>
      <c r="E530" s="128"/>
      <c r="N530" s="878"/>
      <c r="P530" s="879"/>
      <c r="R530" s="64"/>
      <c r="S530" s="64"/>
      <c r="T530" s="64"/>
      <c r="U530" s="64"/>
    </row>
    <row r="531" spans="1:21" s="71" customFormat="1" hidden="1">
      <c r="A531" s="64"/>
      <c r="B531" s="878"/>
      <c r="C531" s="128"/>
      <c r="D531" s="128"/>
      <c r="E531" s="128"/>
      <c r="N531" s="878"/>
      <c r="P531" s="879"/>
      <c r="R531" s="64"/>
      <c r="S531" s="64"/>
      <c r="T531" s="64"/>
      <c r="U531" s="64"/>
    </row>
    <row r="532" spans="1:21" s="71" customFormat="1" hidden="1">
      <c r="A532" s="64"/>
      <c r="B532" s="878"/>
      <c r="C532" s="128"/>
      <c r="D532" s="128"/>
      <c r="E532" s="128"/>
      <c r="N532" s="878"/>
      <c r="P532" s="879"/>
      <c r="R532" s="64"/>
      <c r="S532" s="64"/>
      <c r="T532" s="64"/>
      <c r="U532" s="64"/>
    </row>
    <row r="533" spans="1:21" s="71" customFormat="1" hidden="1">
      <c r="A533" s="64"/>
      <c r="B533" s="878"/>
      <c r="C533" s="128"/>
      <c r="D533" s="128"/>
      <c r="E533" s="128"/>
      <c r="N533" s="878"/>
      <c r="P533" s="879"/>
      <c r="R533" s="64"/>
      <c r="S533" s="64"/>
      <c r="T533" s="64"/>
      <c r="U533" s="64"/>
    </row>
    <row r="534" spans="1:21" s="71" customFormat="1" hidden="1">
      <c r="A534" s="64"/>
      <c r="B534" s="878"/>
      <c r="C534" s="128"/>
      <c r="D534" s="128"/>
      <c r="E534" s="128"/>
      <c r="N534" s="878"/>
      <c r="P534" s="879"/>
      <c r="R534" s="64"/>
      <c r="S534" s="64"/>
      <c r="T534" s="64"/>
      <c r="U534" s="64"/>
    </row>
    <row r="535" spans="1:21" s="71" customFormat="1" hidden="1">
      <c r="A535" s="64"/>
      <c r="B535" s="878"/>
      <c r="C535" s="128"/>
      <c r="D535" s="128"/>
      <c r="E535" s="128"/>
      <c r="N535" s="878"/>
      <c r="P535" s="879"/>
      <c r="R535" s="64"/>
      <c r="S535" s="64"/>
      <c r="T535" s="64"/>
      <c r="U535" s="64"/>
    </row>
    <row r="536" spans="1:21" s="71" customFormat="1" hidden="1">
      <c r="A536" s="64"/>
      <c r="B536" s="878"/>
      <c r="C536" s="128"/>
      <c r="D536" s="128"/>
      <c r="E536" s="128"/>
      <c r="N536" s="878"/>
      <c r="P536" s="879"/>
      <c r="R536" s="64"/>
      <c r="S536" s="64"/>
      <c r="T536" s="64"/>
      <c r="U536" s="64"/>
    </row>
    <row r="537" spans="1:21" s="71" customFormat="1" hidden="1">
      <c r="A537" s="64"/>
      <c r="B537" s="878"/>
      <c r="C537" s="128"/>
      <c r="D537" s="128"/>
      <c r="E537" s="128"/>
      <c r="N537" s="878"/>
      <c r="P537" s="879"/>
      <c r="R537" s="64"/>
      <c r="S537" s="64"/>
      <c r="T537" s="64"/>
      <c r="U537" s="64"/>
    </row>
    <row r="538" spans="1:21" s="71" customFormat="1" hidden="1">
      <c r="A538" s="64"/>
      <c r="B538" s="878"/>
      <c r="C538" s="128"/>
      <c r="D538" s="128"/>
      <c r="E538" s="128"/>
      <c r="N538" s="878"/>
      <c r="P538" s="879"/>
      <c r="R538" s="64"/>
      <c r="S538" s="64"/>
      <c r="T538" s="64"/>
      <c r="U538" s="64"/>
    </row>
    <row r="539" spans="1:21" s="71" customFormat="1" hidden="1">
      <c r="A539" s="64"/>
      <c r="B539" s="878"/>
      <c r="C539" s="128"/>
      <c r="D539" s="128"/>
      <c r="E539" s="128"/>
      <c r="N539" s="878"/>
      <c r="P539" s="879"/>
      <c r="R539" s="64"/>
      <c r="S539" s="64"/>
      <c r="T539" s="64"/>
      <c r="U539" s="64"/>
    </row>
    <row r="540" spans="1:21" s="71" customFormat="1" hidden="1">
      <c r="A540" s="64"/>
      <c r="B540" s="878"/>
      <c r="C540" s="128"/>
      <c r="D540" s="128"/>
      <c r="E540" s="128"/>
      <c r="N540" s="878"/>
      <c r="P540" s="879"/>
      <c r="R540" s="64"/>
      <c r="S540" s="64"/>
      <c r="T540" s="64"/>
      <c r="U540" s="64"/>
    </row>
    <row r="541" spans="1:21" s="71" customFormat="1" hidden="1">
      <c r="A541" s="64"/>
      <c r="B541" s="878"/>
      <c r="C541" s="128"/>
      <c r="D541" s="128"/>
      <c r="E541" s="128"/>
      <c r="N541" s="878"/>
      <c r="P541" s="879"/>
      <c r="R541" s="64"/>
      <c r="S541" s="64"/>
      <c r="T541" s="64"/>
      <c r="U541" s="64"/>
    </row>
    <row r="542" spans="1:21" s="71" customFormat="1" hidden="1">
      <c r="A542" s="64"/>
      <c r="B542" s="878"/>
      <c r="C542" s="128"/>
      <c r="D542" s="128"/>
      <c r="E542" s="128"/>
      <c r="N542" s="878"/>
      <c r="P542" s="879"/>
      <c r="R542" s="64"/>
      <c r="S542" s="64"/>
      <c r="T542" s="64"/>
      <c r="U542" s="64"/>
    </row>
    <row r="543" spans="1:21" s="71" customFormat="1" hidden="1">
      <c r="A543" s="64"/>
      <c r="B543" s="878"/>
      <c r="C543" s="128"/>
      <c r="D543" s="128"/>
      <c r="E543" s="128"/>
      <c r="N543" s="878"/>
      <c r="P543" s="879"/>
      <c r="R543" s="64"/>
      <c r="S543" s="64"/>
      <c r="T543" s="64"/>
      <c r="U543" s="64"/>
    </row>
    <row r="544" spans="1:21" s="71" customFormat="1" hidden="1">
      <c r="A544" s="64"/>
      <c r="B544" s="878"/>
      <c r="C544" s="128"/>
      <c r="D544" s="128"/>
      <c r="E544" s="128"/>
      <c r="N544" s="878"/>
      <c r="P544" s="879"/>
      <c r="R544" s="64"/>
      <c r="S544" s="64"/>
      <c r="T544" s="64"/>
      <c r="U544" s="64"/>
    </row>
    <row r="545" spans="1:21" s="71" customFormat="1" hidden="1">
      <c r="A545" s="64"/>
      <c r="B545" s="878"/>
      <c r="C545" s="128"/>
      <c r="D545" s="128"/>
      <c r="E545" s="128"/>
      <c r="N545" s="878"/>
      <c r="P545" s="879"/>
      <c r="R545" s="64"/>
      <c r="S545" s="64"/>
      <c r="T545" s="64"/>
      <c r="U545" s="64"/>
    </row>
    <row r="546" spans="1:21" s="71" customFormat="1" hidden="1">
      <c r="A546" s="64"/>
      <c r="B546" s="878"/>
      <c r="C546" s="128"/>
      <c r="D546" s="128"/>
      <c r="E546" s="128"/>
      <c r="N546" s="878"/>
      <c r="P546" s="879"/>
      <c r="R546" s="64"/>
      <c r="S546" s="64"/>
      <c r="T546" s="64"/>
      <c r="U546" s="64"/>
    </row>
    <row r="547" spans="1:21" s="71" customFormat="1" hidden="1">
      <c r="A547" s="64"/>
      <c r="B547" s="878"/>
      <c r="C547" s="128"/>
      <c r="D547" s="128"/>
      <c r="E547" s="128"/>
      <c r="N547" s="878"/>
      <c r="P547" s="879"/>
      <c r="R547" s="64"/>
      <c r="S547" s="64"/>
      <c r="T547" s="64"/>
      <c r="U547" s="64"/>
    </row>
    <row r="548" spans="1:21" s="71" customFormat="1" hidden="1">
      <c r="A548" s="64"/>
      <c r="B548" s="878"/>
      <c r="C548" s="128"/>
      <c r="D548" s="128"/>
      <c r="E548" s="128"/>
      <c r="N548" s="878"/>
      <c r="P548" s="879"/>
      <c r="R548" s="64"/>
      <c r="S548" s="64"/>
      <c r="T548" s="64"/>
      <c r="U548" s="64"/>
    </row>
    <row r="549" spans="1:21" s="71" customFormat="1" hidden="1">
      <c r="A549" s="64"/>
      <c r="B549" s="878"/>
      <c r="C549" s="128"/>
      <c r="D549" s="128"/>
      <c r="E549" s="128"/>
      <c r="N549" s="878"/>
      <c r="P549" s="879"/>
      <c r="R549" s="64"/>
      <c r="S549" s="64"/>
      <c r="T549" s="64"/>
      <c r="U549" s="64"/>
    </row>
    <row r="550" spans="1:21" s="71" customFormat="1" hidden="1">
      <c r="A550" s="64"/>
      <c r="B550" s="878"/>
      <c r="C550" s="128"/>
      <c r="D550" s="128"/>
      <c r="E550" s="128"/>
      <c r="N550" s="878"/>
      <c r="P550" s="879"/>
      <c r="R550" s="64"/>
      <c r="S550" s="64"/>
      <c r="T550" s="64"/>
      <c r="U550" s="64"/>
    </row>
    <row r="551" spans="1:21" s="71" customFormat="1" hidden="1">
      <c r="A551" s="64"/>
      <c r="B551" s="878"/>
      <c r="C551" s="128"/>
      <c r="D551" s="128"/>
      <c r="E551" s="128"/>
      <c r="N551" s="878"/>
      <c r="P551" s="879"/>
      <c r="R551" s="64"/>
      <c r="S551" s="64"/>
      <c r="T551" s="64"/>
      <c r="U551" s="64"/>
    </row>
    <row r="552" spans="1:21" s="71" customFormat="1" hidden="1">
      <c r="A552" s="64"/>
      <c r="B552" s="878"/>
      <c r="C552" s="128"/>
      <c r="D552" s="128"/>
      <c r="E552" s="128"/>
      <c r="N552" s="878"/>
      <c r="P552" s="879"/>
      <c r="R552" s="64"/>
      <c r="S552" s="64"/>
      <c r="T552" s="64"/>
      <c r="U552" s="64"/>
    </row>
    <row r="553" spans="1:21" s="71" customFormat="1" hidden="1">
      <c r="A553" s="64"/>
      <c r="B553" s="878"/>
      <c r="C553" s="128"/>
      <c r="D553" s="128"/>
      <c r="E553" s="128"/>
      <c r="N553" s="878"/>
      <c r="P553" s="879"/>
      <c r="R553" s="64"/>
      <c r="S553" s="64"/>
      <c r="T553" s="64"/>
      <c r="U553" s="64"/>
    </row>
    <row r="554" spans="1:21" s="71" customFormat="1" hidden="1">
      <c r="A554" s="64"/>
      <c r="B554" s="878"/>
      <c r="C554" s="128"/>
      <c r="D554" s="128"/>
      <c r="E554" s="128"/>
      <c r="N554" s="878"/>
      <c r="P554" s="879"/>
      <c r="R554" s="64"/>
      <c r="S554" s="64"/>
      <c r="T554" s="64"/>
      <c r="U554" s="64"/>
    </row>
    <row r="555" spans="1:21" s="71" customFormat="1" hidden="1">
      <c r="A555" s="64"/>
      <c r="B555" s="878"/>
      <c r="C555" s="128"/>
      <c r="D555" s="128"/>
      <c r="E555" s="128"/>
      <c r="N555" s="878"/>
      <c r="P555" s="879"/>
      <c r="R555" s="64"/>
      <c r="S555" s="64"/>
      <c r="T555" s="64"/>
      <c r="U555" s="64"/>
    </row>
    <row r="556" spans="1:21" s="71" customFormat="1" hidden="1">
      <c r="A556" s="64"/>
      <c r="B556" s="878"/>
      <c r="C556" s="128"/>
      <c r="D556" s="128"/>
      <c r="E556" s="128"/>
      <c r="N556" s="878"/>
      <c r="P556" s="879"/>
      <c r="R556" s="64"/>
      <c r="S556" s="64"/>
      <c r="T556" s="64"/>
      <c r="U556" s="64"/>
    </row>
    <row r="557" spans="1:21" s="71" customFormat="1" hidden="1">
      <c r="A557" s="64"/>
      <c r="B557" s="878"/>
      <c r="C557" s="128"/>
      <c r="D557" s="128"/>
      <c r="E557" s="128"/>
      <c r="N557" s="878"/>
      <c r="P557" s="879"/>
      <c r="R557" s="64"/>
      <c r="S557" s="64"/>
      <c r="T557" s="64"/>
      <c r="U557" s="64"/>
    </row>
    <row r="558" spans="1:21" s="71" customFormat="1" hidden="1">
      <c r="A558" s="64"/>
      <c r="B558" s="878"/>
      <c r="C558" s="128"/>
      <c r="D558" s="128"/>
      <c r="E558" s="128"/>
      <c r="N558" s="878"/>
      <c r="P558" s="879"/>
      <c r="R558" s="64"/>
      <c r="S558" s="64"/>
      <c r="T558" s="64"/>
      <c r="U558" s="64"/>
    </row>
    <row r="559" spans="1:21" s="71" customFormat="1" hidden="1">
      <c r="A559" s="64"/>
      <c r="B559" s="878"/>
      <c r="C559" s="128"/>
      <c r="D559" s="128"/>
      <c r="E559" s="128"/>
      <c r="N559" s="878"/>
      <c r="P559" s="879"/>
      <c r="R559" s="64"/>
      <c r="S559" s="64"/>
      <c r="T559" s="64"/>
      <c r="U559" s="64"/>
    </row>
    <row r="560" spans="1:21" s="71" customFormat="1" hidden="1">
      <c r="A560" s="64"/>
      <c r="B560" s="878"/>
      <c r="C560" s="128"/>
      <c r="D560" s="128"/>
      <c r="E560" s="128"/>
      <c r="N560" s="878"/>
      <c r="P560" s="879"/>
      <c r="R560" s="64"/>
      <c r="S560" s="64"/>
      <c r="T560" s="64"/>
      <c r="U560" s="64"/>
    </row>
    <row r="561" spans="1:21" s="71" customFormat="1" hidden="1">
      <c r="A561" s="64"/>
      <c r="B561" s="878"/>
      <c r="C561" s="128"/>
      <c r="D561" s="128"/>
      <c r="E561" s="128"/>
      <c r="N561" s="878"/>
      <c r="P561" s="879"/>
      <c r="R561" s="64"/>
      <c r="S561" s="64"/>
      <c r="T561" s="64"/>
      <c r="U561" s="64"/>
    </row>
    <row r="562" spans="1:21" s="71" customFormat="1" hidden="1">
      <c r="A562" s="64"/>
      <c r="B562" s="878"/>
      <c r="C562" s="128"/>
      <c r="D562" s="128"/>
      <c r="E562" s="128"/>
      <c r="N562" s="878"/>
      <c r="P562" s="879"/>
      <c r="R562" s="64"/>
      <c r="S562" s="64"/>
      <c r="T562" s="64"/>
      <c r="U562" s="64"/>
    </row>
    <row r="563" spans="1:21" s="71" customFormat="1" hidden="1">
      <c r="A563" s="64"/>
      <c r="B563" s="878"/>
      <c r="C563" s="128"/>
      <c r="D563" s="128"/>
      <c r="E563" s="128"/>
      <c r="N563" s="878"/>
      <c r="P563" s="879"/>
      <c r="R563" s="64"/>
      <c r="S563" s="64"/>
      <c r="T563" s="64"/>
      <c r="U563" s="64"/>
    </row>
    <row r="564" spans="1:21" s="71" customFormat="1" hidden="1">
      <c r="A564" s="64"/>
      <c r="B564" s="878"/>
      <c r="C564" s="128"/>
      <c r="D564" s="128"/>
      <c r="E564" s="128"/>
      <c r="N564" s="878"/>
      <c r="P564" s="879"/>
      <c r="R564" s="64"/>
      <c r="S564" s="64"/>
      <c r="T564" s="64"/>
      <c r="U564" s="64"/>
    </row>
    <row r="565" spans="1:21" s="71" customFormat="1" hidden="1">
      <c r="A565" s="64"/>
      <c r="B565" s="878"/>
      <c r="C565" s="128"/>
      <c r="D565" s="128"/>
      <c r="E565" s="128"/>
      <c r="N565" s="878"/>
      <c r="P565" s="879"/>
      <c r="R565" s="64"/>
      <c r="S565" s="64"/>
      <c r="T565" s="64"/>
      <c r="U565" s="64"/>
    </row>
    <row r="566" spans="1:21" s="71" customFormat="1" hidden="1">
      <c r="A566" s="64"/>
      <c r="B566" s="878"/>
      <c r="C566" s="128"/>
      <c r="D566" s="128"/>
      <c r="E566" s="128"/>
      <c r="N566" s="878"/>
      <c r="P566" s="879"/>
      <c r="R566" s="64"/>
      <c r="S566" s="64"/>
      <c r="T566" s="64"/>
      <c r="U566" s="64"/>
    </row>
    <row r="567" spans="1:21" s="71" customFormat="1" hidden="1">
      <c r="A567" s="64"/>
      <c r="B567" s="878"/>
      <c r="C567" s="128"/>
      <c r="D567" s="128"/>
      <c r="E567" s="128"/>
      <c r="N567" s="878"/>
      <c r="P567" s="879"/>
      <c r="R567" s="64"/>
      <c r="S567" s="64"/>
      <c r="T567" s="64"/>
      <c r="U567" s="64"/>
    </row>
    <row r="568" spans="1:21" s="71" customFormat="1" hidden="1">
      <c r="A568" s="64"/>
      <c r="B568" s="878"/>
      <c r="C568" s="128"/>
      <c r="D568" s="128"/>
      <c r="E568" s="128"/>
      <c r="N568" s="878"/>
      <c r="P568" s="879"/>
      <c r="R568" s="64"/>
      <c r="S568" s="64"/>
      <c r="T568" s="64"/>
      <c r="U568" s="64"/>
    </row>
    <row r="569" spans="1:21" s="71" customFormat="1" hidden="1">
      <c r="A569" s="64"/>
      <c r="B569" s="878"/>
      <c r="C569" s="128"/>
      <c r="D569" s="128"/>
      <c r="E569" s="128"/>
      <c r="N569" s="878"/>
      <c r="P569" s="879"/>
      <c r="R569" s="64"/>
      <c r="S569" s="64"/>
      <c r="T569" s="64"/>
      <c r="U569" s="64"/>
    </row>
    <row r="570" spans="1:21" s="71" customFormat="1" hidden="1">
      <c r="A570" s="64"/>
      <c r="B570" s="878"/>
      <c r="C570" s="128"/>
      <c r="D570" s="128"/>
      <c r="E570" s="128"/>
      <c r="N570" s="878"/>
      <c r="P570" s="879"/>
      <c r="R570" s="64"/>
      <c r="S570" s="64"/>
      <c r="T570" s="64"/>
      <c r="U570" s="64"/>
    </row>
    <row r="571" spans="1:21" s="71" customFormat="1" hidden="1">
      <c r="A571" s="64"/>
      <c r="B571" s="878"/>
      <c r="C571" s="128"/>
      <c r="D571" s="128"/>
      <c r="E571" s="128"/>
      <c r="N571" s="878"/>
      <c r="P571" s="879"/>
      <c r="R571" s="64"/>
      <c r="S571" s="64"/>
      <c r="T571" s="64"/>
      <c r="U571" s="64"/>
    </row>
    <row r="572" spans="1:21" s="71" customFormat="1" hidden="1">
      <c r="A572" s="64"/>
      <c r="B572" s="878"/>
      <c r="C572" s="128"/>
      <c r="D572" s="128"/>
      <c r="E572" s="128"/>
      <c r="N572" s="878"/>
      <c r="P572" s="879"/>
      <c r="R572" s="64"/>
      <c r="S572" s="64"/>
      <c r="T572" s="64"/>
      <c r="U572" s="64"/>
    </row>
    <row r="573" spans="1:21" s="71" customFormat="1" hidden="1">
      <c r="A573" s="64"/>
      <c r="B573" s="878"/>
      <c r="C573" s="128"/>
      <c r="D573" s="128"/>
      <c r="E573" s="128"/>
      <c r="N573" s="878"/>
      <c r="P573" s="879"/>
      <c r="R573" s="64"/>
      <c r="S573" s="64"/>
      <c r="T573" s="64"/>
      <c r="U573" s="64"/>
    </row>
    <row r="574" spans="1:21" s="71" customFormat="1" hidden="1">
      <c r="A574" s="64"/>
      <c r="B574" s="878"/>
      <c r="C574" s="128"/>
      <c r="D574" s="128"/>
      <c r="E574" s="128"/>
      <c r="N574" s="878"/>
      <c r="P574" s="879"/>
      <c r="R574" s="64"/>
      <c r="S574" s="64"/>
      <c r="T574" s="64"/>
      <c r="U574" s="64"/>
    </row>
    <row r="575" spans="1:21" s="71" customFormat="1" hidden="1">
      <c r="A575" s="64"/>
      <c r="B575" s="878"/>
      <c r="C575" s="128"/>
      <c r="D575" s="128"/>
      <c r="E575" s="128"/>
      <c r="N575" s="878"/>
      <c r="P575" s="879"/>
      <c r="R575" s="64"/>
      <c r="S575" s="64"/>
      <c r="T575" s="64"/>
      <c r="U575" s="64"/>
    </row>
    <row r="576" spans="1:21" s="71" customFormat="1" hidden="1">
      <c r="A576" s="64"/>
      <c r="B576" s="878"/>
      <c r="C576" s="128"/>
      <c r="D576" s="128"/>
      <c r="E576" s="128"/>
      <c r="N576" s="878"/>
      <c r="P576" s="879"/>
      <c r="R576" s="64"/>
      <c r="S576" s="64"/>
      <c r="T576" s="64"/>
      <c r="U576" s="64"/>
    </row>
    <row r="577" spans="1:21" s="71" customFormat="1" hidden="1">
      <c r="A577" s="64"/>
      <c r="B577" s="878"/>
      <c r="C577" s="128"/>
      <c r="D577" s="128"/>
      <c r="E577" s="128"/>
      <c r="N577" s="878"/>
      <c r="P577" s="879"/>
      <c r="R577" s="64"/>
      <c r="S577" s="64"/>
      <c r="T577" s="64"/>
      <c r="U577" s="64"/>
    </row>
    <row r="578" spans="1:21" s="71" customFormat="1" hidden="1">
      <c r="A578" s="64"/>
      <c r="B578" s="878"/>
      <c r="C578" s="128"/>
      <c r="D578" s="128"/>
      <c r="E578" s="128"/>
      <c r="N578" s="878"/>
      <c r="P578" s="879"/>
      <c r="R578" s="64"/>
      <c r="S578" s="64"/>
      <c r="T578" s="64"/>
      <c r="U578" s="64"/>
    </row>
    <row r="579" spans="1:21" s="71" customFormat="1" hidden="1">
      <c r="A579" s="64"/>
      <c r="B579" s="878"/>
      <c r="C579" s="128"/>
      <c r="D579" s="128"/>
      <c r="E579" s="128"/>
      <c r="N579" s="878"/>
      <c r="P579" s="879"/>
      <c r="R579" s="64"/>
      <c r="S579" s="64"/>
      <c r="T579" s="64"/>
      <c r="U579" s="64"/>
    </row>
    <row r="580" spans="1:21" s="71" customFormat="1" hidden="1">
      <c r="A580" s="64"/>
      <c r="B580" s="878"/>
      <c r="C580" s="128"/>
      <c r="D580" s="128"/>
      <c r="E580" s="128"/>
      <c r="N580" s="878"/>
      <c r="P580" s="879"/>
      <c r="R580" s="64"/>
      <c r="S580" s="64"/>
      <c r="T580" s="64"/>
      <c r="U580" s="64"/>
    </row>
    <row r="581" spans="1:21" s="71" customFormat="1" hidden="1">
      <c r="A581" s="64"/>
      <c r="B581" s="878"/>
      <c r="C581" s="128"/>
      <c r="D581" s="128"/>
      <c r="E581" s="128"/>
      <c r="N581" s="878"/>
      <c r="P581" s="879"/>
      <c r="R581" s="64"/>
      <c r="S581" s="64"/>
      <c r="T581" s="64"/>
      <c r="U581" s="64"/>
    </row>
    <row r="582" spans="1:21" s="71" customFormat="1" hidden="1">
      <c r="A582" s="64"/>
      <c r="B582" s="878"/>
      <c r="C582" s="128"/>
      <c r="D582" s="128"/>
      <c r="E582" s="128"/>
      <c r="N582" s="878"/>
      <c r="P582" s="879"/>
      <c r="R582" s="64"/>
      <c r="S582" s="64"/>
      <c r="T582" s="64"/>
      <c r="U582" s="64"/>
    </row>
    <row r="583" spans="1:21" s="71" customFormat="1" hidden="1">
      <c r="A583" s="64"/>
      <c r="B583" s="878"/>
      <c r="C583" s="128"/>
      <c r="D583" s="128"/>
      <c r="E583" s="128"/>
      <c r="N583" s="878"/>
      <c r="P583" s="879"/>
      <c r="R583" s="64"/>
      <c r="S583" s="64"/>
      <c r="T583" s="64"/>
      <c r="U583" s="64"/>
    </row>
    <row r="584" spans="1:21" s="71" customFormat="1" hidden="1">
      <c r="A584" s="64"/>
      <c r="B584" s="878"/>
      <c r="C584" s="128"/>
      <c r="D584" s="128"/>
      <c r="E584" s="128"/>
      <c r="N584" s="878"/>
      <c r="P584" s="879"/>
      <c r="R584" s="64"/>
      <c r="S584" s="64"/>
      <c r="T584" s="64"/>
      <c r="U584" s="64"/>
    </row>
    <row r="585" spans="1:21" s="71" customFormat="1" hidden="1">
      <c r="A585" s="64"/>
      <c r="B585" s="878"/>
      <c r="C585" s="128"/>
      <c r="D585" s="128"/>
      <c r="E585" s="128"/>
      <c r="N585" s="878"/>
      <c r="P585" s="879"/>
      <c r="R585" s="64"/>
      <c r="S585" s="64"/>
      <c r="T585" s="64"/>
      <c r="U585" s="64"/>
    </row>
    <row r="586" spans="1:21" s="71" customFormat="1" hidden="1">
      <c r="A586" s="64"/>
      <c r="B586" s="878"/>
      <c r="C586" s="128"/>
      <c r="D586" s="128"/>
      <c r="E586" s="128"/>
      <c r="N586" s="878"/>
      <c r="P586" s="879"/>
      <c r="R586" s="64"/>
      <c r="S586" s="64"/>
      <c r="T586" s="64"/>
      <c r="U586" s="64"/>
    </row>
    <row r="587" spans="1:21" s="71" customFormat="1" hidden="1">
      <c r="A587" s="64"/>
      <c r="B587" s="878"/>
      <c r="C587" s="128"/>
      <c r="D587" s="128"/>
      <c r="E587" s="128"/>
      <c r="N587" s="878"/>
      <c r="P587" s="879"/>
      <c r="R587" s="64"/>
      <c r="S587" s="64"/>
      <c r="T587" s="64"/>
      <c r="U587" s="64"/>
    </row>
    <row r="588" spans="1:21" s="71" customFormat="1" hidden="1">
      <c r="A588" s="64"/>
      <c r="B588" s="878"/>
      <c r="C588" s="128"/>
      <c r="D588" s="128"/>
      <c r="E588" s="128"/>
      <c r="N588" s="878"/>
      <c r="P588" s="879"/>
      <c r="R588" s="64"/>
      <c r="S588" s="64"/>
      <c r="T588" s="64"/>
      <c r="U588" s="64"/>
    </row>
    <row r="589" spans="1:21" s="71" customFormat="1" hidden="1">
      <c r="A589" s="64"/>
      <c r="B589" s="878"/>
      <c r="C589" s="128"/>
      <c r="D589" s="128"/>
      <c r="E589" s="128"/>
      <c r="N589" s="878"/>
      <c r="P589" s="879"/>
      <c r="R589" s="64"/>
      <c r="S589" s="64"/>
      <c r="T589" s="64"/>
      <c r="U589" s="64"/>
    </row>
    <row r="590" spans="1:21" s="71" customFormat="1" hidden="1">
      <c r="A590" s="64"/>
      <c r="B590" s="878"/>
      <c r="C590" s="128"/>
      <c r="D590" s="128"/>
      <c r="E590" s="128"/>
      <c r="N590" s="878"/>
      <c r="P590" s="879"/>
      <c r="R590" s="64"/>
      <c r="S590" s="64"/>
      <c r="T590" s="64"/>
      <c r="U590" s="64"/>
    </row>
    <row r="591" spans="1:21" s="71" customFormat="1" hidden="1">
      <c r="A591" s="64"/>
      <c r="B591" s="878"/>
      <c r="C591" s="128"/>
      <c r="D591" s="128"/>
      <c r="E591" s="128"/>
      <c r="N591" s="878"/>
      <c r="P591" s="879"/>
      <c r="R591" s="64"/>
      <c r="S591" s="64"/>
      <c r="T591" s="64"/>
      <c r="U591" s="64"/>
    </row>
    <row r="592" spans="1:21" s="71" customFormat="1" hidden="1">
      <c r="A592" s="64"/>
      <c r="B592" s="878"/>
      <c r="C592" s="128"/>
      <c r="D592" s="128"/>
      <c r="E592" s="128"/>
      <c r="N592" s="878"/>
      <c r="P592" s="879"/>
      <c r="R592" s="64"/>
      <c r="S592" s="64"/>
      <c r="T592" s="64"/>
      <c r="U592" s="64"/>
    </row>
    <row r="593" spans="1:21" s="71" customFormat="1" hidden="1">
      <c r="A593" s="64"/>
      <c r="B593" s="878"/>
      <c r="C593" s="128"/>
      <c r="D593" s="128"/>
      <c r="E593" s="128"/>
      <c r="N593" s="878"/>
      <c r="P593" s="879"/>
      <c r="R593" s="64"/>
      <c r="S593" s="64"/>
      <c r="T593" s="64"/>
      <c r="U593" s="64"/>
    </row>
    <row r="594" spans="1:21" s="71" customFormat="1" hidden="1">
      <c r="A594" s="64"/>
      <c r="B594" s="878"/>
      <c r="C594" s="128"/>
      <c r="D594" s="128"/>
      <c r="E594" s="128"/>
      <c r="N594" s="878"/>
      <c r="P594" s="879"/>
      <c r="R594" s="64"/>
      <c r="S594" s="64"/>
      <c r="T594" s="64"/>
      <c r="U594" s="64"/>
    </row>
    <row r="595" spans="1:21" s="71" customFormat="1" hidden="1">
      <c r="A595" s="64"/>
      <c r="B595" s="878"/>
      <c r="C595" s="128"/>
      <c r="D595" s="128"/>
      <c r="E595" s="128"/>
      <c r="N595" s="878"/>
      <c r="P595" s="879"/>
      <c r="R595" s="64"/>
      <c r="S595" s="64"/>
      <c r="T595" s="64"/>
      <c r="U595" s="64"/>
    </row>
    <row r="596" spans="1:21" s="71" customFormat="1" hidden="1">
      <c r="A596" s="64"/>
      <c r="B596" s="878"/>
      <c r="C596" s="128"/>
      <c r="D596" s="128"/>
      <c r="E596" s="128"/>
      <c r="N596" s="878"/>
      <c r="P596" s="879"/>
      <c r="R596" s="64"/>
      <c r="S596" s="64"/>
      <c r="T596" s="64"/>
      <c r="U596" s="64"/>
    </row>
    <row r="597" spans="1:21" s="71" customFormat="1" hidden="1">
      <c r="A597" s="64"/>
      <c r="B597" s="878"/>
      <c r="C597" s="128"/>
      <c r="D597" s="128"/>
      <c r="E597" s="128"/>
      <c r="N597" s="878"/>
      <c r="P597" s="879"/>
      <c r="R597" s="64"/>
      <c r="S597" s="64"/>
      <c r="T597" s="64"/>
      <c r="U597" s="64"/>
    </row>
    <row r="598" spans="1:21" s="71" customFormat="1" hidden="1">
      <c r="A598" s="64"/>
      <c r="B598" s="878"/>
      <c r="C598" s="128"/>
      <c r="D598" s="128"/>
      <c r="E598" s="128"/>
      <c r="N598" s="878"/>
      <c r="P598" s="879"/>
      <c r="R598" s="64"/>
      <c r="S598" s="64"/>
      <c r="T598" s="64"/>
      <c r="U598" s="64"/>
    </row>
    <row r="599" spans="1:21" s="71" customFormat="1" hidden="1">
      <c r="A599" s="64"/>
      <c r="B599" s="878"/>
      <c r="C599" s="128"/>
      <c r="D599" s="128"/>
      <c r="E599" s="128"/>
      <c r="N599" s="878"/>
      <c r="P599" s="879"/>
      <c r="R599" s="64"/>
      <c r="S599" s="64"/>
      <c r="T599" s="64"/>
      <c r="U599" s="64"/>
    </row>
    <row r="600" spans="1:21" s="71" customFormat="1" hidden="1">
      <c r="A600" s="64"/>
      <c r="B600" s="878"/>
      <c r="C600" s="128"/>
      <c r="D600" s="128"/>
      <c r="E600" s="128"/>
      <c r="N600" s="878"/>
      <c r="P600" s="879"/>
      <c r="R600" s="64"/>
      <c r="S600" s="64"/>
      <c r="T600" s="64"/>
      <c r="U600" s="64"/>
    </row>
    <row r="601" spans="1:21" s="71" customFormat="1" hidden="1">
      <c r="A601" s="64"/>
      <c r="B601" s="878"/>
      <c r="C601" s="128"/>
      <c r="D601" s="128"/>
      <c r="E601" s="128"/>
      <c r="N601" s="878"/>
      <c r="P601" s="879"/>
      <c r="R601" s="64"/>
      <c r="S601" s="64"/>
      <c r="T601" s="64"/>
      <c r="U601" s="64"/>
    </row>
    <row r="602" spans="1:21" s="71" customFormat="1" hidden="1">
      <c r="A602" s="64"/>
      <c r="B602" s="878"/>
      <c r="C602" s="128"/>
      <c r="D602" s="128"/>
      <c r="E602" s="128"/>
      <c r="N602" s="878"/>
      <c r="P602" s="879"/>
      <c r="R602" s="64"/>
      <c r="S602" s="64"/>
      <c r="T602" s="64"/>
      <c r="U602" s="64"/>
    </row>
    <row r="603" spans="1:21" s="71" customFormat="1" hidden="1">
      <c r="A603" s="64"/>
      <c r="B603" s="878"/>
      <c r="C603" s="128"/>
      <c r="D603" s="128"/>
      <c r="E603" s="128"/>
      <c r="N603" s="878"/>
      <c r="P603" s="879"/>
      <c r="R603" s="64"/>
      <c r="S603" s="64"/>
      <c r="T603" s="64"/>
      <c r="U603" s="64"/>
    </row>
    <row r="604" spans="1:21" s="71" customFormat="1" hidden="1">
      <c r="A604" s="64"/>
      <c r="B604" s="878"/>
      <c r="C604" s="128"/>
      <c r="D604" s="128"/>
      <c r="E604" s="128"/>
      <c r="N604" s="878"/>
      <c r="P604" s="879"/>
      <c r="R604" s="64"/>
      <c r="S604" s="64"/>
      <c r="T604" s="64"/>
      <c r="U604" s="64"/>
    </row>
    <row r="605" spans="1:21" s="71" customFormat="1" hidden="1">
      <c r="A605" s="64"/>
      <c r="B605" s="878"/>
      <c r="C605" s="128"/>
      <c r="D605" s="128"/>
      <c r="E605" s="128"/>
      <c r="N605" s="878"/>
      <c r="P605" s="879"/>
      <c r="R605" s="64"/>
      <c r="S605" s="64"/>
      <c r="T605" s="64"/>
      <c r="U605" s="64"/>
    </row>
    <row r="606" spans="1:21" s="71" customFormat="1" hidden="1">
      <c r="A606" s="64"/>
      <c r="B606" s="878"/>
      <c r="C606" s="128"/>
      <c r="D606" s="128"/>
      <c r="E606" s="128"/>
      <c r="N606" s="878"/>
      <c r="P606" s="879"/>
      <c r="R606" s="64"/>
      <c r="S606" s="64"/>
      <c r="T606" s="64"/>
      <c r="U606" s="64"/>
    </row>
    <row r="607" spans="1:21" s="71" customFormat="1" hidden="1">
      <c r="A607" s="64"/>
      <c r="B607" s="878"/>
      <c r="C607" s="128"/>
      <c r="D607" s="128"/>
      <c r="E607" s="128"/>
      <c r="N607" s="878"/>
      <c r="P607" s="879"/>
      <c r="R607" s="64"/>
      <c r="S607" s="64"/>
      <c r="T607" s="64"/>
      <c r="U607" s="64"/>
    </row>
    <row r="608" spans="1:21" s="71" customFormat="1" hidden="1">
      <c r="A608" s="64"/>
      <c r="B608" s="878"/>
      <c r="C608" s="128"/>
      <c r="D608" s="128"/>
      <c r="E608" s="128"/>
      <c r="N608" s="878"/>
      <c r="P608" s="879"/>
      <c r="R608" s="64"/>
      <c r="S608" s="64"/>
      <c r="T608" s="64"/>
      <c r="U608" s="64"/>
    </row>
    <row r="609" spans="1:21" s="71" customFormat="1" hidden="1">
      <c r="A609" s="64"/>
      <c r="B609" s="878"/>
      <c r="C609" s="128"/>
      <c r="D609" s="128"/>
      <c r="E609" s="128"/>
      <c r="N609" s="878"/>
      <c r="P609" s="879"/>
      <c r="R609" s="64"/>
      <c r="S609" s="64"/>
      <c r="T609" s="64"/>
      <c r="U609" s="64"/>
    </row>
    <row r="610" spans="1:21" s="71" customFormat="1" hidden="1">
      <c r="A610" s="64"/>
      <c r="B610" s="878"/>
      <c r="C610" s="128"/>
      <c r="D610" s="128"/>
      <c r="E610" s="128"/>
      <c r="N610" s="878"/>
      <c r="P610" s="879"/>
      <c r="R610" s="64"/>
      <c r="S610" s="64"/>
      <c r="T610" s="64"/>
      <c r="U610" s="64"/>
    </row>
    <row r="611" spans="1:21" s="71" customFormat="1" hidden="1">
      <c r="A611" s="64"/>
      <c r="B611" s="878"/>
      <c r="C611" s="128"/>
      <c r="D611" s="128"/>
      <c r="E611" s="128"/>
      <c r="N611" s="878"/>
      <c r="P611" s="879"/>
      <c r="R611" s="64"/>
      <c r="S611" s="64"/>
      <c r="T611" s="64"/>
      <c r="U611" s="64"/>
    </row>
    <row r="612" spans="1:21" s="71" customFormat="1" hidden="1">
      <c r="A612" s="64"/>
      <c r="B612" s="878"/>
      <c r="C612" s="128"/>
      <c r="D612" s="128"/>
      <c r="E612" s="128"/>
      <c r="N612" s="878"/>
      <c r="P612" s="879"/>
      <c r="R612" s="64"/>
      <c r="S612" s="64"/>
      <c r="T612" s="64"/>
      <c r="U612" s="64"/>
    </row>
    <row r="613" spans="1:21" s="71" customFormat="1" hidden="1">
      <c r="A613" s="64"/>
      <c r="B613" s="878"/>
      <c r="C613" s="128"/>
      <c r="D613" s="128"/>
      <c r="E613" s="128"/>
      <c r="N613" s="878"/>
      <c r="P613" s="879"/>
      <c r="R613" s="64"/>
      <c r="S613" s="64"/>
      <c r="T613" s="64"/>
      <c r="U613" s="64"/>
    </row>
    <row r="614" spans="1:21" s="71" customFormat="1" hidden="1">
      <c r="A614" s="64"/>
      <c r="B614" s="878"/>
      <c r="C614" s="128"/>
      <c r="D614" s="128"/>
      <c r="E614" s="128"/>
      <c r="N614" s="878"/>
      <c r="P614" s="879"/>
      <c r="R614" s="64"/>
      <c r="S614" s="64"/>
      <c r="T614" s="64"/>
      <c r="U614" s="64"/>
    </row>
    <row r="615" spans="1:21" s="71" customFormat="1" hidden="1">
      <c r="A615" s="64"/>
      <c r="B615" s="878"/>
      <c r="C615" s="128"/>
      <c r="D615" s="128"/>
      <c r="E615" s="128"/>
      <c r="N615" s="878"/>
      <c r="P615" s="879"/>
      <c r="R615" s="64"/>
      <c r="S615" s="64"/>
      <c r="T615" s="64"/>
      <c r="U615" s="64"/>
    </row>
    <row r="616" spans="1:21" s="71" customFormat="1" hidden="1">
      <c r="A616" s="64"/>
      <c r="B616" s="878"/>
      <c r="C616" s="128"/>
      <c r="D616" s="128"/>
      <c r="E616" s="128"/>
      <c r="N616" s="878"/>
      <c r="P616" s="879"/>
      <c r="R616" s="64"/>
      <c r="S616" s="64"/>
      <c r="T616" s="64"/>
      <c r="U616" s="64"/>
    </row>
    <row r="617" spans="1:21" s="71" customFormat="1" hidden="1">
      <c r="A617" s="64"/>
      <c r="B617" s="878"/>
      <c r="C617" s="128"/>
      <c r="D617" s="128"/>
      <c r="E617" s="128"/>
      <c r="N617" s="878"/>
      <c r="P617" s="879"/>
      <c r="R617" s="64"/>
      <c r="S617" s="64"/>
      <c r="T617" s="64"/>
      <c r="U617" s="64"/>
    </row>
    <row r="618" spans="1:21" s="71" customFormat="1" hidden="1">
      <c r="A618" s="64"/>
      <c r="B618" s="878"/>
      <c r="C618" s="128"/>
      <c r="D618" s="128"/>
      <c r="E618" s="128"/>
      <c r="N618" s="878"/>
      <c r="P618" s="879"/>
      <c r="R618" s="64"/>
      <c r="S618" s="64"/>
      <c r="T618" s="64"/>
      <c r="U618" s="64"/>
    </row>
    <row r="619" spans="1:21" s="71" customFormat="1" hidden="1">
      <c r="A619" s="64"/>
      <c r="B619" s="878"/>
      <c r="C619" s="128"/>
      <c r="D619" s="128"/>
      <c r="E619" s="128"/>
      <c r="N619" s="878"/>
      <c r="P619" s="879"/>
      <c r="R619" s="64"/>
      <c r="S619" s="64"/>
      <c r="T619" s="64"/>
      <c r="U619" s="64"/>
    </row>
    <row r="620" spans="1:21" s="71" customFormat="1" hidden="1">
      <c r="A620" s="64"/>
      <c r="B620" s="878"/>
      <c r="C620" s="128"/>
      <c r="D620" s="128"/>
      <c r="E620" s="128"/>
      <c r="N620" s="878"/>
      <c r="P620" s="879"/>
      <c r="R620" s="64"/>
      <c r="S620" s="64"/>
      <c r="T620" s="64"/>
      <c r="U620" s="64"/>
    </row>
    <row r="621" spans="1:21" s="71" customFormat="1" hidden="1">
      <c r="A621" s="64"/>
      <c r="B621" s="878"/>
      <c r="C621" s="128"/>
      <c r="D621" s="128"/>
      <c r="E621" s="128"/>
      <c r="N621" s="878"/>
      <c r="P621" s="879"/>
      <c r="R621" s="64"/>
      <c r="S621" s="64"/>
      <c r="T621" s="64"/>
      <c r="U621" s="64"/>
    </row>
    <row r="622" spans="1:21" s="71" customFormat="1" hidden="1">
      <c r="A622" s="64"/>
      <c r="B622" s="878"/>
      <c r="C622" s="128"/>
      <c r="D622" s="128"/>
      <c r="E622" s="128"/>
      <c r="N622" s="878"/>
      <c r="P622" s="879"/>
      <c r="R622" s="64"/>
      <c r="S622" s="64"/>
      <c r="T622" s="64"/>
      <c r="U622" s="64"/>
    </row>
    <row r="623" spans="1:21" s="71" customFormat="1" hidden="1">
      <c r="A623" s="64"/>
      <c r="B623" s="878"/>
      <c r="C623" s="128"/>
      <c r="D623" s="128"/>
      <c r="E623" s="128"/>
      <c r="N623" s="878"/>
      <c r="P623" s="879"/>
      <c r="R623" s="64"/>
      <c r="S623" s="64"/>
      <c r="T623" s="64"/>
      <c r="U623" s="64"/>
    </row>
    <row r="624" spans="1:21" s="71" customFormat="1" hidden="1">
      <c r="A624" s="64"/>
      <c r="B624" s="878"/>
      <c r="C624" s="128"/>
      <c r="D624" s="128"/>
      <c r="E624" s="128"/>
      <c r="N624" s="878"/>
      <c r="P624" s="879"/>
      <c r="R624" s="64"/>
      <c r="S624" s="64"/>
      <c r="T624" s="64"/>
      <c r="U624" s="64"/>
    </row>
    <row r="625" spans="1:21" s="71" customFormat="1" hidden="1">
      <c r="A625" s="64"/>
      <c r="B625" s="878"/>
      <c r="C625" s="128"/>
      <c r="D625" s="128"/>
      <c r="E625" s="128"/>
      <c r="N625" s="878"/>
      <c r="P625" s="879"/>
      <c r="R625" s="64"/>
      <c r="S625" s="64"/>
      <c r="T625" s="64"/>
      <c r="U625" s="64"/>
    </row>
    <row r="626" spans="1:21" s="71" customFormat="1" hidden="1">
      <c r="A626" s="64"/>
      <c r="B626" s="878"/>
      <c r="C626" s="128"/>
      <c r="D626" s="128"/>
      <c r="E626" s="128"/>
      <c r="N626" s="878"/>
      <c r="P626" s="879"/>
      <c r="R626" s="64"/>
      <c r="S626" s="64"/>
      <c r="T626" s="64"/>
      <c r="U626" s="64"/>
    </row>
    <row r="627" spans="1:21" s="71" customFormat="1" hidden="1">
      <c r="A627" s="64"/>
      <c r="B627" s="878"/>
      <c r="C627" s="128"/>
      <c r="D627" s="128"/>
      <c r="E627" s="128"/>
      <c r="N627" s="878"/>
      <c r="P627" s="879"/>
      <c r="R627" s="64"/>
      <c r="S627" s="64"/>
      <c r="T627" s="64"/>
      <c r="U627" s="64"/>
    </row>
    <row r="628" spans="1:21" s="71" customFormat="1" hidden="1">
      <c r="A628" s="64"/>
      <c r="B628" s="878"/>
      <c r="C628" s="128"/>
      <c r="D628" s="128"/>
      <c r="E628" s="128"/>
      <c r="N628" s="878"/>
      <c r="P628" s="879"/>
      <c r="R628" s="64"/>
      <c r="S628" s="64"/>
      <c r="T628" s="64"/>
      <c r="U628" s="64"/>
    </row>
    <row r="629" spans="1:21" s="71" customFormat="1" hidden="1">
      <c r="A629" s="64"/>
      <c r="B629" s="878"/>
      <c r="C629" s="128"/>
      <c r="D629" s="128"/>
      <c r="E629" s="128"/>
      <c r="N629" s="878"/>
      <c r="P629" s="879"/>
      <c r="R629" s="64"/>
      <c r="S629" s="64"/>
      <c r="T629" s="64"/>
      <c r="U629" s="64"/>
    </row>
    <row r="630" spans="1:21" s="71" customFormat="1" hidden="1">
      <c r="A630" s="64"/>
      <c r="B630" s="878"/>
      <c r="C630" s="128"/>
      <c r="D630" s="128"/>
      <c r="E630" s="128"/>
      <c r="N630" s="878"/>
      <c r="P630" s="879"/>
      <c r="R630" s="64"/>
      <c r="S630" s="64"/>
      <c r="T630" s="64"/>
      <c r="U630" s="64"/>
    </row>
    <row r="631" spans="1:21" s="71" customFormat="1" hidden="1">
      <c r="A631" s="64"/>
      <c r="B631" s="878"/>
      <c r="C631" s="128"/>
      <c r="D631" s="128"/>
      <c r="E631" s="128"/>
      <c r="N631" s="878"/>
      <c r="P631" s="879"/>
      <c r="R631" s="64"/>
      <c r="S631" s="64"/>
      <c r="T631" s="64"/>
      <c r="U631" s="64"/>
    </row>
    <row r="632" spans="1:21" s="71" customFormat="1" hidden="1">
      <c r="A632" s="64"/>
      <c r="B632" s="878"/>
      <c r="C632" s="128"/>
      <c r="D632" s="128"/>
      <c r="E632" s="128"/>
      <c r="N632" s="878"/>
      <c r="P632" s="879"/>
      <c r="R632" s="64"/>
      <c r="S632" s="64"/>
      <c r="T632" s="64"/>
      <c r="U632" s="64"/>
    </row>
    <row r="633" spans="1:21" s="71" customFormat="1" hidden="1">
      <c r="A633" s="64"/>
      <c r="B633" s="878"/>
      <c r="C633" s="128"/>
      <c r="D633" s="128"/>
      <c r="E633" s="128"/>
      <c r="N633" s="878"/>
      <c r="P633" s="879"/>
      <c r="R633" s="64"/>
      <c r="S633" s="64"/>
      <c r="T633" s="64"/>
      <c r="U633" s="64"/>
    </row>
    <row r="634" spans="1:21" s="71" customFormat="1" hidden="1">
      <c r="A634" s="64"/>
      <c r="B634" s="878"/>
      <c r="C634" s="128"/>
      <c r="D634" s="128"/>
      <c r="E634" s="128"/>
      <c r="N634" s="878"/>
      <c r="P634" s="879"/>
      <c r="R634" s="64"/>
      <c r="S634" s="64"/>
      <c r="T634" s="64"/>
      <c r="U634" s="64"/>
    </row>
    <row r="635" spans="1:21" s="71" customFormat="1" hidden="1">
      <c r="A635" s="64"/>
      <c r="B635" s="878"/>
      <c r="C635" s="128"/>
      <c r="D635" s="128"/>
      <c r="E635" s="128"/>
      <c r="N635" s="878"/>
      <c r="P635" s="879"/>
      <c r="R635" s="64"/>
      <c r="S635" s="64"/>
      <c r="T635" s="64"/>
      <c r="U635" s="64"/>
    </row>
    <row r="636" spans="1:21" s="71" customFormat="1" hidden="1">
      <c r="A636" s="64"/>
      <c r="B636" s="878"/>
      <c r="C636" s="128"/>
      <c r="D636" s="128"/>
      <c r="E636" s="128"/>
      <c r="N636" s="878"/>
      <c r="P636" s="879"/>
      <c r="R636" s="64"/>
      <c r="S636" s="64"/>
      <c r="T636" s="64"/>
      <c r="U636" s="64"/>
    </row>
    <row r="637" spans="1:21" s="71" customFormat="1" hidden="1">
      <c r="A637" s="64"/>
      <c r="B637" s="878"/>
      <c r="C637" s="128"/>
      <c r="D637" s="128"/>
      <c r="E637" s="128"/>
      <c r="N637" s="878"/>
      <c r="P637" s="879"/>
      <c r="R637" s="64"/>
      <c r="S637" s="64"/>
      <c r="T637" s="64"/>
      <c r="U637" s="64"/>
    </row>
    <row r="638" spans="1:21" s="71" customFormat="1" hidden="1">
      <c r="A638" s="64"/>
      <c r="B638" s="878"/>
      <c r="C638" s="128"/>
      <c r="D638" s="128"/>
      <c r="E638" s="128"/>
      <c r="N638" s="878"/>
      <c r="P638" s="879"/>
      <c r="R638" s="64"/>
      <c r="S638" s="64"/>
      <c r="T638" s="64"/>
      <c r="U638" s="64"/>
    </row>
    <row r="639" spans="1:21" s="71" customFormat="1" hidden="1">
      <c r="A639" s="64"/>
      <c r="B639" s="878"/>
      <c r="C639" s="128"/>
      <c r="D639" s="128"/>
      <c r="E639" s="128"/>
      <c r="N639" s="878"/>
      <c r="P639" s="879"/>
      <c r="R639" s="64"/>
      <c r="S639" s="64"/>
      <c r="T639" s="64"/>
      <c r="U639" s="64"/>
    </row>
    <row r="640" spans="1:21" s="71" customFormat="1" hidden="1">
      <c r="A640" s="64"/>
      <c r="B640" s="878"/>
      <c r="C640" s="128"/>
      <c r="D640" s="128"/>
      <c r="E640" s="128"/>
      <c r="N640" s="878"/>
      <c r="P640" s="879"/>
      <c r="R640" s="64"/>
      <c r="S640" s="64"/>
      <c r="T640" s="64"/>
      <c r="U640" s="64"/>
    </row>
    <row r="641" spans="1:21" s="71" customFormat="1" hidden="1">
      <c r="A641" s="64"/>
      <c r="B641" s="878"/>
      <c r="C641" s="128"/>
      <c r="D641" s="128"/>
      <c r="E641" s="128"/>
      <c r="N641" s="878"/>
      <c r="P641" s="879"/>
      <c r="R641" s="64"/>
      <c r="S641" s="64"/>
      <c r="T641" s="64"/>
      <c r="U641" s="64"/>
    </row>
    <row r="642" spans="1:21" s="71" customFormat="1" hidden="1">
      <c r="A642" s="64"/>
      <c r="B642" s="878"/>
      <c r="C642" s="128"/>
      <c r="D642" s="128"/>
      <c r="E642" s="128"/>
      <c r="N642" s="878"/>
      <c r="P642" s="879"/>
      <c r="R642" s="64"/>
      <c r="S642" s="64"/>
      <c r="T642" s="64"/>
      <c r="U642" s="64"/>
    </row>
    <row r="643" spans="1:21" s="71" customFormat="1" hidden="1">
      <c r="A643" s="64"/>
      <c r="B643" s="878"/>
      <c r="C643" s="128"/>
      <c r="D643" s="128"/>
      <c r="E643" s="128"/>
      <c r="N643" s="878"/>
      <c r="P643" s="879"/>
      <c r="R643" s="64"/>
      <c r="S643" s="64"/>
      <c r="T643" s="64"/>
      <c r="U643" s="64"/>
    </row>
    <row r="644" spans="1:21" s="71" customFormat="1" hidden="1">
      <c r="A644" s="64"/>
      <c r="B644" s="878"/>
      <c r="C644" s="128"/>
      <c r="D644" s="128"/>
      <c r="E644" s="128"/>
      <c r="N644" s="878"/>
      <c r="P644" s="879"/>
      <c r="R644" s="64"/>
      <c r="S644" s="64"/>
      <c r="T644" s="64"/>
      <c r="U644" s="64"/>
    </row>
    <row r="645" spans="1:21" s="71" customFormat="1" hidden="1">
      <c r="A645" s="64"/>
      <c r="B645" s="878"/>
      <c r="C645" s="128"/>
      <c r="D645" s="128"/>
      <c r="E645" s="128"/>
      <c r="N645" s="878"/>
      <c r="P645" s="879"/>
      <c r="R645" s="64"/>
      <c r="S645" s="64"/>
      <c r="T645" s="64"/>
      <c r="U645" s="64"/>
    </row>
    <row r="646" spans="1:21" s="71" customFormat="1" hidden="1">
      <c r="A646" s="64"/>
      <c r="B646" s="878"/>
      <c r="C646" s="128"/>
      <c r="D646" s="128"/>
      <c r="E646" s="128"/>
      <c r="N646" s="878"/>
      <c r="P646" s="879"/>
      <c r="R646" s="64"/>
      <c r="S646" s="64"/>
      <c r="T646" s="64"/>
      <c r="U646" s="64"/>
    </row>
    <row r="647" spans="1:21" s="71" customFormat="1" hidden="1">
      <c r="A647" s="64"/>
      <c r="B647" s="878"/>
      <c r="C647" s="128"/>
      <c r="D647" s="128"/>
      <c r="E647" s="128"/>
      <c r="N647" s="878"/>
      <c r="P647" s="879"/>
      <c r="R647" s="64"/>
      <c r="S647" s="64"/>
      <c r="T647" s="64"/>
      <c r="U647" s="64"/>
    </row>
    <row r="648" spans="1:21" s="71" customFormat="1" hidden="1">
      <c r="A648" s="64"/>
      <c r="B648" s="878"/>
      <c r="C648" s="128"/>
      <c r="D648" s="128"/>
      <c r="E648" s="128"/>
      <c r="N648" s="878"/>
      <c r="P648" s="879"/>
      <c r="R648" s="64"/>
      <c r="S648" s="64"/>
      <c r="T648" s="64"/>
      <c r="U648" s="64"/>
    </row>
    <row r="649" spans="1:21" s="71" customFormat="1" hidden="1">
      <c r="A649" s="64"/>
      <c r="B649" s="878"/>
      <c r="C649" s="128"/>
      <c r="D649" s="128"/>
      <c r="E649" s="128"/>
      <c r="N649" s="878"/>
      <c r="P649" s="879"/>
      <c r="R649" s="64"/>
      <c r="S649" s="64"/>
      <c r="T649" s="64"/>
      <c r="U649" s="64"/>
    </row>
    <row r="650" spans="1:21" s="71" customFormat="1" hidden="1">
      <c r="A650" s="64"/>
      <c r="B650" s="878"/>
      <c r="C650" s="128"/>
      <c r="D650" s="128"/>
      <c r="E650" s="128"/>
      <c r="N650" s="878"/>
      <c r="P650" s="879"/>
      <c r="R650" s="64"/>
      <c r="S650" s="64"/>
      <c r="T650" s="64"/>
      <c r="U650" s="64"/>
    </row>
    <row r="651" spans="1:21" s="71" customFormat="1" hidden="1">
      <c r="A651" s="64"/>
      <c r="B651" s="878"/>
      <c r="C651" s="128"/>
      <c r="D651" s="128"/>
      <c r="E651" s="128"/>
      <c r="N651" s="878"/>
      <c r="P651" s="879"/>
      <c r="R651" s="64"/>
      <c r="S651" s="64"/>
      <c r="T651" s="64"/>
      <c r="U651" s="64"/>
    </row>
    <row r="652" spans="1:21" s="71" customFormat="1" hidden="1">
      <c r="A652" s="64"/>
      <c r="B652" s="878"/>
      <c r="C652" s="128"/>
      <c r="D652" s="128"/>
      <c r="E652" s="128"/>
      <c r="N652" s="878"/>
      <c r="P652" s="879"/>
      <c r="R652" s="64"/>
      <c r="S652" s="64"/>
      <c r="T652" s="64"/>
      <c r="U652" s="64"/>
    </row>
    <row r="653" spans="1:21" s="71" customFormat="1" hidden="1">
      <c r="A653" s="64"/>
      <c r="B653" s="878"/>
      <c r="C653" s="128"/>
      <c r="D653" s="128"/>
      <c r="E653" s="128"/>
      <c r="N653" s="878"/>
      <c r="P653" s="879"/>
      <c r="R653" s="64"/>
      <c r="S653" s="64"/>
      <c r="T653" s="64"/>
      <c r="U653" s="64"/>
    </row>
    <row r="654" spans="1:21" s="71" customFormat="1" hidden="1">
      <c r="A654" s="64"/>
      <c r="B654" s="878"/>
      <c r="C654" s="128"/>
      <c r="D654" s="128"/>
      <c r="E654" s="128"/>
      <c r="N654" s="878"/>
      <c r="P654" s="879"/>
      <c r="R654" s="64"/>
      <c r="S654" s="64"/>
      <c r="T654" s="64"/>
      <c r="U654" s="64"/>
    </row>
    <row r="655" spans="1:21" s="71" customFormat="1" hidden="1">
      <c r="A655" s="64"/>
      <c r="B655" s="878"/>
      <c r="C655" s="128"/>
      <c r="D655" s="128"/>
      <c r="E655" s="128"/>
      <c r="N655" s="878"/>
      <c r="P655" s="879"/>
      <c r="R655" s="64"/>
      <c r="S655" s="64"/>
      <c r="T655" s="64"/>
      <c r="U655" s="64"/>
    </row>
    <row r="656" spans="1:21" s="71" customFormat="1" hidden="1">
      <c r="A656" s="64"/>
      <c r="B656" s="878"/>
      <c r="C656" s="128"/>
      <c r="D656" s="128"/>
      <c r="E656" s="128"/>
      <c r="N656" s="878"/>
      <c r="P656" s="879"/>
      <c r="R656" s="64"/>
      <c r="S656" s="64"/>
      <c r="T656" s="64"/>
      <c r="U656" s="64"/>
    </row>
    <row r="657" spans="1:21" s="71" customFormat="1" hidden="1">
      <c r="A657" s="64"/>
      <c r="B657" s="878"/>
      <c r="C657" s="128"/>
      <c r="D657" s="128"/>
      <c r="E657" s="128"/>
      <c r="N657" s="878"/>
      <c r="P657" s="879"/>
      <c r="R657" s="64"/>
      <c r="S657" s="64"/>
      <c r="T657" s="64"/>
      <c r="U657" s="64"/>
    </row>
    <row r="658" spans="1:21" s="71" customFormat="1" hidden="1">
      <c r="A658" s="64"/>
      <c r="B658" s="878"/>
      <c r="C658" s="128"/>
      <c r="D658" s="128"/>
      <c r="E658" s="128"/>
      <c r="N658" s="878"/>
      <c r="P658" s="879"/>
      <c r="R658" s="64"/>
      <c r="S658" s="64"/>
      <c r="T658" s="64"/>
      <c r="U658" s="64"/>
    </row>
    <row r="659" spans="1:21" s="71" customFormat="1" hidden="1">
      <c r="A659" s="64"/>
      <c r="B659" s="878"/>
      <c r="C659" s="128"/>
      <c r="D659" s="128"/>
      <c r="E659" s="128"/>
      <c r="N659" s="878"/>
      <c r="P659" s="879"/>
      <c r="R659" s="64"/>
      <c r="S659" s="64"/>
      <c r="T659" s="64"/>
      <c r="U659" s="64"/>
    </row>
    <row r="660" spans="1:21" s="71" customFormat="1" hidden="1">
      <c r="A660" s="64"/>
      <c r="B660" s="878"/>
      <c r="C660" s="128"/>
      <c r="D660" s="128"/>
      <c r="E660" s="128"/>
      <c r="N660" s="878"/>
      <c r="P660" s="879"/>
      <c r="R660" s="64"/>
      <c r="S660" s="64"/>
      <c r="T660" s="64"/>
      <c r="U660" s="64"/>
    </row>
    <row r="661" spans="1:21" s="71" customFormat="1" hidden="1">
      <c r="A661" s="64"/>
      <c r="B661" s="878"/>
      <c r="C661" s="128"/>
      <c r="D661" s="128"/>
      <c r="E661" s="128"/>
      <c r="N661" s="878"/>
      <c r="P661" s="879"/>
      <c r="R661" s="64"/>
      <c r="S661" s="64"/>
      <c r="T661" s="64"/>
      <c r="U661" s="64"/>
    </row>
    <row r="662" spans="1:21" s="71" customFormat="1" hidden="1">
      <c r="A662" s="64"/>
      <c r="B662" s="878"/>
      <c r="C662" s="128"/>
      <c r="D662" s="128"/>
      <c r="E662" s="128"/>
      <c r="N662" s="878"/>
      <c r="P662" s="879"/>
      <c r="R662" s="64"/>
      <c r="S662" s="64"/>
      <c r="T662" s="64"/>
      <c r="U662" s="64"/>
    </row>
    <row r="663" spans="1:21" s="71" customFormat="1" hidden="1">
      <c r="A663" s="64"/>
      <c r="B663" s="878"/>
      <c r="C663" s="128"/>
      <c r="D663" s="128"/>
      <c r="E663" s="128"/>
      <c r="N663" s="878"/>
      <c r="P663" s="879"/>
      <c r="R663" s="64"/>
      <c r="S663" s="64"/>
      <c r="T663" s="64"/>
      <c r="U663" s="64"/>
    </row>
    <row r="664" spans="1:21" s="71" customFormat="1" hidden="1">
      <c r="A664" s="64"/>
      <c r="B664" s="878"/>
      <c r="C664" s="128"/>
      <c r="D664" s="128"/>
      <c r="E664" s="128"/>
      <c r="N664" s="878"/>
      <c r="P664" s="879"/>
      <c r="R664" s="64"/>
      <c r="S664" s="64"/>
      <c r="T664" s="64"/>
      <c r="U664" s="64"/>
    </row>
    <row r="665" spans="1:21" s="71" customFormat="1" hidden="1">
      <c r="A665" s="64"/>
      <c r="B665" s="878"/>
      <c r="C665" s="128"/>
      <c r="D665" s="128"/>
      <c r="E665" s="128"/>
      <c r="N665" s="878"/>
      <c r="P665" s="879"/>
      <c r="R665" s="64"/>
      <c r="S665" s="64"/>
      <c r="T665" s="64"/>
      <c r="U665" s="64"/>
    </row>
    <row r="666" spans="1:21" s="71" customFormat="1" hidden="1">
      <c r="A666" s="64"/>
      <c r="B666" s="878"/>
      <c r="C666" s="128"/>
      <c r="D666" s="128"/>
      <c r="E666" s="128"/>
      <c r="N666" s="878"/>
      <c r="P666" s="879"/>
      <c r="R666" s="64"/>
      <c r="S666" s="64"/>
      <c r="T666" s="64"/>
      <c r="U666" s="64"/>
    </row>
    <row r="667" spans="1:21" s="71" customFormat="1" hidden="1">
      <c r="A667" s="64"/>
      <c r="B667" s="878"/>
      <c r="C667" s="128"/>
      <c r="D667" s="128"/>
      <c r="E667" s="128"/>
      <c r="N667" s="878"/>
      <c r="P667" s="879"/>
      <c r="R667" s="64"/>
      <c r="S667" s="64"/>
      <c r="T667" s="64"/>
      <c r="U667" s="64"/>
    </row>
    <row r="668" spans="1:21" s="71" customFormat="1" hidden="1">
      <c r="A668" s="64"/>
      <c r="B668" s="878"/>
      <c r="C668" s="128"/>
      <c r="D668" s="128"/>
      <c r="E668" s="128"/>
      <c r="N668" s="878"/>
      <c r="P668" s="879"/>
      <c r="R668" s="64"/>
      <c r="S668" s="64"/>
      <c r="T668" s="64"/>
      <c r="U668" s="64"/>
    </row>
    <row r="669" spans="1:21" s="71" customFormat="1" hidden="1">
      <c r="A669" s="64"/>
      <c r="B669" s="878"/>
      <c r="C669" s="128"/>
      <c r="D669" s="128"/>
      <c r="E669" s="128"/>
      <c r="N669" s="878"/>
      <c r="P669" s="879"/>
      <c r="R669" s="64"/>
      <c r="S669" s="64"/>
      <c r="T669" s="64"/>
      <c r="U669" s="64"/>
    </row>
    <row r="670" spans="1:21" s="71" customFormat="1" hidden="1">
      <c r="A670" s="64"/>
      <c r="B670" s="878"/>
      <c r="C670" s="128"/>
      <c r="D670" s="128"/>
      <c r="E670" s="128"/>
      <c r="N670" s="878"/>
      <c r="P670" s="879"/>
      <c r="R670" s="64"/>
      <c r="S670" s="64"/>
      <c r="T670" s="64"/>
      <c r="U670" s="64"/>
    </row>
    <row r="671" spans="1:21" s="71" customFormat="1" hidden="1">
      <c r="A671" s="64"/>
      <c r="B671" s="878"/>
      <c r="C671" s="128"/>
      <c r="D671" s="128"/>
      <c r="E671" s="128"/>
      <c r="N671" s="878"/>
      <c r="P671" s="879"/>
      <c r="R671" s="64"/>
      <c r="S671" s="64"/>
      <c r="T671" s="64"/>
      <c r="U671" s="64"/>
    </row>
    <row r="672" spans="1:21" s="71" customFormat="1" hidden="1">
      <c r="A672" s="64"/>
      <c r="B672" s="878"/>
      <c r="C672" s="128"/>
      <c r="D672" s="128"/>
      <c r="E672" s="128"/>
      <c r="N672" s="878"/>
      <c r="P672" s="879"/>
      <c r="R672" s="64"/>
      <c r="S672" s="64"/>
      <c r="T672" s="64"/>
      <c r="U672" s="64"/>
    </row>
    <row r="673" spans="1:21" s="71" customFormat="1" hidden="1">
      <c r="A673" s="64"/>
      <c r="B673" s="878"/>
      <c r="C673" s="128"/>
      <c r="D673" s="128"/>
      <c r="E673" s="128"/>
      <c r="N673" s="878"/>
      <c r="P673" s="879"/>
      <c r="R673" s="64"/>
      <c r="S673" s="64"/>
      <c r="T673" s="64"/>
      <c r="U673" s="64"/>
    </row>
    <row r="674" spans="1:21" s="71" customFormat="1" hidden="1">
      <c r="A674" s="64"/>
      <c r="B674" s="878"/>
      <c r="C674" s="128"/>
      <c r="D674" s="128"/>
      <c r="E674" s="128"/>
      <c r="N674" s="878"/>
      <c r="P674" s="879"/>
      <c r="R674" s="64"/>
      <c r="S674" s="64"/>
      <c r="T674" s="64"/>
      <c r="U674" s="64"/>
    </row>
    <row r="675" spans="1:21" s="71" customFormat="1" hidden="1">
      <c r="A675" s="64"/>
      <c r="B675" s="878"/>
      <c r="C675" s="128"/>
      <c r="D675" s="128"/>
      <c r="E675" s="128"/>
      <c r="N675" s="878"/>
      <c r="P675" s="879"/>
      <c r="R675" s="64"/>
      <c r="S675" s="64"/>
      <c r="T675" s="64"/>
      <c r="U675" s="64"/>
    </row>
    <row r="676" spans="1:21" s="71" customFormat="1" hidden="1">
      <c r="A676" s="64"/>
      <c r="B676" s="878"/>
      <c r="C676" s="128"/>
      <c r="D676" s="128"/>
      <c r="E676" s="128"/>
      <c r="N676" s="878"/>
      <c r="P676" s="879"/>
      <c r="R676" s="64"/>
      <c r="S676" s="64"/>
      <c r="T676" s="64"/>
      <c r="U676" s="64"/>
    </row>
    <row r="677" spans="1:21" s="71" customFormat="1" hidden="1">
      <c r="A677" s="64"/>
      <c r="B677" s="878"/>
      <c r="C677" s="128"/>
      <c r="D677" s="128"/>
      <c r="E677" s="128"/>
      <c r="N677" s="878"/>
      <c r="P677" s="879"/>
      <c r="R677" s="64"/>
      <c r="S677" s="64"/>
      <c r="T677" s="64"/>
      <c r="U677" s="64"/>
    </row>
    <row r="678" spans="1:21" s="71" customFormat="1" hidden="1">
      <c r="A678" s="64"/>
      <c r="B678" s="878"/>
      <c r="C678" s="128"/>
      <c r="D678" s="128"/>
      <c r="E678" s="128"/>
      <c r="N678" s="878"/>
      <c r="P678" s="879"/>
      <c r="R678" s="64"/>
      <c r="S678" s="64"/>
      <c r="T678" s="64"/>
      <c r="U678" s="64"/>
    </row>
    <row r="679" spans="1:21" s="71" customFormat="1" hidden="1">
      <c r="A679" s="64"/>
      <c r="B679" s="878"/>
      <c r="C679" s="128"/>
      <c r="D679" s="128"/>
      <c r="E679" s="128"/>
      <c r="N679" s="878"/>
      <c r="P679" s="879"/>
      <c r="R679" s="64"/>
      <c r="S679" s="64"/>
      <c r="T679" s="64"/>
      <c r="U679" s="64"/>
    </row>
    <row r="680" spans="1:21" s="71" customFormat="1" hidden="1">
      <c r="A680" s="64"/>
      <c r="B680" s="878"/>
      <c r="C680" s="128"/>
      <c r="D680" s="128"/>
      <c r="E680" s="128"/>
      <c r="N680" s="878"/>
      <c r="P680" s="879"/>
      <c r="R680" s="64"/>
      <c r="S680" s="64"/>
      <c r="T680" s="64"/>
      <c r="U680" s="64"/>
    </row>
    <row r="681" spans="1:21" s="71" customFormat="1" hidden="1">
      <c r="A681" s="64"/>
      <c r="B681" s="878"/>
      <c r="C681" s="128"/>
      <c r="D681" s="128"/>
      <c r="E681" s="128"/>
      <c r="N681" s="878"/>
      <c r="P681" s="879"/>
      <c r="R681" s="64"/>
      <c r="S681" s="64"/>
      <c r="T681" s="64"/>
      <c r="U681" s="64"/>
    </row>
    <row r="682" spans="1:21" s="71" customFormat="1" hidden="1">
      <c r="A682" s="64"/>
      <c r="B682" s="878"/>
      <c r="C682" s="128"/>
      <c r="D682" s="128"/>
      <c r="E682" s="128"/>
      <c r="N682" s="878"/>
      <c r="P682" s="879"/>
      <c r="R682" s="64"/>
      <c r="S682" s="64"/>
      <c r="T682" s="64"/>
      <c r="U682" s="64"/>
    </row>
    <row r="683" spans="1:21" s="71" customFormat="1" hidden="1">
      <c r="A683" s="64"/>
      <c r="B683" s="878"/>
      <c r="C683" s="128"/>
      <c r="D683" s="128"/>
      <c r="E683" s="128"/>
      <c r="N683" s="878"/>
      <c r="P683" s="879"/>
      <c r="R683" s="64"/>
      <c r="S683" s="64"/>
      <c r="T683" s="64"/>
      <c r="U683" s="64"/>
    </row>
    <row r="684" spans="1:21" s="71" customFormat="1" hidden="1">
      <c r="A684" s="64"/>
      <c r="B684" s="878"/>
      <c r="C684" s="128"/>
      <c r="D684" s="128"/>
      <c r="E684" s="128"/>
      <c r="N684" s="878"/>
      <c r="P684" s="879"/>
      <c r="R684" s="64"/>
      <c r="S684" s="64"/>
      <c r="T684" s="64"/>
      <c r="U684" s="64"/>
    </row>
    <row r="685" spans="1:21" s="71" customFormat="1" hidden="1">
      <c r="A685" s="64"/>
      <c r="B685" s="878"/>
      <c r="C685" s="128"/>
      <c r="D685" s="128"/>
      <c r="E685" s="128"/>
      <c r="N685" s="878"/>
      <c r="P685" s="879"/>
      <c r="R685" s="64"/>
      <c r="S685" s="64"/>
      <c r="T685" s="64"/>
      <c r="U685" s="64"/>
    </row>
    <row r="686" spans="1:21" s="71" customFormat="1" hidden="1">
      <c r="A686" s="64"/>
      <c r="B686" s="878"/>
      <c r="C686" s="128"/>
      <c r="D686" s="128"/>
      <c r="E686" s="128"/>
      <c r="N686" s="878"/>
      <c r="P686" s="879"/>
      <c r="R686" s="64"/>
      <c r="S686" s="64"/>
      <c r="T686" s="64"/>
      <c r="U686" s="64"/>
    </row>
    <row r="687" spans="1:21" s="71" customFormat="1" hidden="1">
      <c r="A687" s="64"/>
      <c r="B687" s="878"/>
      <c r="C687" s="128"/>
      <c r="D687" s="128"/>
      <c r="E687" s="128"/>
      <c r="N687" s="878"/>
      <c r="P687" s="879"/>
      <c r="R687" s="64"/>
      <c r="S687" s="64"/>
      <c r="T687" s="64"/>
      <c r="U687" s="64"/>
    </row>
    <row r="688" spans="1:21" s="71" customFormat="1" hidden="1">
      <c r="A688" s="64"/>
      <c r="B688" s="878"/>
      <c r="C688" s="128"/>
      <c r="D688" s="128"/>
      <c r="E688" s="128"/>
      <c r="N688" s="878"/>
      <c r="P688" s="879"/>
      <c r="R688" s="64"/>
      <c r="S688" s="64"/>
      <c r="T688" s="64"/>
      <c r="U688" s="64"/>
    </row>
    <row r="689" spans="1:21" s="71" customFormat="1" hidden="1">
      <c r="A689" s="64"/>
      <c r="B689" s="878"/>
      <c r="C689" s="128"/>
      <c r="D689" s="128"/>
      <c r="E689" s="128"/>
      <c r="N689" s="878"/>
      <c r="P689" s="879"/>
      <c r="R689" s="64"/>
      <c r="S689" s="64"/>
      <c r="T689" s="64"/>
      <c r="U689" s="64"/>
    </row>
    <row r="690" spans="1:21" s="71" customFormat="1" hidden="1">
      <c r="A690" s="64"/>
      <c r="B690" s="878"/>
      <c r="C690" s="128"/>
      <c r="D690" s="128"/>
      <c r="E690" s="128"/>
      <c r="N690" s="878"/>
      <c r="P690" s="879"/>
      <c r="R690" s="64"/>
      <c r="S690" s="64"/>
      <c r="T690" s="64"/>
      <c r="U690" s="64"/>
    </row>
    <row r="691" spans="1:21" s="71" customFormat="1" hidden="1">
      <c r="A691" s="64"/>
      <c r="B691" s="878"/>
      <c r="C691" s="128"/>
      <c r="D691" s="128"/>
      <c r="E691" s="128"/>
      <c r="N691" s="878"/>
      <c r="P691" s="879"/>
      <c r="R691" s="64"/>
      <c r="S691" s="64"/>
      <c r="T691" s="64"/>
      <c r="U691" s="64"/>
    </row>
    <row r="692" spans="1:21" s="71" customFormat="1" hidden="1">
      <c r="A692" s="64"/>
      <c r="B692" s="878"/>
      <c r="C692" s="128"/>
      <c r="D692" s="128"/>
      <c r="E692" s="128"/>
      <c r="N692" s="878"/>
      <c r="P692" s="879"/>
      <c r="R692" s="64"/>
      <c r="S692" s="64"/>
      <c r="T692" s="64"/>
      <c r="U692" s="64"/>
    </row>
    <row r="693" spans="1:21" s="71" customFormat="1" hidden="1">
      <c r="A693" s="64"/>
      <c r="B693" s="878"/>
      <c r="C693" s="128"/>
      <c r="D693" s="128"/>
      <c r="E693" s="128"/>
      <c r="N693" s="878"/>
      <c r="P693" s="879"/>
      <c r="R693" s="64"/>
      <c r="S693" s="64"/>
      <c r="T693" s="64"/>
      <c r="U693" s="64"/>
    </row>
    <row r="694" spans="1:21" s="71" customFormat="1" hidden="1">
      <c r="A694" s="64"/>
      <c r="B694" s="878"/>
      <c r="C694" s="128"/>
      <c r="D694" s="128"/>
      <c r="E694" s="128"/>
      <c r="N694" s="878"/>
      <c r="P694" s="879"/>
      <c r="R694" s="64"/>
      <c r="S694" s="64"/>
      <c r="T694" s="64"/>
      <c r="U694" s="64"/>
    </row>
    <row r="695" spans="1:21" s="71" customFormat="1" hidden="1">
      <c r="A695" s="64"/>
      <c r="B695" s="878"/>
      <c r="C695" s="128"/>
      <c r="D695" s="128"/>
      <c r="E695" s="128"/>
      <c r="N695" s="878"/>
      <c r="P695" s="879"/>
      <c r="R695" s="64"/>
      <c r="S695" s="64"/>
      <c r="T695" s="64"/>
      <c r="U695" s="64"/>
    </row>
    <row r="696" spans="1:21" s="71" customFormat="1" hidden="1">
      <c r="A696" s="64"/>
      <c r="B696" s="878"/>
      <c r="C696" s="128"/>
      <c r="D696" s="128"/>
      <c r="E696" s="128"/>
      <c r="N696" s="878"/>
      <c r="P696" s="879"/>
      <c r="R696" s="64"/>
      <c r="S696" s="64"/>
      <c r="T696" s="64"/>
      <c r="U696" s="64"/>
    </row>
    <row r="697" spans="1:21" s="71" customFormat="1" hidden="1">
      <c r="A697" s="64"/>
      <c r="B697" s="878"/>
      <c r="C697" s="128"/>
      <c r="D697" s="128"/>
      <c r="E697" s="128"/>
      <c r="N697" s="878"/>
      <c r="P697" s="879"/>
      <c r="R697" s="64"/>
      <c r="S697" s="64"/>
      <c r="T697" s="64"/>
      <c r="U697" s="64"/>
    </row>
    <row r="698" spans="1:21" s="71" customFormat="1" hidden="1">
      <c r="A698" s="64"/>
      <c r="B698" s="878"/>
      <c r="C698" s="128"/>
      <c r="D698" s="128"/>
      <c r="E698" s="128"/>
      <c r="N698" s="878"/>
      <c r="P698" s="879"/>
      <c r="R698" s="64"/>
      <c r="S698" s="64"/>
      <c r="T698" s="64"/>
      <c r="U698" s="64"/>
    </row>
    <row r="699" spans="1:21" s="71" customFormat="1" hidden="1">
      <c r="A699" s="64"/>
      <c r="B699" s="878"/>
      <c r="C699" s="128"/>
      <c r="D699" s="128"/>
      <c r="E699" s="128"/>
      <c r="N699" s="878"/>
      <c r="P699" s="879"/>
      <c r="R699" s="64"/>
      <c r="S699" s="64"/>
      <c r="T699" s="64"/>
      <c r="U699" s="64"/>
    </row>
    <row r="700" spans="1:21" s="71" customFormat="1" hidden="1">
      <c r="A700" s="64"/>
      <c r="B700" s="878"/>
      <c r="C700" s="128"/>
      <c r="D700" s="128"/>
      <c r="E700" s="128"/>
      <c r="N700" s="878"/>
      <c r="P700" s="879"/>
      <c r="R700" s="64"/>
      <c r="S700" s="64"/>
      <c r="T700" s="64"/>
      <c r="U700" s="64"/>
    </row>
    <row r="701" spans="1:21" s="71" customFormat="1" hidden="1">
      <c r="A701" s="64"/>
      <c r="B701" s="878"/>
      <c r="C701" s="128"/>
      <c r="D701" s="128"/>
      <c r="E701" s="128"/>
      <c r="N701" s="878"/>
      <c r="P701" s="879"/>
      <c r="R701" s="64"/>
      <c r="S701" s="64"/>
      <c r="T701" s="64"/>
      <c r="U701" s="64"/>
    </row>
    <row r="702" spans="1:21" s="71" customFormat="1" hidden="1">
      <c r="A702" s="64"/>
      <c r="B702" s="878"/>
      <c r="C702" s="128"/>
      <c r="D702" s="128"/>
      <c r="E702" s="128"/>
      <c r="N702" s="878"/>
      <c r="P702" s="879"/>
      <c r="R702" s="64"/>
      <c r="S702" s="64"/>
      <c r="T702" s="64"/>
      <c r="U702" s="64"/>
    </row>
    <row r="703" spans="1:21" s="71" customFormat="1" hidden="1">
      <c r="A703" s="64"/>
      <c r="B703" s="878"/>
      <c r="C703" s="128"/>
      <c r="D703" s="128"/>
      <c r="E703" s="128"/>
      <c r="N703" s="878"/>
      <c r="P703" s="879"/>
      <c r="R703" s="64"/>
      <c r="S703" s="64"/>
      <c r="T703" s="64"/>
      <c r="U703" s="64"/>
    </row>
    <row r="704" spans="1:21" s="71" customFormat="1" hidden="1">
      <c r="A704" s="64"/>
      <c r="B704" s="878"/>
      <c r="C704" s="128"/>
      <c r="D704" s="128"/>
      <c r="E704" s="128"/>
      <c r="N704" s="878"/>
      <c r="P704" s="879"/>
      <c r="R704" s="64"/>
      <c r="S704" s="64"/>
      <c r="T704" s="64"/>
      <c r="U704" s="64"/>
    </row>
    <row r="705" spans="1:21" s="71" customFormat="1" hidden="1">
      <c r="A705" s="64"/>
      <c r="B705" s="878"/>
      <c r="C705" s="128"/>
      <c r="D705" s="128"/>
      <c r="E705" s="128"/>
      <c r="N705" s="878"/>
      <c r="P705" s="879"/>
      <c r="R705" s="64"/>
      <c r="S705" s="64"/>
      <c r="T705" s="64"/>
      <c r="U705" s="64"/>
    </row>
    <row r="706" spans="1:21" s="71" customFormat="1" hidden="1">
      <c r="A706" s="64"/>
      <c r="B706" s="878"/>
      <c r="C706" s="128"/>
      <c r="D706" s="128"/>
      <c r="E706" s="128"/>
      <c r="N706" s="878"/>
      <c r="P706" s="879"/>
      <c r="R706" s="64"/>
      <c r="S706" s="64"/>
      <c r="T706" s="64"/>
      <c r="U706" s="64"/>
    </row>
    <row r="707" spans="1:21" s="71" customFormat="1" hidden="1">
      <c r="A707" s="64"/>
      <c r="B707" s="878"/>
      <c r="C707" s="128"/>
      <c r="D707" s="128"/>
      <c r="E707" s="128"/>
      <c r="N707" s="878"/>
      <c r="P707" s="879"/>
      <c r="R707" s="64"/>
      <c r="S707" s="64"/>
      <c r="T707" s="64"/>
      <c r="U707" s="64"/>
    </row>
    <row r="708" spans="1:21" s="71" customFormat="1" hidden="1">
      <c r="A708" s="64"/>
      <c r="B708" s="878"/>
      <c r="C708" s="128"/>
      <c r="D708" s="128"/>
      <c r="E708" s="128"/>
      <c r="N708" s="878"/>
      <c r="P708" s="879"/>
      <c r="R708" s="64"/>
      <c r="S708" s="64"/>
      <c r="T708" s="64"/>
      <c r="U708" s="64"/>
    </row>
    <row r="709" spans="1:21" s="71" customFormat="1" hidden="1">
      <c r="A709" s="64"/>
      <c r="B709" s="878"/>
      <c r="C709" s="128"/>
      <c r="D709" s="128"/>
      <c r="E709" s="128"/>
      <c r="N709" s="878"/>
      <c r="P709" s="879"/>
      <c r="R709" s="64"/>
      <c r="S709" s="64"/>
      <c r="T709" s="64"/>
      <c r="U709" s="64"/>
    </row>
    <row r="710" spans="1:21" s="71" customFormat="1" hidden="1">
      <c r="A710" s="64"/>
      <c r="B710" s="878"/>
      <c r="C710" s="128"/>
      <c r="D710" s="128"/>
      <c r="E710" s="128"/>
      <c r="N710" s="878"/>
      <c r="P710" s="879"/>
      <c r="R710" s="64"/>
      <c r="S710" s="64"/>
      <c r="T710" s="64"/>
      <c r="U710" s="64"/>
    </row>
    <row r="711" spans="1:21" s="71" customFormat="1" hidden="1">
      <c r="A711" s="64"/>
      <c r="B711" s="878"/>
      <c r="C711" s="128"/>
      <c r="D711" s="128"/>
      <c r="E711" s="128"/>
      <c r="N711" s="878"/>
      <c r="P711" s="879"/>
      <c r="R711" s="64"/>
      <c r="S711" s="64"/>
      <c r="T711" s="64"/>
      <c r="U711" s="64"/>
    </row>
    <row r="712" spans="1:21" s="71" customFormat="1" hidden="1">
      <c r="A712" s="64"/>
      <c r="B712" s="878"/>
      <c r="C712" s="128"/>
      <c r="D712" s="128"/>
      <c r="E712" s="128"/>
      <c r="N712" s="878"/>
      <c r="P712" s="879"/>
      <c r="R712" s="64"/>
      <c r="S712" s="64"/>
      <c r="T712" s="64"/>
      <c r="U712" s="64"/>
    </row>
    <row r="713" spans="1:21" s="71" customFormat="1" hidden="1">
      <c r="A713" s="64"/>
      <c r="B713" s="878"/>
      <c r="C713" s="128"/>
      <c r="D713" s="128"/>
      <c r="E713" s="128"/>
      <c r="N713" s="878"/>
      <c r="P713" s="879"/>
      <c r="R713" s="64"/>
      <c r="S713" s="64"/>
      <c r="T713" s="64"/>
      <c r="U713" s="64"/>
    </row>
    <row r="714" spans="1:21" s="71" customFormat="1" hidden="1">
      <c r="A714" s="64"/>
      <c r="B714" s="878"/>
      <c r="C714" s="128"/>
      <c r="D714" s="128"/>
      <c r="E714" s="128"/>
      <c r="N714" s="878"/>
      <c r="P714" s="879"/>
      <c r="R714" s="64"/>
      <c r="S714" s="64"/>
      <c r="T714" s="64"/>
      <c r="U714" s="64"/>
    </row>
    <row r="715" spans="1:21" s="71" customFormat="1" hidden="1">
      <c r="A715" s="64"/>
      <c r="B715" s="878"/>
      <c r="C715" s="128"/>
      <c r="D715" s="128"/>
      <c r="E715" s="128"/>
      <c r="N715" s="878"/>
      <c r="P715" s="879"/>
      <c r="R715" s="64"/>
      <c r="S715" s="64"/>
      <c r="T715" s="64"/>
      <c r="U715" s="64"/>
    </row>
    <row r="716" spans="1:21" s="71" customFormat="1" hidden="1">
      <c r="A716" s="64"/>
      <c r="B716" s="878"/>
      <c r="C716" s="128"/>
      <c r="D716" s="128"/>
      <c r="E716" s="128"/>
      <c r="N716" s="878"/>
      <c r="P716" s="879"/>
      <c r="R716" s="64"/>
      <c r="S716" s="64"/>
      <c r="T716" s="64"/>
      <c r="U716" s="64"/>
    </row>
    <row r="717" spans="1:21" s="71" customFormat="1" hidden="1">
      <c r="A717" s="64"/>
      <c r="B717" s="878"/>
      <c r="C717" s="128"/>
      <c r="D717" s="128"/>
      <c r="E717" s="128"/>
      <c r="N717" s="878"/>
      <c r="P717" s="879"/>
      <c r="R717" s="64"/>
      <c r="S717" s="64"/>
      <c r="T717" s="64"/>
      <c r="U717" s="64"/>
    </row>
    <row r="718" spans="1:21" s="71" customFormat="1" hidden="1">
      <c r="A718" s="64"/>
      <c r="B718" s="878"/>
      <c r="C718" s="128"/>
      <c r="D718" s="128"/>
      <c r="E718" s="128"/>
      <c r="N718" s="878"/>
      <c r="P718" s="879"/>
      <c r="R718" s="64"/>
      <c r="S718" s="64"/>
      <c r="T718" s="64"/>
      <c r="U718" s="64"/>
    </row>
    <row r="719" spans="1:21" s="71" customFormat="1" hidden="1">
      <c r="A719" s="64"/>
      <c r="B719" s="878"/>
      <c r="C719" s="128"/>
      <c r="D719" s="128"/>
      <c r="E719" s="128"/>
      <c r="N719" s="878"/>
      <c r="P719" s="879"/>
      <c r="R719" s="64"/>
      <c r="S719" s="64"/>
      <c r="T719" s="64"/>
      <c r="U719" s="64"/>
    </row>
    <row r="720" spans="1:21" s="71" customFormat="1" hidden="1">
      <c r="A720" s="64"/>
      <c r="B720" s="878"/>
      <c r="C720" s="128"/>
      <c r="D720" s="128"/>
      <c r="E720" s="128"/>
      <c r="N720" s="878"/>
      <c r="P720" s="879"/>
      <c r="R720" s="64"/>
      <c r="S720" s="64"/>
      <c r="T720" s="64"/>
      <c r="U720" s="64"/>
    </row>
    <row r="721" spans="1:21" s="71" customFormat="1" hidden="1">
      <c r="A721" s="64"/>
      <c r="B721" s="878"/>
      <c r="C721" s="128"/>
      <c r="D721" s="128"/>
      <c r="E721" s="128"/>
      <c r="N721" s="878"/>
      <c r="P721" s="879"/>
      <c r="R721" s="64"/>
      <c r="S721" s="64"/>
      <c r="T721" s="64"/>
      <c r="U721" s="64"/>
    </row>
    <row r="722" spans="1:21" s="71" customFormat="1" hidden="1">
      <c r="A722" s="64"/>
      <c r="B722" s="878"/>
      <c r="C722" s="128"/>
      <c r="D722" s="128"/>
      <c r="E722" s="128"/>
      <c r="N722" s="878"/>
      <c r="P722" s="879"/>
      <c r="R722" s="64"/>
      <c r="S722" s="64"/>
      <c r="T722" s="64"/>
      <c r="U722" s="64"/>
    </row>
    <row r="723" spans="1:21" s="71" customFormat="1" hidden="1">
      <c r="A723" s="64"/>
      <c r="B723" s="878"/>
      <c r="C723" s="128"/>
      <c r="D723" s="128"/>
      <c r="E723" s="128"/>
      <c r="N723" s="878"/>
      <c r="P723" s="879"/>
      <c r="R723" s="64"/>
      <c r="S723" s="64"/>
      <c r="T723" s="64"/>
      <c r="U723" s="64"/>
    </row>
    <row r="724" spans="1:21" s="71" customFormat="1" hidden="1">
      <c r="A724" s="64"/>
      <c r="B724" s="878"/>
      <c r="C724" s="128"/>
      <c r="D724" s="128"/>
      <c r="E724" s="128"/>
      <c r="N724" s="878"/>
      <c r="P724" s="879"/>
      <c r="R724" s="64"/>
      <c r="S724" s="64"/>
      <c r="T724" s="64"/>
      <c r="U724" s="64"/>
    </row>
    <row r="725" spans="1:21" s="71" customFormat="1" hidden="1">
      <c r="A725" s="64"/>
      <c r="B725" s="878"/>
      <c r="C725" s="128"/>
      <c r="D725" s="128"/>
      <c r="E725" s="128"/>
      <c r="N725" s="878"/>
      <c r="P725" s="879"/>
      <c r="R725" s="64"/>
      <c r="S725" s="64"/>
      <c r="T725" s="64"/>
      <c r="U725" s="64"/>
    </row>
    <row r="726" spans="1:21" s="71" customFormat="1" hidden="1">
      <c r="A726" s="64"/>
      <c r="B726" s="878"/>
      <c r="C726" s="128"/>
      <c r="D726" s="128"/>
      <c r="E726" s="128"/>
      <c r="N726" s="878"/>
      <c r="P726" s="879"/>
      <c r="R726" s="64"/>
      <c r="S726" s="64"/>
      <c r="T726" s="64"/>
      <c r="U726" s="64"/>
    </row>
    <row r="727" spans="1:21" s="71" customFormat="1" hidden="1">
      <c r="A727" s="64"/>
      <c r="B727" s="878"/>
      <c r="C727" s="128"/>
      <c r="D727" s="128"/>
      <c r="E727" s="128"/>
      <c r="N727" s="878"/>
      <c r="P727" s="879"/>
      <c r="R727" s="64"/>
      <c r="S727" s="64"/>
      <c r="T727" s="64"/>
      <c r="U727" s="64"/>
    </row>
    <row r="728" spans="1:21" s="71" customFormat="1" hidden="1">
      <c r="A728" s="64"/>
      <c r="B728" s="878"/>
      <c r="C728" s="128"/>
      <c r="D728" s="128"/>
      <c r="E728" s="128"/>
      <c r="N728" s="878"/>
      <c r="P728" s="879"/>
      <c r="R728" s="64"/>
      <c r="S728" s="64"/>
      <c r="T728" s="64"/>
      <c r="U728" s="64"/>
    </row>
    <row r="729" spans="1:21" s="71" customFormat="1" hidden="1">
      <c r="A729" s="64"/>
      <c r="B729" s="878"/>
      <c r="C729" s="128"/>
      <c r="D729" s="128"/>
      <c r="E729" s="128"/>
      <c r="N729" s="878"/>
      <c r="P729" s="879"/>
      <c r="R729" s="64"/>
      <c r="S729" s="64"/>
      <c r="T729" s="64"/>
      <c r="U729" s="64"/>
    </row>
    <row r="730" spans="1:21" s="71" customFormat="1" hidden="1">
      <c r="A730" s="64"/>
      <c r="B730" s="878"/>
      <c r="C730" s="128"/>
      <c r="D730" s="128"/>
      <c r="E730" s="128"/>
      <c r="N730" s="878"/>
      <c r="P730" s="879"/>
      <c r="R730" s="64"/>
      <c r="S730" s="64"/>
      <c r="T730" s="64"/>
      <c r="U730" s="64"/>
    </row>
    <row r="731" spans="1:21" s="71" customFormat="1" hidden="1">
      <c r="A731" s="64"/>
      <c r="B731" s="878"/>
      <c r="C731" s="128"/>
      <c r="D731" s="128"/>
      <c r="E731" s="128"/>
      <c r="N731" s="878"/>
      <c r="P731" s="879"/>
      <c r="R731" s="64"/>
      <c r="S731" s="64"/>
      <c r="T731" s="64"/>
      <c r="U731" s="64"/>
    </row>
    <row r="732" spans="1:21" s="71" customFormat="1" hidden="1">
      <c r="A732" s="64"/>
      <c r="B732" s="878"/>
      <c r="C732" s="128"/>
      <c r="D732" s="128"/>
      <c r="E732" s="128"/>
      <c r="N732" s="878"/>
      <c r="P732" s="879"/>
      <c r="R732" s="64"/>
      <c r="S732" s="64"/>
      <c r="T732" s="64"/>
      <c r="U732" s="64"/>
    </row>
    <row r="733" spans="1:21" s="71" customFormat="1" hidden="1">
      <c r="A733" s="64"/>
      <c r="B733" s="878"/>
      <c r="C733" s="128"/>
      <c r="D733" s="128"/>
      <c r="E733" s="128"/>
      <c r="N733" s="878"/>
      <c r="P733" s="879"/>
      <c r="R733" s="64"/>
      <c r="S733" s="64"/>
      <c r="T733" s="64"/>
      <c r="U733" s="64"/>
    </row>
    <row r="734" spans="1:21" s="71" customFormat="1" hidden="1">
      <c r="A734" s="64"/>
      <c r="B734" s="878"/>
      <c r="C734" s="128"/>
      <c r="D734" s="128"/>
      <c r="E734" s="128"/>
      <c r="N734" s="878"/>
      <c r="P734" s="879"/>
      <c r="R734" s="64"/>
      <c r="S734" s="64"/>
      <c r="T734" s="64"/>
      <c r="U734" s="64"/>
    </row>
    <row r="735" spans="1:21" s="71" customFormat="1" hidden="1">
      <c r="A735" s="64"/>
      <c r="B735" s="878"/>
      <c r="C735" s="128"/>
      <c r="D735" s="128"/>
      <c r="E735" s="128"/>
      <c r="N735" s="878"/>
      <c r="P735" s="879"/>
      <c r="R735" s="64"/>
      <c r="S735" s="64"/>
      <c r="T735" s="64"/>
      <c r="U735" s="64"/>
    </row>
    <row r="736" spans="1:21" s="71" customFormat="1" hidden="1">
      <c r="A736" s="64"/>
      <c r="B736" s="878"/>
      <c r="C736" s="128"/>
      <c r="D736" s="128"/>
      <c r="E736" s="128"/>
      <c r="N736" s="878"/>
      <c r="P736" s="879"/>
      <c r="R736" s="64"/>
      <c r="S736" s="64"/>
      <c r="T736" s="64"/>
      <c r="U736" s="64"/>
    </row>
    <row r="737" spans="1:21" s="71" customFormat="1" hidden="1">
      <c r="A737" s="64"/>
      <c r="B737" s="878"/>
      <c r="C737" s="128"/>
      <c r="D737" s="128"/>
      <c r="E737" s="128"/>
      <c r="N737" s="878"/>
      <c r="P737" s="879"/>
      <c r="R737" s="64"/>
      <c r="S737" s="64"/>
      <c r="T737" s="64"/>
      <c r="U737" s="64"/>
    </row>
    <row r="738" spans="1:21" s="71" customFormat="1" hidden="1">
      <c r="A738" s="64"/>
      <c r="B738" s="878"/>
      <c r="C738" s="128"/>
      <c r="D738" s="128"/>
      <c r="E738" s="128"/>
      <c r="N738" s="878"/>
      <c r="P738" s="879"/>
      <c r="R738" s="64"/>
      <c r="S738" s="64"/>
      <c r="T738" s="64"/>
      <c r="U738" s="64"/>
    </row>
    <row r="739" spans="1:21" s="71" customFormat="1" hidden="1">
      <c r="A739" s="64"/>
      <c r="B739" s="878"/>
      <c r="C739" s="128"/>
      <c r="D739" s="128"/>
      <c r="E739" s="128"/>
      <c r="N739" s="878"/>
      <c r="P739" s="879"/>
      <c r="R739" s="64"/>
      <c r="S739" s="64"/>
      <c r="T739" s="64"/>
      <c r="U739" s="64"/>
    </row>
    <row r="740" spans="1:21" s="71" customFormat="1" hidden="1">
      <c r="A740" s="64"/>
      <c r="B740" s="878"/>
      <c r="C740" s="128"/>
      <c r="D740" s="128"/>
      <c r="E740" s="128"/>
      <c r="N740" s="878"/>
      <c r="P740" s="879"/>
      <c r="R740" s="64"/>
      <c r="S740" s="64"/>
      <c r="T740" s="64"/>
      <c r="U740" s="64"/>
    </row>
    <row r="741" spans="1:21" s="71" customFormat="1" hidden="1">
      <c r="A741" s="64"/>
      <c r="B741" s="878"/>
      <c r="C741" s="128"/>
      <c r="D741" s="128"/>
      <c r="E741" s="128"/>
      <c r="N741" s="878"/>
      <c r="P741" s="879"/>
      <c r="R741" s="64"/>
      <c r="S741" s="64"/>
      <c r="T741" s="64"/>
      <c r="U741" s="64"/>
    </row>
    <row r="742" spans="1:21" s="71" customFormat="1" hidden="1">
      <c r="A742" s="64"/>
      <c r="B742" s="878"/>
      <c r="C742" s="128"/>
      <c r="D742" s="128"/>
      <c r="E742" s="128"/>
      <c r="N742" s="878"/>
      <c r="P742" s="879"/>
      <c r="R742" s="64"/>
      <c r="S742" s="64"/>
      <c r="T742" s="64"/>
      <c r="U742" s="64"/>
    </row>
    <row r="743" spans="1:21" s="71" customFormat="1" hidden="1">
      <c r="A743" s="64"/>
      <c r="B743" s="878"/>
      <c r="C743" s="128"/>
      <c r="D743" s="128"/>
      <c r="E743" s="128"/>
      <c r="N743" s="878"/>
      <c r="P743" s="879"/>
      <c r="R743" s="64"/>
      <c r="S743" s="64"/>
      <c r="T743" s="64"/>
      <c r="U743" s="64"/>
    </row>
    <row r="744" spans="1:21" s="71" customFormat="1" hidden="1">
      <c r="A744" s="64"/>
      <c r="B744" s="878"/>
      <c r="C744" s="128"/>
      <c r="D744" s="128"/>
      <c r="E744" s="128"/>
      <c r="N744" s="878"/>
      <c r="P744" s="879"/>
      <c r="R744" s="64"/>
      <c r="S744" s="64"/>
      <c r="T744" s="64"/>
      <c r="U744" s="64"/>
    </row>
    <row r="745" spans="1:21" s="71" customFormat="1" hidden="1">
      <c r="A745" s="64"/>
      <c r="B745" s="878"/>
      <c r="C745" s="128"/>
      <c r="D745" s="128"/>
      <c r="E745" s="128"/>
      <c r="N745" s="878"/>
      <c r="P745" s="879"/>
      <c r="R745" s="64"/>
      <c r="S745" s="64"/>
      <c r="T745" s="64"/>
      <c r="U745" s="64"/>
    </row>
    <row r="746" spans="1:21" s="71" customFormat="1" hidden="1">
      <c r="A746" s="64"/>
      <c r="B746" s="878"/>
      <c r="C746" s="128"/>
      <c r="D746" s="128"/>
      <c r="E746" s="128"/>
      <c r="N746" s="878"/>
      <c r="P746" s="879"/>
      <c r="R746" s="64"/>
      <c r="S746" s="64"/>
      <c r="T746" s="64"/>
      <c r="U746" s="64"/>
    </row>
    <row r="747" spans="1:21" s="71" customFormat="1" hidden="1">
      <c r="A747" s="64"/>
      <c r="B747" s="878"/>
      <c r="C747" s="128"/>
      <c r="D747" s="128"/>
      <c r="E747" s="128"/>
      <c r="N747" s="878"/>
      <c r="P747" s="879"/>
      <c r="R747" s="64"/>
      <c r="S747" s="64"/>
      <c r="T747" s="64"/>
      <c r="U747" s="64"/>
    </row>
    <row r="748" spans="1:21" s="71" customFormat="1" hidden="1">
      <c r="A748" s="64"/>
      <c r="B748" s="878"/>
      <c r="C748" s="128"/>
      <c r="D748" s="128"/>
      <c r="E748" s="128"/>
      <c r="N748" s="878"/>
      <c r="P748" s="879"/>
      <c r="R748" s="64"/>
      <c r="S748" s="64"/>
      <c r="T748" s="64"/>
      <c r="U748" s="64"/>
    </row>
    <row r="749" spans="1:21" s="71" customFormat="1" hidden="1">
      <c r="A749" s="64"/>
      <c r="B749" s="878"/>
      <c r="C749" s="128"/>
      <c r="D749" s="128"/>
      <c r="E749" s="128"/>
      <c r="N749" s="878"/>
      <c r="P749" s="879"/>
      <c r="R749" s="64"/>
      <c r="S749" s="64"/>
      <c r="T749" s="64"/>
      <c r="U749" s="64"/>
    </row>
    <row r="750" spans="1:21" s="71" customFormat="1" hidden="1">
      <c r="A750" s="64"/>
      <c r="B750" s="878"/>
      <c r="C750" s="128"/>
      <c r="D750" s="128"/>
      <c r="E750" s="128"/>
      <c r="N750" s="878"/>
      <c r="P750" s="879"/>
      <c r="R750" s="64"/>
      <c r="S750" s="64"/>
      <c r="T750" s="64"/>
      <c r="U750" s="64"/>
    </row>
    <row r="751" spans="1:21" s="71" customFormat="1" hidden="1">
      <c r="A751" s="64"/>
      <c r="B751" s="878"/>
      <c r="C751" s="128"/>
      <c r="D751" s="128"/>
      <c r="E751" s="128"/>
      <c r="N751" s="878"/>
      <c r="P751" s="879"/>
      <c r="R751" s="64"/>
      <c r="S751" s="64"/>
      <c r="T751" s="64"/>
      <c r="U751" s="64"/>
    </row>
    <row r="752" spans="1:21" s="71" customFormat="1" hidden="1">
      <c r="A752" s="64"/>
      <c r="B752" s="878"/>
      <c r="C752" s="128"/>
      <c r="D752" s="128"/>
      <c r="E752" s="128"/>
      <c r="N752" s="878"/>
      <c r="P752" s="879"/>
      <c r="R752" s="64"/>
      <c r="S752" s="64"/>
      <c r="T752" s="64"/>
      <c r="U752" s="64"/>
    </row>
    <row r="753" spans="1:21" s="71" customFormat="1" hidden="1">
      <c r="A753" s="64"/>
      <c r="B753" s="878"/>
      <c r="C753" s="128"/>
      <c r="D753" s="128"/>
      <c r="E753" s="128"/>
      <c r="N753" s="878"/>
      <c r="P753" s="879"/>
      <c r="R753" s="64"/>
      <c r="S753" s="64"/>
      <c r="T753" s="64"/>
      <c r="U753" s="64"/>
    </row>
    <row r="754" spans="1:21" s="71" customFormat="1" hidden="1">
      <c r="A754" s="64"/>
      <c r="B754" s="878"/>
      <c r="C754" s="128"/>
      <c r="D754" s="128"/>
      <c r="E754" s="128"/>
      <c r="N754" s="878"/>
      <c r="P754" s="879"/>
      <c r="R754" s="64"/>
      <c r="S754" s="64"/>
      <c r="T754" s="64"/>
      <c r="U754" s="64"/>
    </row>
    <row r="755" spans="1:21" s="71" customFormat="1" hidden="1">
      <c r="A755" s="64"/>
      <c r="B755" s="878"/>
      <c r="C755" s="128"/>
      <c r="D755" s="128"/>
      <c r="E755" s="128"/>
      <c r="N755" s="878"/>
      <c r="P755" s="879"/>
      <c r="R755" s="64"/>
      <c r="S755" s="64"/>
      <c r="T755" s="64"/>
      <c r="U755" s="64"/>
    </row>
    <row r="756" spans="1:21" s="71" customFormat="1" hidden="1">
      <c r="A756" s="64"/>
      <c r="B756" s="878"/>
      <c r="C756" s="128"/>
      <c r="D756" s="128"/>
      <c r="E756" s="128"/>
      <c r="N756" s="878"/>
      <c r="P756" s="879"/>
      <c r="R756" s="64"/>
      <c r="S756" s="64"/>
      <c r="T756" s="64"/>
      <c r="U756" s="64"/>
    </row>
    <row r="757" spans="1:21" s="71" customFormat="1" hidden="1">
      <c r="A757" s="64"/>
      <c r="B757" s="878"/>
      <c r="C757" s="128"/>
      <c r="D757" s="128"/>
      <c r="E757" s="128"/>
      <c r="N757" s="878"/>
      <c r="P757" s="879"/>
      <c r="R757" s="64"/>
      <c r="S757" s="64"/>
      <c r="T757" s="64"/>
      <c r="U757" s="64"/>
    </row>
    <row r="758" spans="1:21" s="71" customFormat="1" hidden="1">
      <c r="A758" s="64"/>
      <c r="B758" s="878"/>
      <c r="C758" s="128"/>
      <c r="D758" s="128"/>
      <c r="E758" s="128"/>
      <c r="N758" s="878"/>
      <c r="P758" s="879"/>
      <c r="R758" s="64"/>
      <c r="S758" s="64"/>
      <c r="T758" s="64"/>
      <c r="U758" s="64"/>
    </row>
    <row r="759" spans="1:21" s="71" customFormat="1" hidden="1">
      <c r="A759" s="64"/>
      <c r="B759" s="878"/>
      <c r="C759" s="128"/>
      <c r="D759" s="128"/>
      <c r="E759" s="128"/>
      <c r="N759" s="878"/>
      <c r="P759" s="879"/>
      <c r="R759" s="64"/>
      <c r="S759" s="64"/>
      <c r="T759" s="64"/>
      <c r="U759" s="64"/>
    </row>
    <row r="760" spans="1:21" s="71" customFormat="1" hidden="1">
      <c r="A760" s="64"/>
      <c r="B760" s="878"/>
      <c r="C760" s="128"/>
      <c r="D760" s="128"/>
      <c r="E760" s="128"/>
      <c r="N760" s="878"/>
      <c r="P760" s="879"/>
      <c r="R760" s="64"/>
      <c r="S760" s="64"/>
      <c r="T760" s="64"/>
      <c r="U760" s="64"/>
    </row>
    <row r="761" spans="1:21" s="71" customFormat="1" hidden="1">
      <c r="A761" s="64"/>
      <c r="B761" s="878"/>
      <c r="C761" s="128"/>
      <c r="D761" s="128"/>
      <c r="E761" s="128"/>
      <c r="N761" s="878"/>
      <c r="P761" s="879"/>
      <c r="R761" s="64"/>
      <c r="S761" s="64"/>
      <c r="T761" s="64"/>
      <c r="U761" s="64"/>
    </row>
    <row r="762" spans="1:21" s="71" customFormat="1" hidden="1">
      <c r="A762" s="64"/>
      <c r="B762" s="878"/>
      <c r="C762" s="128"/>
      <c r="D762" s="128"/>
      <c r="E762" s="128"/>
      <c r="N762" s="878"/>
      <c r="P762" s="879"/>
      <c r="R762" s="64"/>
      <c r="S762" s="64"/>
      <c r="T762" s="64"/>
      <c r="U762" s="64"/>
    </row>
    <row r="763" spans="1:21" s="71" customFormat="1" hidden="1">
      <c r="A763" s="64"/>
      <c r="B763" s="878"/>
      <c r="C763" s="128"/>
      <c r="D763" s="128"/>
      <c r="E763" s="128"/>
      <c r="N763" s="878"/>
      <c r="P763" s="879"/>
      <c r="R763" s="64"/>
      <c r="S763" s="64"/>
      <c r="T763" s="64"/>
      <c r="U763" s="64"/>
    </row>
    <row r="764" spans="1:21" s="71" customFormat="1" hidden="1">
      <c r="A764" s="64"/>
      <c r="B764" s="878"/>
      <c r="C764" s="128"/>
      <c r="D764" s="128"/>
      <c r="E764" s="128"/>
      <c r="N764" s="878"/>
      <c r="P764" s="879"/>
      <c r="R764" s="64"/>
      <c r="S764" s="64"/>
      <c r="T764" s="64"/>
      <c r="U764" s="64"/>
    </row>
    <row r="765" spans="1:21" s="71" customFormat="1" hidden="1">
      <c r="A765" s="64"/>
      <c r="B765" s="878"/>
      <c r="C765" s="128"/>
      <c r="D765" s="128"/>
      <c r="E765" s="128"/>
      <c r="N765" s="878"/>
      <c r="P765" s="879"/>
      <c r="R765" s="64"/>
      <c r="S765" s="64"/>
      <c r="T765" s="64"/>
      <c r="U765" s="64"/>
    </row>
    <row r="766" spans="1:21" s="71" customFormat="1" hidden="1">
      <c r="A766" s="64"/>
      <c r="B766" s="878"/>
      <c r="C766" s="128"/>
      <c r="D766" s="128"/>
      <c r="E766" s="128"/>
      <c r="N766" s="878"/>
      <c r="P766" s="879"/>
      <c r="R766" s="64"/>
      <c r="S766" s="64"/>
      <c r="T766" s="64"/>
      <c r="U766" s="64"/>
    </row>
    <row r="767" spans="1:21" s="71" customFormat="1" hidden="1">
      <c r="A767" s="64"/>
      <c r="B767" s="878"/>
      <c r="C767" s="128"/>
      <c r="D767" s="128"/>
      <c r="E767" s="128"/>
      <c r="N767" s="878"/>
      <c r="P767" s="879"/>
      <c r="R767" s="64"/>
      <c r="S767" s="64"/>
      <c r="T767" s="64"/>
      <c r="U767" s="64"/>
    </row>
    <row r="768" spans="1:21" s="71" customFormat="1" hidden="1">
      <c r="A768" s="64"/>
      <c r="B768" s="878"/>
      <c r="C768" s="128"/>
      <c r="D768" s="128"/>
      <c r="E768" s="128"/>
      <c r="N768" s="878"/>
      <c r="P768" s="879"/>
      <c r="R768" s="64"/>
      <c r="S768" s="64"/>
      <c r="T768" s="64"/>
      <c r="U768" s="64"/>
    </row>
    <row r="769" spans="1:21" s="71" customFormat="1" hidden="1">
      <c r="A769" s="64"/>
      <c r="B769" s="878"/>
      <c r="C769" s="128"/>
      <c r="D769" s="128"/>
      <c r="E769" s="128"/>
      <c r="N769" s="878"/>
      <c r="P769" s="879"/>
      <c r="R769" s="64"/>
      <c r="S769" s="64"/>
      <c r="T769" s="64"/>
      <c r="U769" s="64"/>
    </row>
    <row r="770" spans="1:21" s="71" customFormat="1" hidden="1">
      <c r="A770" s="64"/>
      <c r="B770" s="878"/>
      <c r="C770" s="128"/>
      <c r="D770" s="128"/>
      <c r="E770" s="128"/>
      <c r="N770" s="878"/>
      <c r="P770" s="879"/>
      <c r="R770" s="64"/>
      <c r="S770" s="64"/>
      <c r="T770" s="64"/>
      <c r="U770" s="64"/>
    </row>
    <row r="771" spans="1:21" s="71" customFormat="1" hidden="1">
      <c r="A771" s="64"/>
      <c r="B771" s="878"/>
      <c r="C771" s="128"/>
      <c r="D771" s="128"/>
      <c r="E771" s="128"/>
      <c r="N771" s="878"/>
      <c r="P771" s="879"/>
      <c r="R771" s="64"/>
      <c r="S771" s="64"/>
      <c r="T771" s="64"/>
      <c r="U771" s="64"/>
    </row>
    <row r="772" spans="1:21" s="71" customFormat="1" hidden="1">
      <c r="A772" s="64"/>
      <c r="B772" s="878"/>
      <c r="C772" s="128"/>
      <c r="D772" s="128"/>
      <c r="E772" s="128"/>
      <c r="N772" s="878"/>
      <c r="P772" s="879"/>
      <c r="R772" s="64"/>
      <c r="S772" s="64"/>
      <c r="T772" s="64"/>
      <c r="U772" s="64"/>
    </row>
    <row r="773" spans="1:21" s="71" customFormat="1" hidden="1">
      <c r="A773" s="64"/>
      <c r="B773" s="878"/>
      <c r="C773" s="128"/>
      <c r="D773" s="128"/>
      <c r="E773" s="128"/>
      <c r="N773" s="878"/>
      <c r="P773" s="879"/>
      <c r="R773" s="64"/>
      <c r="S773" s="64"/>
      <c r="T773" s="64"/>
      <c r="U773" s="64"/>
    </row>
    <row r="774" spans="1:21" s="71" customFormat="1" hidden="1">
      <c r="A774" s="64"/>
      <c r="B774" s="878"/>
      <c r="C774" s="128"/>
      <c r="D774" s="128"/>
      <c r="E774" s="128"/>
      <c r="N774" s="878"/>
      <c r="P774" s="879"/>
      <c r="R774" s="64"/>
      <c r="S774" s="64"/>
      <c r="T774" s="64"/>
      <c r="U774" s="64"/>
    </row>
    <row r="775" spans="1:21" s="71" customFormat="1" hidden="1">
      <c r="A775" s="64"/>
      <c r="B775" s="878"/>
      <c r="C775" s="128"/>
      <c r="D775" s="128"/>
      <c r="E775" s="128"/>
      <c r="N775" s="878"/>
      <c r="P775" s="879"/>
      <c r="R775" s="64"/>
      <c r="S775" s="64"/>
      <c r="T775" s="64"/>
      <c r="U775" s="64"/>
    </row>
    <row r="776" spans="1:21" s="71" customFormat="1" hidden="1">
      <c r="A776" s="64"/>
      <c r="B776" s="878"/>
      <c r="C776" s="128"/>
      <c r="D776" s="128"/>
      <c r="E776" s="128"/>
      <c r="N776" s="878"/>
      <c r="P776" s="879"/>
      <c r="R776" s="64"/>
      <c r="S776" s="64"/>
      <c r="T776" s="64"/>
      <c r="U776" s="64"/>
    </row>
    <row r="777" spans="1:21" s="71" customFormat="1" hidden="1">
      <c r="A777" s="64"/>
      <c r="B777" s="878"/>
      <c r="C777" s="128"/>
      <c r="D777" s="128"/>
      <c r="E777" s="128"/>
      <c r="N777" s="878"/>
      <c r="P777" s="879"/>
      <c r="R777" s="64"/>
      <c r="S777" s="64"/>
      <c r="T777" s="64"/>
      <c r="U777" s="64"/>
    </row>
    <row r="778" spans="1:21" s="71" customFormat="1" hidden="1">
      <c r="A778" s="64"/>
      <c r="B778" s="878"/>
      <c r="C778" s="128"/>
      <c r="D778" s="128"/>
      <c r="E778" s="128"/>
      <c r="N778" s="878"/>
      <c r="P778" s="879"/>
      <c r="R778" s="64"/>
      <c r="S778" s="64"/>
      <c r="T778" s="64"/>
      <c r="U778" s="64"/>
    </row>
    <row r="779" spans="1:21" s="71" customFormat="1" hidden="1">
      <c r="A779" s="64"/>
      <c r="B779" s="878"/>
      <c r="C779" s="128"/>
      <c r="D779" s="128"/>
      <c r="E779" s="128"/>
      <c r="N779" s="878"/>
      <c r="P779" s="879"/>
      <c r="R779" s="64"/>
      <c r="S779" s="64"/>
      <c r="T779" s="64"/>
      <c r="U779" s="64"/>
    </row>
    <row r="780" spans="1:21" s="71" customFormat="1" hidden="1">
      <c r="A780" s="64"/>
      <c r="B780" s="878"/>
      <c r="C780" s="128"/>
      <c r="D780" s="128"/>
      <c r="E780" s="128"/>
      <c r="N780" s="878"/>
      <c r="P780" s="879"/>
      <c r="R780" s="64"/>
      <c r="S780" s="64"/>
      <c r="T780" s="64"/>
      <c r="U780" s="64"/>
    </row>
    <row r="781" spans="1:21" s="71" customFormat="1" hidden="1">
      <c r="A781" s="64"/>
      <c r="B781" s="878"/>
      <c r="C781" s="128"/>
      <c r="D781" s="128"/>
      <c r="E781" s="128"/>
      <c r="N781" s="878"/>
      <c r="P781" s="879"/>
      <c r="R781" s="64"/>
      <c r="S781" s="64"/>
      <c r="T781" s="64"/>
      <c r="U781" s="64"/>
    </row>
    <row r="782" spans="1:21" s="71" customFormat="1" hidden="1">
      <c r="A782" s="64"/>
      <c r="B782" s="878"/>
      <c r="C782" s="128"/>
      <c r="D782" s="128"/>
      <c r="E782" s="128"/>
      <c r="N782" s="878"/>
      <c r="P782" s="879"/>
      <c r="R782" s="64"/>
      <c r="S782" s="64"/>
      <c r="T782" s="64"/>
      <c r="U782" s="64"/>
    </row>
    <row r="783" spans="1:21" s="71" customFormat="1" hidden="1">
      <c r="A783" s="64"/>
      <c r="B783" s="878"/>
      <c r="C783" s="128"/>
      <c r="D783" s="128"/>
      <c r="E783" s="128"/>
      <c r="N783" s="878"/>
      <c r="P783" s="879"/>
      <c r="R783" s="64"/>
      <c r="S783" s="64"/>
      <c r="T783" s="64"/>
      <c r="U783" s="64"/>
    </row>
    <row r="784" spans="1:21" s="71" customFormat="1" hidden="1">
      <c r="A784" s="64"/>
      <c r="B784" s="878"/>
      <c r="C784" s="128"/>
      <c r="D784" s="128"/>
      <c r="E784" s="128"/>
      <c r="N784" s="878"/>
      <c r="P784" s="879"/>
      <c r="R784" s="64"/>
      <c r="S784" s="64"/>
      <c r="T784" s="64"/>
      <c r="U784" s="64"/>
    </row>
    <row r="785" spans="1:21" s="71" customFormat="1" hidden="1">
      <c r="A785" s="64"/>
      <c r="B785" s="878"/>
      <c r="C785" s="128"/>
      <c r="D785" s="128"/>
      <c r="E785" s="128"/>
      <c r="N785" s="878"/>
      <c r="P785" s="879"/>
      <c r="R785" s="64"/>
      <c r="S785" s="64"/>
      <c r="T785" s="64"/>
      <c r="U785" s="64"/>
    </row>
    <row r="786" spans="1:21" s="71" customFormat="1" hidden="1">
      <c r="A786" s="64"/>
      <c r="B786" s="878"/>
      <c r="C786" s="128"/>
      <c r="D786" s="128"/>
      <c r="E786" s="128"/>
      <c r="N786" s="878"/>
      <c r="P786" s="879"/>
      <c r="R786" s="64"/>
      <c r="S786" s="64"/>
      <c r="T786" s="64"/>
      <c r="U786" s="64"/>
    </row>
    <row r="787" spans="1:21" s="71" customFormat="1" hidden="1">
      <c r="A787" s="64"/>
      <c r="B787" s="878"/>
      <c r="C787" s="128"/>
      <c r="D787" s="128"/>
      <c r="E787" s="128"/>
      <c r="N787" s="878"/>
      <c r="P787" s="879"/>
      <c r="R787" s="64"/>
      <c r="S787" s="64"/>
      <c r="T787" s="64"/>
      <c r="U787" s="64"/>
    </row>
    <row r="788" spans="1:21" s="71" customFormat="1" hidden="1">
      <c r="A788" s="64"/>
      <c r="B788" s="878"/>
      <c r="C788" s="128"/>
      <c r="D788" s="128"/>
      <c r="E788" s="128"/>
      <c r="N788" s="878"/>
      <c r="P788" s="879"/>
      <c r="R788" s="64"/>
      <c r="S788" s="64"/>
      <c r="T788" s="64"/>
      <c r="U788" s="64"/>
    </row>
    <row r="789" spans="1:21" s="71" customFormat="1" hidden="1">
      <c r="A789" s="64"/>
      <c r="B789" s="878"/>
      <c r="C789" s="128"/>
      <c r="D789" s="128"/>
      <c r="E789" s="128"/>
      <c r="N789" s="878"/>
      <c r="P789" s="879"/>
      <c r="R789" s="64"/>
      <c r="S789" s="64"/>
      <c r="T789" s="64"/>
      <c r="U789" s="64"/>
    </row>
    <row r="790" spans="1:21" s="71" customFormat="1" hidden="1">
      <c r="A790" s="64"/>
      <c r="B790" s="878"/>
      <c r="C790" s="128"/>
      <c r="D790" s="128"/>
      <c r="E790" s="128"/>
      <c r="N790" s="878"/>
      <c r="P790" s="879"/>
      <c r="R790" s="64"/>
      <c r="S790" s="64"/>
      <c r="T790" s="64"/>
      <c r="U790" s="64"/>
    </row>
    <row r="791" spans="1:21" s="71" customFormat="1" hidden="1">
      <c r="A791" s="64"/>
      <c r="B791" s="878"/>
      <c r="C791" s="128"/>
      <c r="D791" s="128"/>
      <c r="E791" s="128"/>
      <c r="N791" s="878"/>
      <c r="P791" s="879"/>
      <c r="R791" s="64"/>
      <c r="S791" s="64"/>
      <c r="T791" s="64"/>
      <c r="U791" s="64"/>
    </row>
    <row r="792" spans="1:21" s="71" customFormat="1" hidden="1">
      <c r="A792" s="64"/>
      <c r="B792" s="878"/>
      <c r="C792" s="128"/>
      <c r="D792" s="128"/>
      <c r="E792" s="128"/>
      <c r="N792" s="878"/>
      <c r="P792" s="879"/>
      <c r="R792" s="64"/>
      <c r="S792" s="64"/>
      <c r="T792" s="64"/>
      <c r="U792" s="64"/>
    </row>
    <row r="793" spans="1:21" s="71" customFormat="1" hidden="1">
      <c r="A793" s="64"/>
      <c r="B793" s="878"/>
      <c r="C793" s="128"/>
      <c r="D793" s="128"/>
      <c r="E793" s="128"/>
      <c r="N793" s="878"/>
      <c r="P793" s="879"/>
      <c r="R793" s="64"/>
      <c r="S793" s="64"/>
      <c r="T793" s="64"/>
      <c r="U793" s="64"/>
    </row>
    <row r="794" spans="1:21" s="71" customFormat="1" hidden="1">
      <c r="A794" s="64"/>
      <c r="B794" s="878"/>
      <c r="C794" s="128"/>
      <c r="D794" s="128"/>
      <c r="E794" s="128"/>
      <c r="N794" s="878"/>
      <c r="P794" s="879"/>
      <c r="R794" s="64"/>
      <c r="S794" s="64"/>
      <c r="T794" s="64"/>
      <c r="U794" s="64"/>
    </row>
    <row r="795" spans="1:21" s="71" customFormat="1" hidden="1">
      <c r="A795" s="64"/>
      <c r="B795" s="878"/>
      <c r="C795" s="128"/>
      <c r="D795" s="128"/>
      <c r="E795" s="128"/>
      <c r="N795" s="878"/>
      <c r="P795" s="879"/>
      <c r="R795" s="64"/>
      <c r="S795" s="64"/>
      <c r="T795" s="64"/>
      <c r="U795" s="64"/>
    </row>
    <row r="796" spans="1:21" s="71" customFormat="1" hidden="1">
      <c r="A796" s="64"/>
      <c r="B796" s="878"/>
      <c r="C796" s="128"/>
      <c r="D796" s="128"/>
      <c r="E796" s="128"/>
      <c r="N796" s="878"/>
      <c r="P796" s="879"/>
      <c r="R796" s="64"/>
      <c r="S796" s="64"/>
      <c r="T796" s="64"/>
      <c r="U796" s="64"/>
    </row>
    <row r="797" spans="1:21" s="71" customFormat="1" hidden="1">
      <c r="A797" s="64"/>
      <c r="B797" s="878"/>
      <c r="C797" s="128"/>
      <c r="D797" s="128"/>
      <c r="E797" s="128"/>
      <c r="N797" s="878"/>
      <c r="P797" s="879"/>
      <c r="R797" s="64"/>
      <c r="S797" s="64"/>
      <c r="T797" s="64"/>
      <c r="U797" s="64"/>
    </row>
    <row r="798" spans="1:21" s="71" customFormat="1" hidden="1">
      <c r="A798" s="64"/>
      <c r="B798" s="878"/>
      <c r="C798" s="128"/>
      <c r="D798" s="128"/>
      <c r="E798" s="128"/>
      <c r="N798" s="878"/>
      <c r="P798" s="879"/>
      <c r="R798" s="64"/>
      <c r="S798" s="64"/>
      <c r="T798" s="64"/>
      <c r="U798" s="64"/>
    </row>
    <row r="799" spans="1:21" s="71" customFormat="1" hidden="1">
      <c r="A799" s="64"/>
      <c r="B799" s="878"/>
      <c r="C799" s="128"/>
      <c r="D799" s="128"/>
      <c r="E799" s="128"/>
      <c r="N799" s="878"/>
      <c r="P799" s="879"/>
      <c r="R799" s="64"/>
      <c r="S799" s="64"/>
      <c r="T799" s="64"/>
      <c r="U799" s="64"/>
    </row>
    <row r="800" spans="1:21" s="71" customFormat="1" hidden="1">
      <c r="A800" s="64"/>
      <c r="B800" s="878"/>
      <c r="C800" s="128"/>
      <c r="D800" s="128"/>
      <c r="E800" s="128"/>
      <c r="N800" s="878"/>
      <c r="P800" s="879"/>
      <c r="R800" s="64"/>
      <c r="S800" s="64"/>
      <c r="T800" s="64"/>
      <c r="U800" s="64"/>
    </row>
    <row r="801" spans="1:21" s="71" customFormat="1" hidden="1">
      <c r="A801" s="64"/>
      <c r="B801" s="878"/>
      <c r="C801" s="128"/>
      <c r="D801" s="128"/>
      <c r="E801" s="128"/>
      <c r="N801" s="878"/>
      <c r="P801" s="879"/>
      <c r="R801" s="64"/>
      <c r="S801" s="64"/>
      <c r="T801" s="64"/>
      <c r="U801" s="64"/>
    </row>
    <row r="802" spans="1:21" s="71" customFormat="1" hidden="1">
      <c r="A802" s="64"/>
      <c r="B802" s="878"/>
      <c r="C802" s="128"/>
      <c r="D802" s="128"/>
      <c r="E802" s="128"/>
      <c r="N802" s="878"/>
      <c r="P802" s="879"/>
      <c r="R802" s="64"/>
      <c r="S802" s="64"/>
      <c r="T802" s="64"/>
      <c r="U802" s="64"/>
    </row>
    <row r="803" spans="1:21" s="71" customFormat="1" hidden="1">
      <c r="A803" s="64"/>
      <c r="B803" s="878"/>
      <c r="C803" s="128"/>
      <c r="D803" s="128"/>
      <c r="E803" s="128"/>
      <c r="N803" s="878"/>
      <c r="P803" s="879"/>
      <c r="R803" s="64"/>
      <c r="S803" s="64"/>
      <c r="T803" s="64"/>
      <c r="U803" s="64"/>
    </row>
    <row r="804" spans="1:21" s="71" customFormat="1" hidden="1">
      <c r="A804" s="64"/>
      <c r="B804" s="878"/>
      <c r="C804" s="128"/>
      <c r="D804" s="128"/>
      <c r="E804" s="128"/>
      <c r="N804" s="878"/>
      <c r="P804" s="879"/>
      <c r="R804" s="64"/>
      <c r="S804" s="64"/>
      <c r="T804" s="64"/>
      <c r="U804" s="64"/>
    </row>
    <row r="805" spans="1:21" s="71" customFormat="1" hidden="1">
      <c r="A805" s="64"/>
      <c r="B805" s="878"/>
      <c r="C805" s="128"/>
      <c r="D805" s="128"/>
      <c r="E805" s="128"/>
      <c r="N805" s="878"/>
      <c r="P805" s="879"/>
      <c r="R805" s="64"/>
      <c r="S805" s="64"/>
      <c r="T805" s="64"/>
      <c r="U805" s="64"/>
    </row>
    <row r="806" spans="1:21" s="71" customFormat="1" hidden="1">
      <c r="A806" s="64"/>
      <c r="B806" s="878"/>
      <c r="C806" s="128"/>
      <c r="D806" s="128"/>
      <c r="E806" s="128"/>
      <c r="N806" s="878"/>
      <c r="P806" s="879"/>
      <c r="R806" s="64"/>
      <c r="S806" s="64"/>
      <c r="T806" s="64"/>
      <c r="U806" s="64"/>
    </row>
    <row r="807" spans="1:21" s="71" customFormat="1" hidden="1">
      <c r="A807" s="64"/>
      <c r="B807" s="878"/>
      <c r="C807" s="128"/>
      <c r="D807" s="128"/>
      <c r="E807" s="128"/>
      <c r="N807" s="878"/>
      <c r="P807" s="879"/>
      <c r="R807" s="64"/>
      <c r="S807" s="64"/>
      <c r="T807" s="64"/>
      <c r="U807" s="64"/>
    </row>
    <row r="808" spans="1:21" s="71" customFormat="1" hidden="1">
      <c r="A808" s="64"/>
      <c r="B808" s="878"/>
      <c r="C808" s="128"/>
      <c r="D808" s="128"/>
      <c r="E808" s="128"/>
      <c r="N808" s="878"/>
      <c r="P808" s="879"/>
      <c r="R808" s="64"/>
      <c r="S808" s="64"/>
      <c r="T808" s="64"/>
      <c r="U808" s="64"/>
    </row>
    <row r="809" spans="1:21" s="71" customFormat="1" hidden="1">
      <c r="A809" s="64"/>
      <c r="B809" s="878"/>
      <c r="C809" s="128"/>
      <c r="D809" s="128"/>
      <c r="E809" s="128"/>
      <c r="N809" s="878"/>
      <c r="P809" s="879"/>
      <c r="R809" s="64"/>
      <c r="S809" s="64"/>
      <c r="T809" s="64"/>
      <c r="U809" s="64"/>
    </row>
    <row r="810" spans="1:21" s="71" customFormat="1" hidden="1">
      <c r="A810" s="64"/>
      <c r="B810" s="878"/>
      <c r="C810" s="128"/>
      <c r="D810" s="128"/>
      <c r="E810" s="128"/>
      <c r="N810" s="878"/>
      <c r="P810" s="879"/>
      <c r="R810" s="64"/>
      <c r="S810" s="64"/>
      <c r="T810" s="64"/>
      <c r="U810" s="64"/>
    </row>
    <row r="811" spans="1:21" s="71" customFormat="1" hidden="1">
      <c r="A811" s="64"/>
      <c r="B811" s="878"/>
      <c r="C811" s="128"/>
      <c r="D811" s="128"/>
      <c r="E811" s="128"/>
      <c r="N811" s="878"/>
      <c r="P811" s="879"/>
      <c r="R811" s="64"/>
      <c r="S811" s="64"/>
      <c r="T811" s="64"/>
      <c r="U811" s="64"/>
    </row>
    <row r="812" spans="1:21" s="71" customFormat="1" hidden="1">
      <c r="A812" s="64"/>
      <c r="B812" s="878"/>
      <c r="C812" s="128"/>
      <c r="D812" s="128"/>
      <c r="E812" s="128"/>
      <c r="N812" s="878"/>
      <c r="P812" s="879"/>
      <c r="R812" s="64"/>
      <c r="S812" s="64"/>
      <c r="T812" s="64"/>
      <c r="U812" s="64"/>
    </row>
    <row r="813" spans="1:21" s="71" customFormat="1" hidden="1">
      <c r="A813" s="64"/>
      <c r="B813" s="878"/>
      <c r="C813" s="128"/>
      <c r="D813" s="128"/>
      <c r="E813" s="128"/>
      <c r="N813" s="878"/>
      <c r="P813" s="879"/>
      <c r="R813" s="64"/>
      <c r="S813" s="64"/>
      <c r="T813" s="64"/>
      <c r="U813" s="64"/>
    </row>
    <row r="814" spans="1:21" s="71" customFormat="1" hidden="1">
      <c r="A814" s="64"/>
      <c r="B814" s="878"/>
      <c r="C814" s="128"/>
      <c r="D814" s="128"/>
      <c r="E814" s="128"/>
      <c r="N814" s="878"/>
      <c r="P814" s="879"/>
      <c r="R814" s="64"/>
      <c r="S814" s="64"/>
      <c r="T814" s="64"/>
      <c r="U814" s="64"/>
    </row>
    <row r="815" spans="1:21" s="71" customFormat="1" hidden="1">
      <c r="A815" s="64"/>
      <c r="B815" s="878"/>
      <c r="C815" s="128"/>
      <c r="D815" s="128"/>
      <c r="E815" s="128"/>
      <c r="N815" s="878"/>
      <c r="P815" s="879"/>
      <c r="R815" s="64"/>
      <c r="S815" s="64"/>
      <c r="T815" s="64"/>
      <c r="U815" s="64"/>
    </row>
    <row r="816" spans="1:21" s="71" customFormat="1" hidden="1">
      <c r="A816" s="64"/>
      <c r="B816" s="878"/>
      <c r="C816" s="128"/>
      <c r="D816" s="128"/>
      <c r="E816" s="128"/>
      <c r="N816" s="878"/>
      <c r="P816" s="879"/>
      <c r="R816" s="64"/>
      <c r="S816" s="64"/>
      <c r="T816" s="64"/>
      <c r="U816" s="64"/>
    </row>
    <row r="817" spans="1:21" s="71" customFormat="1" hidden="1">
      <c r="A817" s="64"/>
      <c r="B817" s="878"/>
      <c r="C817" s="128"/>
      <c r="D817" s="128"/>
      <c r="E817" s="128"/>
      <c r="N817" s="878"/>
      <c r="P817" s="879"/>
      <c r="R817" s="64"/>
      <c r="S817" s="64"/>
      <c r="T817" s="64"/>
      <c r="U817" s="64"/>
    </row>
    <row r="818" spans="1:21" s="71" customFormat="1" hidden="1">
      <c r="A818" s="64"/>
      <c r="B818" s="878"/>
      <c r="C818" s="128"/>
      <c r="D818" s="128"/>
      <c r="E818" s="128"/>
      <c r="N818" s="878"/>
      <c r="P818" s="879"/>
      <c r="R818" s="64"/>
      <c r="S818" s="64"/>
      <c r="T818" s="64"/>
      <c r="U818" s="64"/>
    </row>
    <row r="819" spans="1:21" s="71" customFormat="1" hidden="1">
      <c r="A819" s="64"/>
      <c r="B819" s="878"/>
      <c r="C819" s="128"/>
      <c r="D819" s="128"/>
      <c r="E819" s="128"/>
      <c r="N819" s="878"/>
      <c r="P819" s="879"/>
      <c r="R819" s="64"/>
      <c r="S819" s="64"/>
      <c r="T819" s="64"/>
      <c r="U819" s="64"/>
    </row>
    <row r="820" spans="1:21" s="71" customFormat="1" hidden="1">
      <c r="A820" s="64"/>
      <c r="B820" s="878"/>
      <c r="C820" s="128"/>
      <c r="D820" s="128"/>
      <c r="E820" s="128"/>
      <c r="N820" s="878"/>
      <c r="P820" s="879"/>
      <c r="R820" s="64"/>
      <c r="S820" s="64"/>
      <c r="T820" s="64"/>
      <c r="U820" s="64"/>
    </row>
    <row r="821" spans="1:21" s="71" customFormat="1" hidden="1">
      <c r="A821" s="64"/>
      <c r="B821" s="878"/>
      <c r="C821" s="128"/>
      <c r="D821" s="128"/>
      <c r="E821" s="128"/>
      <c r="N821" s="878"/>
      <c r="P821" s="879"/>
      <c r="R821" s="64"/>
      <c r="S821" s="64"/>
      <c r="T821" s="64"/>
      <c r="U821" s="64"/>
    </row>
    <row r="822" spans="1:21" s="71" customFormat="1" hidden="1">
      <c r="A822" s="64"/>
      <c r="B822" s="878"/>
      <c r="C822" s="128"/>
      <c r="D822" s="128"/>
      <c r="E822" s="128"/>
      <c r="N822" s="878"/>
      <c r="P822" s="879"/>
      <c r="R822" s="64"/>
      <c r="S822" s="64"/>
      <c r="T822" s="64"/>
      <c r="U822" s="64"/>
    </row>
    <row r="823" spans="1:21" s="71" customFormat="1" hidden="1">
      <c r="A823" s="64"/>
      <c r="B823" s="878"/>
      <c r="C823" s="128"/>
      <c r="D823" s="128"/>
      <c r="E823" s="128"/>
      <c r="N823" s="878"/>
      <c r="P823" s="879"/>
      <c r="R823" s="64"/>
      <c r="S823" s="64"/>
      <c r="T823" s="64"/>
      <c r="U823" s="64"/>
    </row>
    <row r="824" spans="1:21" s="71" customFormat="1" hidden="1">
      <c r="A824" s="64"/>
      <c r="B824" s="878"/>
      <c r="C824" s="128"/>
      <c r="D824" s="128"/>
      <c r="E824" s="128"/>
      <c r="N824" s="878"/>
      <c r="P824" s="879"/>
      <c r="R824" s="64"/>
      <c r="S824" s="64"/>
      <c r="T824" s="64"/>
      <c r="U824" s="64"/>
    </row>
    <row r="825" spans="1:21" s="71" customFormat="1" hidden="1">
      <c r="A825" s="64"/>
      <c r="B825" s="878"/>
      <c r="C825" s="128"/>
      <c r="D825" s="128"/>
      <c r="E825" s="128"/>
      <c r="N825" s="878"/>
      <c r="P825" s="879"/>
      <c r="R825" s="64"/>
      <c r="S825" s="64"/>
      <c r="T825" s="64"/>
      <c r="U825" s="64"/>
    </row>
    <row r="826" spans="1:21" s="71" customFormat="1" hidden="1">
      <c r="A826" s="64"/>
      <c r="B826" s="878"/>
      <c r="C826" s="128"/>
      <c r="D826" s="128"/>
      <c r="E826" s="128"/>
      <c r="N826" s="878"/>
      <c r="P826" s="879"/>
      <c r="R826" s="64"/>
      <c r="S826" s="64"/>
      <c r="T826" s="64"/>
      <c r="U826" s="64"/>
    </row>
    <row r="827" spans="1:21" s="71" customFormat="1" hidden="1">
      <c r="A827" s="64"/>
      <c r="B827" s="878"/>
      <c r="C827" s="128"/>
      <c r="D827" s="128"/>
      <c r="E827" s="128"/>
      <c r="N827" s="878"/>
      <c r="P827" s="879"/>
      <c r="R827" s="64"/>
      <c r="S827" s="64"/>
      <c r="T827" s="64"/>
      <c r="U827" s="64"/>
    </row>
    <row r="828" spans="1:21" s="71" customFormat="1" hidden="1">
      <c r="A828" s="64"/>
      <c r="B828" s="878"/>
      <c r="C828" s="128"/>
      <c r="D828" s="128"/>
      <c r="E828" s="128"/>
      <c r="N828" s="878"/>
      <c r="P828" s="879"/>
      <c r="R828" s="64"/>
      <c r="S828" s="64"/>
      <c r="T828" s="64"/>
      <c r="U828" s="64"/>
    </row>
    <row r="829" spans="1:21" s="71" customFormat="1" hidden="1">
      <c r="A829" s="64"/>
      <c r="B829" s="878"/>
      <c r="C829" s="128"/>
      <c r="D829" s="128"/>
      <c r="E829" s="128"/>
      <c r="N829" s="878"/>
      <c r="P829" s="879"/>
      <c r="R829" s="64"/>
      <c r="S829" s="64"/>
      <c r="T829" s="64"/>
      <c r="U829" s="64"/>
    </row>
    <row r="830" spans="1:21" s="71" customFormat="1" hidden="1">
      <c r="A830" s="64"/>
      <c r="B830" s="878"/>
      <c r="C830" s="128"/>
      <c r="D830" s="128"/>
      <c r="E830" s="128"/>
      <c r="N830" s="878"/>
      <c r="P830" s="879"/>
      <c r="R830" s="64"/>
      <c r="S830" s="64"/>
      <c r="T830" s="64"/>
      <c r="U830" s="64"/>
    </row>
    <row r="831" spans="1:21" s="71" customFormat="1" hidden="1">
      <c r="A831" s="64"/>
      <c r="B831" s="878"/>
      <c r="C831" s="128"/>
      <c r="D831" s="128"/>
      <c r="E831" s="128"/>
      <c r="N831" s="878"/>
      <c r="P831" s="879"/>
      <c r="R831" s="64"/>
      <c r="S831" s="64"/>
      <c r="T831" s="64"/>
      <c r="U831" s="64"/>
    </row>
    <row r="832" spans="1:21" s="71" customFormat="1" hidden="1">
      <c r="A832" s="64"/>
      <c r="B832" s="878"/>
      <c r="C832" s="128"/>
      <c r="D832" s="128"/>
      <c r="E832" s="128"/>
      <c r="N832" s="878"/>
      <c r="P832" s="879"/>
      <c r="R832" s="64"/>
      <c r="S832" s="64"/>
      <c r="T832" s="64"/>
      <c r="U832" s="64"/>
    </row>
    <row r="833" spans="1:21" s="71" customFormat="1" hidden="1">
      <c r="A833" s="64"/>
      <c r="B833" s="878"/>
      <c r="C833" s="128"/>
      <c r="D833" s="128"/>
      <c r="E833" s="128"/>
      <c r="N833" s="878"/>
      <c r="P833" s="879"/>
      <c r="R833" s="64"/>
      <c r="S833" s="64"/>
      <c r="T833" s="64"/>
      <c r="U833" s="64"/>
    </row>
    <row r="834" spans="1:21" s="71" customFormat="1" hidden="1">
      <c r="A834" s="64"/>
      <c r="B834" s="878"/>
      <c r="C834" s="128"/>
      <c r="D834" s="128"/>
      <c r="E834" s="128"/>
      <c r="N834" s="878"/>
      <c r="P834" s="879"/>
      <c r="R834" s="64"/>
      <c r="S834" s="64"/>
      <c r="T834" s="64"/>
      <c r="U834" s="64"/>
    </row>
    <row r="835" spans="1:21" s="71" customFormat="1" hidden="1">
      <c r="A835" s="64"/>
      <c r="B835" s="878"/>
      <c r="C835" s="128"/>
      <c r="D835" s="128"/>
      <c r="E835" s="128"/>
      <c r="N835" s="878"/>
      <c r="P835" s="879"/>
      <c r="R835" s="64"/>
      <c r="S835" s="64"/>
      <c r="T835" s="64"/>
      <c r="U835" s="64"/>
    </row>
    <row r="836" spans="1:21" s="71" customFormat="1" hidden="1">
      <c r="A836" s="64"/>
      <c r="B836" s="878"/>
      <c r="C836" s="128"/>
      <c r="D836" s="128"/>
      <c r="E836" s="128"/>
      <c r="N836" s="878"/>
      <c r="P836" s="879"/>
      <c r="R836" s="64"/>
      <c r="S836" s="64"/>
      <c r="T836" s="64"/>
      <c r="U836" s="64"/>
    </row>
    <row r="837" spans="1:21" s="71" customFormat="1" hidden="1">
      <c r="A837" s="64"/>
      <c r="B837" s="878"/>
      <c r="C837" s="128"/>
      <c r="D837" s="128"/>
      <c r="E837" s="128"/>
      <c r="N837" s="878"/>
      <c r="P837" s="879"/>
      <c r="R837" s="64"/>
      <c r="S837" s="64"/>
      <c r="T837" s="64"/>
      <c r="U837" s="64"/>
    </row>
    <row r="838" spans="1:21" s="71" customFormat="1" hidden="1">
      <c r="A838" s="64"/>
      <c r="B838" s="878"/>
      <c r="C838" s="128"/>
      <c r="D838" s="128"/>
      <c r="E838" s="128"/>
      <c r="N838" s="878"/>
      <c r="P838" s="879"/>
      <c r="R838" s="64"/>
      <c r="S838" s="64"/>
      <c r="T838" s="64"/>
      <c r="U838" s="64"/>
    </row>
    <row r="839" spans="1:21" s="71" customFormat="1" hidden="1">
      <c r="A839" s="64"/>
      <c r="B839" s="878"/>
      <c r="C839" s="128"/>
      <c r="D839" s="128"/>
      <c r="E839" s="128"/>
      <c r="N839" s="878"/>
      <c r="P839" s="879"/>
      <c r="R839" s="64"/>
      <c r="S839" s="64"/>
      <c r="T839" s="64"/>
      <c r="U839" s="64"/>
    </row>
    <row r="840" spans="1:21" s="71" customFormat="1" hidden="1">
      <c r="A840" s="64"/>
      <c r="B840" s="878"/>
      <c r="C840" s="128"/>
      <c r="D840" s="128"/>
      <c r="E840" s="128"/>
      <c r="N840" s="878"/>
      <c r="P840" s="879"/>
      <c r="R840" s="64"/>
      <c r="S840" s="64"/>
      <c r="T840" s="64"/>
      <c r="U840" s="64"/>
    </row>
    <row r="841" spans="1:21" s="71" customFormat="1" hidden="1">
      <c r="A841" s="64"/>
      <c r="B841" s="878"/>
      <c r="C841" s="128"/>
      <c r="D841" s="128"/>
      <c r="E841" s="128"/>
      <c r="N841" s="878"/>
      <c r="P841" s="879"/>
      <c r="R841" s="64"/>
      <c r="S841" s="64"/>
      <c r="T841" s="64"/>
      <c r="U841" s="64"/>
    </row>
    <row r="842" spans="1:21" s="71" customFormat="1" hidden="1">
      <c r="A842" s="64"/>
      <c r="B842" s="878"/>
      <c r="C842" s="128"/>
      <c r="D842" s="128"/>
      <c r="E842" s="128"/>
      <c r="N842" s="878"/>
      <c r="P842" s="879"/>
      <c r="R842" s="64"/>
      <c r="S842" s="64"/>
      <c r="T842" s="64"/>
      <c r="U842" s="64"/>
    </row>
    <row r="843" spans="1:21" s="71" customFormat="1" hidden="1">
      <c r="A843" s="64"/>
      <c r="B843" s="878"/>
      <c r="C843" s="128"/>
      <c r="D843" s="128"/>
      <c r="E843" s="128"/>
      <c r="N843" s="878"/>
      <c r="P843" s="879"/>
      <c r="R843" s="64"/>
      <c r="S843" s="64"/>
      <c r="T843" s="64"/>
      <c r="U843" s="64"/>
    </row>
    <row r="844" spans="1:21" s="71" customFormat="1" hidden="1">
      <c r="A844" s="64"/>
      <c r="B844" s="878"/>
      <c r="C844" s="128"/>
      <c r="D844" s="128"/>
      <c r="E844" s="128"/>
      <c r="N844" s="878"/>
      <c r="P844" s="879"/>
      <c r="R844" s="64"/>
      <c r="S844" s="64"/>
      <c r="T844" s="64"/>
      <c r="U844" s="64"/>
    </row>
    <row r="845" spans="1:21" s="71" customFormat="1" hidden="1">
      <c r="A845" s="64"/>
      <c r="B845" s="878"/>
      <c r="C845" s="128"/>
      <c r="D845" s="128"/>
      <c r="E845" s="128"/>
      <c r="N845" s="878"/>
      <c r="P845" s="879"/>
      <c r="R845" s="64"/>
      <c r="S845" s="64"/>
      <c r="T845" s="64"/>
      <c r="U845" s="64"/>
    </row>
    <row r="846" spans="1:21" s="71" customFormat="1" hidden="1">
      <c r="A846" s="64"/>
      <c r="B846" s="878"/>
      <c r="C846" s="128"/>
      <c r="D846" s="128"/>
      <c r="E846" s="128"/>
      <c r="N846" s="878"/>
      <c r="P846" s="879"/>
      <c r="R846" s="64"/>
      <c r="S846" s="64"/>
      <c r="T846" s="64"/>
      <c r="U846" s="64"/>
    </row>
    <row r="847" spans="1:21" s="71" customFormat="1" hidden="1">
      <c r="A847" s="64"/>
      <c r="B847" s="878"/>
      <c r="C847" s="128"/>
      <c r="D847" s="128"/>
      <c r="E847" s="128"/>
      <c r="N847" s="878"/>
      <c r="P847" s="879"/>
      <c r="R847" s="64"/>
      <c r="S847" s="64"/>
      <c r="T847" s="64"/>
      <c r="U847" s="64"/>
    </row>
    <row r="848" spans="1:21" s="71" customFormat="1" hidden="1">
      <c r="A848" s="64"/>
      <c r="B848" s="878"/>
      <c r="C848" s="128"/>
      <c r="D848" s="128"/>
      <c r="E848" s="128"/>
      <c r="N848" s="878"/>
      <c r="P848" s="879"/>
      <c r="R848" s="64"/>
      <c r="S848" s="64"/>
      <c r="T848" s="64"/>
      <c r="U848" s="64"/>
    </row>
    <row r="849" spans="1:21" s="71" customFormat="1" hidden="1">
      <c r="A849" s="64"/>
      <c r="B849" s="878"/>
      <c r="C849" s="128"/>
      <c r="D849" s="128"/>
      <c r="E849" s="128"/>
      <c r="N849" s="878"/>
      <c r="P849" s="879"/>
      <c r="R849" s="64"/>
      <c r="S849" s="64"/>
      <c r="T849" s="64"/>
      <c r="U849" s="64"/>
    </row>
    <row r="850" spans="1:21" s="71" customFormat="1" hidden="1">
      <c r="A850" s="64"/>
      <c r="B850" s="878"/>
      <c r="C850" s="128"/>
      <c r="D850" s="128"/>
      <c r="E850" s="128"/>
      <c r="N850" s="878"/>
      <c r="P850" s="879"/>
      <c r="R850" s="64"/>
      <c r="S850" s="64"/>
      <c r="T850" s="64"/>
      <c r="U850" s="64"/>
    </row>
    <row r="851" spans="1:21" s="71" customFormat="1" hidden="1">
      <c r="A851" s="64"/>
      <c r="B851" s="878"/>
      <c r="C851" s="128"/>
      <c r="D851" s="128"/>
      <c r="E851" s="128"/>
      <c r="N851" s="878"/>
      <c r="P851" s="879"/>
      <c r="R851" s="64"/>
      <c r="S851" s="64"/>
      <c r="T851" s="64"/>
      <c r="U851" s="64"/>
    </row>
    <row r="852" spans="1:21" s="71" customFormat="1" hidden="1">
      <c r="A852" s="64"/>
      <c r="B852" s="878"/>
      <c r="C852" s="128"/>
      <c r="D852" s="128"/>
      <c r="E852" s="128"/>
      <c r="N852" s="878"/>
      <c r="P852" s="879"/>
      <c r="R852" s="64"/>
      <c r="S852" s="64"/>
      <c r="T852" s="64"/>
      <c r="U852" s="64"/>
    </row>
    <row r="853" spans="1:21" s="71" customFormat="1" hidden="1">
      <c r="A853" s="64"/>
      <c r="B853" s="878"/>
      <c r="C853" s="128"/>
      <c r="D853" s="128"/>
      <c r="E853" s="128"/>
      <c r="N853" s="878"/>
      <c r="P853" s="879"/>
      <c r="R853" s="64"/>
      <c r="S853" s="64"/>
      <c r="T853" s="64"/>
      <c r="U853" s="64"/>
    </row>
    <row r="854" spans="1:21" s="71" customFormat="1" hidden="1">
      <c r="A854" s="64"/>
      <c r="B854" s="878"/>
      <c r="C854" s="128"/>
      <c r="D854" s="128"/>
      <c r="E854" s="128"/>
      <c r="N854" s="878"/>
      <c r="P854" s="879"/>
      <c r="R854" s="64"/>
      <c r="S854" s="64"/>
      <c r="T854" s="64"/>
      <c r="U854" s="64"/>
    </row>
    <row r="855" spans="1:21" s="71" customFormat="1" hidden="1">
      <c r="A855" s="64"/>
      <c r="B855" s="878"/>
      <c r="C855" s="128"/>
      <c r="D855" s="128"/>
      <c r="E855" s="128"/>
      <c r="N855" s="878"/>
      <c r="P855" s="879"/>
      <c r="R855" s="64"/>
      <c r="S855" s="64"/>
      <c r="T855" s="64"/>
      <c r="U855" s="64"/>
    </row>
    <row r="856" spans="1:21" s="71" customFormat="1" hidden="1">
      <c r="A856" s="64"/>
      <c r="B856" s="878"/>
      <c r="C856" s="128"/>
      <c r="D856" s="128"/>
      <c r="E856" s="128"/>
      <c r="N856" s="878"/>
      <c r="P856" s="879"/>
      <c r="R856" s="64"/>
      <c r="S856" s="64"/>
      <c r="T856" s="64"/>
      <c r="U856" s="64"/>
    </row>
    <row r="857" spans="1:21" s="71" customFormat="1" hidden="1">
      <c r="A857" s="64"/>
      <c r="B857" s="878"/>
      <c r="C857" s="128"/>
      <c r="D857" s="128"/>
      <c r="E857" s="128"/>
      <c r="N857" s="878"/>
      <c r="P857" s="879"/>
      <c r="R857" s="64"/>
      <c r="S857" s="64"/>
      <c r="T857" s="64"/>
      <c r="U857" s="64"/>
    </row>
    <row r="858" spans="1:21" s="71" customFormat="1" hidden="1">
      <c r="A858" s="64"/>
      <c r="B858" s="878"/>
      <c r="C858" s="128"/>
      <c r="D858" s="128"/>
      <c r="E858" s="128"/>
      <c r="N858" s="878"/>
      <c r="P858" s="879"/>
      <c r="R858" s="64"/>
      <c r="S858" s="64"/>
      <c r="T858" s="64"/>
      <c r="U858" s="64"/>
    </row>
    <row r="859" spans="1:21" s="71" customFormat="1" hidden="1">
      <c r="A859" s="64"/>
      <c r="B859" s="878"/>
      <c r="C859" s="128"/>
      <c r="D859" s="128"/>
      <c r="E859" s="128"/>
      <c r="N859" s="878"/>
      <c r="P859" s="879"/>
      <c r="R859" s="64"/>
      <c r="S859" s="64"/>
      <c r="T859" s="64"/>
      <c r="U859" s="64"/>
    </row>
    <row r="860" spans="1:21" s="71" customFormat="1" hidden="1">
      <c r="A860" s="64"/>
      <c r="B860" s="878"/>
      <c r="C860" s="128"/>
      <c r="D860" s="128"/>
      <c r="E860" s="128"/>
      <c r="N860" s="878"/>
      <c r="P860" s="879"/>
      <c r="R860" s="64"/>
      <c r="S860" s="64"/>
      <c r="T860" s="64"/>
      <c r="U860" s="64"/>
    </row>
    <row r="861" spans="1:21" s="71" customFormat="1" hidden="1">
      <c r="A861" s="64"/>
      <c r="B861" s="878"/>
      <c r="C861" s="128"/>
      <c r="D861" s="128"/>
      <c r="E861" s="128"/>
      <c r="N861" s="878"/>
      <c r="P861" s="879"/>
      <c r="R861" s="64"/>
      <c r="S861" s="64"/>
      <c r="T861" s="64"/>
      <c r="U861" s="64"/>
    </row>
    <row r="862" spans="1:21" s="71" customFormat="1" hidden="1">
      <c r="A862" s="64"/>
      <c r="B862" s="878"/>
      <c r="C862" s="128"/>
      <c r="D862" s="128"/>
      <c r="E862" s="128"/>
      <c r="N862" s="878"/>
      <c r="P862" s="879"/>
      <c r="R862" s="64"/>
      <c r="S862" s="64"/>
      <c r="T862" s="64"/>
      <c r="U862" s="64"/>
    </row>
    <row r="863" spans="1:21" s="71" customFormat="1" hidden="1">
      <c r="A863" s="64"/>
      <c r="B863" s="878"/>
      <c r="C863" s="128"/>
      <c r="D863" s="128"/>
      <c r="E863" s="128"/>
      <c r="N863" s="878"/>
      <c r="P863" s="879"/>
      <c r="R863" s="64"/>
      <c r="S863" s="64"/>
      <c r="T863" s="64"/>
      <c r="U863" s="64"/>
    </row>
    <row r="864" spans="1:21" s="71" customFormat="1" hidden="1">
      <c r="A864" s="64"/>
      <c r="B864" s="878"/>
      <c r="C864" s="128"/>
      <c r="D864" s="128"/>
      <c r="E864" s="128"/>
      <c r="N864" s="878"/>
      <c r="P864" s="879"/>
      <c r="R864" s="64"/>
      <c r="S864" s="64"/>
      <c r="T864" s="64"/>
      <c r="U864" s="64"/>
    </row>
    <row r="865" spans="1:21" s="71" customFormat="1" hidden="1">
      <c r="A865" s="64"/>
      <c r="B865" s="878"/>
      <c r="C865" s="128"/>
      <c r="D865" s="128"/>
      <c r="E865" s="128"/>
      <c r="N865" s="878"/>
      <c r="P865" s="879"/>
      <c r="R865" s="64"/>
      <c r="S865" s="64"/>
      <c r="T865" s="64"/>
      <c r="U865" s="64"/>
    </row>
    <row r="866" spans="1:21" s="71" customFormat="1" hidden="1">
      <c r="A866" s="64"/>
      <c r="B866" s="878"/>
      <c r="C866" s="128"/>
      <c r="D866" s="128"/>
      <c r="E866" s="128"/>
      <c r="N866" s="878"/>
      <c r="P866" s="879"/>
      <c r="R866" s="64"/>
      <c r="S866" s="64"/>
      <c r="T866" s="64"/>
      <c r="U866" s="64"/>
    </row>
    <row r="867" spans="1:21" s="71" customFormat="1" hidden="1">
      <c r="A867" s="64"/>
      <c r="B867" s="878"/>
      <c r="C867" s="128"/>
      <c r="D867" s="128"/>
      <c r="E867" s="128"/>
      <c r="N867" s="878"/>
      <c r="P867" s="879"/>
      <c r="R867" s="64"/>
      <c r="S867" s="64"/>
      <c r="T867" s="64"/>
      <c r="U867" s="64"/>
    </row>
    <row r="868" spans="1:21" s="71" customFormat="1" hidden="1">
      <c r="A868" s="64"/>
      <c r="B868" s="878"/>
      <c r="C868" s="128"/>
      <c r="D868" s="128"/>
      <c r="E868" s="128"/>
      <c r="N868" s="878"/>
      <c r="P868" s="879"/>
      <c r="R868" s="64"/>
      <c r="S868" s="64"/>
      <c r="T868" s="64"/>
      <c r="U868" s="64"/>
    </row>
    <row r="869" spans="1:21" s="71" customFormat="1" hidden="1">
      <c r="A869" s="64"/>
      <c r="B869" s="878"/>
      <c r="C869" s="128"/>
      <c r="D869" s="128"/>
      <c r="E869" s="128"/>
      <c r="N869" s="878"/>
      <c r="P869" s="879"/>
      <c r="R869" s="64"/>
      <c r="S869" s="64"/>
      <c r="T869" s="64"/>
      <c r="U869" s="64"/>
    </row>
    <row r="870" spans="1:21" s="71" customFormat="1" hidden="1">
      <c r="A870" s="64"/>
      <c r="B870" s="878"/>
      <c r="C870" s="128"/>
      <c r="D870" s="128"/>
      <c r="E870" s="128"/>
      <c r="N870" s="878"/>
      <c r="P870" s="879"/>
      <c r="R870" s="64"/>
      <c r="S870" s="64"/>
      <c r="T870" s="64"/>
      <c r="U870" s="64"/>
    </row>
    <row r="871" spans="1:21" s="71" customFormat="1" hidden="1">
      <c r="A871" s="64"/>
      <c r="B871" s="878"/>
      <c r="C871" s="128"/>
      <c r="D871" s="128"/>
      <c r="E871" s="128"/>
      <c r="N871" s="878"/>
      <c r="P871" s="879"/>
      <c r="R871" s="64"/>
      <c r="S871" s="64"/>
      <c r="T871" s="64"/>
      <c r="U871" s="64"/>
    </row>
    <row r="872" spans="1:21" s="71" customFormat="1" hidden="1">
      <c r="A872" s="64"/>
      <c r="B872" s="878"/>
      <c r="C872" s="128"/>
      <c r="D872" s="128"/>
      <c r="E872" s="128"/>
      <c r="N872" s="878"/>
      <c r="P872" s="879"/>
      <c r="R872" s="64"/>
      <c r="S872" s="64"/>
      <c r="T872" s="64"/>
      <c r="U872" s="64"/>
    </row>
    <row r="873" spans="1:21" s="71" customFormat="1" hidden="1">
      <c r="A873" s="64"/>
      <c r="B873" s="878"/>
      <c r="C873" s="128"/>
      <c r="D873" s="128"/>
      <c r="E873" s="128"/>
      <c r="N873" s="878"/>
      <c r="P873" s="879"/>
      <c r="R873" s="64"/>
      <c r="S873" s="64"/>
      <c r="T873" s="64"/>
      <c r="U873" s="64"/>
    </row>
    <row r="874" spans="1:21" s="71" customFormat="1" hidden="1">
      <c r="A874" s="64"/>
      <c r="B874" s="878"/>
      <c r="C874" s="128"/>
      <c r="D874" s="128"/>
      <c r="E874" s="128"/>
      <c r="N874" s="878"/>
      <c r="P874" s="879"/>
      <c r="R874" s="64"/>
      <c r="S874" s="64"/>
      <c r="T874" s="64"/>
      <c r="U874" s="64"/>
    </row>
    <row r="875" spans="1:21" s="71" customFormat="1" hidden="1">
      <c r="A875" s="64"/>
      <c r="B875" s="878"/>
      <c r="C875" s="128"/>
      <c r="D875" s="128"/>
      <c r="E875" s="128"/>
      <c r="N875" s="878"/>
      <c r="P875" s="879"/>
      <c r="R875" s="64"/>
      <c r="S875" s="64"/>
      <c r="T875" s="64"/>
      <c r="U875" s="64"/>
    </row>
    <row r="876" spans="1:21" s="71" customFormat="1" hidden="1">
      <c r="A876" s="64"/>
      <c r="B876" s="878"/>
      <c r="C876" s="128"/>
      <c r="D876" s="128"/>
      <c r="E876" s="128"/>
      <c r="N876" s="878"/>
      <c r="P876" s="879"/>
      <c r="R876" s="64"/>
      <c r="S876" s="64"/>
      <c r="T876" s="64"/>
      <c r="U876" s="64"/>
    </row>
    <row r="877" spans="1:21" s="71" customFormat="1" hidden="1">
      <c r="A877" s="64"/>
      <c r="B877" s="878"/>
      <c r="C877" s="128"/>
      <c r="D877" s="128"/>
      <c r="E877" s="128"/>
      <c r="N877" s="878"/>
      <c r="P877" s="879"/>
      <c r="R877" s="64"/>
      <c r="S877" s="64"/>
      <c r="T877" s="64"/>
      <c r="U877" s="64"/>
    </row>
    <row r="878" spans="1:21" s="71" customFormat="1" hidden="1">
      <c r="A878" s="64"/>
      <c r="B878" s="878"/>
      <c r="C878" s="128"/>
      <c r="D878" s="128"/>
      <c r="E878" s="128"/>
      <c r="N878" s="878"/>
      <c r="P878" s="879"/>
      <c r="R878" s="64"/>
      <c r="S878" s="64"/>
      <c r="T878" s="64"/>
      <c r="U878" s="64"/>
    </row>
    <row r="879" spans="1:21" s="71" customFormat="1" hidden="1">
      <c r="A879" s="64"/>
      <c r="B879" s="878"/>
      <c r="C879" s="128"/>
      <c r="D879" s="128"/>
      <c r="E879" s="128"/>
      <c r="N879" s="878"/>
      <c r="P879" s="879"/>
      <c r="R879" s="64"/>
      <c r="S879" s="64"/>
      <c r="T879" s="64"/>
      <c r="U879" s="64"/>
    </row>
    <row r="880" spans="1:21" s="71" customFormat="1" hidden="1">
      <c r="A880" s="64"/>
      <c r="B880" s="878"/>
      <c r="C880" s="128"/>
      <c r="D880" s="128"/>
      <c r="E880" s="128"/>
      <c r="N880" s="878"/>
      <c r="P880" s="879"/>
      <c r="R880" s="64"/>
      <c r="S880" s="64"/>
      <c r="T880" s="64"/>
      <c r="U880" s="64"/>
    </row>
    <row r="881" spans="1:21" s="71" customFormat="1" hidden="1">
      <c r="A881" s="64"/>
      <c r="B881" s="878"/>
      <c r="C881" s="128"/>
      <c r="D881" s="128"/>
      <c r="E881" s="128"/>
      <c r="N881" s="878"/>
      <c r="P881" s="879"/>
      <c r="R881" s="64"/>
      <c r="S881" s="64"/>
      <c r="T881" s="64"/>
      <c r="U881" s="64"/>
    </row>
    <row r="882" spans="1:21" s="71" customFormat="1" hidden="1">
      <c r="A882" s="64"/>
      <c r="B882" s="878"/>
      <c r="C882" s="128"/>
      <c r="D882" s="128"/>
      <c r="E882" s="128"/>
      <c r="N882" s="878"/>
      <c r="P882" s="879"/>
      <c r="R882" s="64"/>
      <c r="S882" s="64"/>
      <c r="T882" s="64"/>
      <c r="U882" s="64"/>
    </row>
    <row r="883" spans="1:21" s="71" customFormat="1" hidden="1">
      <c r="A883" s="64"/>
      <c r="B883" s="878"/>
      <c r="C883" s="128"/>
      <c r="D883" s="128"/>
      <c r="E883" s="128"/>
      <c r="N883" s="878"/>
      <c r="P883" s="879"/>
      <c r="R883" s="64"/>
      <c r="S883" s="64"/>
      <c r="T883" s="64"/>
      <c r="U883" s="64"/>
    </row>
    <row r="884" spans="1:21" s="71" customFormat="1" hidden="1">
      <c r="A884" s="64"/>
      <c r="B884" s="878"/>
      <c r="C884" s="128"/>
      <c r="D884" s="128"/>
      <c r="E884" s="128"/>
      <c r="N884" s="878"/>
      <c r="P884" s="879"/>
      <c r="R884" s="64"/>
      <c r="S884" s="64"/>
      <c r="T884" s="64"/>
      <c r="U884" s="64"/>
    </row>
    <row r="885" spans="1:21" s="71" customFormat="1" hidden="1">
      <c r="A885" s="64"/>
      <c r="B885" s="878"/>
      <c r="C885" s="128"/>
      <c r="D885" s="128"/>
      <c r="E885" s="128"/>
      <c r="N885" s="878"/>
      <c r="P885" s="879"/>
      <c r="R885" s="64"/>
      <c r="S885" s="64"/>
      <c r="T885" s="64"/>
      <c r="U885" s="64"/>
    </row>
    <row r="886" spans="1:21" s="71" customFormat="1" hidden="1">
      <c r="A886" s="64"/>
      <c r="B886" s="878"/>
      <c r="C886" s="128"/>
      <c r="D886" s="128"/>
      <c r="E886" s="128"/>
      <c r="N886" s="878"/>
      <c r="P886" s="879"/>
      <c r="R886" s="64"/>
      <c r="S886" s="64"/>
      <c r="T886" s="64"/>
      <c r="U886" s="64"/>
    </row>
    <row r="887" spans="1:21" s="71" customFormat="1" hidden="1">
      <c r="A887" s="64"/>
      <c r="B887" s="878"/>
      <c r="C887" s="128"/>
      <c r="D887" s="128"/>
      <c r="E887" s="128"/>
      <c r="N887" s="878"/>
      <c r="P887" s="879"/>
      <c r="R887" s="64"/>
      <c r="S887" s="64"/>
      <c r="T887" s="64"/>
      <c r="U887" s="64"/>
    </row>
    <row r="888" spans="1:21" s="71" customFormat="1" hidden="1">
      <c r="A888" s="64"/>
      <c r="B888" s="878"/>
      <c r="C888" s="128"/>
      <c r="D888" s="128"/>
      <c r="E888" s="128"/>
      <c r="N888" s="878"/>
      <c r="P888" s="879"/>
      <c r="R888" s="64"/>
      <c r="S888" s="64"/>
      <c r="T888" s="64"/>
      <c r="U888" s="64"/>
    </row>
    <row r="889" spans="1:21" s="71" customFormat="1" hidden="1">
      <c r="A889" s="64"/>
      <c r="B889" s="878"/>
      <c r="C889" s="128"/>
      <c r="D889" s="128"/>
      <c r="E889" s="128"/>
      <c r="N889" s="878"/>
      <c r="P889" s="879"/>
      <c r="R889" s="64"/>
      <c r="S889" s="64"/>
      <c r="T889" s="64"/>
      <c r="U889" s="64"/>
    </row>
    <row r="890" spans="1:21" s="71" customFormat="1" hidden="1">
      <c r="A890" s="64"/>
      <c r="B890" s="878"/>
      <c r="C890" s="128"/>
      <c r="D890" s="128"/>
      <c r="E890" s="128"/>
      <c r="N890" s="878"/>
      <c r="P890" s="879"/>
      <c r="R890" s="64"/>
      <c r="S890" s="64"/>
      <c r="T890" s="64"/>
      <c r="U890" s="64"/>
    </row>
    <row r="891" spans="1:21" s="71" customFormat="1" hidden="1">
      <c r="A891" s="64"/>
      <c r="B891" s="878"/>
      <c r="C891" s="128"/>
      <c r="D891" s="128"/>
      <c r="E891" s="128"/>
      <c r="N891" s="878"/>
      <c r="P891" s="879"/>
      <c r="R891" s="64"/>
      <c r="S891" s="64"/>
      <c r="T891" s="64"/>
      <c r="U891" s="64"/>
    </row>
    <row r="892" spans="1:21" s="71" customFormat="1" hidden="1">
      <c r="A892" s="64"/>
      <c r="B892" s="878"/>
      <c r="C892" s="128"/>
      <c r="D892" s="128"/>
      <c r="E892" s="128"/>
      <c r="N892" s="878"/>
      <c r="P892" s="879"/>
      <c r="R892" s="64"/>
      <c r="S892" s="64"/>
      <c r="T892" s="64"/>
      <c r="U892" s="64"/>
    </row>
    <row r="893" spans="1:21" s="71" customFormat="1" hidden="1">
      <c r="A893" s="64"/>
      <c r="B893" s="878"/>
      <c r="C893" s="128"/>
      <c r="D893" s="128"/>
      <c r="E893" s="128"/>
      <c r="N893" s="878"/>
      <c r="P893" s="879"/>
      <c r="R893" s="64"/>
      <c r="S893" s="64"/>
      <c r="T893" s="64"/>
      <c r="U893" s="64"/>
    </row>
    <row r="894" spans="1:21" s="71" customFormat="1" hidden="1">
      <c r="A894" s="64"/>
      <c r="B894" s="878"/>
      <c r="C894" s="128"/>
      <c r="D894" s="128"/>
      <c r="E894" s="128"/>
      <c r="N894" s="878"/>
      <c r="P894" s="879"/>
      <c r="R894" s="64"/>
      <c r="S894" s="64"/>
      <c r="T894" s="64"/>
      <c r="U894" s="64"/>
    </row>
    <row r="895" spans="1:21" s="71" customFormat="1" hidden="1">
      <c r="A895" s="64"/>
      <c r="B895" s="878"/>
      <c r="C895" s="128"/>
      <c r="D895" s="128"/>
      <c r="E895" s="128"/>
      <c r="N895" s="878"/>
      <c r="P895" s="879"/>
      <c r="R895" s="64"/>
      <c r="S895" s="64"/>
      <c r="T895" s="64"/>
      <c r="U895" s="64"/>
    </row>
    <row r="896" spans="1:21" s="71" customFormat="1" hidden="1">
      <c r="A896" s="64"/>
      <c r="B896" s="878"/>
      <c r="C896" s="128"/>
      <c r="D896" s="128"/>
      <c r="E896" s="128"/>
      <c r="N896" s="878"/>
      <c r="P896" s="879"/>
      <c r="R896" s="64"/>
      <c r="S896" s="64"/>
      <c r="T896" s="64"/>
      <c r="U896" s="64"/>
    </row>
    <row r="897" spans="1:21" s="71" customFormat="1" hidden="1">
      <c r="A897" s="64"/>
      <c r="B897" s="878"/>
      <c r="C897" s="128"/>
      <c r="D897" s="128"/>
      <c r="E897" s="128"/>
      <c r="N897" s="878"/>
      <c r="P897" s="879"/>
      <c r="R897" s="64"/>
      <c r="S897" s="64"/>
      <c r="T897" s="64"/>
      <c r="U897" s="64"/>
    </row>
    <row r="898" spans="1:21" s="71" customFormat="1" hidden="1">
      <c r="A898" s="64"/>
      <c r="B898" s="878"/>
      <c r="C898" s="128"/>
      <c r="D898" s="128"/>
      <c r="E898" s="128"/>
      <c r="N898" s="878"/>
      <c r="P898" s="879"/>
      <c r="R898" s="64"/>
      <c r="S898" s="64"/>
      <c r="T898" s="64"/>
      <c r="U898" s="64"/>
    </row>
    <row r="899" spans="1:21" s="71" customFormat="1" hidden="1">
      <c r="A899" s="64"/>
      <c r="B899" s="878"/>
      <c r="C899" s="128"/>
      <c r="D899" s="128"/>
      <c r="E899" s="128"/>
      <c r="N899" s="878"/>
      <c r="P899" s="879"/>
      <c r="R899" s="64"/>
      <c r="S899" s="64"/>
      <c r="T899" s="64"/>
      <c r="U899" s="64"/>
    </row>
    <row r="900" spans="1:21" s="71" customFormat="1" hidden="1">
      <c r="A900" s="64"/>
      <c r="B900" s="878"/>
      <c r="C900" s="128"/>
      <c r="D900" s="128"/>
      <c r="E900" s="128"/>
      <c r="N900" s="878"/>
      <c r="P900" s="879"/>
      <c r="R900" s="64"/>
      <c r="S900" s="64"/>
      <c r="T900" s="64"/>
      <c r="U900" s="64"/>
    </row>
    <row r="901" spans="1:21" s="71" customFormat="1" hidden="1">
      <c r="A901" s="64"/>
      <c r="B901" s="878"/>
      <c r="C901" s="128"/>
      <c r="D901" s="128"/>
      <c r="E901" s="128"/>
      <c r="N901" s="878"/>
      <c r="P901" s="879"/>
      <c r="R901" s="64"/>
      <c r="S901" s="64"/>
      <c r="T901" s="64"/>
      <c r="U901" s="64"/>
    </row>
    <row r="902" spans="1:21" s="71" customFormat="1" hidden="1">
      <c r="A902" s="64"/>
      <c r="B902" s="878"/>
      <c r="C902" s="128"/>
      <c r="D902" s="128"/>
      <c r="E902" s="128"/>
      <c r="N902" s="878"/>
      <c r="P902" s="879"/>
      <c r="R902" s="64"/>
      <c r="S902" s="64"/>
      <c r="T902" s="64"/>
      <c r="U902" s="64"/>
    </row>
    <row r="903" spans="1:21" s="71" customFormat="1" hidden="1">
      <c r="A903" s="64"/>
      <c r="B903" s="878"/>
      <c r="C903" s="128"/>
      <c r="D903" s="128"/>
      <c r="E903" s="128"/>
      <c r="N903" s="878"/>
      <c r="P903" s="879"/>
      <c r="R903" s="64"/>
      <c r="S903" s="64"/>
      <c r="T903" s="64"/>
      <c r="U903" s="64"/>
    </row>
    <row r="904" spans="1:21" s="71" customFormat="1" hidden="1">
      <c r="A904" s="64"/>
      <c r="B904" s="878"/>
      <c r="C904" s="128"/>
      <c r="D904" s="128"/>
      <c r="E904" s="128"/>
      <c r="N904" s="878"/>
      <c r="P904" s="879"/>
      <c r="R904" s="64"/>
      <c r="S904" s="64"/>
      <c r="T904" s="64"/>
      <c r="U904" s="64"/>
    </row>
    <row r="905" spans="1:21" s="71" customFormat="1" hidden="1">
      <c r="A905" s="64"/>
      <c r="B905" s="878"/>
      <c r="C905" s="128"/>
      <c r="D905" s="128"/>
      <c r="E905" s="128"/>
      <c r="N905" s="878"/>
      <c r="P905" s="879"/>
      <c r="R905" s="64"/>
      <c r="S905" s="64"/>
      <c r="T905" s="64"/>
      <c r="U905" s="64"/>
    </row>
    <row r="906" spans="1:21" s="71" customFormat="1" hidden="1">
      <c r="A906" s="64"/>
      <c r="B906" s="878"/>
      <c r="C906" s="128"/>
      <c r="D906" s="128"/>
      <c r="E906" s="128"/>
      <c r="N906" s="878"/>
      <c r="P906" s="879"/>
      <c r="R906" s="64"/>
      <c r="S906" s="64"/>
      <c r="T906" s="64"/>
      <c r="U906" s="64"/>
    </row>
    <row r="907" spans="1:21" s="71" customFormat="1" hidden="1">
      <c r="A907" s="64"/>
      <c r="B907" s="878"/>
      <c r="C907" s="128"/>
      <c r="D907" s="128"/>
      <c r="E907" s="128"/>
      <c r="N907" s="878"/>
      <c r="P907" s="879"/>
      <c r="R907" s="64"/>
      <c r="S907" s="64"/>
      <c r="T907" s="64"/>
      <c r="U907" s="64"/>
    </row>
    <row r="908" spans="1:21" s="71" customFormat="1" hidden="1">
      <c r="A908" s="64"/>
      <c r="B908" s="878"/>
      <c r="C908" s="128"/>
      <c r="D908" s="128"/>
      <c r="E908" s="128"/>
      <c r="N908" s="878"/>
      <c r="P908" s="879"/>
      <c r="R908" s="64"/>
      <c r="S908" s="64"/>
      <c r="T908" s="64"/>
      <c r="U908" s="64"/>
    </row>
    <row r="909" spans="1:21" s="71" customFormat="1" hidden="1">
      <c r="A909" s="64"/>
      <c r="B909" s="878"/>
      <c r="C909" s="128"/>
      <c r="D909" s="128"/>
      <c r="E909" s="128"/>
      <c r="N909" s="878"/>
      <c r="P909" s="879"/>
      <c r="R909" s="64"/>
      <c r="S909" s="64"/>
      <c r="T909" s="64"/>
      <c r="U909" s="64"/>
    </row>
    <row r="910" spans="1:21" s="71" customFormat="1" hidden="1">
      <c r="A910" s="64"/>
      <c r="B910" s="878"/>
      <c r="C910" s="128"/>
      <c r="D910" s="128"/>
      <c r="E910" s="128"/>
      <c r="N910" s="878"/>
      <c r="P910" s="879"/>
      <c r="R910" s="64"/>
      <c r="S910" s="64"/>
      <c r="T910" s="64"/>
      <c r="U910" s="64"/>
    </row>
    <row r="911" spans="1:21" s="71" customFormat="1" hidden="1">
      <c r="A911" s="64"/>
      <c r="B911" s="878"/>
      <c r="C911" s="128"/>
      <c r="D911" s="128"/>
      <c r="E911" s="128"/>
      <c r="N911" s="878"/>
      <c r="P911" s="879"/>
      <c r="R911" s="64"/>
      <c r="S911" s="64"/>
      <c r="T911" s="64"/>
      <c r="U911" s="64"/>
    </row>
    <row r="912" spans="1:21" s="71" customFormat="1" hidden="1">
      <c r="A912" s="64"/>
      <c r="B912" s="878"/>
      <c r="C912" s="128"/>
      <c r="D912" s="128"/>
      <c r="E912" s="128"/>
      <c r="N912" s="878"/>
      <c r="P912" s="879"/>
      <c r="R912" s="64"/>
      <c r="S912" s="64"/>
      <c r="T912" s="64"/>
      <c r="U912" s="64"/>
    </row>
    <row r="913" spans="1:21" s="71" customFormat="1" hidden="1">
      <c r="A913" s="64"/>
      <c r="B913" s="878"/>
      <c r="C913" s="128"/>
      <c r="D913" s="128"/>
      <c r="E913" s="128"/>
      <c r="N913" s="878"/>
      <c r="P913" s="879"/>
      <c r="R913" s="64"/>
      <c r="S913" s="64"/>
      <c r="T913" s="64"/>
      <c r="U913" s="64"/>
    </row>
    <row r="914" spans="1:21" s="71" customFormat="1" hidden="1">
      <c r="A914" s="64"/>
      <c r="B914" s="878"/>
      <c r="C914" s="128"/>
      <c r="D914" s="128"/>
      <c r="E914" s="128"/>
      <c r="N914" s="878"/>
      <c r="P914" s="879"/>
      <c r="R914" s="64"/>
      <c r="S914" s="64"/>
      <c r="T914" s="64"/>
      <c r="U914" s="64"/>
    </row>
    <row r="915" spans="1:21" s="71" customFormat="1" hidden="1">
      <c r="A915" s="64"/>
      <c r="B915" s="878"/>
      <c r="C915" s="128"/>
      <c r="D915" s="128"/>
      <c r="E915" s="128"/>
      <c r="N915" s="878"/>
      <c r="P915" s="879"/>
      <c r="R915" s="64"/>
      <c r="S915" s="64"/>
      <c r="T915" s="64"/>
      <c r="U915" s="64"/>
    </row>
    <row r="916" spans="1:21" s="71" customFormat="1" hidden="1">
      <c r="A916" s="64"/>
      <c r="B916" s="878"/>
      <c r="C916" s="128"/>
      <c r="D916" s="128"/>
      <c r="E916" s="128"/>
      <c r="N916" s="878"/>
      <c r="P916" s="879"/>
      <c r="R916" s="64"/>
      <c r="S916" s="64"/>
      <c r="T916" s="64"/>
      <c r="U916" s="64"/>
    </row>
    <row r="917" spans="1:21" s="71" customFormat="1" hidden="1">
      <c r="A917" s="64"/>
      <c r="B917" s="878"/>
      <c r="C917" s="128"/>
      <c r="D917" s="128"/>
      <c r="E917" s="128"/>
      <c r="N917" s="878"/>
      <c r="P917" s="879"/>
      <c r="R917" s="64"/>
      <c r="S917" s="64"/>
      <c r="T917" s="64"/>
      <c r="U917" s="64"/>
    </row>
    <row r="918" spans="1:21" s="71" customFormat="1" hidden="1">
      <c r="A918" s="64"/>
      <c r="B918" s="878"/>
      <c r="C918" s="128"/>
      <c r="D918" s="128"/>
      <c r="E918" s="128"/>
      <c r="N918" s="878"/>
      <c r="P918" s="879"/>
      <c r="R918" s="64"/>
      <c r="S918" s="64"/>
      <c r="T918" s="64"/>
      <c r="U918" s="64"/>
    </row>
    <row r="919" spans="1:21" s="71" customFormat="1" hidden="1">
      <c r="A919" s="64"/>
      <c r="B919" s="878"/>
      <c r="C919" s="128"/>
      <c r="D919" s="128"/>
      <c r="E919" s="128"/>
      <c r="N919" s="878"/>
      <c r="P919" s="879"/>
      <c r="R919" s="64"/>
      <c r="S919" s="64"/>
      <c r="T919" s="64"/>
      <c r="U919" s="64"/>
    </row>
    <row r="920" spans="1:21" s="71" customFormat="1" hidden="1">
      <c r="A920" s="64"/>
      <c r="B920" s="878"/>
      <c r="C920" s="128"/>
      <c r="D920" s="128"/>
      <c r="E920" s="128"/>
      <c r="N920" s="878"/>
      <c r="P920" s="879"/>
      <c r="R920" s="64"/>
      <c r="S920" s="64"/>
      <c r="T920" s="64"/>
      <c r="U920" s="64"/>
    </row>
    <row r="921" spans="1:21" s="71" customFormat="1" hidden="1">
      <c r="A921" s="64"/>
      <c r="B921" s="878"/>
      <c r="C921" s="128"/>
      <c r="D921" s="128"/>
      <c r="E921" s="128"/>
      <c r="N921" s="878"/>
      <c r="P921" s="879"/>
      <c r="R921" s="64"/>
      <c r="S921" s="64"/>
      <c r="T921" s="64"/>
      <c r="U921" s="64"/>
    </row>
    <row r="922" spans="1:21" s="71" customFormat="1" hidden="1">
      <c r="A922" s="64"/>
      <c r="B922" s="878"/>
      <c r="C922" s="128"/>
      <c r="D922" s="128"/>
      <c r="E922" s="128"/>
      <c r="N922" s="878"/>
      <c r="P922" s="879"/>
      <c r="R922" s="64"/>
      <c r="S922" s="64"/>
      <c r="T922" s="64"/>
      <c r="U922" s="64"/>
    </row>
    <row r="923" spans="1:21" s="71" customFormat="1" hidden="1">
      <c r="A923" s="64"/>
      <c r="B923" s="878"/>
      <c r="C923" s="128"/>
      <c r="D923" s="128"/>
      <c r="E923" s="128"/>
      <c r="N923" s="878"/>
      <c r="P923" s="879"/>
      <c r="R923" s="64"/>
      <c r="S923" s="64"/>
      <c r="T923" s="64"/>
      <c r="U923" s="64"/>
    </row>
    <row r="924" spans="1:21" s="71" customFormat="1" hidden="1">
      <c r="A924" s="64"/>
      <c r="B924" s="878"/>
      <c r="C924" s="128"/>
      <c r="D924" s="128"/>
      <c r="E924" s="128"/>
      <c r="N924" s="878"/>
      <c r="P924" s="879"/>
      <c r="R924" s="64"/>
      <c r="S924" s="64"/>
      <c r="T924" s="64"/>
      <c r="U924" s="64"/>
    </row>
    <row r="925" spans="1:21" s="71" customFormat="1" hidden="1">
      <c r="A925" s="64"/>
      <c r="B925" s="878"/>
      <c r="C925" s="128"/>
      <c r="D925" s="128"/>
      <c r="E925" s="128"/>
      <c r="N925" s="878"/>
      <c r="P925" s="879"/>
      <c r="R925" s="64"/>
      <c r="S925" s="64"/>
      <c r="T925" s="64"/>
      <c r="U925" s="64"/>
    </row>
    <row r="926" spans="1:21" s="71" customFormat="1" hidden="1">
      <c r="A926" s="64"/>
      <c r="B926" s="878"/>
      <c r="C926" s="128"/>
      <c r="D926" s="128"/>
      <c r="E926" s="128"/>
      <c r="N926" s="878"/>
      <c r="P926" s="879"/>
      <c r="R926" s="64"/>
      <c r="S926" s="64"/>
      <c r="T926" s="64"/>
      <c r="U926" s="64"/>
    </row>
    <row r="927" spans="1:21" s="71" customFormat="1" hidden="1">
      <c r="A927" s="64"/>
      <c r="B927" s="878"/>
      <c r="C927" s="128"/>
      <c r="D927" s="128"/>
      <c r="E927" s="128"/>
      <c r="N927" s="878"/>
      <c r="P927" s="879"/>
      <c r="R927" s="64"/>
      <c r="S927" s="64"/>
      <c r="T927" s="64"/>
      <c r="U927" s="64"/>
    </row>
    <row r="928" spans="1:21" s="71" customFormat="1" hidden="1">
      <c r="A928" s="64"/>
      <c r="B928" s="878"/>
      <c r="C928" s="128"/>
      <c r="D928" s="128"/>
      <c r="E928" s="128"/>
      <c r="N928" s="878"/>
      <c r="P928" s="879"/>
      <c r="R928" s="64"/>
      <c r="S928" s="64"/>
      <c r="T928" s="64"/>
      <c r="U928" s="64"/>
    </row>
    <row r="929" spans="1:21" s="71" customFormat="1" hidden="1">
      <c r="A929" s="64"/>
      <c r="B929" s="878"/>
      <c r="C929" s="128"/>
      <c r="D929" s="128"/>
      <c r="E929" s="128"/>
      <c r="N929" s="878"/>
      <c r="P929" s="879"/>
      <c r="R929" s="64"/>
      <c r="S929" s="64"/>
      <c r="T929" s="64"/>
      <c r="U929" s="64"/>
    </row>
    <row r="930" spans="1:21" s="71" customFormat="1" hidden="1">
      <c r="A930" s="64"/>
      <c r="B930" s="878"/>
      <c r="C930" s="128"/>
      <c r="D930" s="128"/>
      <c r="E930" s="128"/>
      <c r="N930" s="878"/>
      <c r="P930" s="879"/>
      <c r="R930" s="64"/>
      <c r="S930" s="64"/>
      <c r="T930" s="64"/>
      <c r="U930" s="64"/>
    </row>
    <row r="931" spans="1:21" s="71" customFormat="1" hidden="1">
      <c r="A931" s="64"/>
      <c r="B931" s="878"/>
      <c r="C931" s="128"/>
      <c r="D931" s="128"/>
      <c r="E931" s="128"/>
      <c r="N931" s="878"/>
      <c r="P931" s="879"/>
      <c r="R931" s="64"/>
      <c r="S931" s="64"/>
      <c r="T931" s="64"/>
      <c r="U931" s="64"/>
    </row>
    <row r="932" spans="1:21" s="71" customFormat="1" hidden="1">
      <c r="A932" s="64"/>
      <c r="B932" s="878"/>
      <c r="C932" s="128"/>
      <c r="D932" s="128"/>
      <c r="E932" s="128"/>
      <c r="N932" s="878"/>
      <c r="P932" s="879"/>
      <c r="R932" s="64"/>
      <c r="S932" s="64"/>
      <c r="T932" s="64"/>
      <c r="U932" s="64"/>
    </row>
    <row r="933" spans="1:21" s="71" customFormat="1" hidden="1">
      <c r="A933" s="64"/>
      <c r="B933" s="878"/>
      <c r="C933" s="128"/>
      <c r="D933" s="128"/>
      <c r="E933" s="128"/>
      <c r="N933" s="878"/>
      <c r="P933" s="879"/>
      <c r="R933" s="64"/>
      <c r="S933" s="64"/>
      <c r="T933" s="64"/>
      <c r="U933" s="64"/>
    </row>
    <row r="934" spans="1:21" s="71" customFormat="1" hidden="1">
      <c r="A934" s="64"/>
      <c r="B934" s="878"/>
      <c r="C934" s="128"/>
      <c r="D934" s="128"/>
      <c r="E934" s="128"/>
      <c r="N934" s="878"/>
      <c r="P934" s="879"/>
      <c r="R934" s="64"/>
      <c r="S934" s="64"/>
      <c r="T934" s="64"/>
      <c r="U934" s="64"/>
    </row>
    <row r="935" spans="1:21" s="71" customFormat="1" hidden="1">
      <c r="A935" s="64"/>
      <c r="B935" s="878"/>
      <c r="C935" s="128"/>
      <c r="D935" s="128"/>
      <c r="E935" s="128"/>
      <c r="N935" s="878"/>
      <c r="P935" s="879"/>
      <c r="R935" s="64"/>
      <c r="S935" s="64"/>
      <c r="T935" s="64"/>
      <c r="U935" s="64"/>
    </row>
    <row r="936" spans="1:21" s="71" customFormat="1" hidden="1">
      <c r="A936" s="64"/>
      <c r="B936" s="878"/>
      <c r="C936" s="128"/>
      <c r="D936" s="128"/>
      <c r="E936" s="128"/>
      <c r="N936" s="878"/>
      <c r="P936" s="879"/>
      <c r="R936" s="64"/>
      <c r="S936" s="64"/>
      <c r="T936" s="64"/>
      <c r="U936" s="64"/>
    </row>
    <row r="937" spans="1:21" s="71" customFormat="1" hidden="1">
      <c r="A937" s="64"/>
      <c r="B937" s="878"/>
      <c r="C937" s="128"/>
      <c r="D937" s="128"/>
      <c r="E937" s="128"/>
      <c r="N937" s="878"/>
      <c r="P937" s="879"/>
      <c r="R937" s="64"/>
      <c r="S937" s="64"/>
      <c r="T937" s="64"/>
      <c r="U937" s="64"/>
    </row>
    <row r="938" spans="1:21" s="71" customFormat="1" hidden="1">
      <c r="A938" s="64"/>
      <c r="B938" s="878"/>
      <c r="C938" s="128"/>
      <c r="D938" s="128"/>
      <c r="E938" s="128"/>
      <c r="N938" s="878"/>
      <c r="P938" s="879"/>
      <c r="R938" s="64"/>
      <c r="S938" s="64"/>
      <c r="T938" s="64"/>
      <c r="U938" s="64"/>
    </row>
    <row r="939" spans="1:21" s="71" customFormat="1" hidden="1">
      <c r="A939" s="64"/>
      <c r="B939" s="878"/>
      <c r="C939" s="128"/>
      <c r="D939" s="128"/>
      <c r="E939" s="128"/>
      <c r="N939" s="878"/>
      <c r="P939" s="879"/>
      <c r="R939" s="64"/>
      <c r="S939" s="64"/>
      <c r="T939" s="64"/>
      <c r="U939" s="64"/>
    </row>
    <row r="940" spans="1:21" s="71" customFormat="1" hidden="1">
      <c r="A940" s="64"/>
      <c r="B940" s="878"/>
      <c r="C940" s="128"/>
      <c r="D940" s="128"/>
      <c r="E940" s="128"/>
      <c r="N940" s="878"/>
      <c r="P940" s="879"/>
      <c r="R940" s="64"/>
      <c r="S940" s="64"/>
      <c r="T940" s="64"/>
      <c r="U940" s="64"/>
    </row>
    <row r="941" spans="1:21" s="71" customFormat="1" hidden="1">
      <c r="A941" s="64"/>
      <c r="B941" s="878"/>
      <c r="C941" s="128"/>
      <c r="D941" s="128"/>
      <c r="E941" s="128"/>
      <c r="N941" s="878"/>
      <c r="P941" s="879"/>
      <c r="R941" s="64"/>
      <c r="S941" s="64"/>
      <c r="T941" s="64"/>
      <c r="U941" s="64"/>
    </row>
    <row r="942" spans="1:21" s="71" customFormat="1" hidden="1">
      <c r="A942" s="64"/>
      <c r="B942" s="878"/>
      <c r="C942" s="128"/>
      <c r="D942" s="128"/>
      <c r="E942" s="128"/>
      <c r="N942" s="878"/>
      <c r="P942" s="879"/>
      <c r="R942" s="64"/>
      <c r="S942" s="64"/>
      <c r="T942" s="64"/>
      <c r="U942" s="64"/>
    </row>
    <row r="943" spans="1:21" s="71" customFormat="1" hidden="1">
      <c r="A943" s="64"/>
      <c r="B943" s="878"/>
      <c r="C943" s="128"/>
      <c r="D943" s="128"/>
      <c r="E943" s="128"/>
      <c r="N943" s="878"/>
      <c r="P943" s="879"/>
      <c r="R943" s="64"/>
      <c r="S943" s="64"/>
      <c r="T943" s="64"/>
      <c r="U943" s="64"/>
    </row>
    <row r="944" spans="1:21" s="71" customFormat="1" hidden="1">
      <c r="A944" s="64"/>
      <c r="B944" s="878"/>
      <c r="C944" s="128"/>
      <c r="D944" s="128"/>
      <c r="E944" s="128"/>
      <c r="N944" s="878"/>
      <c r="P944" s="879"/>
      <c r="R944" s="64"/>
      <c r="S944" s="64"/>
      <c r="T944" s="64"/>
      <c r="U944" s="64"/>
    </row>
    <row r="945" spans="1:21" s="71" customFormat="1" hidden="1">
      <c r="A945" s="64"/>
      <c r="B945" s="878"/>
      <c r="C945" s="128"/>
      <c r="D945" s="128"/>
      <c r="E945" s="128"/>
      <c r="N945" s="878"/>
      <c r="P945" s="879"/>
      <c r="R945" s="64"/>
      <c r="S945" s="64"/>
      <c r="T945" s="64"/>
      <c r="U945" s="64"/>
    </row>
    <row r="946" spans="1:21" s="71" customFormat="1" hidden="1">
      <c r="A946" s="64"/>
      <c r="B946" s="878"/>
      <c r="C946" s="128"/>
      <c r="D946" s="128"/>
      <c r="E946" s="128"/>
      <c r="N946" s="878"/>
      <c r="P946" s="879"/>
      <c r="R946" s="64"/>
      <c r="S946" s="64"/>
      <c r="T946" s="64"/>
      <c r="U946" s="64"/>
    </row>
    <row r="947" spans="1:21" s="71" customFormat="1" hidden="1">
      <c r="A947" s="64"/>
      <c r="B947" s="878"/>
      <c r="C947" s="128"/>
      <c r="D947" s="128"/>
      <c r="E947" s="128"/>
      <c r="N947" s="878"/>
      <c r="P947" s="879"/>
      <c r="R947" s="64"/>
      <c r="S947" s="64"/>
      <c r="T947" s="64"/>
      <c r="U947" s="64"/>
    </row>
    <row r="948" spans="1:21" s="71" customFormat="1" hidden="1">
      <c r="A948" s="64"/>
      <c r="B948" s="878"/>
      <c r="C948" s="128"/>
      <c r="D948" s="128"/>
      <c r="E948" s="128"/>
      <c r="N948" s="878"/>
      <c r="P948" s="879"/>
      <c r="R948" s="64"/>
      <c r="S948" s="64"/>
      <c r="T948" s="64"/>
      <c r="U948" s="64"/>
    </row>
    <row r="949" spans="1:21" s="71" customFormat="1" hidden="1">
      <c r="A949" s="64"/>
      <c r="B949" s="878"/>
      <c r="C949" s="128"/>
      <c r="D949" s="128"/>
      <c r="E949" s="128"/>
      <c r="N949" s="878"/>
      <c r="P949" s="879"/>
      <c r="R949" s="64"/>
      <c r="S949" s="64"/>
      <c r="T949" s="64"/>
      <c r="U949" s="64"/>
    </row>
    <row r="950" spans="1:21" s="71" customFormat="1" hidden="1">
      <c r="A950" s="64"/>
      <c r="B950" s="878"/>
      <c r="C950" s="128"/>
      <c r="D950" s="128"/>
      <c r="E950" s="128"/>
      <c r="N950" s="878"/>
      <c r="P950" s="879"/>
      <c r="R950" s="64"/>
      <c r="S950" s="64"/>
      <c r="T950" s="64"/>
      <c r="U950" s="64"/>
    </row>
    <row r="951" spans="1:21" s="71" customFormat="1" hidden="1">
      <c r="A951" s="64"/>
      <c r="B951" s="878"/>
      <c r="C951" s="128"/>
      <c r="D951" s="128"/>
      <c r="E951" s="128"/>
      <c r="N951" s="878"/>
      <c r="P951" s="879"/>
      <c r="R951" s="64"/>
      <c r="S951" s="64"/>
      <c r="T951" s="64"/>
      <c r="U951" s="64"/>
    </row>
    <row r="952" spans="1:21" s="71" customFormat="1" hidden="1">
      <c r="A952" s="64"/>
      <c r="B952" s="878"/>
      <c r="C952" s="128"/>
      <c r="D952" s="128"/>
      <c r="E952" s="128"/>
      <c r="N952" s="878"/>
      <c r="P952" s="879"/>
      <c r="R952" s="64"/>
      <c r="S952" s="64"/>
      <c r="T952" s="64"/>
      <c r="U952" s="64"/>
    </row>
    <row r="953" spans="1:21" s="71" customFormat="1" hidden="1">
      <c r="A953" s="64"/>
      <c r="B953" s="878"/>
      <c r="C953" s="128"/>
      <c r="D953" s="128"/>
      <c r="E953" s="128"/>
      <c r="N953" s="878"/>
      <c r="P953" s="879"/>
      <c r="R953" s="64"/>
      <c r="S953" s="64"/>
      <c r="T953" s="64"/>
      <c r="U953" s="64"/>
    </row>
    <row r="954" spans="1:21" s="71" customFormat="1" hidden="1">
      <c r="A954" s="64"/>
      <c r="B954" s="878"/>
      <c r="C954" s="128"/>
      <c r="D954" s="128"/>
      <c r="E954" s="128"/>
      <c r="N954" s="878"/>
      <c r="P954" s="879"/>
      <c r="R954" s="64"/>
      <c r="S954" s="64"/>
      <c r="T954" s="64"/>
      <c r="U954" s="64"/>
    </row>
    <row r="955" spans="1:21" s="71" customFormat="1" hidden="1">
      <c r="A955" s="64"/>
      <c r="B955" s="878"/>
      <c r="C955" s="128"/>
      <c r="D955" s="128"/>
      <c r="E955" s="128"/>
      <c r="N955" s="878"/>
      <c r="P955" s="879"/>
      <c r="R955" s="64"/>
      <c r="S955" s="64"/>
      <c r="T955" s="64"/>
      <c r="U955" s="64"/>
    </row>
    <row r="956" spans="1:21" s="71" customFormat="1" hidden="1">
      <c r="A956" s="64"/>
      <c r="B956" s="878"/>
      <c r="C956" s="128"/>
      <c r="D956" s="128"/>
      <c r="E956" s="128"/>
      <c r="N956" s="878"/>
      <c r="P956" s="879"/>
      <c r="R956" s="64"/>
      <c r="S956" s="64"/>
      <c r="T956" s="64"/>
      <c r="U956" s="64"/>
    </row>
    <row r="957" spans="1:21" s="71" customFormat="1" hidden="1">
      <c r="A957" s="64"/>
      <c r="B957" s="878"/>
      <c r="C957" s="128"/>
      <c r="D957" s="128"/>
      <c r="E957" s="128"/>
      <c r="N957" s="878"/>
      <c r="P957" s="879"/>
      <c r="R957" s="64"/>
      <c r="S957" s="64"/>
      <c r="T957" s="64"/>
      <c r="U957" s="64"/>
    </row>
    <row r="958" spans="1:21" s="71" customFormat="1" hidden="1">
      <c r="A958" s="64"/>
      <c r="B958" s="878"/>
      <c r="C958" s="128"/>
      <c r="D958" s="128"/>
      <c r="E958" s="128"/>
      <c r="N958" s="878"/>
      <c r="P958" s="879"/>
      <c r="R958" s="64"/>
      <c r="S958" s="64"/>
      <c r="T958" s="64"/>
      <c r="U958" s="64"/>
    </row>
    <row r="959" spans="1:21" s="71" customFormat="1" hidden="1">
      <c r="A959" s="64"/>
      <c r="B959" s="878"/>
      <c r="C959" s="128"/>
      <c r="D959" s="128"/>
      <c r="E959" s="128"/>
      <c r="N959" s="878"/>
      <c r="P959" s="879"/>
      <c r="R959" s="64"/>
      <c r="S959" s="64"/>
      <c r="T959" s="64"/>
      <c r="U959" s="64"/>
    </row>
    <row r="960" spans="1:21" s="71" customFormat="1" hidden="1">
      <c r="A960" s="64"/>
      <c r="B960" s="878"/>
      <c r="C960" s="128"/>
      <c r="D960" s="128"/>
      <c r="E960" s="128"/>
      <c r="N960" s="878"/>
      <c r="P960" s="879"/>
      <c r="R960" s="64"/>
      <c r="S960" s="64"/>
      <c r="T960" s="64"/>
      <c r="U960" s="64"/>
    </row>
    <row r="961" spans="1:21" s="71" customFormat="1" hidden="1">
      <c r="A961" s="64"/>
      <c r="B961" s="878"/>
      <c r="C961" s="128"/>
      <c r="D961" s="128"/>
      <c r="E961" s="128"/>
      <c r="N961" s="878"/>
      <c r="P961" s="879"/>
      <c r="R961" s="64"/>
      <c r="S961" s="64"/>
      <c r="T961" s="64"/>
      <c r="U961" s="64"/>
    </row>
    <row r="962" spans="1:21" s="71" customFormat="1" hidden="1">
      <c r="A962" s="64"/>
      <c r="B962" s="878"/>
      <c r="C962" s="128"/>
      <c r="D962" s="128"/>
      <c r="E962" s="128"/>
      <c r="N962" s="878"/>
      <c r="P962" s="879"/>
      <c r="R962" s="64"/>
      <c r="S962" s="64"/>
      <c r="T962" s="64"/>
      <c r="U962" s="64"/>
    </row>
    <row r="963" spans="1:21" s="71" customFormat="1" hidden="1">
      <c r="A963" s="64"/>
      <c r="B963" s="878"/>
      <c r="C963" s="128"/>
      <c r="D963" s="128"/>
      <c r="E963" s="128"/>
      <c r="N963" s="878"/>
      <c r="P963" s="879"/>
      <c r="R963" s="64"/>
      <c r="S963" s="64"/>
      <c r="T963" s="64"/>
      <c r="U963" s="64"/>
    </row>
    <row r="964" spans="1:21" s="71" customFormat="1" hidden="1">
      <c r="A964" s="64"/>
      <c r="B964" s="878"/>
      <c r="C964" s="128"/>
      <c r="D964" s="128"/>
      <c r="E964" s="128"/>
      <c r="N964" s="878"/>
      <c r="P964" s="879"/>
      <c r="R964" s="64"/>
      <c r="S964" s="64"/>
      <c r="T964" s="64"/>
      <c r="U964" s="64"/>
    </row>
    <row r="965" spans="1:21" s="71" customFormat="1" hidden="1">
      <c r="A965" s="64"/>
      <c r="B965" s="878"/>
      <c r="C965" s="128"/>
      <c r="D965" s="128"/>
      <c r="E965" s="128"/>
      <c r="N965" s="878"/>
      <c r="P965" s="879"/>
      <c r="R965" s="64"/>
      <c r="S965" s="64"/>
      <c r="T965" s="64"/>
      <c r="U965" s="64"/>
    </row>
    <row r="966" spans="1:21" s="71" customFormat="1" hidden="1">
      <c r="A966" s="64"/>
      <c r="B966" s="878"/>
      <c r="C966" s="128"/>
      <c r="D966" s="128"/>
      <c r="E966" s="128"/>
      <c r="N966" s="878"/>
      <c r="P966" s="879"/>
      <c r="R966" s="64"/>
      <c r="S966" s="64"/>
      <c r="T966" s="64"/>
      <c r="U966" s="64"/>
    </row>
    <row r="967" spans="1:21" s="71" customFormat="1" hidden="1">
      <c r="A967" s="64"/>
      <c r="B967" s="878"/>
      <c r="C967" s="128"/>
      <c r="D967" s="128"/>
      <c r="E967" s="128"/>
      <c r="N967" s="878"/>
      <c r="P967" s="879"/>
      <c r="R967" s="64"/>
      <c r="S967" s="64"/>
      <c r="T967" s="64"/>
      <c r="U967" s="64"/>
    </row>
    <row r="968" spans="1:21" s="71" customFormat="1" hidden="1">
      <c r="A968" s="64"/>
      <c r="B968" s="878"/>
      <c r="C968" s="128"/>
      <c r="D968" s="128"/>
      <c r="E968" s="128"/>
      <c r="N968" s="878"/>
      <c r="P968" s="879"/>
      <c r="R968" s="64"/>
      <c r="S968" s="64"/>
      <c r="T968" s="64"/>
      <c r="U968" s="64"/>
    </row>
    <row r="969" spans="1:21" s="71" customFormat="1" hidden="1">
      <c r="A969" s="64"/>
      <c r="B969" s="878"/>
      <c r="C969" s="128"/>
      <c r="D969" s="128"/>
      <c r="E969" s="128"/>
      <c r="N969" s="878"/>
      <c r="P969" s="879"/>
      <c r="R969" s="64"/>
      <c r="S969" s="64"/>
      <c r="T969" s="64"/>
      <c r="U969" s="64"/>
    </row>
    <row r="970" spans="1:21" s="71" customFormat="1" hidden="1">
      <c r="A970" s="64"/>
      <c r="B970" s="878"/>
      <c r="C970" s="128"/>
      <c r="D970" s="128"/>
      <c r="E970" s="128"/>
      <c r="N970" s="878"/>
      <c r="P970" s="879"/>
      <c r="R970" s="64"/>
      <c r="S970" s="64"/>
      <c r="T970" s="64"/>
      <c r="U970" s="64"/>
    </row>
    <row r="971" spans="1:21" s="71" customFormat="1" hidden="1">
      <c r="A971" s="64"/>
      <c r="B971" s="878"/>
      <c r="C971" s="128"/>
      <c r="D971" s="128"/>
      <c r="E971" s="128"/>
      <c r="N971" s="878"/>
      <c r="P971" s="879"/>
      <c r="R971" s="64"/>
      <c r="S971" s="64"/>
      <c r="T971" s="64"/>
      <c r="U971" s="64"/>
    </row>
    <row r="972" spans="1:21" s="71" customFormat="1" hidden="1">
      <c r="A972" s="64"/>
      <c r="B972" s="878"/>
      <c r="C972" s="128"/>
      <c r="D972" s="128"/>
      <c r="E972" s="128"/>
      <c r="N972" s="878"/>
      <c r="P972" s="879"/>
      <c r="R972" s="64"/>
      <c r="S972" s="64"/>
      <c r="T972" s="64"/>
      <c r="U972" s="64"/>
    </row>
    <row r="973" spans="1:21" s="71" customFormat="1" hidden="1">
      <c r="A973" s="64"/>
      <c r="B973" s="878"/>
      <c r="C973" s="128"/>
      <c r="D973" s="128"/>
      <c r="E973" s="128"/>
      <c r="N973" s="878"/>
      <c r="P973" s="879"/>
      <c r="R973" s="64"/>
      <c r="S973" s="64"/>
      <c r="T973" s="64"/>
      <c r="U973" s="64"/>
    </row>
    <row r="974" spans="1:21" s="71" customFormat="1" hidden="1">
      <c r="A974" s="64"/>
      <c r="B974" s="878"/>
      <c r="C974" s="128"/>
      <c r="D974" s="128"/>
      <c r="E974" s="128"/>
      <c r="N974" s="878"/>
      <c r="P974" s="879"/>
      <c r="R974" s="64"/>
      <c r="S974" s="64"/>
      <c r="T974" s="64"/>
      <c r="U974" s="64"/>
    </row>
    <row r="975" spans="1:21" s="71" customFormat="1" hidden="1">
      <c r="A975" s="64"/>
      <c r="B975" s="878"/>
      <c r="C975" s="128"/>
      <c r="D975" s="128"/>
      <c r="E975" s="128"/>
      <c r="N975" s="878"/>
      <c r="P975" s="879"/>
      <c r="R975" s="64"/>
      <c r="S975" s="64"/>
      <c r="T975" s="64"/>
      <c r="U975" s="64"/>
    </row>
    <row r="976" spans="1:21" s="71" customFormat="1" hidden="1">
      <c r="A976" s="64"/>
      <c r="B976" s="878"/>
      <c r="C976" s="128"/>
      <c r="D976" s="128"/>
      <c r="E976" s="128"/>
      <c r="N976" s="878"/>
      <c r="P976" s="879"/>
      <c r="R976" s="64"/>
      <c r="S976" s="64"/>
      <c r="T976" s="64"/>
      <c r="U976" s="64"/>
    </row>
    <row r="977" spans="1:21" s="71" customFormat="1" hidden="1">
      <c r="A977" s="64"/>
      <c r="B977" s="878"/>
      <c r="C977" s="128"/>
      <c r="D977" s="128"/>
      <c r="E977" s="128"/>
      <c r="N977" s="878"/>
      <c r="P977" s="879"/>
      <c r="R977" s="64"/>
      <c r="S977" s="64"/>
      <c r="T977" s="64"/>
      <c r="U977" s="64"/>
    </row>
    <row r="978" spans="1:21" s="71" customFormat="1" hidden="1">
      <c r="A978" s="64"/>
      <c r="B978" s="878"/>
      <c r="C978" s="128"/>
      <c r="D978" s="128"/>
      <c r="E978" s="128"/>
      <c r="N978" s="878"/>
      <c r="P978" s="879"/>
      <c r="R978" s="64"/>
      <c r="S978" s="64"/>
      <c r="T978" s="64"/>
      <c r="U978" s="64"/>
    </row>
    <row r="979" spans="1:21" s="71" customFormat="1" hidden="1">
      <c r="A979" s="64"/>
      <c r="B979" s="878"/>
      <c r="C979" s="128"/>
      <c r="D979" s="128"/>
      <c r="E979" s="128"/>
      <c r="N979" s="878"/>
      <c r="P979" s="879"/>
      <c r="R979" s="64"/>
      <c r="S979" s="64"/>
      <c r="T979" s="64"/>
      <c r="U979" s="64"/>
    </row>
    <row r="980" spans="1:21" s="71" customFormat="1" hidden="1">
      <c r="A980" s="64"/>
      <c r="B980" s="878"/>
      <c r="C980" s="128"/>
      <c r="D980" s="128"/>
      <c r="E980" s="128"/>
      <c r="N980" s="878"/>
      <c r="P980" s="879"/>
      <c r="R980" s="64"/>
      <c r="S980" s="64"/>
      <c r="T980" s="64"/>
      <c r="U980" s="64"/>
    </row>
    <row r="981" spans="1:21" s="71" customFormat="1" hidden="1">
      <c r="A981" s="64"/>
      <c r="B981" s="878"/>
      <c r="C981" s="128"/>
      <c r="D981" s="128"/>
      <c r="E981" s="128"/>
      <c r="N981" s="878"/>
      <c r="P981" s="879"/>
      <c r="R981" s="64"/>
      <c r="S981" s="64"/>
      <c r="T981" s="64"/>
      <c r="U981" s="64"/>
    </row>
    <row r="982" spans="1:21" s="71" customFormat="1" hidden="1">
      <c r="A982" s="64"/>
      <c r="B982" s="878"/>
      <c r="C982" s="128"/>
      <c r="D982" s="128"/>
      <c r="E982" s="128"/>
      <c r="N982" s="878"/>
      <c r="P982" s="879"/>
      <c r="R982" s="64"/>
      <c r="S982" s="64"/>
      <c r="T982" s="64"/>
      <c r="U982" s="64"/>
    </row>
    <row r="983" spans="1:21" s="71" customFormat="1" hidden="1">
      <c r="A983" s="64"/>
      <c r="B983" s="878"/>
      <c r="C983" s="128"/>
      <c r="D983" s="128"/>
      <c r="E983" s="128"/>
      <c r="N983" s="878"/>
      <c r="P983" s="879"/>
      <c r="R983" s="64"/>
      <c r="S983" s="64"/>
      <c r="T983" s="64"/>
      <c r="U983" s="64"/>
    </row>
    <row r="984" spans="1:21" s="71" customFormat="1" hidden="1">
      <c r="A984" s="64"/>
      <c r="B984" s="878"/>
      <c r="C984" s="128"/>
      <c r="D984" s="128"/>
      <c r="E984" s="128"/>
      <c r="N984" s="878"/>
      <c r="P984" s="879"/>
      <c r="R984" s="64"/>
      <c r="S984" s="64"/>
      <c r="T984" s="64"/>
      <c r="U984" s="64"/>
    </row>
    <row r="985" spans="1:21" s="71" customFormat="1" hidden="1">
      <c r="A985" s="64"/>
      <c r="B985" s="878"/>
      <c r="C985" s="128"/>
      <c r="D985" s="128"/>
      <c r="E985" s="128"/>
      <c r="N985" s="878"/>
      <c r="P985" s="879"/>
      <c r="R985" s="64"/>
      <c r="S985" s="64"/>
      <c r="T985" s="64"/>
      <c r="U985" s="64"/>
    </row>
    <row r="986" spans="1:21" s="71" customFormat="1" hidden="1">
      <c r="A986" s="64"/>
      <c r="B986" s="878"/>
      <c r="C986" s="128"/>
      <c r="D986" s="128"/>
      <c r="E986" s="128"/>
      <c r="N986" s="878"/>
      <c r="P986" s="879"/>
      <c r="R986" s="64"/>
      <c r="S986" s="64"/>
      <c r="T986" s="64"/>
      <c r="U986" s="64"/>
    </row>
    <row r="987" spans="1:21" s="71" customFormat="1" hidden="1">
      <c r="A987" s="64"/>
      <c r="B987" s="878"/>
      <c r="C987" s="128"/>
      <c r="D987" s="128"/>
      <c r="E987" s="128"/>
      <c r="N987" s="878"/>
      <c r="P987" s="879"/>
      <c r="R987" s="64"/>
      <c r="S987" s="64"/>
      <c r="T987" s="64"/>
      <c r="U987" s="64"/>
    </row>
    <row r="988" spans="1:21" s="71" customFormat="1" hidden="1">
      <c r="A988" s="64"/>
      <c r="B988" s="878"/>
      <c r="C988" s="128"/>
      <c r="D988" s="128"/>
      <c r="E988" s="128"/>
      <c r="N988" s="878"/>
      <c r="P988" s="879"/>
      <c r="R988" s="64"/>
      <c r="S988" s="64"/>
      <c r="T988" s="64"/>
      <c r="U988" s="64"/>
    </row>
    <row r="989" spans="1:21" s="71" customFormat="1" hidden="1">
      <c r="A989" s="64"/>
      <c r="B989" s="878"/>
      <c r="C989" s="128"/>
      <c r="D989" s="128"/>
      <c r="E989" s="128"/>
      <c r="N989" s="878"/>
      <c r="P989" s="879"/>
      <c r="R989" s="64"/>
      <c r="S989" s="64"/>
      <c r="T989" s="64"/>
      <c r="U989" s="64"/>
    </row>
    <row r="990" spans="1:21" s="71" customFormat="1" hidden="1">
      <c r="A990" s="64"/>
      <c r="B990" s="878"/>
      <c r="C990" s="128"/>
      <c r="D990" s="128"/>
      <c r="E990" s="128"/>
      <c r="N990" s="878"/>
      <c r="P990" s="879"/>
      <c r="R990" s="64"/>
      <c r="S990" s="64"/>
      <c r="T990" s="64"/>
      <c r="U990" s="64"/>
    </row>
    <row r="991" spans="1:21" s="71" customFormat="1" hidden="1">
      <c r="A991" s="64"/>
      <c r="B991" s="878"/>
      <c r="C991" s="128"/>
      <c r="D991" s="128"/>
      <c r="E991" s="128"/>
      <c r="N991" s="878"/>
      <c r="P991" s="879"/>
      <c r="R991" s="64"/>
      <c r="S991" s="64"/>
      <c r="T991" s="64"/>
      <c r="U991" s="64"/>
    </row>
    <row r="992" spans="1:21" s="71" customFormat="1" hidden="1">
      <c r="A992" s="64"/>
      <c r="B992" s="878"/>
      <c r="C992" s="128"/>
      <c r="D992" s="128"/>
      <c r="E992" s="128"/>
      <c r="N992" s="878"/>
      <c r="P992" s="879"/>
      <c r="R992" s="64"/>
      <c r="S992" s="64"/>
      <c r="T992" s="64"/>
      <c r="U992" s="64"/>
    </row>
    <row r="993" spans="1:21" s="71" customFormat="1" hidden="1">
      <c r="A993" s="64"/>
      <c r="B993" s="878"/>
      <c r="C993" s="128"/>
      <c r="D993" s="128"/>
      <c r="E993" s="128"/>
      <c r="N993" s="878"/>
      <c r="P993" s="879"/>
      <c r="R993" s="64"/>
      <c r="S993" s="64"/>
      <c r="T993" s="64"/>
      <c r="U993" s="64"/>
    </row>
    <row r="994" spans="1:21" s="71" customFormat="1" hidden="1">
      <c r="A994" s="64"/>
      <c r="B994" s="878"/>
      <c r="C994" s="128"/>
      <c r="D994" s="128"/>
      <c r="E994" s="128"/>
      <c r="N994" s="878"/>
      <c r="P994" s="879"/>
      <c r="R994" s="64"/>
      <c r="S994" s="64"/>
      <c r="T994" s="64"/>
      <c r="U994" s="64"/>
    </row>
    <row r="995" spans="1:21" s="71" customFormat="1" hidden="1">
      <c r="A995" s="64"/>
      <c r="B995" s="878"/>
      <c r="C995" s="128"/>
      <c r="D995" s="128"/>
      <c r="E995" s="128"/>
      <c r="N995" s="878"/>
      <c r="P995" s="879"/>
      <c r="R995" s="64"/>
      <c r="S995" s="64"/>
      <c r="T995" s="64"/>
      <c r="U995" s="64"/>
    </row>
    <row r="996" spans="1:21" s="71" customFormat="1" hidden="1">
      <c r="A996" s="64"/>
      <c r="B996" s="878"/>
      <c r="C996" s="128"/>
      <c r="D996" s="128"/>
      <c r="E996" s="128"/>
      <c r="N996" s="878"/>
      <c r="P996" s="879"/>
      <c r="R996" s="64"/>
      <c r="S996" s="64"/>
      <c r="T996" s="64"/>
      <c r="U996" s="64"/>
    </row>
    <row r="997" spans="1:21" s="71" customFormat="1" hidden="1">
      <c r="A997" s="64"/>
      <c r="B997" s="878"/>
      <c r="C997" s="128"/>
      <c r="D997" s="128"/>
      <c r="E997" s="128"/>
      <c r="N997" s="878"/>
      <c r="P997" s="879"/>
      <c r="R997" s="64"/>
      <c r="S997" s="64"/>
      <c r="T997" s="64"/>
      <c r="U997" s="64"/>
    </row>
    <row r="998" spans="1:21" s="71" customFormat="1" hidden="1">
      <c r="A998" s="64"/>
      <c r="B998" s="878"/>
      <c r="C998" s="128"/>
      <c r="D998" s="128"/>
      <c r="E998" s="128"/>
      <c r="N998" s="878"/>
      <c r="P998" s="879"/>
      <c r="R998" s="64"/>
      <c r="S998" s="64"/>
      <c r="T998" s="64"/>
      <c r="U998" s="64"/>
    </row>
    <row r="999" spans="1:21" s="71" customFormat="1" hidden="1">
      <c r="A999" s="64"/>
      <c r="B999" s="878"/>
      <c r="C999" s="128"/>
      <c r="D999" s="128"/>
      <c r="E999" s="128"/>
      <c r="N999" s="878"/>
      <c r="P999" s="879"/>
      <c r="R999" s="64"/>
      <c r="S999" s="64"/>
      <c r="T999" s="64"/>
      <c r="U999" s="64"/>
    </row>
    <row r="1000" spans="1:21" s="71" customFormat="1" hidden="1">
      <c r="A1000" s="64"/>
      <c r="B1000" s="878"/>
      <c r="C1000" s="128"/>
      <c r="D1000" s="128"/>
      <c r="E1000" s="128"/>
      <c r="N1000" s="878"/>
      <c r="P1000" s="879"/>
      <c r="R1000" s="64"/>
      <c r="S1000" s="64"/>
      <c r="T1000" s="64"/>
      <c r="U1000" s="64"/>
    </row>
    <row r="1001" spans="1:21" s="71" customFormat="1" hidden="1">
      <c r="A1001" s="64"/>
      <c r="B1001" s="878"/>
      <c r="C1001" s="128"/>
      <c r="D1001" s="128"/>
      <c r="E1001" s="128"/>
      <c r="N1001" s="878"/>
      <c r="P1001" s="879"/>
      <c r="R1001" s="64"/>
      <c r="S1001" s="64"/>
      <c r="T1001" s="64"/>
      <c r="U1001" s="64"/>
    </row>
    <row r="1002" spans="1:21" s="71" customFormat="1" hidden="1">
      <c r="A1002" s="64"/>
      <c r="B1002" s="878"/>
      <c r="C1002" s="128"/>
      <c r="D1002" s="128"/>
      <c r="E1002" s="128"/>
      <c r="N1002" s="878"/>
      <c r="P1002" s="879"/>
      <c r="R1002" s="64"/>
      <c r="S1002" s="64"/>
      <c r="T1002" s="64"/>
      <c r="U1002" s="64"/>
    </row>
    <row r="1003" spans="1:21" s="71" customFormat="1" hidden="1">
      <c r="A1003" s="64"/>
      <c r="B1003" s="878"/>
      <c r="C1003" s="128"/>
      <c r="D1003" s="128"/>
      <c r="E1003" s="128"/>
      <c r="N1003" s="878"/>
      <c r="P1003" s="879"/>
      <c r="R1003" s="64"/>
      <c r="S1003" s="64"/>
      <c r="T1003" s="64"/>
      <c r="U1003" s="64"/>
    </row>
    <row r="1004" spans="1:21" s="71" customFormat="1" hidden="1">
      <c r="A1004" s="64"/>
      <c r="B1004" s="878"/>
      <c r="C1004" s="128"/>
      <c r="D1004" s="128"/>
      <c r="E1004" s="128"/>
      <c r="N1004" s="878"/>
      <c r="P1004" s="879"/>
      <c r="R1004" s="64"/>
      <c r="S1004" s="64"/>
      <c r="T1004" s="64"/>
      <c r="U1004" s="64"/>
    </row>
    <row r="1005" spans="1:21" s="71" customFormat="1" hidden="1">
      <c r="A1005" s="64"/>
      <c r="B1005" s="878"/>
      <c r="C1005" s="128"/>
      <c r="D1005" s="128"/>
      <c r="E1005" s="128"/>
      <c r="N1005" s="878"/>
      <c r="P1005" s="879"/>
      <c r="R1005" s="64"/>
      <c r="S1005" s="64"/>
      <c r="T1005" s="64"/>
      <c r="U1005" s="64"/>
    </row>
    <row r="1006" spans="1:21" s="71" customFormat="1" hidden="1">
      <c r="A1006" s="64"/>
      <c r="B1006" s="878"/>
      <c r="C1006" s="128"/>
      <c r="D1006" s="128"/>
      <c r="E1006" s="128"/>
      <c r="N1006" s="878"/>
      <c r="P1006" s="879"/>
      <c r="R1006" s="64"/>
      <c r="S1006" s="64"/>
      <c r="T1006" s="64"/>
      <c r="U1006" s="64"/>
    </row>
    <row r="1007" spans="1:21" s="71" customFormat="1" hidden="1">
      <c r="A1007" s="64"/>
      <c r="B1007" s="878"/>
      <c r="C1007" s="128"/>
      <c r="D1007" s="128"/>
      <c r="E1007" s="128"/>
      <c r="N1007" s="878"/>
      <c r="P1007" s="879"/>
      <c r="R1007" s="64"/>
      <c r="S1007" s="64"/>
      <c r="T1007" s="64"/>
      <c r="U1007" s="64"/>
    </row>
    <row r="1008" spans="1:21" s="71" customFormat="1" hidden="1">
      <c r="A1008" s="64"/>
      <c r="B1008" s="878"/>
      <c r="C1008" s="128"/>
      <c r="D1008" s="128"/>
      <c r="E1008" s="128"/>
      <c r="N1008" s="878"/>
      <c r="P1008" s="879"/>
      <c r="R1008" s="64"/>
      <c r="S1008" s="64"/>
      <c r="T1008" s="64"/>
      <c r="U1008" s="64"/>
    </row>
    <row r="1009" spans="1:21" s="71" customFormat="1" hidden="1">
      <c r="A1009" s="64"/>
      <c r="B1009" s="878"/>
      <c r="C1009" s="128"/>
      <c r="D1009" s="128"/>
      <c r="E1009" s="128"/>
      <c r="N1009" s="878"/>
      <c r="P1009" s="879"/>
      <c r="R1009" s="64"/>
      <c r="S1009" s="64"/>
      <c r="T1009" s="64"/>
      <c r="U1009" s="64"/>
    </row>
    <row r="1010" spans="1:21" s="71" customFormat="1" hidden="1">
      <c r="A1010" s="64"/>
      <c r="B1010" s="878"/>
      <c r="C1010" s="128"/>
      <c r="D1010" s="128"/>
      <c r="E1010" s="128"/>
      <c r="N1010" s="878"/>
      <c r="P1010" s="879"/>
      <c r="R1010" s="64"/>
      <c r="S1010" s="64"/>
      <c r="T1010" s="64"/>
      <c r="U1010" s="64"/>
    </row>
    <row r="1011" spans="1:21" s="71" customFormat="1" hidden="1">
      <c r="A1011" s="64"/>
      <c r="B1011" s="878"/>
      <c r="C1011" s="128"/>
      <c r="D1011" s="128"/>
      <c r="E1011" s="128"/>
      <c r="N1011" s="878"/>
      <c r="P1011" s="879"/>
      <c r="R1011" s="64"/>
      <c r="S1011" s="64"/>
      <c r="T1011" s="64"/>
      <c r="U1011" s="64"/>
    </row>
    <row r="1012" spans="1:21" s="71" customFormat="1" hidden="1">
      <c r="A1012" s="64"/>
      <c r="B1012" s="878"/>
      <c r="C1012" s="128"/>
      <c r="D1012" s="128"/>
      <c r="E1012" s="128"/>
      <c r="N1012" s="878"/>
      <c r="P1012" s="879"/>
      <c r="R1012" s="64"/>
      <c r="S1012" s="64"/>
      <c r="T1012" s="64"/>
      <c r="U1012" s="64"/>
    </row>
    <row r="1013" spans="1:21" s="71" customFormat="1" hidden="1">
      <c r="A1013" s="64"/>
      <c r="B1013" s="878"/>
      <c r="C1013" s="128"/>
      <c r="D1013" s="128"/>
      <c r="E1013" s="128"/>
      <c r="N1013" s="878"/>
      <c r="P1013" s="879"/>
      <c r="R1013" s="64"/>
      <c r="S1013" s="64"/>
      <c r="T1013" s="64"/>
      <c r="U1013" s="64"/>
    </row>
    <row r="1014" spans="1:21" s="71" customFormat="1" hidden="1">
      <c r="A1014" s="64"/>
      <c r="B1014" s="878"/>
      <c r="C1014" s="128"/>
      <c r="D1014" s="128"/>
      <c r="E1014" s="128"/>
      <c r="N1014" s="878"/>
      <c r="P1014" s="879"/>
      <c r="R1014" s="64"/>
      <c r="S1014" s="64"/>
      <c r="T1014" s="64"/>
      <c r="U1014" s="64"/>
    </row>
    <row r="1015" spans="1:21" s="71" customFormat="1" hidden="1">
      <c r="A1015" s="64"/>
      <c r="B1015" s="878"/>
      <c r="C1015" s="128"/>
      <c r="D1015" s="128"/>
      <c r="E1015" s="128"/>
      <c r="N1015" s="878"/>
      <c r="P1015" s="879"/>
      <c r="R1015" s="64"/>
      <c r="S1015" s="64"/>
      <c r="T1015" s="64"/>
      <c r="U1015" s="64"/>
    </row>
    <row r="1016" spans="1:21" s="71" customFormat="1" hidden="1">
      <c r="A1016" s="64"/>
      <c r="B1016" s="878"/>
      <c r="C1016" s="128"/>
      <c r="D1016" s="128"/>
      <c r="E1016" s="128"/>
      <c r="N1016" s="878"/>
      <c r="P1016" s="879"/>
      <c r="R1016" s="64"/>
      <c r="S1016" s="64"/>
      <c r="T1016" s="64"/>
      <c r="U1016" s="64"/>
    </row>
    <row r="1017" spans="1:21" s="71" customFormat="1" hidden="1">
      <c r="A1017" s="64"/>
      <c r="B1017" s="878"/>
      <c r="C1017" s="128"/>
      <c r="D1017" s="128"/>
      <c r="E1017" s="128"/>
      <c r="N1017" s="878"/>
      <c r="P1017" s="879"/>
      <c r="R1017" s="64"/>
      <c r="S1017" s="64"/>
      <c r="T1017" s="64"/>
      <c r="U1017" s="64"/>
    </row>
    <row r="1018" spans="1:21" s="71" customFormat="1" hidden="1">
      <c r="A1018" s="64"/>
      <c r="B1018" s="878"/>
      <c r="C1018" s="128"/>
      <c r="D1018" s="128"/>
      <c r="E1018" s="128"/>
      <c r="N1018" s="878"/>
      <c r="P1018" s="879"/>
      <c r="R1018" s="64"/>
      <c r="S1018" s="64"/>
      <c r="T1018" s="64"/>
      <c r="U1018" s="64"/>
    </row>
    <row r="1019" spans="1:21" s="71" customFormat="1" hidden="1">
      <c r="A1019" s="64"/>
      <c r="B1019" s="878"/>
      <c r="C1019" s="128"/>
      <c r="D1019" s="128"/>
      <c r="E1019" s="128"/>
      <c r="N1019" s="878"/>
      <c r="P1019" s="879"/>
      <c r="R1019" s="64"/>
      <c r="S1019" s="64"/>
      <c r="T1019" s="64"/>
      <c r="U1019" s="64"/>
    </row>
    <row r="1020" spans="1:21" s="71" customFormat="1" hidden="1">
      <c r="A1020" s="64"/>
      <c r="B1020" s="878"/>
      <c r="C1020" s="128"/>
      <c r="D1020" s="128"/>
      <c r="E1020" s="128"/>
      <c r="N1020" s="878"/>
      <c r="P1020" s="879"/>
      <c r="R1020" s="64"/>
      <c r="S1020" s="64"/>
      <c r="T1020" s="64"/>
      <c r="U1020" s="64"/>
    </row>
    <row r="1021" spans="1:21" s="71" customFormat="1" hidden="1">
      <c r="A1021" s="64"/>
      <c r="B1021" s="878"/>
      <c r="C1021" s="128"/>
      <c r="D1021" s="128"/>
      <c r="E1021" s="128"/>
      <c r="N1021" s="878"/>
      <c r="P1021" s="879"/>
      <c r="R1021" s="64"/>
      <c r="S1021" s="64"/>
      <c r="T1021" s="64"/>
      <c r="U1021" s="64"/>
    </row>
    <row r="1022" spans="1:21" s="71" customFormat="1" hidden="1">
      <c r="A1022" s="64"/>
      <c r="B1022" s="878"/>
      <c r="C1022" s="128"/>
      <c r="D1022" s="128"/>
      <c r="E1022" s="128"/>
      <c r="N1022" s="878"/>
      <c r="P1022" s="879"/>
      <c r="R1022" s="64"/>
      <c r="S1022" s="64"/>
      <c r="T1022" s="64"/>
      <c r="U1022" s="64"/>
    </row>
    <row r="1023" spans="1:21" s="71" customFormat="1" hidden="1">
      <c r="A1023" s="64"/>
      <c r="B1023" s="878"/>
      <c r="C1023" s="128"/>
      <c r="D1023" s="128"/>
      <c r="E1023" s="128"/>
      <c r="N1023" s="878"/>
      <c r="P1023" s="879"/>
      <c r="R1023" s="64"/>
      <c r="S1023" s="64"/>
      <c r="T1023" s="64"/>
      <c r="U1023" s="64"/>
    </row>
    <row r="1024" spans="1:21" s="71" customFormat="1" hidden="1">
      <c r="A1024" s="64"/>
      <c r="B1024" s="878"/>
      <c r="C1024" s="128"/>
      <c r="D1024" s="128"/>
      <c r="E1024" s="128"/>
      <c r="N1024" s="878"/>
      <c r="P1024" s="879"/>
      <c r="R1024" s="64"/>
      <c r="S1024" s="64"/>
      <c r="T1024" s="64"/>
      <c r="U1024" s="64"/>
    </row>
    <row r="1025" spans="1:21" s="71" customFormat="1" hidden="1">
      <c r="A1025" s="64"/>
      <c r="B1025" s="878"/>
      <c r="C1025" s="128"/>
      <c r="D1025" s="128"/>
      <c r="E1025" s="128"/>
      <c r="N1025" s="878"/>
      <c r="P1025" s="879"/>
      <c r="R1025" s="64"/>
      <c r="S1025" s="64"/>
      <c r="T1025" s="64"/>
      <c r="U1025" s="64"/>
    </row>
    <row r="1026" spans="1:21" s="71" customFormat="1" hidden="1">
      <c r="A1026" s="64"/>
      <c r="B1026" s="878"/>
      <c r="C1026" s="128"/>
      <c r="D1026" s="128"/>
      <c r="E1026" s="128"/>
      <c r="N1026" s="878"/>
      <c r="P1026" s="879"/>
      <c r="R1026" s="64"/>
      <c r="S1026" s="64"/>
      <c r="T1026" s="64"/>
      <c r="U1026" s="64"/>
    </row>
    <row r="1027" spans="1:21" s="71" customFormat="1" hidden="1">
      <c r="A1027" s="64"/>
      <c r="B1027" s="878"/>
      <c r="C1027" s="128"/>
      <c r="D1027" s="128"/>
      <c r="E1027" s="128"/>
      <c r="N1027" s="878"/>
      <c r="P1027" s="879"/>
      <c r="R1027" s="64"/>
      <c r="S1027" s="64"/>
      <c r="T1027" s="64"/>
      <c r="U1027" s="64"/>
    </row>
    <row r="1028" spans="1:21" s="71" customFormat="1" hidden="1">
      <c r="A1028" s="64"/>
      <c r="B1028" s="878"/>
      <c r="C1028" s="128"/>
      <c r="D1028" s="128"/>
      <c r="E1028" s="128"/>
      <c r="N1028" s="878"/>
      <c r="P1028" s="879"/>
      <c r="R1028" s="64"/>
      <c r="S1028" s="64"/>
      <c r="T1028" s="64"/>
      <c r="U1028" s="64"/>
    </row>
    <row r="1029" spans="1:21" s="71" customFormat="1" hidden="1">
      <c r="A1029" s="64"/>
      <c r="B1029" s="878"/>
      <c r="C1029" s="128"/>
      <c r="D1029" s="128"/>
      <c r="E1029" s="128"/>
      <c r="N1029" s="878"/>
      <c r="P1029" s="879"/>
      <c r="R1029" s="64"/>
      <c r="S1029" s="64"/>
      <c r="T1029" s="64"/>
      <c r="U1029" s="64"/>
    </row>
    <row r="1030" spans="1:21" s="71" customFormat="1" hidden="1">
      <c r="A1030" s="64"/>
      <c r="B1030" s="878"/>
      <c r="C1030" s="128"/>
      <c r="D1030" s="128"/>
      <c r="E1030" s="128"/>
      <c r="N1030" s="878"/>
      <c r="P1030" s="879"/>
      <c r="R1030" s="64"/>
      <c r="S1030" s="64"/>
      <c r="T1030" s="64"/>
      <c r="U1030" s="64"/>
    </row>
    <row r="1031" spans="1:21" s="71" customFormat="1" hidden="1">
      <c r="A1031" s="64"/>
      <c r="B1031" s="878"/>
      <c r="C1031" s="128"/>
      <c r="D1031" s="128"/>
      <c r="E1031" s="128"/>
      <c r="N1031" s="878"/>
      <c r="P1031" s="879"/>
      <c r="R1031" s="64"/>
      <c r="S1031" s="64"/>
      <c r="T1031" s="64"/>
      <c r="U1031" s="64"/>
    </row>
    <row r="1032" spans="1:21" s="71" customFormat="1" hidden="1">
      <c r="A1032" s="64"/>
      <c r="B1032" s="878"/>
      <c r="C1032" s="128"/>
      <c r="D1032" s="128"/>
      <c r="E1032" s="128"/>
      <c r="N1032" s="878"/>
      <c r="P1032" s="879"/>
      <c r="R1032" s="64"/>
      <c r="S1032" s="64"/>
      <c r="T1032" s="64"/>
      <c r="U1032" s="64"/>
    </row>
    <row r="1033" spans="1:21" s="71" customFormat="1" hidden="1">
      <c r="A1033" s="64"/>
      <c r="B1033" s="878"/>
      <c r="C1033" s="128"/>
      <c r="D1033" s="128"/>
      <c r="E1033" s="128"/>
      <c r="N1033" s="878"/>
      <c r="P1033" s="879"/>
      <c r="R1033" s="64"/>
      <c r="S1033" s="64"/>
      <c r="T1033" s="64"/>
      <c r="U1033" s="64"/>
    </row>
    <row r="1034" spans="1:21" s="71" customFormat="1" hidden="1">
      <c r="A1034" s="64"/>
      <c r="B1034" s="878"/>
      <c r="C1034" s="128"/>
      <c r="D1034" s="128"/>
      <c r="E1034" s="128"/>
      <c r="N1034" s="878"/>
      <c r="P1034" s="879"/>
      <c r="R1034" s="64"/>
      <c r="S1034" s="64"/>
      <c r="T1034" s="64"/>
      <c r="U1034" s="64"/>
    </row>
    <row r="1035" spans="1:21" s="71" customFormat="1" hidden="1">
      <c r="A1035" s="64"/>
      <c r="B1035" s="878"/>
      <c r="C1035" s="128"/>
      <c r="D1035" s="128"/>
      <c r="E1035" s="128"/>
      <c r="N1035" s="878"/>
      <c r="P1035" s="879"/>
      <c r="R1035" s="64"/>
      <c r="S1035" s="64"/>
      <c r="T1035" s="64"/>
      <c r="U1035" s="64"/>
    </row>
    <row r="1036" spans="1:21" s="71" customFormat="1" hidden="1">
      <c r="A1036" s="64"/>
      <c r="B1036" s="878"/>
      <c r="C1036" s="128"/>
      <c r="D1036" s="128"/>
      <c r="E1036" s="128"/>
      <c r="N1036" s="878"/>
      <c r="P1036" s="879"/>
      <c r="R1036" s="64"/>
      <c r="S1036" s="64"/>
      <c r="T1036" s="64"/>
      <c r="U1036" s="64"/>
    </row>
    <row r="1037" spans="1:21" s="71" customFormat="1" hidden="1">
      <c r="A1037" s="64"/>
      <c r="B1037" s="878"/>
      <c r="C1037" s="128"/>
      <c r="D1037" s="128"/>
      <c r="E1037" s="128"/>
      <c r="N1037" s="878"/>
      <c r="P1037" s="879"/>
      <c r="R1037" s="64"/>
      <c r="S1037" s="64"/>
      <c r="T1037" s="64"/>
      <c r="U1037" s="64"/>
    </row>
    <row r="1038" spans="1:21" s="71" customFormat="1" hidden="1">
      <c r="A1038" s="64"/>
      <c r="B1038" s="878"/>
      <c r="C1038" s="128"/>
      <c r="D1038" s="128"/>
      <c r="E1038" s="128"/>
      <c r="N1038" s="878"/>
      <c r="P1038" s="879"/>
      <c r="R1038" s="64"/>
      <c r="S1038" s="64"/>
      <c r="T1038" s="64"/>
      <c r="U1038" s="64"/>
    </row>
    <row r="1039" spans="1:21" s="71" customFormat="1" hidden="1">
      <c r="A1039" s="64"/>
      <c r="B1039" s="878"/>
      <c r="C1039" s="128"/>
      <c r="D1039" s="128"/>
      <c r="E1039" s="128"/>
      <c r="N1039" s="878"/>
      <c r="P1039" s="879"/>
      <c r="R1039" s="64"/>
      <c r="S1039" s="64"/>
      <c r="T1039" s="64"/>
      <c r="U1039" s="64"/>
    </row>
    <row r="1040" spans="1:21" s="71" customFormat="1" hidden="1">
      <c r="A1040" s="64"/>
      <c r="B1040" s="878"/>
      <c r="C1040" s="128"/>
      <c r="D1040" s="128"/>
      <c r="E1040" s="128"/>
      <c r="N1040" s="878"/>
      <c r="P1040" s="879"/>
      <c r="R1040" s="64"/>
      <c r="S1040" s="64"/>
      <c r="T1040" s="64"/>
      <c r="U1040" s="64"/>
    </row>
    <row r="1041" spans="1:21" s="71" customFormat="1" hidden="1">
      <c r="A1041" s="64"/>
      <c r="B1041" s="878"/>
      <c r="C1041" s="128"/>
      <c r="D1041" s="128"/>
      <c r="E1041" s="128"/>
      <c r="N1041" s="878"/>
      <c r="P1041" s="879"/>
      <c r="R1041" s="64"/>
      <c r="S1041" s="64"/>
      <c r="T1041" s="64"/>
      <c r="U1041" s="64"/>
    </row>
    <row r="1042" spans="1:21" s="71" customFormat="1" hidden="1">
      <c r="A1042" s="64"/>
      <c r="B1042" s="878"/>
      <c r="C1042" s="128"/>
      <c r="D1042" s="128"/>
      <c r="E1042" s="128"/>
      <c r="N1042" s="878"/>
      <c r="P1042" s="879"/>
      <c r="R1042" s="64"/>
      <c r="S1042" s="64"/>
      <c r="T1042" s="64"/>
      <c r="U1042" s="64"/>
    </row>
    <row r="1043" spans="1:21" s="71" customFormat="1" hidden="1">
      <c r="A1043" s="64"/>
      <c r="B1043" s="878"/>
      <c r="C1043" s="128"/>
      <c r="D1043" s="128"/>
      <c r="E1043" s="128"/>
      <c r="N1043" s="878"/>
      <c r="P1043" s="879"/>
      <c r="R1043" s="64"/>
      <c r="S1043" s="64"/>
      <c r="T1043" s="64"/>
      <c r="U1043" s="64"/>
    </row>
    <row r="1044" spans="1:21" s="71" customFormat="1" hidden="1">
      <c r="A1044" s="64"/>
      <c r="B1044" s="878"/>
      <c r="C1044" s="128"/>
      <c r="D1044" s="128"/>
      <c r="E1044" s="128"/>
      <c r="N1044" s="878"/>
      <c r="P1044" s="879"/>
      <c r="R1044" s="64"/>
      <c r="S1044" s="64"/>
      <c r="T1044" s="64"/>
      <c r="U1044" s="64"/>
    </row>
    <row r="1045" spans="1:21" s="71" customFormat="1" hidden="1">
      <c r="A1045" s="64"/>
      <c r="B1045" s="878"/>
      <c r="C1045" s="128"/>
      <c r="D1045" s="128"/>
      <c r="E1045" s="128"/>
      <c r="N1045" s="878"/>
      <c r="P1045" s="879"/>
      <c r="R1045" s="64"/>
      <c r="S1045" s="64"/>
      <c r="T1045" s="64"/>
      <c r="U1045" s="64"/>
    </row>
    <row r="1046" spans="1:21" s="71" customFormat="1" hidden="1">
      <c r="A1046" s="64"/>
      <c r="B1046" s="878"/>
      <c r="C1046" s="128"/>
      <c r="D1046" s="128"/>
      <c r="E1046" s="128"/>
      <c r="N1046" s="878"/>
      <c r="P1046" s="879"/>
      <c r="R1046" s="64"/>
      <c r="S1046" s="64"/>
      <c r="T1046" s="64"/>
      <c r="U1046" s="64"/>
    </row>
    <row r="1047" spans="1:21" s="71" customFormat="1" hidden="1">
      <c r="A1047" s="64"/>
      <c r="B1047" s="878"/>
      <c r="C1047" s="128"/>
      <c r="D1047" s="128"/>
      <c r="E1047" s="128"/>
      <c r="N1047" s="878"/>
      <c r="P1047" s="879"/>
      <c r="R1047" s="64"/>
      <c r="S1047" s="64"/>
      <c r="T1047" s="64"/>
      <c r="U1047" s="64"/>
    </row>
    <row r="1048" spans="1:21" s="71" customFormat="1" hidden="1">
      <c r="A1048" s="64"/>
      <c r="B1048" s="878"/>
      <c r="C1048" s="128"/>
      <c r="D1048" s="128"/>
      <c r="E1048" s="128"/>
      <c r="N1048" s="878"/>
      <c r="P1048" s="879"/>
      <c r="R1048" s="64"/>
      <c r="S1048" s="64"/>
      <c r="T1048" s="64"/>
      <c r="U1048" s="64"/>
    </row>
    <row r="1049" spans="1:21" s="71" customFormat="1" hidden="1">
      <c r="A1049" s="64"/>
      <c r="B1049" s="878"/>
      <c r="C1049" s="128"/>
      <c r="D1049" s="128"/>
      <c r="E1049" s="128"/>
      <c r="N1049" s="878"/>
      <c r="P1049" s="879"/>
      <c r="R1049" s="64"/>
      <c r="S1049" s="64"/>
      <c r="T1049" s="64"/>
      <c r="U1049" s="64"/>
    </row>
    <row r="1050" spans="1:21" s="71" customFormat="1" hidden="1">
      <c r="A1050" s="64"/>
      <c r="B1050" s="878"/>
      <c r="C1050" s="128"/>
      <c r="D1050" s="128"/>
      <c r="E1050" s="128"/>
      <c r="N1050" s="878"/>
      <c r="P1050" s="879"/>
      <c r="R1050" s="64"/>
      <c r="S1050" s="64"/>
      <c r="T1050" s="64"/>
      <c r="U1050" s="64"/>
    </row>
    <row r="1051" spans="1:21" s="71" customFormat="1" hidden="1">
      <c r="A1051" s="64"/>
      <c r="B1051" s="878"/>
      <c r="C1051" s="128"/>
      <c r="D1051" s="128"/>
      <c r="E1051" s="128"/>
      <c r="N1051" s="878"/>
      <c r="P1051" s="879"/>
      <c r="R1051" s="64"/>
      <c r="S1051" s="64"/>
      <c r="T1051" s="64"/>
      <c r="U1051" s="64"/>
    </row>
    <row r="1052" spans="1:21" s="71" customFormat="1" hidden="1">
      <c r="A1052" s="64"/>
      <c r="B1052" s="878"/>
      <c r="C1052" s="128"/>
      <c r="D1052" s="128"/>
      <c r="E1052" s="128"/>
      <c r="N1052" s="878"/>
      <c r="P1052" s="879"/>
      <c r="R1052" s="64"/>
      <c r="S1052" s="64"/>
      <c r="T1052" s="64"/>
      <c r="U1052" s="64"/>
    </row>
    <row r="1053" spans="1:21" s="71" customFormat="1" hidden="1">
      <c r="A1053" s="64"/>
      <c r="B1053" s="878"/>
      <c r="C1053" s="128"/>
      <c r="D1053" s="128"/>
      <c r="E1053" s="128"/>
      <c r="N1053" s="878"/>
      <c r="P1053" s="879"/>
      <c r="R1053" s="64"/>
      <c r="S1053" s="64"/>
      <c r="T1053" s="64"/>
      <c r="U1053" s="64"/>
    </row>
    <row r="1054" spans="1:21" s="71" customFormat="1" hidden="1">
      <c r="A1054" s="64"/>
      <c r="B1054" s="878"/>
      <c r="C1054" s="128"/>
      <c r="D1054" s="128"/>
      <c r="E1054" s="128"/>
      <c r="N1054" s="878"/>
      <c r="P1054" s="879"/>
      <c r="R1054" s="64"/>
      <c r="S1054" s="64"/>
      <c r="T1054" s="64"/>
      <c r="U1054" s="64"/>
    </row>
    <row r="1055" spans="1:21" s="71" customFormat="1" hidden="1">
      <c r="A1055" s="64"/>
      <c r="B1055" s="878"/>
      <c r="C1055" s="128"/>
      <c r="D1055" s="128"/>
      <c r="E1055" s="128"/>
      <c r="N1055" s="878"/>
      <c r="P1055" s="879"/>
      <c r="R1055" s="64"/>
      <c r="S1055" s="64"/>
      <c r="T1055" s="64"/>
      <c r="U1055" s="64"/>
    </row>
    <row r="1056" spans="1:21" s="71" customFormat="1" hidden="1">
      <c r="A1056" s="64"/>
      <c r="B1056" s="878"/>
      <c r="C1056" s="128"/>
      <c r="D1056" s="128"/>
      <c r="E1056" s="128"/>
      <c r="N1056" s="878"/>
      <c r="P1056" s="879"/>
      <c r="R1056" s="64"/>
      <c r="S1056" s="64"/>
      <c r="T1056" s="64"/>
      <c r="U1056" s="64"/>
    </row>
    <row r="1057" spans="1:21" s="71" customFormat="1" hidden="1">
      <c r="A1057" s="64"/>
      <c r="B1057" s="878"/>
      <c r="C1057" s="128"/>
      <c r="D1057" s="128"/>
      <c r="E1057" s="128"/>
      <c r="N1057" s="878"/>
      <c r="P1057" s="879"/>
      <c r="R1057" s="64"/>
      <c r="S1057" s="64"/>
      <c r="T1057" s="64"/>
      <c r="U1057" s="64"/>
    </row>
    <row r="1058" spans="1:21" s="71" customFormat="1" hidden="1">
      <c r="A1058" s="64"/>
      <c r="B1058" s="878"/>
      <c r="C1058" s="128"/>
      <c r="D1058" s="128"/>
      <c r="E1058" s="128"/>
      <c r="N1058" s="878"/>
      <c r="P1058" s="879"/>
      <c r="R1058" s="64"/>
      <c r="S1058" s="64"/>
      <c r="T1058" s="64"/>
      <c r="U1058" s="64"/>
    </row>
    <row r="1059" spans="1:21" s="71" customFormat="1" hidden="1">
      <c r="A1059" s="64"/>
      <c r="B1059" s="878"/>
      <c r="C1059" s="128"/>
      <c r="D1059" s="128"/>
      <c r="E1059" s="128"/>
      <c r="N1059" s="878"/>
      <c r="P1059" s="879"/>
      <c r="R1059" s="64"/>
      <c r="S1059" s="64"/>
      <c r="T1059" s="64"/>
      <c r="U1059" s="64"/>
    </row>
    <row r="1060" spans="1:21" s="71" customFormat="1" hidden="1">
      <c r="A1060" s="64"/>
      <c r="B1060" s="878"/>
      <c r="C1060" s="128"/>
      <c r="D1060" s="128"/>
      <c r="E1060" s="128"/>
      <c r="N1060" s="878"/>
      <c r="P1060" s="879"/>
      <c r="R1060" s="64"/>
      <c r="S1060" s="64"/>
      <c r="T1060" s="64"/>
      <c r="U1060" s="64"/>
    </row>
    <row r="1061" spans="1:21" s="71" customFormat="1" hidden="1">
      <c r="A1061" s="64"/>
      <c r="B1061" s="878"/>
      <c r="C1061" s="128"/>
      <c r="D1061" s="128"/>
      <c r="E1061" s="128"/>
      <c r="N1061" s="878"/>
      <c r="P1061" s="879"/>
      <c r="R1061" s="64"/>
      <c r="S1061" s="64"/>
      <c r="T1061" s="64"/>
      <c r="U1061" s="64"/>
    </row>
    <row r="1062" spans="1:21" s="71" customFormat="1" hidden="1">
      <c r="A1062" s="64"/>
      <c r="B1062" s="878"/>
      <c r="C1062" s="128"/>
      <c r="D1062" s="128"/>
      <c r="E1062" s="128"/>
      <c r="N1062" s="878"/>
      <c r="P1062" s="879"/>
      <c r="R1062" s="64"/>
      <c r="S1062" s="64"/>
      <c r="T1062" s="64"/>
      <c r="U1062" s="64"/>
    </row>
    <row r="1063" spans="1:21" s="71" customFormat="1" hidden="1">
      <c r="A1063" s="64"/>
      <c r="B1063" s="878"/>
      <c r="C1063" s="128"/>
      <c r="D1063" s="128"/>
      <c r="E1063" s="128"/>
      <c r="N1063" s="878"/>
      <c r="P1063" s="879"/>
      <c r="R1063" s="64"/>
      <c r="S1063" s="64"/>
      <c r="T1063" s="64"/>
      <c r="U1063" s="64"/>
    </row>
    <row r="1064" spans="1:21" s="71" customFormat="1" hidden="1">
      <c r="A1064" s="64"/>
      <c r="B1064" s="878"/>
      <c r="C1064" s="128"/>
      <c r="D1064" s="128"/>
      <c r="E1064" s="128"/>
      <c r="N1064" s="878"/>
      <c r="P1064" s="879"/>
      <c r="R1064" s="64"/>
      <c r="S1064" s="64"/>
      <c r="T1064" s="64"/>
      <c r="U1064" s="64"/>
    </row>
    <row r="1065" spans="1:21" s="71" customFormat="1" hidden="1">
      <c r="A1065" s="64"/>
      <c r="B1065" s="878"/>
      <c r="C1065" s="128"/>
      <c r="D1065" s="128"/>
      <c r="E1065" s="128"/>
      <c r="N1065" s="878"/>
      <c r="P1065" s="879"/>
      <c r="R1065" s="64"/>
      <c r="S1065" s="64"/>
      <c r="T1065" s="64"/>
      <c r="U1065" s="64"/>
    </row>
    <row r="1066" spans="1:21" s="71" customFormat="1" hidden="1">
      <c r="A1066" s="64"/>
      <c r="B1066" s="878"/>
      <c r="C1066" s="128"/>
      <c r="D1066" s="128"/>
      <c r="E1066" s="128"/>
      <c r="N1066" s="878"/>
      <c r="P1066" s="879"/>
      <c r="R1066" s="64"/>
      <c r="S1066" s="64"/>
      <c r="T1066" s="64"/>
      <c r="U1066" s="64"/>
    </row>
    <row r="1067" spans="1:21" s="71" customFormat="1" hidden="1">
      <c r="A1067" s="64"/>
      <c r="B1067" s="878"/>
      <c r="C1067" s="128"/>
      <c r="D1067" s="128"/>
      <c r="E1067" s="128"/>
      <c r="N1067" s="878"/>
      <c r="P1067" s="879"/>
      <c r="R1067" s="64"/>
      <c r="S1067" s="64"/>
      <c r="T1067" s="64"/>
      <c r="U1067" s="64"/>
    </row>
    <row r="1068" spans="1:21" s="71" customFormat="1" hidden="1">
      <c r="A1068" s="64"/>
      <c r="B1068" s="878"/>
      <c r="C1068" s="128"/>
      <c r="D1068" s="128"/>
      <c r="E1068" s="128"/>
      <c r="N1068" s="878"/>
      <c r="P1068" s="879"/>
      <c r="R1068" s="64"/>
      <c r="S1068" s="64"/>
      <c r="T1068" s="64"/>
      <c r="U1068" s="64"/>
    </row>
    <row r="1069" spans="1:21" s="71" customFormat="1" hidden="1">
      <c r="A1069" s="64"/>
      <c r="B1069" s="878"/>
      <c r="C1069" s="128"/>
      <c r="D1069" s="128"/>
      <c r="E1069" s="128"/>
      <c r="N1069" s="878"/>
      <c r="P1069" s="879"/>
      <c r="R1069" s="64"/>
      <c r="S1069" s="64"/>
      <c r="T1069" s="64"/>
      <c r="U1069" s="64"/>
    </row>
    <row r="1070" spans="1:21" s="71" customFormat="1" hidden="1">
      <c r="A1070" s="64"/>
      <c r="B1070" s="878"/>
      <c r="C1070" s="128"/>
      <c r="D1070" s="128"/>
      <c r="E1070" s="128"/>
      <c r="N1070" s="878"/>
      <c r="P1070" s="879"/>
      <c r="R1070" s="64"/>
      <c r="S1070" s="64"/>
      <c r="T1070" s="64"/>
      <c r="U1070" s="64"/>
    </row>
    <row r="1071" spans="1:21" s="71" customFormat="1" hidden="1">
      <c r="A1071" s="64"/>
      <c r="B1071" s="878"/>
      <c r="C1071" s="128"/>
      <c r="D1071" s="128"/>
      <c r="E1071" s="128"/>
      <c r="N1071" s="878"/>
      <c r="P1071" s="879"/>
      <c r="R1071" s="64"/>
      <c r="S1071" s="64"/>
      <c r="T1071" s="64"/>
      <c r="U1071" s="64"/>
    </row>
    <row r="1072" spans="1:21" s="71" customFormat="1" hidden="1">
      <c r="A1072" s="64"/>
      <c r="B1072" s="878"/>
      <c r="C1072" s="128"/>
      <c r="D1072" s="128"/>
      <c r="E1072" s="128"/>
      <c r="N1072" s="878"/>
      <c r="P1072" s="879"/>
      <c r="R1072" s="64"/>
      <c r="S1072" s="64"/>
      <c r="T1072" s="64"/>
      <c r="U1072" s="64"/>
    </row>
    <row r="1073" spans="1:21" s="71" customFormat="1" hidden="1">
      <c r="A1073" s="64"/>
      <c r="B1073" s="878"/>
      <c r="C1073" s="128"/>
      <c r="D1073" s="128"/>
      <c r="E1073" s="128"/>
      <c r="N1073" s="878"/>
      <c r="P1073" s="879"/>
      <c r="R1073" s="64"/>
      <c r="S1073" s="64"/>
      <c r="T1073" s="64"/>
      <c r="U1073" s="64"/>
    </row>
    <row r="1074" spans="1:21" s="71" customFormat="1" hidden="1">
      <c r="A1074" s="64"/>
      <c r="B1074" s="878"/>
      <c r="C1074" s="128"/>
      <c r="D1074" s="128"/>
      <c r="E1074" s="128"/>
      <c r="N1074" s="878"/>
      <c r="P1074" s="879"/>
      <c r="R1074" s="64"/>
      <c r="S1074" s="64"/>
      <c r="T1074" s="64"/>
      <c r="U1074" s="64"/>
    </row>
    <row r="1075" spans="1:21" s="71" customFormat="1" hidden="1">
      <c r="A1075" s="64"/>
      <c r="B1075" s="878"/>
      <c r="C1075" s="128"/>
      <c r="D1075" s="128"/>
      <c r="E1075" s="128"/>
      <c r="N1075" s="878"/>
      <c r="P1075" s="879"/>
      <c r="R1075" s="64"/>
      <c r="S1075" s="64"/>
      <c r="T1075" s="64"/>
      <c r="U1075" s="64"/>
    </row>
    <row r="1076" spans="1:21" s="71" customFormat="1" hidden="1">
      <c r="A1076" s="64"/>
      <c r="B1076" s="878"/>
      <c r="C1076" s="128"/>
      <c r="D1076" s="128"/>
      <c r="E1076" s="128"/>
      <c r="N1076" s="878"/>
      <c r="P1076" s="879"/>
      <c r="R1076" s="64"/>
      <c r="S1076" s="64"/>
      <c r="T1076" s="64"/>
      <c r="U1076" s="64"/>
    </row>
    <row r="1077" spans="1:21" s="71" customFormat="1" hidden="1">
      <c r="A1077" s="64"/>
      <c r="B1077" s="878"/>
      <c r="C1077" s="128"/>
      <c r="D1077" s="128"/>
      <c r="E1077" s="128"/>
      <c r="N1077" s="878"/>
      <c r="P1077" s="879"/>
      <c r="R1077" s="64"/>
      <c r="S1077" s="64"/>
      <c r="T1077" s="64"/>
      <c r="U1077" s="64"/>
    </row>
    <row r="1078" spans="1:21" s="71" customFormat="1" hidden="1">
      <c r="A1078" s="64"/>
      <c r="B1078" s="878"/>
      <c r="C1078" s="128"/>
      <c r="D1078" s="128"/>
      <c r="E1078" s="128"/>
      <c r="N1078" s="878"/>
      <c r="P1078" s="879"/>
      <c r="R1078" s="64"/>
      <c r="S1078" s="64"/>
      <c r="T1078" s="64"/>
      <c r="U1078" s="64"/>
    </row>
    <row r="1079" spans="1:21" s="71" customFormat="1" hidden="1">
      <c r="A1079" s="64"/>
      <c r="B1079" s="878"/>
      <c r="C1079" s="128"/>
      <c r="D1079" s="128"/>
      <c r="E1079" s="128"/>
      <c r="N1079" s="878"/>
      <c r="P1079" s="879"/>
      <c r="R1079" s="64"/>
      <c r="S1079" s="64"/>
      <c r="T1079" s="64"/>
      <c r="U1079" s="64"/>
    </row>
    <row r="1080" spans="1:21" s="71" customFormat="1" hidden="1">
      <c r="A1080" s="64"/>
      <c r="B1080" s="878"/>
      <c r="C1080" s="128"/>
      <c r="D1080" s="128"/>
      <c r="E1080" s="128"/>
      <c r="N1080" s="878"/>
      <c r="P1080" s="879"/>
      <c r="R1080" s="64"/>
      <c r="S1080" s="64"/>
      <c r="T1080" s="64"/>
      <c r="U1080" s="64"/>
    </row>
    <row r="1081" spans="1:21" s="71" customFormat="1" hidden="1">
      <c r="A1081" s="64"/>
      <c r="B1081" s="878"/>
      <c r="C1081" s="128"/>
      <c r="D1081" s="128"/>
      <c r="E1081" s="128"/>
      <c r="N1081" s="878"/>
      <c r="P1081" s="879"/>
      <c r="R1081" s="64"/>
      <c r="S1081" s="64"/>
      <c r="T1081" s="64"/>
      <c r="U1081" s="64"/>
    </row>
    <row r="1082" spans="1:21" s="71" customFormat="1" hidden="1">
      <c r="A1082" s="64"/>
      <c r="B1082" s="878"/>
      <c r="C1082" s="128"/>
      <c r="D1082" s="128"/>
      <c r="E1082" s="128"/>
      <c r="N1082" s="878"/>
      <c r="P1082" s="879"/>
      <c r="R1082" s="64"/>
      <c r="S1082" s="64"/>
      <c r="T1082" s="64"/>
      <c r="U1082" s="64"/>
    </row>
    <row r="1083" spans="1:21" s="71" customFormat="1" hidden="1">
      <c r="A1083" s="64"/>
      <c r="B1083" s="878"/>
      <c r="C1083" s="128"/>
      <c r="D1083" s="128"/>
      <c r="E1083" s="128"/>
      <c r="N1083" s="878"/>
      <c r="P1083" s="879"/>
      <c r="R1083" s="64"/>
      <c r="S1083" s="64"/>
      <c r="T1083" s="64"/>
      <c r="U1083" s="64"/>
    </row>
    <row r="1084" spans="1:21" s="71" customFormat="1" hidden="1">
      <c r="A1084" s="64"/>
      <c r="B1084" s="878"/>
      <c r="C1084" s="128"/>
      <c r="D1084" s="128"/>
      <c r="E1084" s="128"/>
      <c r="N1084" s="878"/>
      <c r="P1084" s="879"/>
      <c r="R1084" s="64"/>
      <c r="S1084" s="64"/>
      <c r="T1084" s="64"/>
      <c r="U1084" s="64"/>
    </row>
    <row r="1085" spans="1:21" s="71" customFormat="1" hidden="1">
      <c r="A1085" s="64"/>
      <c r="B1085" s="878"/>
      <c r="C1085" s="128"/>
      <c r="D1085" s="128"/>
      <c r="E1085" s="128"/>
      <c r="N1085" s="878"/>
      <c r="P1085" s="879"/>
      <c r="R1085" s="64"/>
      <c r="S1085" s="64"/>
      <c r="T1085" s="64"/>
      <c r="U1085" s="64"/>
    </row>
    <row r="1086" spans="1:21" s="71" customFormat="1" hidden="1">
      <c r="A1086" s="64"/>
      <c r="B1086" s="878"/>
      <c r="C1086" s="128"/>
      <c r="D1086" s="128"/>
      <c r="E1086" s="128"/>
      <c r="N1086" s="878"/>
      <c r="P1086" s="879"/>
      <c r="R1086" s="64"/>
      <c r="S1086" s="64"/>
      <c r="T1086" s="64"/>
      <c r="U1086" s="64"/>
    </row>
    <row r="1087" spans="1:21" s="71" customFormat="1" hidden="1">
      <c r="A1087" s="64"/>
      <c r="B1087" s="878"/>
      <c r="C1087" s="128"/>
      <c r="D1087" s="128"/>
      <c r="E1087" s="128"/>
      <c r="N1087" s="878"/>
      <c r="P1087" s="879"/>
      <c r="R1087" s="64"/>
      <c r="S1087" s="64"/>
      <c r="T1087" s="64"/>
      <c r="U1087" s="64"/>
    </row>
    <row r="1088" spans="1:21" s="71" customFormat="1" hidden="1">
      <c r="A1088" s="64"/>
      <c r="B1088" s="878"/>
      <c r="C1088" s="128"/>
      <c r="D1088" s="128"/>
      <c r="E1088" s="128"/>
      <c r="N1088" s="878"/>
      <c r="P1088" s="879"/>
      <c r="R1088" s="64"/>
      <c r="S1088" s="64"/>
      <c r="T1088" s="64"/>
      <c r="U1088" s="64"/>
    </row>
    <row r="1089" spans="1:21" s="71" customFormat="1" hidden="1">
      <c r="A1089" s="64"/>
      <c r="B1089" s="878"/>
      <c r="C1089" s="128"/>
      <c r="D1089" s="128"/>
      <c r="E1089" s="128"/>
      <c r="N1089" s="878"/>
      <c r="P1089" s="879"/>
      <c r="R1089" s="64"/>
      <c r="S1089" s="64"/>
      <c r="T1089" s="64"/>
      <c r="U1089" s="64"/>
    </row>
    <row r="1090" spans="1:21" s="71" customFormat="1" hidden="1">
      <c r="A1090" s="64"/>
      <c r="B1090" s="878"/>
      <c r="C1090" s="128"/>
      <c r="D1090" s="128"/>
      <c r="E1090" s="128"/>
      <c r="N1090" s="878"/>
      <c r="P1090" s="879"/>
      <c r="R1090" s="64"/>
      <c r="S1090" s="64"/>
      <c r="T1090" s="64"/>
      <c r="U1090" s="64"/>
    </row>
    <row r="1091" spans="1:21" s="71" customFormat="1" hidden="1">
      <c r="A1091" s="64"/>
      <c r="B1091" s="878"/>
      <c r="C1091" s="128"/>
      <c r="D1091" s="128"/>
      <c r="E1091" s="128"/>
      <c r="N1091" s="878"/>
      <c r="P1091" s="879"/>
      <c r="R1091" s="64"/>
      <c r="S1091" s="64"/>
      <c r="T1091" s="64"/>
      <c r="U1091" s="64"/>
    </row>
    <row r="1092" spans="1:21" s="71" customFormat="1" hidden="1">
      <c r="A1092" s="64"/>
      <c r="B1092" s="878"/>
      <c r="C1092" s="128"/>
      <c r="D1092" s="128"/>
      <c r="E1092" s="128"/>
      <c r="N1092" s="878"/>
      <c r="P1092" s="879"/>
      <c r="R1092" s="64"/>
      <c r="S1092" s="64"/>
      <c r="T1092" s="64"/>
      <c r="U1092" s="64"/>
    </row>
    <row r="1093" spans="1:21" s="71" customFormat="1" hidden="1">
      <c r="A1093" s="64"/>
      <c r="B1093" s="878"/>
      <c r="C1093" s="128"/>
      <c r="D1093" s="128"/>
      <c r="E1093" s="128"/>
      <c r="N1093" s="878"/>
      <c r="P1093" s="879"/>
      <c r="R1093" s="64"/>
      <c r="S1093" s="64"/>
      <c r="T1093" s="64"/>
      <c r="U1093" s="64"/>
    </row>
    <row r="1094" spans="1:21" s="71" customFormat="1" hidden="1">
      <c r="A1094" s="64"/>
      <c r="B1094" s="878"/>
      <c r="C1094" s="128"/>
      <c r="D1094" s="128"/>
      <c r="E1094" s="128"/>
      <c r="N1094" s="878"/>
      <c r="P1094" s="879"/>
      <c r="R1094" s="64"/>
      <c r="S1094" s="64"/>
      <c r="T1094" s="64"/>
      <c r="U1094" s="64"/>
    </row>
    <row r="1095" spans="1:21" s="71" customFormat="1" hidden="1">
      <c r="A1095" s="64"/>
      <c r="B1095" s="878"/>
      <c r="C1095" s="128"/>
      <c r="D1095" s="128"/>
      <c r="E1095" s="128"/>
      <c r="N1095" s="878"/>
      <c r="P1095" s="879"/>
      <c r="R1095" s="64"/>
      <c r="S1095" s="64"/>
      <c r="T1095" s="64"/>
      <c r="U1095" s="64"/>
    </row>
    <row r="1096" spans="1:21" s="71" customFormat="1" hidden="1">
      <c r="A1096" s="64"/>
      <c r="B1096" s="878"/>
      <c r="C1096" s="128"/>
      <c r="D1096" s="128"/>
      <c r="E1096" s="128"/>
      <c r="N1096" s="878"/>
      <c r="P1096" s="879"/>
      <c r="R1096" s="64"/>
      <c r="S1096" s="64"/>
      <c r="T1096" s="64"/>
      <c r="U1096" s="64"/>
    </row>
    <row r="1097" spans="1:21" s="71" customFormat="1" hidden="1">
      <c r="A1097" s="64"/>
      <c r="B1097" s="878"/>
      <c r="C1097" s="128"/>
      <c r="D1097" s="128"/>
      <c r="E1097" s="128"/>
      <c r="N1097" s="878"/>
      <c r="P1097" s="879"/>
      <c r="R1097" s="64"/>
      <c r="S1097" s="64"/>
      <c r="T1097" s="64"/>
      <c r="U1097" s="64"/>
    </row>
    <row r="1098" spans="1:21" s="71" customFormat="1" hidden="1">
      <c r="A1098" s="64"/>
      <c r="B1098" s="878"/>
      <c r="C1098" s="128"/>
      <c r="D1098" s="128"/>
      <c r="E1098" s="128"/>
      <c r="N1098" s="878"/>
      <c r="P1098" s="879"/>
      <c r="R1098" s="64"/>
      <c r="S1098" s="64"/>
      <c r="T1098" s="64"/>
      <c r="U1098" s="64"/>
    </row>
    <row r="1099" spans="1:21" s="71" customFormat="1" hidden="1">
      <c r="A1099" s="64"/>
      <c r="B1099" s="878"/>
      <c r="C1099" s="128"/>
      <c r="D1099" s="128"/>
      <c r="E1099" s="128"/>
      <c r="N1099" s="878"/>
      <c r="P1099" s="879"/>
      <c r="R1099" s="64"/>
      <c r="S1099" s="64"/>
      <c r="T1099" s="64"/>
      <c r="U1099" s="64"/>
    </row>
    <row r="1100" spans="1:21" s="71" customFormat="1" hidden="1">
      <c r="A1100" s="64"/>
      <c r="B1100" s="878"/>
      <c r="C1100" s="128"/>
      <c r="D1100" s="128"/>
      <c r="E1100" s="128"/>
      <c r="N1100" s="878"/>
      <c r="P1100" s="879"/>
      <c r="R1100" s="64"/>
      <c r="S1100" s="64"/>
      <c r="T1100" s="64"/>
      <c r="U1100" s="64"/>
    </row>
    <row r="1101" spans="1:21" s="71" customFormat="1" hidden="1">
      <c r="A1101" s="64"/>
      <c r="B1101" s="878"/>
      <c r="C1101" s="128"/>
      <c r="D1101" s="128"/>
      <c r="E1101" s="128"/>
      <c r="N1101" s="878"/>
      <c r="P1101" s="879"/>
      <c r="R1101" s="64"/>
      <c r="S1101" s="64"/>
      <c r="T1101" s="64"/>
      <c r="U1101" s="64"/>
    </row>
    <row r="1102" spans="1:21" s="71" customFormat="1" hidden="1">
      <c r="A1102" s="64"/>
      <c r="B1102" s="878"/>
      <c r="C1102" s="128"/>
      <c r="D1102" s="128"/>
      <c r="E1102" s="128"/>
      <c r="N1102" s="878"/>
      <c r="P1102" s="879"/>
      <c r="R1102" s="64"/>
      <c r="S1102" s="64"/>
      <c r="T1102" s="64"/>
      <c r="U1102" s="64"/>
    </row>
    <row r="1103" spans="1:21" s="71" customFormat="1" hidden="1">
      <c r="A1103" s="64"/>
      <c r="B1103" s="878"/>
      <c r="C1103" s="128"/>
      <c r="D1103" s="128"/>
      <c r="E1103" s="128"/>
      <c r="N1103" s="878"/>
      <c r="P1103" s="879"/>
      <c r="R1103" s="64"/>
      <c r="S1103" s="64"/>
      <c r="T1103" s="64"/>
      <c r="U1103" s="64"/>
    </row>
    <row r="1104" spans="1:21" s="71" customFormat="1" hidden="1">
      <c r="A1104" s="64"/>
      <c r="B1104" s="878"/>
      <c r="C1104" s="128"/>
      <c r="D1104" s="128"/>
      <c r="E1104" s="128"/>
      <c r="N1104" s="878"/>
      <c r="P1104" s="879"/>
      <c r="R1104" s="64"/>
      <c r="S1104" s="64"/>
      <c r="T1104" s="64"/>
      <c r="U1104" s="64"/>
    </row>
    <row r="1105" spans="1:21" s="71" customFormat="1" hidden="1">
      <c r="A1105" s="64"/>
      <c r="B1105" s="878"/>
      <c r="C1105" s="128"/>
      <c r="D1105" s="128"/>
      <c r="E1105" s="128"/>
      <c r="N1105" s="878"/>
      <c r="P1105" s="879"/>
      <c r="R1105" s="64"/>
      <c r="S1105" s="64"/>
      <c r="T1105" s="64"/>
      <c r="U1105" s="64"/>
    </row>
    <row r="1106" spans="1:21" s="71" customFormat="1" hidden="1">
      <c r="A1106" s="64"/>
      <c r="B1106" s="878"/>
      <c r="C1106" s="128"/>
      <c r="D1106" s="128"/>
      <c r="E1106" s="128"/>
      <c r="N1106" s="878"/>
      <c r="P1106" s="879"/>
      <c r="R1106" s="64"/>
      <c r="S1106" s="64"/>
      <c r="T1106" s="64"/>
      <c r="U1106" s="64"/>
    </row>
    <row r="1107" spans="1:21" s="71" customFormat="1" hidden="1">
      <c r="A1107" s="64"/>
      <c r="B1107" s="878"/>
      <c r="C1107" s="128"/>
      <c r="D1107" s="128"/>
      <c r="E1107" s="128"/>
      <c r="N1107" s="878"/>
      <c r="P1107" s="879"/>
      <c r="R1107" s="64"/>
      <c r="S1107" s="64"/>
      <c r="T1107" s="64"/>
      <c r="U1107" s="64"/>
    </row>
    <row r="1108" spans="1:21" s="71" customFormat="1" hidden="1">
      <c r="A1108" s="64"/>
      <c r="B1108" s="878"/>
      <c r="C1108" s="128"/>
      <c r="D1108" s="128"/>
      <c r="E1108" s="128"/>
      <c r="N1108" s="878"/>
      <c r="P1108" s="879"/>
      <c r="R1108" s="64"/>
      <c r="S1108" s="64"/>
      <c r="T1108" s="64"/>
      <c r="U1108" s="64"/>
    </row>
    <row r="1109" spans="1:21" s="71" customFormat="1" hidden="1">
      <c r="A1109" s="64"/>
      <c r="B1109" s="878"/>
      <c r="C1109" s="128"/>
      <c r="D1109" s="128"/>
      <c r="E1109" s="128"/>
      <c r="N1109" s="878"/>
      <c r="P1109" s="879"/>
      <c r="R1109" s="64"/>
      <c r="S1109" s="64"/>
      <c r="T1109" s="64"/>
      <c r="U1109" s="64"/>
    </row>
    <row r="1110" spans="1:21" s="71" customFormat="1" hidden="1">
      <c r="A1110" s="64"/>
      <c r="B1110" s="878"/>
      <c r="C1110" s="128"/>
      <c r="D1110" s="128"/>
      <c r="E1110" s="128"/>
      <c r="N1110" s="878"/>
      <c r="P1110" s="879"/>
      <c r="R1110" s="64"/>
      <c r="S1110" s="64"/>
      <c r="T1110" s="64"/>
      <c r="U1110" s="64"/>
    </row>
    <row r="1111" spans="1:21" s="71" customFormat="1" hidden="1">
      <c r="A1111" s="64"/>
      <c r="B1111" s="878"/>
      <c r="C1111" s="128"/>
      <c r="D1111" s="128"/>
      <c r="E1111" s="128"/>
      <c r="N1111" s="878"/>
      <c r="P1111" s="879"/>
      <c r="R1111" s="64"/>
      <c r="S1111" s="64"/>
      <c r="T1111" s="64"/>
      <c r="U1111" s="64"/>
    </row>
    <row r="1112" spans="1:21" s="71" customFormat="1" hidden="1">
      <c r="A1112" s="64"/>
      <c r="B1112" s="878"/>
      <c r="C1112" s="128"/>
      <c r="D1112" s="128"/>
      <c r="E1112" s="128"/>
      <c r="N1112" s="878"/>
      <c r="P1112" s="879"/>
      <c r="R1112" s="64"/>
      <c r="S1112" s="64"/>
      <c r="T1112" s="64"/>
      <c r="U1112" s="64"/>
    </row>
    <row r="1113" spans="1:21" s="71" customFormat="1" hidden="1">
      <c r="A1113" s="64"/>
      <c r="B1113" s="878"/>
      <c r="C1113" s="128"/>
      <c r="D1113" s="128"/>
      <c r="E1113" s="128"/>
      <c r="N1113" s="878"/>
      <c r="P1113" s="879"/>
      <c r="R1113" s="64"/>
      <c r="S1113" s="64"/>
      <c r="T1113" s="64"/>
      <c r="U1113" s="64"/>
    </row>
    <row r="1114" spans="1:21" s="71" customFormat="1" hidden="1">
      <c r="A1114" s="64"/>
      <c r="B1114" s="878"/>
      <c r="C1114" s="128"/>
      <c r="D1114" s="128"/>
      <c r="E1114" s="128"/>
      <c r="N1114" s="878"/>
      <c r="P1114" s="879"/>
      <c r="R1114" s="64"/>
      <c r="S1114" s="64"/>
      <c r="T1114" s="64"/>
      <c r="U1114" s="64"/>
    </row>
    <row r="1115" spans="1:21" s="71" customFormat="1" hidden="1">
      <c r="A1115" s="64"/>
      <c r="B1115" s="878"/>
      <c r="C1115" s="128"/>
      <c r="D1115" s="128"/>
      <c r="E1115" s="128"/>
      <c r="N1115" s="878"/>
      <c r="P1115" s="879"/>
      <c r="R1115" s="64"/>
      <c r="S1115" s="64"/>
      <c r="T1115" s="64"/>
      <c r="U1115" s="64"/>
    </row>
    <row r="1116" spans="1:21" s="71" customFormat="1" hidden="1">
      <c r="A1116" s="64"/>
      <c r="B1116" s="878"/>
      <c r="C1116" s="128"/>
      <c r="D1116" s="128"/>
      <c r="E1116" s="128"/>
      <c r="N1116" s="878"/>
      <c r="P1116" s="879"/>
      <c r="R1116" s="64"/>
      <c r="S1116" s="64"/>
      <c r="T1116" s="64"/>
      <c r="U1116" s="64"/>
    </row>
    <row r="1117" spans="1:21" s="71" customFormat="1" hidden="1">
      <c r="A1117" s="64"/>
      <c r="B1117" s="878"/>
      <c r="C1117" s="128"/>
      <c r="D1117" s="128"/>
      <c r="E1117" s="128"/>
      <c r="N1117" s="878"/>
      <c r="P1117" s="879"/>
      <c r="R1117" s="64"/>
      <c r="S1117" s="64"/>
      <c r="T1117" s="64"/>
      <c r="U1117" s="64"/>
    </row>
    <row r="1118" spans="1:21" s="71" customFormat="1" hidden="1">
      <c r="A1118" s="64"/>
      <c r="B1118" s="878"/>
      <c r="C1118" s="128"/>
      <c r="D1118" s="128"/>
      <c r="E1118" s="128"/>
      <c r="N1118" s="878"/>
      <c r="P1118" s="879"/>
      <c r="R1118" s="64"/>
      <c r="S1118" s="64"/>
      <c r="T1118" s="64"/>
      <c r="U1118" s="64"/>
    </row>
    <row r="1119" spans="1:21" s="71" customFormat="1" hidden="1">
      <c r="A1119" s="64"/>
      <c r="B1119" s="878"/>
      <c r="C1119" s="128"/>
      <c r="D1119" s="128"/>
      <c r="E1119" s="128"/>
      <c r="N1119" s="878"/>
      <c r="P1119" s="879"/>
      <c r="R1119" s="64"/>
      <c r="S1119" s="64"/>
      <c r="T1119" s="64"/>
      <c r="U1119" s="64"/>
    </row>
    <row r="1120" spans="1:21" s="71" customFormat="1" hidden="1">
      <c r="A1120" s="64"/>
      <c r="B1120" s="878"/>
      <c r="C1120" s="128"/>
      <c r="D1120" s="128"/>
      <c r="E1120" s="128"/>
      <c r="N1120" s="878"/>
      <c r="P1120" s="879"/>
      <c r="R1120" s="64"/>
      <c r="S1120" s="64"/>
      <c r="T1120" s="64"/>
      <c r="U1120" s="64"/>
    </row>
    <row r="1121" spans="1:21" s="71" customFormat="1" hidden="1">
      <c r="A1121" s="64"/>
      <c r="B1121" s="878"/>
      <c r="C1121" s="128"/>
      <c r="D1121" s="128"/>
      <c r="E1121" s="128"/>
      <c r="N1121" s="878"/>
      <c r="P1121" s="879"/>
      <c r="R1121" s="64"/>
      <c r="S1121" s="64"/>
      <c r="T1121" s="64"/>
      <c r="U1121" s="64"/>
    </row>
    <row r="1122" spans="1:21" s="71" customFormat="1" hidden="1">
      <c r="A1122" s="64"/>
      <c r="B1122" s="878"/>
      <c r="C1122" s="128"/>
      <c r="D1122" s="128"/>
      <c r="E1122" s="128"/>
      <c r="N1122" s="878"/>
      <c r="P1122" s="879"/>
      <c r="R1122" s="64"/>
      <c r="S1122" s="64"/>
      <c r="T1122" s="64"/>
      <c r="U1122" s="64"/>
    </row>
    <row r="1123" spans="1:21" s="71" customFormat="1" hidden="1">
      <c r="A1123" s="64"/>
      <c r="B1123" s="878"/>
      <c r="C1123" s="128"/>
      <c r="D1123" s="128"/>
      <c r="E1123" s="128"/>
      <c r="N1123" s="878"/>
      <c r="P1123" s="879"/>
      <c r="R1123" s="64"/>
      <c r="S1123" s="64"/>
      <c r="T1123" s="64"/>
      <c r="U1123" s="64"/>
    </row>
    <row r="1124" spans="1:21" s="71" customFormat="1" hidden="1">
      <c r="A1124" s="64"/>
      <c r="B1124" s="878"/>
      <c r="C1124" s="128"/>
      <c r="D1124" s="128"/>
      <c r="E1124" s="128"/>
      <c r="N1124" s="878"/>
      <c r="P1124" s="879"/>
      <c r="R1124" s="64"/>
      <c r="S1124" s="64"/>
      <c r="T1124" s="64"/>
      <c r="U1124" s="64"/>
    </row>
    <row r="1125" spans="1:21" s="71" customFormat="1" hidden="1">
      <c r="A1125" s="64"/>
      <c r="B1125" s="878"/>
      <c r="C1125" s="128"/>
      <c r="D1125" s="128"/>
      <c r="E1125" s="128"/>
      <c r="N1125" s="878"/>
      <c r="P1125" s="879"/>
      <c r="R1125" s="64"/>
      <c r="S1125" s="64"/>
      <c r="T1125" s="64"/>
      <c r="U1125" s="64"/>
    </row>
    <row r="1126" spans="1:21" s="71" customFormat="1" hidden="1">
      <c r="A1126" s="64"/>
      <c r="B1126" s="878"/>
      <c r="C1126" s="128"/>
      <c r="D1126" s="128"/>
      <c r="E1126" s="128"/>
      <c r="N1126" s="878"/>
      <c r="P1126" s="879"/>
      <c r="R1126" s="64"/>
      <c r="S1126" s="64"/>
      <c r="T1126" s="64"/>
      <c r="U1126" s="64"/>
    </row>
    <row r="1127" spans="1:21" s="71" customFormat="1" hidden="1">
      <c r="A1127" s="64"/>
      <c r="B1127" s="878"/>
      <c r="C1127" s="128"/>
      <c r="D1127" s="128"/>
      <c r="E1127" s="128"/>
      <c r="N1127" s="878"/>
      <c r="P1127" s="879"/>
      <c r="R1127" s="64"/>
      <c r="S1127" s="64"/>
      <c r="T1127" s="64"/>
      <c r="U1127" s="64"/>
    </row>
    <row r="1128" spans="1:21" s="71" customFormat="1" hidden="1">
      <c r="A1128" s="64"/>
      <c r="B1128" s="878"/>
      <c r="C1128" s="128"/>
      <c r="D1128" s="128"/>
      <c r="E1128" s="128"/>
      <c r="N1128" s="878"/>
      <c r="P1128" s="879"/>
      <c r="R1128" s="64"/>
      <c r="S1128" s="64"/>
      <c r="T1128" s="64"/>
      <c r="U1128" s="64"/>
    </row>
    <row r="1129" spans="1:21" s="71" customFormat="1" hidden="1">
      <c r="A1129" s="64"/>
      <c r="B1129" s="878"/>
      <c r="C1129" s="128"/>
      <c r="D1129" s="128"/>
      <c r="E1129" s="128"/>
      <c r="N1129" s="878"/>
      <c r="P1129" s="879"/>
      <c r="R1129" s="64"/>
      <c r="S1129" s="64"/>
      <c r="T1129" s="64"/>
      <c r="U1129" s="64"/>
    </row>
    <row r="1130" spans="1:21" s="71" customFormat="1" hidden="1">
      <c r="A1130" s="64"/>
      <c r="B1130" s="878"/>
      <c r="C1130" s="128"/>
      <c r="D1130" s="128"/>
      <c r="E1130" s="128"/>
      <c r="N1130" s="878"/>
      <c r="P1130" s="879"/>
      <c r="R1130" s="64"/>
      <c r="S1130" s="64"/>
      <c r="T1130" s="64"/>
      <c r="U1130" s="64"/>
    </row>
    <row r="1131" spans="1:21" s="71" customFormat="1" hidden="1">
      <c r="A1131" s="64"/>
      <c r="B1131" s="878"/>
      <c r="C1131" s="128"/>
      <c r="D1131" s="128"/>
      <c r="E1131" s="128"/>
      <c r="N1131" s="878"/>
      <c r="P1131" s="879"/>
      <c r="R1131" s="64"/>
      <c r="S1131" s="64"/>
      <c r="T1131" s="64"/>
      <c r="U1131" s="64"/>
    </row>
    <row r="1132" spans="1:21" s="71" customFormat="1" hidden="1">
      <c r="A1132" s="64"/>
      <c r="B1132" s="878"/>
      <c r="C1132" s="128"/>
      <c r="D1132" s="128"/>
      <c r="E1132" s="128"/>
      <c r="N1132" s="878"/>
      <c r="P1132" s="879"/>
      <c r="R1132" s="64"/>
      <c r="S1132" s="64"/>
      <c r="T1132" s="64"/>
      <c r="U1132" s="64"/>
    </row>
    <row r="1133" spans="1:21" s="71" customFormat="1" hidden="1">
      <c r="A1133" s="64"/>
      <c r="B1133" s="878"/>
      <c r="C1133" s="128"/>
      <c r="D1133" s="128"/>
      <c r="E1133" s="128"/>
      <c r="N1133" s="878"/>
      <c r="P1133" s="879"/>
      <c r="R1133" s="64"/>
      <c r="S1133" s="64"/>
      <c r="T1133" s="64"/>
      <c r="U1133" s="64"/>
    </row>
    <row r="1134" spans="1:21" s="71" customFormat="1" hidden="1">
      <c r="A1134" s="64"/>
      <c r="B1134" s="878"/>
      <c r="C1134" s="128"/>
      <c r="D1134" s="128"/>
      <c r="E1134" s="128"/>
      <c r="N1134" s="878"/>
      <c r="P1134" s="879"/>
      <c r="R1134" s="64"/>
      <c r="S1134" s="64"/>
      <c r="T1134" s="64"/>
      <c r="U1134" s="64"/>
    </row>
    <row r="1135" spans="1:21" s="71" customFormat="1" hidden="1">
      <c r="A1135" s="64"/>
      <c r="B1135" s="878"/>
      <c r="C1135" s="128"/>
      <c r="D1135" s="128"/>
      <c r="E1135" s="128"/>
      <c r="N1135" s="878"/>
      <c r="P1135" s="879"/>
      <c r="R1135" s="64"/>
      <c r="S1135" s="64"/>
      <c r="T1135" s="64"/>
      <c r="U1135" s="64"/>
    </row>
    <row r="1136" spans="1:21" s="71" customFormat="1" hidden="1">
      <c r="A1136" s="64"/>
      <c r="B1136" s="878"/>
      <c r="C1136" s="128"/>
      <c r="D1136" s="128"/>
      <c r="E1136" s="128"/>
      <c r="N1136" s="878"/>
      <c r="P1136" s="879"/>
      <c r="R1136" s="64"/>
      <c r="S1136" s="64"/>
      <c r="T1136" s="64"/>
      <c r="U1136" s="64"/>
    </row>
    <row r="1137" spans="1:21" s="71" customFormat="1" hidden="1">
      <c r="A1137" s="64"/>
      <c r="B1137" s="878"/>
      <c r="C1137" s="128"/>
      <c r="D1137" s="128"/>
      <c r="E1137" s="128"/>
      <c r="N1137" s="878"/>
      <c r="P1137" s="879"/>
      <c r="R1137" s="64"/>
      <c r="S1137" s="64"/>
      <c r="T1137" s="64"/>
      <c r="U1137" s="64"/>
    </row>
    <row r="1138" spans="1:21" s="71" customFormat="1" hidden="1">
      <c r="A1138" s="64"/>
      <c r="B1138" s="878"/>
      <c r="C1138" s="128"/>
      <c r="D1138" s="128"/>
      <c r="E1138" s="128"/>
      <c r="N1138" s="878"/>
      <c r="P1138" s="879"/>
      <c r="R1138" s="64"/>
      <c r="S1138" s="64"/>
      <c r="T1138" s="64"/>
      <c r="U1138" s="64"/>
    </row>
    <row r="1139" spans="1:21" s="71" customFormat="1" hidden="1">
      <c r="A1139" s="64"/>
      <c r="B1139" s="878"/>
      <c r="C1139" s="128"/>
      <c r="D1139" s="128"/>
      <c r="E1139" s="128"/>
      <c r="N1139" s="878"/>
      <c r="P1139" s="879"/>
      <c r="R1139" s="64"/>
      <c r="S1139" s="64"/>
      <c r="T1139" s="64"/>
      <c r="U1139" s="64"/>
    </row>
    <row r="1140" spans="1:21" s="71" customFormat="1" hidden="1">
      <c r="A1140" s="64"/>
      <c r="B1140" s="878"/>
      <c r="C1140" s="128"/>
      <c r="D1140" s="128"/>
      <c r="E1140" s="128"/>
      <c r="N1140" s="878"/>
      <c r="P1140" s="879"/>
      <c r="R1140" s="64"/>
      <c r="S1140" s="64"/>
      <c r="T1140" s="64"/>
      <c r="U1140" s="64"/>
    </row>
    <row r="1141" spans="1:21" s="71" customFormat="1" hidden="1">
      <c r="A1141" s="64"/>
      <c r="B1141" s="878"/>
      <c r="C1141" s="128"/>
      <c r="D1141" s="128"/>
      <c r="E1141" s="128"/>
      <c r="N1141" s="878"/>
      <c r="P1141" s="879"/>
      <c r="R1141" s="64"/>
      <c r="S1141" s="64"/>
      <c r="T1141" s="64"/>
      <c r="U1141" s="64"/>
    </row>
    <row r="1142" spans="1:21" s="71" customFormat="1" hidden="1">
      <c r="A1142" s="64"/>
      <c r="B1142" s="878"/>
      <c r="C1142" s="128"/>
      <c r="D1142" s="128"/>
      <c r="E1142" s="128"/>
      <c r="N1142" s="878"/>
      <c r="P1142" s="879"/>
      <c r="R1142" s="64"/>
      <c r="S1142" s="64"/>
      <c r="T1142" s="64"/>
      <c r="U1142" s="64"/>
    </row>
    <row r="1143" spans="1:21" s="71" customFormat="1" hidden="1">
      <c r="A1143" s="64"/>
      <c r="B1143" s="878"/>
      <c r="C1143" s="128"/>
      <c r="D1143" s="128"/>
      <c r="E1143" s="128"/>
      <c r="N1143" s="878"/>
      <c r="P1143" s="879"/>
      <c r="R1143" s="64"/>
      <c r="S1143" s="64"/>
      <c r="T1143" s="64"/>
      <c r="U1143" s="64"/>
    </row>
    <row r="1144" spans="1:21" s="71" customFormat="1" hidden="1">
      <c r="A1144" s="64"/>
      <c r="B1144" s="878"/>
      <c r="C1144" s="128"/>
      <c r="D1144" s="128"/>
      <c r="E1144" s="128"/>
      <c r="N1144" s="878"/>
      <c r="P1144" s="879"/>
      <c r="R1144" s="64"/>
      <c r="S1144" s="64"/>
      <c r="T1144" s="64"/>
      <c r="U1144" s="64"/>
    </row>
    <row r="1145" spans="1:21" s="71" customFormat="1" hidden="1">
      <c r="A1145" s="64"/>
      <c r="B1145" s="878"/>
      <c r="C1145" s="128"/>
      <c r="D1145" s="128"/>
      <c r="E1145" s="128"/>
      <c r="N1145" s="878"/>
      <c r="P1145" s="879"/>
      <c r="R1145" s="64"/>
      <c r="S1145" s="64"/>
      <c r="T1145" s="64"/>
      <c r="U1145" s="64"/>
    </row>
    <row r="1146" spans="1:21" s="71" customFormat="1" hidden="1">
      <c r="A1146" s="64"/>
      <c r="B1146" s="878"/>
      <c r="C1146" s="128"/>
      <c r="D1146" s="128"/>
      <c r="E1146" s="128"/>
      <c r="N1146" s="878"/>
      <c r="P1146" s="879"/>
      <c r="R1146" s="64"/>
      <c r="S1146" s="64"/>
      <c r="T1146" s="64"/>
      <c r="U1146" s="64"/>
    </row>
    <row r="1147" spans="1:21" s="71" customFormat="1" hidden="1">
      <c r="A1147" s="64"/>
      <c r="B1147" s="878"/>
      <c r="C1147" s="128"/>
      <c r="D1147" s="128"/>
      <c r="E1147" s="128"/>
      <c r="N1147" s="878"/>
      <c r="P1147" s="879"/>
      <c r="R1147" s="64"/>
      <c r="S1147" s="64"/>
      <c r="T1147" s="64"/>
      <c r="U1147" s="64"/>
    </row>
    <row r="1148" spans="1:21" s="71" customFormat="1" hidden="1">
      <c r="A1148" s="64"/>
      <c r="B1148" s="878"/>
      <c r="C1148" s="128"/>
      <c r="D1148" s="128"/>
      <c r="E1148" s="128"/>
      <c r="N1148" s="878"/>
      <c r="P1148" s="879"/>
      <c r="R1148" s="64"/>
      <c r="S1148" s="64"/>
      <c r="T1148" s="64"/>
      <c r="U1148" s="64"/>
    </row>
    <row r="1149" spans="1:21" s="71" customFormat="1" hidden="1">
      <c r="A1149" s="64"/>
      <c r="B1149" s="878"/>
      <c r="C1149" s="128"/>
      <c r="D1149" s="128"/>
      <c r="E1149" s="128"/>
      <c r="N1149" s="878"/>
      <c r="P1149" s="879"/>
      <c r="R1149" s="64"/>
      <c r="S1149" s="64"/>
      <c r="T1149" s="64"/>
      <c r="U1149" s="64"/>
    </row>
    <row r="1150" spans="1:21" s="71" customFormat="1" hidden="1">
      <c r="A1150" s="64"/>
      <c r="B1150" s="878"/>
      <c r="C1150" s="128"/>
      <c r="D1150" s="128"/>
      <c r="E1150" s="128"/>
      <c r="N1150" s="878"/>
      <c r="P1150" s="879"/>
      <c r="R1150" s="64"/>
      <c r="S1150" s="64"/>
      <c r="T1150" s="64"/>
      <c r="U1150" s="64"/>
    </row>
    <row r="1151" spans="1:21" s="71" customFormat="1" hidden="1">
      <c r="A1151" s="64"/>
      <c r="B1151" s="878"/>
      <c r="C1151" s="128"/>
      <c r="D1151" s="128"/>
      <c r="E1151" s="128"/>
      <c r="N1151" s="878"/>
      <c r="P1151" s="879"/>
      <c r="R1151" s="64"/>
      <c r="S1151" s="64"/>
      <c r="T1151" s="64"/>
      <c r="U1151" s="64"/>
    </row>
    <row r="1152" spans="1:21" s="71" customFormat="1" hidden="1">
      <c r="A1152" s="64"/>
      <c r="B1152" s="878"/>
      <c r="C1152" s="128"/>
      <c r="D1152" s="128"/>
      <c r="E1152" s="128"/>
      <c r="N1152" s="878"/>
      <c r="P1152" s="879"/>
      <c r="R1152" s="64"/>
      <c r="S1152" s="64"/>
      <c r="T1152" s="64"/>
      <c r="U1152" s="64"/>
    </row>
    <row r="1153" spans="1:21" s="71" customFormat="1" hidden="1">
      <c r="A1153" s="64"/>
      <c r="B1153" s="878"/>
      <c r="C1153" s="128"/>
      <c r="D1153" s="128"/>
      <c r="E1153" s="128"/>
      <c r="N1153" s="878"/>
      <c r="P1153" s="879"/>
      <c r="R1153" s="64"/>
      <c r="S1153" s="64"/>
      <c r="T1153" s="64"/>
      <c r="U1153" s="64"/>
    </row>
    <row r="1154" spans="1:21" s="71" customFormat="1" hidden="1">
      <c r="A1154" s="64"/>
      <c r="B1154" s="878"/>
      <c r="C1154" s="128"/>
      <c r="D1154" s="128"/>
      <c r="E1154" s="128"/>
      <c r="N1154" s="878"/>
      <c r="P1154" s="879"/>
      <c r="R1154" s="64"/>
      <c r="S1154" s="64"/>
      <c r="T1154" s="64"/>
      <c r="U1154" s="64"/>
    </row>
    <row r="1155" spans="1:21" s="71" customFormat="1" hidden="1">
      <c r="A1155" s="64"/>
      <c r="B1155" s="878"/>
      <c r="C1155" s="128"/>
      <c r="D1155" s="128"/>
      <c r="E1155" s="128"/>
      <c r="N1155" s="878"/>
      <c r="P1155" s="879"/>
      <c r="R1155" s="64"/>
      <c r="S1155" s="64"/>
      <c r="T1155" s="64"/>
      <c r="U1155" s="64"/>
    </row>
    <row r="1156" spans="1:21" s="71" customFormat="1" hidden="1">
      <c r="A1156" s="64"/>
      <c r="B1156" s="878"/>
      <c r="C1156" s="128"/>
      <c r="D1156" s="128"/>
      <c r="E1156" s="128"/>
      <c r="N1156" s="878"/>
      <c r="P1156" s="879"/>
      <c r="R1156" s="64"/>
      <c r="S1156" s="64"/>
      <c r="T1156" s="64"/>
      <c r="U1156" s="64"/>
    </row>
    <row r="1157" spans="1:21" s="71" customFormat="1" hidden="1">
      <c r="A1157" s="64"/>
      <c r="B1157" s="878"/>
      <c r="C1157" s="128"/>
      <c r="D1157" s="128"/>
      <c r="E1157" s="128"/>
      <c r="N1157" s="878"/>
      <c r="P1157" s="879"/>
      <c r="R1157" s="64"/>
      <c r="S1157" s="64"/>
      <c r="T1157" s="64"/>
      <c r="U1157" s="64"/>
    </row>
    <row r="1158" spans="1:21" s="71" customFormat="1" hidden="1">
      <c r="A1158" s="64"/>
      <c r="B1158" s="878"/>
      <c r="C1158" s="128"/>
      <c r="D1158" s="128"/>
      <c r="E1158" s="128"/>
      <c r="N1158" s="878"/>
      <c r="P1158" s="879"/>
      <c r="R1158" s="64"/>
      <c r="S1158" s="64"/>
      <c r="T1158" s="64"/>
      <c r="U1158" s="64"/>
    </row>
    <row r="1159" spans="1:21" s="71" customFormat="1" hidden="1">
      <c r="A1159" s="64"/>
      <c r="B1159" s="878"/>
      <c r="C1159" s="128"/>
      <c r="D1159" s="128"/>
      <c r="E1159" s="128"/>
      <c r="N1159" s="878"/>
      <c r="P1159" s="879"/>
      <c r="R1159" s="64"/>
      <c r="S1159" s="64"/>
      <c r="T1159" s="64"/>
      <c r="U1159" s="64"/>
    </row>
    <row r="1160" spans="1:21" s="71" customFormat="1" hidden="1">
      <c r="A1160" s="64"/>
      <c r="B1160" s="878"/>
      <c r="C1160" s="128"/>
      <c r="D1160" s="128"/>
      <c r="E1160" s="128"/>
      <c r="N1160" s="878"/>
      <c r="P1160" s="879"/>
      <c r="R1160" s="64"/>
      <c r="S1160" s="64"/>
      <c r="T1160" s="64"/>
      <c r="U1160" s="64"/>
    </row>
    <row r="1161" spans="1:21" s="71" customFormat="1" hidden="1">
      <c r="A1161" s="64"/>
      <c r="B1161" s="878"/>
      <c r="C1161" s="128"/>
      <c r="D1161" s="128"/>
      <c r="E1161" s="128"/>
      <c r="N1161" s="878"/>
      <c r="P1161" s="879"/>
      <c r="R1161" s="64"/>
      <c r="S1161" s="64"/>
      <c r="T1161" s="64"/>
      <c r="U1161" s="64"/>
    </row>
    <row r="1162" spans="1:21" s="71" customFormat="1" hidden="1">
      <c r="A1162" s="64"/>
      <c r="B1162" s="878"/>
      <c r="C1162" s="128"/>
      <c r="D1162" s="128"/>
      <c r="E1162" s="128"/>
      <c r="N1162" s="878"/>
      <c r="P1162" s="879"/>
      <c r="R1162" s="64"/>
      <c r="S1162" s="64"/>
      <c r="T1162" s="64"/>
      <c r="U1162" s="64"/>
    </row>
    <row r="1163" spans="1:21" s="71" customFormat="1" hidden="1">
      <c r="A1163" s="64"/>
      <c r="B1163" s="878"/>
      <c r="C1163" s="128"/>
      <c r="D1163" s="128"/>
      <c r="E1163" s="128"/>
      <c r="N1163" s="878"/>
      <c r="P1163" s="879"/>
      <c r="R1163" s="64"/>
      <c r="S1163" s="64"/>
      <c r="T1163" s="64"/>
      <c r="U1163" s="64"/>
    </row>
    <row r="1164" spans="1:21" s="71" customFormat="1" hidden="1">
      <c r="A1164" s="64"/>
      <c r="B1164" s="878"/>
      <c r="C1164" s="128"/>
      <c r="D1164" s="128"/>
      <c r="E1164" s="128"/>
      <c r="N1164" s="878"/>
      <c r="P1164" s="879"/>
      <c r="R1164" s="64"/>
      <c r="S1164" s="64"/>
      <c r="T1164" s="64"/>
      <c r="U1164" s="64"/>
    </row>
    <row r="1165" spans="1:21" s="71" customFormat="1" hidden="1">
      <c r="A1165" s="64"/>
      <c r="B1165" s="878"/>
      <c r="C1165" s="128"/>
      <c r="D1165" s="128"/>
      <c r="E1165" s="128"/>
      <c r="N1165" s="878"/>
      <c r="P1165" s="879"/>
      <c r="R1165" s="64"/>
      <c r="S1165" s="64"/>
      <c r="T1165" s="64"/>
      <c r="U1165" s="64"/>
    </row>
    <row r="1166" spans="1:21" s="71" customFormat="1" hidden="1">
      <c r="A1166" s="64"/>
      <c r="B1166" s="878"/>
      <c r="C1166" s="128"/>
      <c r="D1166" s="128"/>
      <c r="E1166" s="128"/>
      <c r="N1166" s="878"/>
      <c r="P1166" s="879"/>
      <c r="R1166" s="64"/>
      <c r="S1166" s="64"/>
      <c r="T1166" s="64"/>
      <c r="U1166" s="64"/>
    </row>
    <row r="1167" spans="1:21" s="71" customFormat="1" hidden="1">
      <c r="A1167" s="64"/>
      <c r="B1167" s="878"/>
      <c r="C1167" s="128"/>
      <c r="D1167" s="128"/>
      <c r="E1167" s="128"/>
      <c r="N1167" s="878"/>
      <c r="P1167" s="879"/>
      <c r="R1167" s="64"/>
      <c r="S1167" s="64"/>
      <c r="T1167" s="64"/>
      <c r="U1167" s="64"/>
    </row>
    <row r="1168" spans="1:21" s="71" customFormat="1" hidden="1">
      <c r="A1168" s="64"/>
      <c r="B1168" s="878"/>
      <c r="C1168" s="128"/>
      <c r="D1168" s="128"/>
      <c r="E1168" s="128"/>
      <c r="N1168" s="878"/>
      <c r="P1168" s="879"/>
      <c r="R1168" s="64"/>
      <c r="S1168" s="64"/>
      <c r="T1168" s="64"/>
      <c r="U1168" s="64"/>
    </row>
    <row r="1169" spans="1:21" s="71" customFormat="1" hidden="1">
      <c r="A1169" s="64"/>
      <c r="B1169" s="878"/>
      <c r="C1169" s="128"/>
      <c r="D1169" s="128"/>
      <c r="E1169" s="128"/>
      <c r="N1169" s="878"/>
      <c r="P1169" s="879"/>
      <c r="R1169" s="64"/>
      <c r="S1169" s="64"/>
      <c r="T1169" s="64"/>
      <c r="U1169" s="64"/>
    </row>
    <row r="1170" spans="1:21" s="71" customFormat="1" hidden="1">
      <c r="A1170" s="64"/>
      <c r="B1170" s="878"/>
      <c r="C1170" s="128"/>
      <c r="D1170" s="128"/>
      <c r="E1170" s="128"/>
      <c r="N1170" s="878"/>
      <c r="P1170" s="879"/>
      <c r="R1170" s="64"/>
      <c r="S1170" s="64"/>
      <c r="T1170" s="64"/>
      <c r="U1170" s="64"/>
    </row>
    <row r="1171" spans="1:21" s="71" customFormat="1" hidden="1">
      <c r="A1171" s="64"/>
      <c r="B1171" s="878"/>
      <c r="C1171" s="128"/>
      <c r="D1171" s="128"/>
      <c r="E1171" s="128"/>
      <c r="N1171" s="878"/>
      <c r="P1171" s="879"/>
      <c r="R1171" s="64"/>
      <c r="S1171" s="64"/>
      <c r="T1171" s="64"/>
      <c r="U1171" s="64"/>
    </row>
    <row r="1172" spans="1:21" s="71" customFormat="1" hidden="1">
      <c r="A1172" s="64"/>
      <c r="B1172" s="878"/>
      <c r="C1172" s="128"/>
      <c r="D1172" s="128"/>
      <c r="E1172" s="128"/>
      <c r="N1172" s="878"/>
      <c r="P1172" s="879"/>
      <c r="R1172" s="64"/>
      <c r="S1172" s="64"/>
      <c r="T1172" s="64"/>
      <c r="U1172" s="64"/>
    </row>
    <row r="1173" spans="1:21" s="71" customFormat="1" hidden="1">
      <c r="A1173" s="64"/>
      <c r="B1173" s="878"/>
      <c r="C1173" s="128"/>
      <c r="D1173" s="128"/>
      <c r="E1173" s="128"/>
      <c r="N1173" s="878"/>
      <c r="P1173" s="879"/>
      <c r="R1173" s="64"/>
      <c r="S1173" s="64"/>
      <c r="T1173" s="64"/>
      <c r="U1173" s="64"/>
    </row>
    <row r="1174" spans="1:21" s="71" customFormat="1" hidden="1">
      <c r="A1174" s="64"/>
      <c r="B1174" s="878"/>
      <c r="C1174" s="128"/>
      <c r="D1174" s="128"/>
      <c r="E1174" s="128"/>
      <c r="N1174" s="878"/>
      <c r="P1174" s="879"/>
      <c r="R1174" s="64"/>
      <c r="S1174" s="64"/>
      <c r="T1174" s="64"/>
      <c r="U1174" s="64"/>
    </row>
    <row r="1175" spans="1:21" hidden="1">
      <c r="A1175" s="64"/>
      <c r="B1175" s="878"/>
      <c r="C1175" s="128"/>
      <c r="D1175" s="128"/>
      <c r="E1175" s="128"/>
      <c r="F1175" s="71"/>
      <c r="G1175" s="71"/>
      <c r="H1175" s="71"/>
      <c r="I1175" s="71"/>
      <c r="J1175" s="71"/>
    </row>
  </sheetData>
  <sheetProtection sheet="1" selectLockedCells="1"/>
  <mergeCells count="10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s>
  <phoneticPr fontId="60" type="noConversion"/>
  <conditionalFormatting sqref="D13">
    <cfRule type="expression" dxfId="42" priority="75">
      <formula>$D$13=""</formula>
    </cfRule>
  </conditionalFormatting>
  <conditionalFormatting sqref="D17">
    <cfRule type="expression" dxfId="41" priority="1821">
      <formula>OR($D$19&gt;0,$D$21&gt;0)</formula>
    </cfRule>
  </conditionalFormatting>
  <conditionalFormatting sqref="D19">
    <cfRule type="expression" dxfId="40" priority="1826">
      <formula>OR($D$17&gt;0,$D$21&gt;0)</formula>
    </cfRule>
  </conditionalFormatting>
  <conditionalFormatting sqref="D21">
    <cfRule type="expression" dxfId="39" priority="1827">
      <formula>OR(D19&gt;0,D17&gt;0)</formula>
    </cfRule>
  </conditionalFormatting>
  <conditionalFormatting sqref="D28">
    <cfRule type="expression" dxfId="38" priority="74">
      <formula>$D$28=""</formula>
    </cfRule>
  </conditionalFormatting>
  <conditionalFormatting sqref="D29">
    <cfRule type="expression" dxfId="37" priority="73">
      <formula>$D$29=""</formula>
    </cfRule>
  </conditionalFormatting>
  <conditionalFormatting sqref="D30:D34">
    <cfRule type="expression" dxfId="36" priority="67">
      <formula>D30=""</formula>
    </cfRule>
  </conditionalFormatting>
  <conditionalFormatting sqref="K21">
    <cfRule type="expression" dxfId="35" priority="26">
      <formula>AND($K$21="",$L$21="")</formula>
    </cfRule>
  </conditionalFormatting>
  <conditionalFormatting sqref="K22:K25">
    <cfRule type="expression" dxfId="34" priority="62">
      <formula>K22=""</formula>
    </cfRule>
  </conditionalFormatting>
  <conditionalFormatting sqref="K33:K35">
    <cfRule type="expression" dxfId="33" priority="23">
      <formula>K33=""</formula>
    </cfRule>
  </conditionalFormatting>
  <conditionalFormatting sqref="L21">
    <cfRule type="expression" dxfId="32" priority="4">
      <formula>K22="w"</formula>
    </cfRule>
    <cfRule type="expression" dxfId="31" priority="27">
      <formula>K22="m"</formula>
    </cfRule>
  </conditionalFormatting>
  <conditionalFormatting sqref="N36:N37">
    <cfRule type="expression" dxfId="30" priority="39">
      <formula>ABS($P$36)&lt;5%</formula>
    </cfRule>
    <cfRule type="expression" dxfId="29" priority="35">
      <formula>P36=0</formula>
    </cfRule>
    <cfRule type="expression" dxfId="28" priority="36">
      <formula>ABS(P36)&gt;=5%</formula>
    </cfRule>
  </conditionalFormatting>
  <conditionalFormatting sqref="N39">
    <cfRule type="expression" dxfId="27" priority="487">
      <formula>P39=0</formula>
    </cfRule>
    <cfRule type="expression" dxfId="26" priority="488">
      <formula>ABS($P$39)&lt;$P$38</formula>
    </cfRule>
  </conditionalFormatting>
  <conditionalFormatting sqref="N39:O39">
    <cfRule type="expression" dxfId="25" priority="40">
      <formula>ABS($P$39)&gt;=$P$38</formula>
    </cfRule>
  </conditionalFormatting>
  <conditionalFormatting sqref="N40:P40">
    <cfRule type="expression" dxfId="24" priority="480">
      <formula>N40="Abänderung voraussichtlich nicht möglich"</formula>
    </cfRule>
    <cfRule type="expression" dxfId="23" priority="479">
      <formula>N40="Abänderung voraussichtlich möglich"</formula>
    </cfRule>
    <cfRule type="expression" dxfId="22" priority="478">
      <formula>$P$39=0</formula>
    </cfRule>
  </conditionalFormatting>
  <conditionalFormatting sqref="O19">
    <cfRule type="expression" dxfId="21" priority="41">
      <formula>O19=""</formula>
    </cfRule>
  </conditionalFormatting>
  <conditionalFormatting sqref="O22:O23">
    <cfRule type="expression" dxfId="20" priority="44">
      <formula>O22=""</formula>
    </cfRule>
  </conditionalFormatting>
  <conditionalFormatting sqref="O34">
    <cfRule type="expression" dxfId="19" priority="29">
      <formula>O34=""</formula>
    </cfRule>
  </conditionalFormatting>
  <conditionalFormatting sqref="O39">
    <cfRule type="expression" dxfId="18" priority="485">
      <formula>Q40=0</formula>
    </cfRule>
    <cfRule type="expression" dxfId="17" priority="486">
      <formula>ABS($P$39)&lt;$P$38</formula>
    </cfRule>
  </conditionalFormatting>
  <conditionalFormatting sqref="O5:P6">
    <cfRule type="expression" dxfId="16" priority="79">
      <formula>O5=""</formula>
    </cfRule>
  </conditionalFormatting>
  <conditionalFormatting sqref="P27:P28">
    <cfRule type="expression" dxfId="15" priority="54">
      <formula>P27=""</formula>
    </cfRule>
  </conditionalFormatting>
  <conditionalFormatting sqref="R33:T33">
    <cfRule type="expression" dxfId="14" priority="10">
      <formula>AND(S31&gt;0,S32&gt;0)</formula>
    </cfRule>
  </conditionalFormatting>
  <conditionalFormatting sqref="S17">
    <cfRule type="expression" dxfId="13" priority="12">
      <formula>AND($Y$9=3,$S$17="")</formula>
    </cfRule>
  </conditionalFormatting>
  <conditionalFormatting sqref="S21">
    <cfRule type="iconSet" priority="5">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8">
      <formula>S4="m"</formula>
    </cfRule>
    <cfRule type="expression" dxfId="11" priority="17">
      <formula>S4="w"</formula>
    </cfRule>
    <cfRule type="expression" dxfId="10" priority="16">
      <formula>S4="d"</formula>
    </cfRule>
  </conditionalFormatting>
  <conditionalFormatting sqref="S4:T10">
    <cfRule type="expression" dxfId="9" priority="13">
      <formula>S4=""</formula>
    </cfRule>
  </conditionalFormatting>
  <conditionalFormatting sqref="S18:T18">
    <cfRule type="expression" dxfId="8" priority="14">
      <formula>S18=1</formula>
    </cfRule>
  </conditionalFormatting>
  <conditionalFormatting sqref="T17">
    <cfRule type="expression" dxfId="7" priority="11">
      <formula>AND(Y9=3,T17="")</formula>
    </cfRule>
  </conditionalFormatting>
  <conditionalFormatting sqref="T21">
    <cfRule type="iconSet" priority="1">
      <iconSet iconSet="3Arrows">
        <cfvo type="percent" val="0"/>
        <cfvo type="num" val="$T$14*0.9"/>
        <cfvo type="num" val="$T$14"/>
      </iconSet>
    </cfRule>
  </conditionalFormatting>
  <conditionalFormatting sqref="T22">
    <cfRule type="iconSet" priority="6">
      <iconSet iconSet="3Arrows">
        <cfvo type="percent" val="0"/>
        <cfvo type="num" val="$T$19*0.9"/>
        <cfvo type="num" val="$T$19"/>
      </iconSet>
    </cfRule>
  </conditionalFormatting>
  <conditionalFormatting sqref="T24">
    <cfRule type="iconSet" priority="3">
      <iconSet iconSet="3Arrows">
        <cfvo type="percent" val="0"/>
        <cfvo type="num" val="$T$19*0.9"/>
        <cfvo type="num" val="$T$19"/>
      </iconSet>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s>
  <printOptions horizontalCentered="1" verticalCentered="1"/>
  <pageMargins left="0.11811023622047245" right="0.11811023622047245" top="0.19685039370078741" bottom="0.19685039370078741" header="0.31496062992125984" footer="0.31496062992125984"/>
  <pageSetup paperSize="9" scale="68" orientation="landscape" r:id="rId22"/>
  <drawing r:id="rId23"/>
  <legacyDrawing r:id="rId24"/>
  <mc:AlternateContent xmlns:mc="http://schemas.openxmlformats.org/markup-compatibility/2006">
    <mc:Choice Requires="x14">
      <controls>
        <mc:AlternateContent xmlns:mc="http://schemas.openxmlformats.org/markup-compatibility/2006">
          <mc:Choice Requires="x14">
            <control shapeId="4101" r:id="rId25"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6"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7"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8"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29"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0"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1"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2"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3"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924" t="s">
        <v>1838</v>
      </c>
      <c r="C1" s="3925"/>
      <c r="D1" s="3925"/>
      <c r="E1" s="3925"/>
      <c r="F1" s="3925"/>
      <c r="G1" s="3925"/>
      <c r="H1" s="3925"/>
      <c r="I1" s="3926"/>
      <c r="J1" s="64"/>
      <c r="K1" s="71"/>
      <c r="L1" s="847"/>
      <c r="M1" t="s">
        <v>217</v>
      </c>
      <c r="N1" s="847"/>
      <c r="O1" s="847"/>
    </row>
    <row r="2" spans="1:18" s="71" customFormat="1" ht="18" customHeight="1">
      <c r="A2" s="3972" t="s">
        <v>1995</v>
      </c>
      <c r="B2" s="3969" t="s">
        <v>1959</v>
      </c>
      <c r="C2" s="3970"/>
      <c r="D2" s="3970"/>
      <c r="E2" s="3970"/>
      <c r="F2" s="3971"/>
      <c r="G2" s="2194" t="str">
        <f>IFERROR(IF(G4&gt;0,"",IF(Dat_GebDat_M&gt;0,TEXT(Dat_GebDat_M,"TT.MM.JJJ")&amp;männlich,"")),"")</f>
        <v/>
      </c>
      <c r="H2" s="2154"/>
      <c r="I2" s="1795" t="str">
        <f>IFERROR(IF(I4&gt;0,"",IF(Dat_GebDat_F&gt;0,TEXT(Dat_GebDat_F,"TT.MM.JJJ")&amp;weiblich,"")),"")</f>
        <v/>
      </c>
      <c r="J2" s="64"/>
      <c r="K2" s="16">
        <f>IF(G3="m",1,IF(G3="w",2,3))</f>
        <v>1</v>
      </c>
      <c r="L2" s="16">
        <f>IF(I3="m",1,IF(I3="w",2,3))</f>
        <v>1</v>
      </c>
      <c r="M2" s="128" t="s">
        <v>263</v>
      </c>
      <c r="N2" s="847"/>
      <c r="O2" s="847"/>
    </row>
    <row r="3" spans="1:18" s="71" customFormat="1" ht="18" customHeight="1">
      <c r="A3" s="3972"/>
      <c r="B3" s="3435" t="s">
        <v>1960</v>
      </c>
      <c r="C3" s="3436"/>
      <c r="D3" s="3436"/>
      <c r="E3" s="3436"/>
      <c r="F3" s="3437"/>
      <c r="G3" s="1787" t="s">
        <v>217</v>
      </c>
      <c r="H3" s="2161"/>
      <c r="I3" s="1797" t="s">
        <v>217</v>
      </c>
      <c r="J3" s="64"/>
      <c r="L3" s="71" t="s">
        <v>190</v>
      </c>
      <c r="M3" s="128" t="s">
        <v>384</v>
      </c>
    </row>
    <row r="4" spans="1:18" s="71" customFormat="1" ht="18" customHeight="1">
      <c r="A4" s="3972"/>
      <c r="B4" s="3435" t="s">
        <v>1961</v>
      </c>
      <c r="C4" s="3436"/>
      <c r="D4" s="3436"/>
      <c r="E4" s="3436"/>
      <c r="F4" s="3437"/>
      <c r="G4" s="882">
        <v>27333</v>
      </c>
      <c r="H4" s="2153"/>
      <c r="I4" s="1798">
        <f>+G4</f>
        <v>27333</v>
      </c>
      <c r="J4" s="64"/>
      <c r="L4" s="1431" t="s">
        <v>1621</v>
      </c>
      <c r="M4" s="1431">
        <v>33238</v>
      </c>
      <c r="O4" s="1440" t="e">
        <f>ROUND(IF(#REF!&gt;M4,VLOOKUP(#REF!,VPI,3),VLOOKUP(#REF!,VPI,2)),2)</f>
        <v>#REF!</v>
      </c>
    </row>
    <row r="5" spans="1:18" s="71" customFormat="1" ht="18" customHeight="1">
      <c r="A5" s="3972"/>
      <c r="B5" s="3435" t="s">
        <v>1962</v>
      </c>
      <c r="C5" s="3436"/>
      <c r="D5" s="3436"/>
      <c r="E5" s="3436"/>
      <c r="F5" s="3437"/>
      <c r="G5" s="882">
        <v>45596</v>
      </c>
      <c r="H5" s="2153"/>
      <c r="I5" s="1798">
        <f>+G5</f>
        <v>45596</v>
      </c>
      <c r="J5" s="64"/>
      <c r="L5" s="1431"/>
      <c r="M5" s="1432" t="e">
        <f>ROUND(VLOOKUP(#REF!,VPI,3),2)</f>
        <v>#REF!</v>
      </c>
      <c r="N5" s="1431"/>
      <c r="O5" s="1440" t="e">
        <f>ROUND(IF(#REF!&gt;M4,VLOOKUP(#REF!,VPI,3),VLOOKUP(#REF!,VPI,2)),2)</f>
        <v>#REF!</v>
      </c>
    </row>
    <row r="6" spans="1:18" s="71" customFormat="1" ht="18" customHeight="1">
      <c r="A6" s="3972"/>
      <c r="B6" s="3435" t="s">
        <v>1963</v>
      </c>
      <c r="C6" s="3436"/>
      <c r="D6" s="3436"/>
      <c r="E6" s="3436"/>
      <c r="F6" s="3437"/>
      <c r="G6" s="317">
        <v>500</v>
      </c>
      <c r="H6" s="2162" t="s">
        <v>1980</v>
      </c>
      <c r="I6" s="2014">
        <v>7821</v>
      </c>
      <c r="J6" s="64"/>
      <c r="L6" s="71" t="s">
        <v>1844</v>
      </c>
      <c r="M6" s="620">
        <f>VLOOKUP(YEAR(G4),Regelaltersgrenze,3)</f>
        <v>67</v>
      </c>
      <c r="N6" s="620">
        <f>IF(DuD_RAltersgr1&lt;G11,0,ROUND(DuD_RAltersgr1-G11,2))</f>
        <v>15</v>
      </c>
      <c r="Q6" s="71">
        <f>VLOOKUP(G5,aktRW,2)</f>
        <v>39.32</v>
      </c>
    </row>
    <row r="7" spans="1:18" s="71" customFormat="1" ht="18" customHeight="1">
      <c r="A7" s="3972"/>
      <c r="B7" s="3435" t="str">
        <f>"6. Renteneintrittsalter (DRV: "&amp;TEXT(DuD_RAltersgr1,"0,00")&amp;" bzw. "&amp;TEXT(DuD_RAltersgr2,"0,00")&amp;" Jahre:"</f>
        <v>6. Renteneintrittsalter (DRV: 65,00 bzw. 65,00 Jahre:</v>
      </c>
      <c r="C7" s="3436"/>
      <c r="D7" s="3436"/>
      <c r="E7" s="3436"/>
      <c r="F7" s="3437"/>
      <c r="G7" s="875">
        <v>67</v>
      </c>
      <c r="H7" s="2163"/>
      <c r="I7" s="1799">
        <v>63</v>
      </c>
      <c r="J7" s="64"/>
      <c r="M7" s="620"/>
      <c r="N7" s="620"/>
      <c r="Q7" s="71">
        <f>VLOOKUP(G5,Umrechnungsfaktoren_BeitraginEP,2)</f>
        <v>1.185313E-4</v>
      </c>
    </row>
    <row r="8" spans="1:18" s="71" customFormat="1" ht="18" customHeight="1">
      <c r="A8" s="3972"/>
      <c r="B8" s="3435" t="s">
        <v>1964</v>
      </c>
      <c r="C8" s="3436"/>
      <c r="D8" s="3436"/>
      <c r="E8" s="3436"/>
      <c r="F8" s="3437"/>
      <c r="G8" s="427">
        <v>2.5999999999999999E-2</v>
      </c>
      <c r="H8" s="2164"/>
      <c r="I8" s="1800">
        <v>2.5999999999999999E-2</v>
      </c>
      <c r="J8" s="64"/>
      <c r="N8" s="16">
        <v>2</v>
      </c>
      <c r="Q8" s="71">
        <f>VLOOKUP(G5,UmrechnungEP_Kap,2)</f>
        <v>8436.5879999999997</v>
      </c>
    </row>
    <row r="9" spans="1:18" s="71" customFormat="1" ht="18" customHeight="1">
      <c r="A9" s="3972"/>
      <c r="B9" s="3435" t="s">
        <v>1965</v>
      </c>
      <c r="C9" s="3436"/>
      <c r="D9" s="3436"/>
      <c r="E9" s="3436"/>
      <c r="F9" s="3437"/>
      <c r="G9" s="427">
        <v>2.5999999999999999E-2</v>
      </c>
      <c r="H9" s="2164"/>
      <c r="I9" s="1800">
        <v>2.5999999999999999E-2</v>
      </c>
      <c r="J9" s="64"/>
      <c r="L9" s="540" t="s">
        <v>192</v>
      </c>
      <c r="M9" s="1339">
        <f>VLOOKUP(G5,BilmoGZins,16)/100</f>
        <v>1.9299999999999998E-2</v>
      </c>
      <c r="N9" s="540"/>
    </row>
    <row r="10" spans="1:18" s="71" customFormat="1" ht="18" customHeight="1">
      <c r="A10" s="3972"/>
      <c r="B10" s="2190" t="s">
        <v>1993</v>
      </c>
      <c r="C10" s="1681" t="s">
        <v>1982</v>
      </c>
      <c r="D10" s="1646">
        <v>1</v>
      </c>
      <c r="E10" s="1681" t="s">
        <v>1981</v>
      </c>
      <c r="F10" s="1646">
        <v>0.6</v>
      </c>
      <c r="G10" s="427"/>
      <c r="H10" s="2164"/>
      <c r="I10" s="1800"/>
      <c r="J10" s="64"/>
      <c r="L10" s="540"/>
      <c r="M10" s="1339"/>
      <c r="N10" s="540"/>
    </row>
    <row r="11" spans="1:18" s="71" customFormat="1" ht="18" customHeight="1">
      <c r="A11" s="3972"/>
      <c r="B11" s="3435" t="s">
        <v>1966</v>
      </c>
      <c r="C11" s="3436"/>
      <c r="D11" s="3436"/>
      <c r="E11" s="3436"/>
      <c r="F11" s="3437"/>
      <c r="G11" s="2195">
        <f>YEARFRAC(G4,G5,0)</f>
        <v>50</v>
      </c>
      <c r="H11" s="2165"/>
      <c r="I11" s="1801">
        <f>YEARFRAC(I4,I5,0)</f>
        <v>50</v>
      </c>
      <c r="J11" s="64"/>
      <c r="L11" s="978" t="s">
        <v>193</v>
      </c>
      <c r="M11" s="1339">
        <f>VLOOKUP(G5,BilMoG10,16)/100</f>
        <v>1.8799999999999997E-2</v>
      </c>
      <c r="N11" s="540"/>
      <c r="Q11" s="71">
        <f>VLOOKUP(G5,aktRW,2)*(1-(DuD_RAltersgr1-G7)*12*0.003)</f>
        <v>42.151040000000002</v>
      </c>
    </row>
    <row r="12" spans="1:18" s="71" customFormat="1" ht="18" customHeight="1">
      <c r="A12" s="3972"/>
      <c r="B12" s="3435" t="s">
        <v>1970</v>
      </c>
      <c r="C12" s="3436"/>
      <c r="D12" s="3436"/>
      <c r="E12" s="3436"/>
      <c r="F12" s="3437"/>
      <c r="G12" s="2195">
        <f>ROUND(IF(G11&lt;G7,G7-G11,0),2)</f>
        <v>17</v>
      </c>
      <c r="H12" s="2165"/>
      <c r="I12" s="1801">
        <f>IF(I11&lt;I7,I7-I11,0)</f>
        <v>13</v>
      </c>
      <c r="J12" s="64"/>
      <c r="L12" s="978" t="s">
        <v>1846</v>
      </c>
      <c r="M12" s="540"/>
      <c r="N12" s="540"/>
    </row>
    <row r="13" spans="1:18" s="71" customFormat="1" ht="18" customHeight="1">
      <c r="A13" s="3972"/>
      <c r="B13" s="3435" t="s">
        <v>1971</v>
      </c>
      <c r="C13" s="3436"/>
      <c r="D13" s="3436"/>
      <c r="E13" s="3436"/>
      <c r="F13" s="3437"/>
      <c r="G13" s="2195">
        <f>IFERROR(ROUND(VLOOKUP(IF(G7&lt;G11,G11,G7),CHOOSE(K2,Lebenserwartung_M_V2,Lebenserwartung_F_V2,Lebenserwartung_N_V2),YEAR(G4)+IF(MONTH(G4)&gt;6,1,0)-1900+2),2),"")</f>
        <v>20.84</v>
      </c>
      <c r="H13" s="2165"/>
      <c r="I13" s="1801">
        <f>IFERROR(ROUND(VLOOKUP(IF(I7&lt;I11,I11,I7),CHOOSE(L2,Lebenserwartung_M_V2,Lebenserwartung_F_V2,Lebenserwartung_N_V2),YEAR(I4)+IF(MONTH(I4)&gt;6,1,0)-1900+2),3),"")</f>
        <v>23.98</v>
      </c>
      <c r="J13" s="64"/>
      <c r="L13" s="978" t="s">
        <v>617</v>
      </c>
      <c r="M13" s="1339">
        <f>IF(G17&gt;0,G17,CHOOSE(N8,M9,M11,G17))</f>
        <v>1.8700000000000001E-2</v>
      </c>
      <c r="N13" s="1339">
        <f>IF(I17&gt;0,I17,CHOOSE(N8,M9,M11,I17))</f>
        <v>0.06</v>
      </c>
      <c r="Q13" s="71">
        <f>DuD_RAltersgr1</f>
        <v>65</v>
      </c>
    </row>
    <row r="14" spans="1:18" s="71" customFormat="1" ht="18" customHeight="1" thickBot="1">
      <c r="A14" s="3972"/>
      <c r="B14" s="3435" t="s">
        <v>1974</v>
      </c>
      <c r="C14" s="3436"/>
      <c r="D14" s="3436"/>
      <c r="E14" s="3436"/>
      <c r="F14" s="3437"/>
      <c r="G14" s="2196">
        <f>ROUND(G6*(1+G8)^(G12),2)</f>
        <v>773.53</v>
      </c>
      <c r="H14" s="2166"/>
      <c r="I14" s="1803">
        <f>-PMT(I17-I9,I13,I6*(1+I17)^I12)/12</f>
        <v>85.707569773820993</v>
      </c>
      <c r="J14" s="64"/>
      <c r="L14" s="71" t="e">
        <f>+#REF!</f>
        <v>#REF!</v>
      </c>
    </row>
    <row r="15" spans="1:18" s="71" customFormat="1" ht="24" customHeight="1" thickTop="1" thickBot="1">
      <c r="A15" s="3972"/>
      <c r="B15" s="3973" t="s">
        <v>1983</v>
      </c>
      <c r="C15" s="3974"/>
      <c r="D15" s="3974"/>
      <c r="E15" s="3974"/>
      <c r="F15" s="3975"/>
      <c r="G15" s="254">
        <f>-PV(-G9,G13,G14*12,,1)</f>
        <v>254377.84167538924</v>
      </c>
      <c r="H15" s="2167"/>
      <c r="I15" s="1809">
        <f>-PV(-I9,I13,I14*12,,1)</f>
        <v>33938.479196080363</v>
      </c>
      <c r="J15" s="2145"/>
      <c r="K15" s="71">
        <f>+I6*G15/I15</f>
        <v>58620.455213944588</v>
      </c>
      <c r="L15" s="71" t="s">
        <v>930</v>
      </c>
      <c r="M15" s="64">
        <f>VLOOKUP(EzE_P,aktRW,IF(Dies_und_Das_Ost,3,2))</f>
        <v>39.32</v>
      </c>
      <c r="O15" s="71" t="s">
        <v>1708</v>
      </c>
      <c r="Q15" s="71">
        <f>+(1-(DuD_RAltersgr1-G7)*12*0.003)</f>
        <v>1.0720000000000001</v>
      </c>
      <c r="R15" s="154">
        <f>(((1+G9)^G13-1)/G9)*G14*12</f>
        <v>252517.51896926365</v>
      </c>
    </row>
    <row r="16" spans="1:18" s="71" customFormat="1" ht="18" customHeight="1">
      <c r="A16" s="3972"/>
      <c r="B16" s="3435" t="s">
        <v>1967</v>
      </c>
      <c r="C16" s="3436"/>
      <c r="D16" s="3436"/>
      <c r="E16" s="3436"/>
      <c r="F16" s="3437"/>
      <c r="G16" s="2197">
        <f>+G15/12/G13</f>
        <v>1017.1858672240453</v>
      </c>
      <c r="H16" s="2168"/>
      <c r="I16" s="1806">
        <f>IFERROR(+I15/I13/12,"")</f>
        <v>117.94022517403518</v>
      </c>
      <c r="J16" s="64"/>
      <c r="L16" s="71" t="s">
        <v>931</v>
      </c>
      <c r="M16" s="64">
        <f>VLOOKUP(EzE_P,Umrechnungsfaktoren_BeitraginEP,IF(Dies_und_Das_Ost,3,2))</f>
        <v>1.185313E-4</v>
      </c>
      <c r="O16" s="71" t="s">
        <v>1709</v>
      </c>
    </row>
    <row r="17" spans="1:20" s="71" customFormat="1" ht="18" customHeight="1">
      <c r="A17" s="3972"/>
      <c r="B17" s="3346" t="str">
        <f>"15.ReZins f. BW-Berechnung: "&amp;TEXT(M13,"0,00%")</f>
        <v>15.ReZins f. BW-Berechnung: 1,87%</v>
      </c>
      <c r="C17" s="3976"/>
      <c r="D17" s="3976"/>
      <c r="E17" s="3976"/>
      <c r="F17" s="3347"/>
      <c r="G17" s="427">
        <v>1.8700000000000001E-2</v>
      </c>
      <c r="H17" s="2164"/>
      <c r="I17" s="1800">
        <v>0.06</v>
      </c>
      <c r="J17" s="64"/>
      <c r="L17" s="71" t="s">
        <v>1318</v>
      </c>
      <c r="M17" s="16" t="b">
        <v>0</v>
      </c>
      <c r="O17" s="71" t="s">
        <v>228</v>
      </c>
    </row>
    <row r="18" spans="1:20" s="71" customFormat="1" ht="18" customHeight="1">
      <c r="A18" s="3972"/>
      <c r="B18" s="3346" t="s">
        <v>1968</v>
      </c>
      <c r="C18" s="3976"/>
      <c r="D18" s="3976"/>
      <c r="E18" s="3976"/>
      <c r="F18" s="3347"/>
      <c r="G18" s="2198">
        <f>+N29</f>
        <v>0.90229999999999999</v>
      </c>
      <c r="H18" s="2164"/>
      <c r="I18" s="1800"/>
      <c r="J18" s="64"/>
      <c r="M18" s="16"/>
    </row>
    <row r="19" spans="1:20" s="2182" customFormat="1" ht="24" customHeight="1">
      <c r="A19" s="3972"/>
      <c r="B19" s="3977" t="str">
        <f>"17. Barwert der Altersrente der Quellversorgung (AusglWert) berechnet mit "&amp;TEXT(M13,"0,00%")&amp;": "</f>
        <v xml:space="preserve">17. Barwert der Altersrente der Quellversorgung (AusglWert) berechnet mit 1,87%: </v>
      </c>
      <c r="C19" s="3978"/>
      <c r="D19" s="3978"/>
      <c r="E19" s="3978"/>
      <c r="F19" s="3979"/>
      <c r="G19" s="2199">
        <f>IFERROR(ROUND(-PV(G17-G8,G12,,-PV(G17-G9,G13,G14*12)),)*(1+N33)*N29,"")</f>
        <v>277718.98196560005</v>
      </c>
      <c r="H19" s="2179"/>
      <c r="I19" s="2180">
        <f>IFERROR(IF(DuD_VVR1,IF(I11&gt;I7,1,ROUND(VLOOKUP(I7,CHOOSE(L2,G_Kohorte_M,G_Kohorte_F,G_Kohorte_N),YEAR(I4)+IF(MONTH(I4)&gt;6,1,0)-1900+2)/VLOOKUP(I11,CHOOSE(L2,G_Kohorte_M,G_Kohorte_F,G_Kohorte_N),YEAR(I4)+IF(MONTH(I4)&gt;6,1,0)-1900+2),4)),1),"")</f>
        <v>1</v>
      </c>
      <c r="J19" s="2181"/>
      <c r="L19" s="2182" t="s">
        <v>1840</v>
      </c>
      <c r="M19" s="2183" t="b">
        <v>1</v>
      </c>
      <c r="O19" s="2182" t="s">
        <v>269</v>
      </c>
      <c r="Q19" s="2192">
        <f>-PV(G17-G9,G13,G14*12)</f>
        <v>209760.71528190191</v>
      </c>
      <c r="R19" s="315"/>
      <c r="S19" s="71"/>
      <c r="T19" s="71"/>
    </row>
    <row r="20" spans="1:20" s="71" customFormat="1" ht="18" customHeight="1">
      <c r="A20" s="3972"/>
      <c r="B20" s="3964" t="s">
        <v>1969</v>
      </c>
      <c r="C20" s="3388"/>
      <c r="D20" s="3388"/>
      <c r="E20" s="3388"/>
      <c r="F20" s="3389"/>
      <c r="G20" s="2147"/>
      <c r="H20" s="2169"/>
      <c r="I20" s="2143" t="str">
        <f>IFERROR(ROUND(-PV(N13-I8,I12,,-PV(N13-I9,I13,#REF!*12))*(1+N33)*N29,0),"")</f>
        <v/>
      </c>
      <c r="J20" s="2145"/>
      <c r="Q20" s="154"/>
      <c r="R20" s="154"/>
    </row>
    <row r="21" spans="1:20" s="71" customFormat="1" ht="18" customHeight="1">
      <c r="B21" s="3964"/>
      <c r="C21" s="3388"/>
      <c r="D21" s="3388"/>
      <c r="E21" s="3388"/>
      <c r="F21" s="3389"/>
      <c r="G21" s="2209">
        <f>IF(G20=0,+G19,G20)</f>
        <v>277718.98196560005</v>
      </c>
      <c r="H21" s="2174"/>
      <c r="I21" s="2150"/>
      <c r="J21" s="64"/>
      <c r="K21" s="2173">
        <f>+G20/G19</f>
        <v>0</v>
      </c>
      <c r="L21" t="s">
        <v>255</v>
      </c>
      <c r="M21" s="4" t="s">
        <v>217</v>
      </c>
      <c r="N21" s="4">
        <f>IF(M21="m",1,IF(M21="w",2,3))</f>
        <v>1</v>
      </c>
      <c r="O21" s="154">
        <f>+G19*G15/G28</f>
        <v>107281.63487355395</v>
      </c>
      <c r="Q21" s="154"/>
      <c r="R21" s="154"/>
    </row>
    <row r="22" spans="1:20" s="71" customFormat="1" ht="18" customHeight="1">
      <c r="B22" s="3288" t="str">
        <f>"19. DRV-Rente zum Berechnungszeitpunkt "&amp;TEXT(G5,"TT.MM.JJJJ")&amp;IF(G7&lt;DuD_RAltersgr1,", ","")</f>
        <v>19. DRV-Rente zum Berechnungszeitpunkt 31.10.2024</v>
      </c>
      <c r="C22" s="3274"/>
      <c r="D22" s="3274"/>
      <c r="E22" s="3274"/>
      <c r="F22" s="3275"/>
      <c r="G22" s="2200">
        <f>ROUND(G21*VLOOKUP(G5,Umrechnungsfaktoren_BeitraginEP,2)*VLOOKUP(G5,aktRW,2),2)</f>
        <v>1294.3499999999999</v>
      </c>
      <c r="H22" s="2174"/>
      <c r="I22" s="2150"/>
      <c r="J22" s="64"/>
      <c r="K22" s="2173"/>
      <c r="L22" t="s">
        <v>1975</v>
      </c>
      <c r="M22" s="4">
        <f>ROUND(YEARFRAC(G4,G5,3),2)</f>
        <v>50.04</v>
      </c>
      <c r="N22" s="4" t="s">
        <v>217</v>
      </c>
      <c r="O22" s="154"/>
      <c r="Q22" s="154"/>
      <c r="R22" s="154"/>
    </row>
    <row r="23" spans="1:20" s="71" customFormat="1" ht="18" customHeight="1">
      <c r="B23" s="2191" t="str">
        <f>"Regel-Renteneintrittsalter: "</f>
        <v xml:space="preserve">Regel-Renteneintrittsalter: </v>
      </c>
      <c r="C23" s="2207">
        <f>+M6</f>
        <v>67</v>
      </c>
      <c r="D23" s="3274" t="s">
        <v>1996</v>
      </c>
      <c r="E23" s="3274"/>
      <c r="F23" s="2208"/>
      <c r="G23" s="2210">
        <f>IF(F23&gt;0,F23,M6)</f>
        <v>67</v>
      </c>
      <c r="H23" s="2174"/>
      <c r="I23" s="2150"/>
      <c r="J23" s="64"/>
      <c r="K23" s="2173"/>
      <c r="L23"/>
      <c r="M23" s="4"/>
      <c r="N23" s="4"/>
      <c r="O23" s="154"/>
      <c r="Q23" s="154"/>
      <c r="R23" s="154"/>
    </row>
    <row r="24" spans="1:20" s="71" customFormat="1" ht="18" customHeight="1">
      <c r="B24" s="3288" t="str">
        <f>"20. DRV-Rente zum Zeitpunkt des Renteneintritt, Dynamik: "&amp;TEXT(IF(F24&gt;0,F24,RententrendDRV),"0,00%")</f>
        <v>20. DRV-Rente zum Zeitpunkt des Renteneintritt, Dynamik: 2,60%</v>
      </c>
      <c r="C24" s="3274"/>
      <c r="D24" s="3274"/>
      <c r="E24" s="3275"/>
      <c r="F24" s="2186"/>
      <c r="G24" s="2200">
        <f>ROUND(G22*(1+IF(F24&gt;0,F24,K24))^IF(G23&lt;G11,0,G23-G11),2)</f>
        <v>2002.43</v>
      </c>
      <c r="H24" s="2170"/>
      <c r="I24" s="2151" t="e">
        <f>IF(I21&gt;0,I21,I20)*VLOOKUP(I5,Umrechnungsfaktoren_BeitraginEP,2)*VLOOKUP(I5,aktRW,2)*(1-(DuD_RAltersgr1-I7)*12*0.003)*(1+RententrendDRV)^I12</f>
        <v>#VALUE!</v>
      </c>
      <c r="J24" s="2145"/>
      <c r="K24" s="71">
        <f>IF(F24&gt;0,F24,RententrendDRV)</f>
        <v>2.5999999999999999E-2</v>
      </c>
      <c r="L24" t="s">
        <v>1409</v>
      </c>
      <c r="M24" s="4"/>
      <c r="N24" s="4" t="s">
        <v>263</v>
      </c>
      <c r="Q24" s="154"/>
      <c r="R24" s="154"/>
    </row>
    <row r="25" spans="1:20" s="71" customFormat="1" ht="18" customHeight="1">
      <c r="B25" s="3273" t="str">
        <f>IF(G23&lt;G11,"","Verminderung wg.vorzeitigem Renteneintrittsalter ("&amp;TEXT(G24,"0,00")&amp;" x (1 - "&amp;TEXT((M6-G7)*12,"0")&amp;" x 0,3%) - § 77 SGB VI ")</f>
        <v xml:space="preserve">Verminderung wg.vorzeitigem Renteneintrittsalter (2002,43 x (1 - 0 x 0,3%) - § 77 SGB VI </v>
      </c>
      <c r="C25" s="3980"/>
      <c r="D25" s="3980"/>
      <c r="E25" s="3980"/>
      <c r="F25" s="3981"/>
      <c r="G25" s="2201">
        <f>ROUND(+(1-(M6-G7)*12*0.003)*G24,2)</f>
        <v>2002.43</v>
      </c>
      <c r="H25" s="2170"/>
      <c r="I25" s="2151"/>
      <c r="J25" s="2145"/>
      <c r="M25" s="128"/>
      <c r="N25" s="4" t="s">
        <v>1378</v>
      </c>
      <c r="O25" s="2173"/>
      <c r="Q25" s="1730"/>
      <c r="R25" s="154"/>
    </row>
    <row r="26" spans="1:20" s="2182" customFormat="1" ht="24" customHeight="1">
      <c r="B26" s="3429" t="s">
        <v>1973</v>
      </c>
      <c r="C26" s="3430"/>
      <c r="D26" s="3430"/>
      <c r="E26" s="3430"/>
      <c r="F26" s="3431"/>
      <c r="G26" s="2202">
        <f>-PV(G17-K24,G12,,-PV(G17-K24,G13,G22*12))*(1+N33)*N29</f>
        <v>464708.61568525375</v>
      </c>
      <c r="I26" s="2187"/>
      <c r="J26" s="2188"/>
      <c r="O26" s="2189"/>
      <c r="P26" s="2193">
        <f>-PV(G17-K24,G13,G25*12)</f>
        <v>543005.63533662411</v>
      </c>
      <c r="Q26" s="1730"/>
      <c r="S26" s="71"/>
      <c r="T26" s="71"/>
    </row>
    <row r="27" spans="1:20" s="71" customFormat="1" ht="18" customHeight="1">
      <c r="B27" s="3982" t="str">
        <f>"21. KoKa DRV zum "&amp;TEXT(G5,"TT.MM.JJJJ")</f>
        <v>21. KoKa DRV zum 31.10.2024</v>
      </c>
      <c r="C27" s="3983"/>
      <c r="D27" s="3983"/>
      <c r="E27" s="3983"/>
      <c r="F27" s="3984"/>
      <c r="G27" s="2203">
        <f>IFERROR(ROUND(G22/VLOOKUP(G5,aktRW,2),4)*VLOOKUP(G5,UmrechnungEP_Kap,2),"")</f>
        <v>277718.97841919999</v>
      </c>
      <c r="H27" s="2171"/>
      <c r="I27" s="2152" t="e">
        <f>-PV(N13-RententrendDRV,I13,I24*12)</f>
        <v>#VALUE!</v>
      </c>
      <c r="J27" s="2145"/>
      <c r="L27" s="2524" t="s">
        <v>1483</v>
      </c>
      <c r="M27" s="2524" t="s">
        <v>1484</v>
      </c>
      <c r="N27" s="2524" t="s">
        <v>1361</v>
      </c>
      <c r="P27" s="154"/>
    </row>
    <row r="28" spans="1:20" s="800" customFormat="1" ht="24" customHeight="1">
      <c r="B28" s="3429" t="s">
        <v>1984</v>
      </c>
      <c r="C28" s="3430"/>
      <c r="D28" s="3430"/>
      <c r="E28" s="3430"/>
      <c r="F28" s="3431"/>
      <c r="G28" s="2204">
        <f>-PV(-RententrendDRV,G13,G25*12,,1)</f>
        <v>658505.58026973694</v>
      </c>
      <c r="I28" s="2184">
        <f>IFERROR(ROUND(I6/VLOOKUP(I5,aktRW,2),4)*VLOOKUP(I5,UmrechnungEP_Kap,2),"")</f>
        <v>1678091.3473631998</v>
      </c>
      <c r="J28" s="2185"/>
      <c r="L28" s="2525"/>
      <c r="M28" s="2525"/>
      <c r="N28" s="2525"/>
      <c r="S28" s="71"/>
      <c r="T28" s="71"/>
    </row>
    <row r="29" spans="1:20" s="71" customFormat="1" ht="18" customHeight="1">
      <c r="B29" s="3955" t="s">
        <v>1985</v>
      </c>
      <c r="C29" s="3955"/>
      <c r="D29" s="3955"/>
      <c r="E29" s="3955"/>
      <c r="F29" s="3955"/>
      <c r="G29" s="3956"/>
      <c r="H29" s="2170"/>
      <c r="I29" s="3967" t="e">
        <f>-PV(-RententrendDRV,I13,I24*12)</f>
        <v>#VALUE!</v>
      </c>
      <c r="J29" s="2144"/>
      <c r="K29" s="71" t="s">
        <v>1989</v>
      </c>
      <c r="L29" s="1539">
        <f>IFERROR(VLOOKUP(ROUND(G7,0),CHOOSE(N21,G_Kohorte_M,G_Kohorte_F,G_Kohorte_N),YEAR(G4)+IF(MONTH(G4)&gt;6,1,0)-1900+2),0)</f>
        <v>84458</v>
      </c>
      <c r="M29" s="1539">
        <f>IFERROR(VLOOKUP(ROUND(G11,0),CHOOSE(N21,G_Kohorte_M,G_Kohorte_F,G_Kohorte_N),YEAR(G4)+IF(MONTH(G4)&gt;6,1,0)-1900+2),0)</f>
        <v>93607</v>
      </c>
      <c r="N29" s="1538">
        <f t="shared" ref="N29" si="0">+IFERROR(ROUND(IF(L29/M29&gt;1,1,L29/M29),4),0)</f>
        <v>0.90229999999999999</v>
      </c>
      <c r="P29" s="154"/>
    </row>
    <row r="30" spans="1:20" s="71" customFormat="1" ht="18" customHeight="1" thickBot="1">
      <c r="B30" s="3957"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58"/>
      <c r="D30" s="3958"/>
      <c r="E30" s="3958"/>
      <c r="F30" s="3958"/>
      <c r="G30" s="3959"/>
      <c r="H30" s="2172"/>
      <c r="I30" s="3968"/>
      <c r="J30" s="2145"/>
      <c r="K30" s="71" t="s">
        <v>1991</v>
      </c>
      <c r="L30" s="1539">
        <f>IFERROR(VLOOKUP(ROUND(G7,0),CHOOSE(N21,G_Kohorte_M,G_Kohorte_F,G_Kohorte_N),YEAR(G4)+IF(MONTH(G4)&gt;6,1,0)-1900+2),0)</f>
        <v>84458</v>
      </c>
      <c r="M30" s="1539">
        <f>+M29</f>
        <v>93607</v>
      </c>
      <c r="N30" s="1538">
        <f>IFERROR(+L30/M30,"")</f>
        <v>0.90226158300127124</v>
      </c>
    </row>
    <row r="31" spans="1:20" ht="15" customHeight="1" thickTop="1">
      <c r="B31" s="3957"/>
      <c r="C31" s="3958"/>
      <c r="D31" s="3958"/>
      <c r="E31" s="3958"/>
      <c r="F31" s="3958"/>
      <c r="G31" s="3959"/>
      <c r="H31" s="2160"/>
      <c r="I31" s="2160"/>
      <c r="J31" s="2145"/>
      <c r="K31" s="71"/>
      <c r="L31" s="2524" t="s">
        <v>1976</v>
      </c>
      <c r="M31" s="2524" t="s">
        <v>1977</v>
      </c>
      <c r="N31" s="2524" t="s">
        <v>1978</v>
      </c>
      <c r="O31" s="71"/>
      <c r="S31" s="71"/>
      <c r="T31" s="71"/>
    </row>
    <row r="32" spans="1:20" ht="15" customHeight="1">
      <c r="B32" s="3960" t="s">
        <v>1986</v>
      </c>
      <c r="C32" s="2944" t="s">
        <v>559</v>
      </c>
      <c r="D32" s="2944"/>
      <c r="E32" s="3965"/>
      <c r="F32" s="2944" t="s">
        <v>1988</v>
      </c>
      <c r="G32" s="3962"/>
      <c r="L32" s="2525"/>
      <c r="M32" s="2525"/>
      <c r="N32" s="2525"/>
      <c r="S32" s="71"/>
      <c r="T32" s="71"/>
    </row>
    <row r="33" spans="2:20">
      <c r="B33" s="3960"/>
      <c r="C33" s="3961">
        <f>IF(G26&gt;G21,G26/G21,G21/G26)-1</f>
        <v>0.67330519648388809</v>
      </c>
      <c r="D33" s="3961"/>
      <c r="E33" s="3966"/>
      <c r="F33" s="3961">
        <f>G15/G28</f>
        <v>0.38629565078429712</v>
      </c>
      <c r="G33" s="3963"/>
      <c r="H33" s="1484"/>
      <c r="K33" t="s">
        <v>1989</v>
      </c>
      <c r="L33" s="1537">
        <f>ROUND(VLOOKUP(G11,CHOOSE(IF(G7&lt;60,60,IF(G7&gt;67,67,G7))-59,HRIR60,HRIR61,HRIR62,HRIR63,HRIR64,HRIR,HRIR66,HRIR67),CHOOSE(N21,7,16,25))*D10,4)</f>
        <v>9.4299999999999995E-2</v>
      </c>
      <c r="M33" s="1537">
        <f>ROUND(VLOOKUP(G11,CHOOSE(IF(G7&lt;60,60,IF(G7&gt;67,67,G7))-59,HRIR60,HRIR61,HRIR62,HRIR63,HRIR64,HRIR,HRIR66,HRIR67),CHOOSE(N21,8,17,26))*F10,4)</f>
        <v>0.20119999999999999</v>
      </c>
      <c r="N33" s="1537">
        <f>+M33+L33</f>
        <v>0.29549999999999998</v>
      </c>
      <c r="S33" s="71"/>
      <c r="T33" s="71"/>
    </row>
    <row r="34" spans="2:20" ht="16.5" customHeight="1">
      <c r="B34" s="2205" t="str">
        <f>"Der Ausgleichswert von "&amp;TEXT(G21,"#.##0")&amp;" ist daher zu erhöhen auf:"</f>
        <v>Der Ausgleichswert von 277.719 ist daher zu erhöhen auf:</v>
      </c>
      <c r="C34" s="3952">
        <f>+G21*G19/G26</f>
        <v>165970.30986885729</v>
      </c>
      <c r="D34" s="3952"/>
      <c r="E34" s="2206" t="s">
        <v>1987</v>
      </c>
      <c r="F34" s="3953">
        <f>G21*G15/G28</f>
        <v>107281.63487355395</v>
      </c>
      <c r="G34" s="3954"/>
      <c r="H34" s="58"/>
      <c r="K34" t="s">
        <v>1990</v>
      </c>
      <c r="L34" s="1537">
        <f>ROUND(VLOOKUP(G11,CHOOSE(IF(G7&lt;60,60,IF(G7&gt;67,67,G7))-59,HRIR60,HRIR61,HRIR62,HRIR63,HRIR64,HRIR,HRIR66,HRIR67),CHOOSE(N21,7,16,25)),4)</f>
        <v>9.4299999999999995E-2</v>
      </c>
      <c r="M34" s="1537">
        <f>ROUND(VLOOKUP(G11,CHOOSE(IF(G7&lt;60,60,IF(G7&gt;67,67,G7))-59,HRIR60,HRIR61,HRIR62,HRIR63,HRIR64,HRIR,HRIR66,HRIR67),CHOOSE(N21,8,17,26))*0.55,4)</f>
        <v>0.18440000000000001</v>
      </c>
      <c r="N34" s="1537">
        <f>+M34+L34</f>
        <v>0.2787</v>
      </c>
    </row>
    <row r="35" spans="2:20" ht="15">
      <c r="B35" s="2205" t="s">
        <v>1992</v>
      </c>
      <c r="C35" s="3952">
        <f>+C34-G21</f>
        <v>-111748.67209674275</v>
      </c>
      <c r="D35" s="3952"/>
      <c r="E35" s="2206"/>
      <c r="F35" s="3953">
        <f>+F34-G21</f>
        <v>-170437.34709204611</v>
      </c>
      <c r="G35" s="3954"/>
      <c r="H35" s="58"/>
      <c r="M35" s="149"/>
    </row>
    <row r="36" spans="2:20" ht="15">
      <c r="B36" s="2205" t="s">
        <v>1994</v>
      </c>
      <c r="C36" s="3952">
        <f>+G21</f>
        <v>277718.98196560005</v>
      </c>
      <c r="D36" s="3952"/>
      <c r="E36" s="2206"/>
      <c r="F36" s="3953">
        <f>+G21</f>
        <v>277718.98196560005</v>
      </c>
      <c r="G36" s="3954"/>
      <c r="H36" s="4"/>
      <c r="M36" s="149"/>
    </row>
    <row r="37" spans="2:20">
      <c r="G37" s="1484"/>
      <c r="H37" s="1484"/>
    </row>
    <row r="38" spans="2:20">
      <c r="G38" s="1484"/>
      <c r="H38" s="1484"/>
    </row>
    <row r="39" spans="2:20">
      <c r="G39" s="1484"/>
      <c r="H39" s="1484"/>
    </row>
    <row r="40" spans="2:20">
      <c r="G40" s="1482"/>
      <c r="H40" s="1482"/>
    </row>
    <row r="41" spans="2:20" ht="15">
      <c r="B41" s="404"/>
      <c r="C41" s="404"/>
      <c r="D41" s="404"/>
      <c r="E41" s="404"/>
      <c r="F41" s="404"/>
      <c r="G41" s="2035"/>
      <c r="H41" s="2035"/>
    </row>
    <row r="42" spans="2:20">
      <c r="G42" s="2155"/>
      <c r="H42" s="2155"/>
    </row>
    <row r="43" spans="2:20">
      <c r="G43" s="2155"/>
      <c r="H43" s="2155"/>
      <c r="P43" s="1142" t="s">
        <v>1979</v>
      </c>
      <c r="Q43" s="1142" t="e">
        <f>VLOOKUP(YEAR(#REF!),Regelaltersgrenze,2)</f>
        <v>#REF!</v>
      </c>
      <c r="R43" s="2159" t="e">
        <f>DATE(YEAR(#REF!)+65,MONTH(#REF!+Q43)+1,1)</f>
        <v>#REF!</v>
      </c>
    </row>
    <row r="44" spans="2:20">
      <c r="I44" s="1730"/>
      <c r="P44" s="1142"/>
      <c r="Q44" s="1142"/>
      <c r="R44" s="2156"/>
    </row>
    <row r="45" spans="2:20">
      <c r="I45" s="1730"/>
      <c r="P45" s="2157"/>
      <c r="Q45" s="2157"/>
      <c r="R45" s="2158"/>
    </row>
    <row r="47" spans="2:20">
      <c r="G47" s="1730"/>
      <c r="H47" s="1730"/>
    </row>
    <row r="48" spans="2:20">
      <c r="G48" s="1175"/>
      <c r="H48" s="1175"/>
    </row>
    <row r="49" spans="7:8">
      <c r="G49" s="1730"/>
      <c r="H49" s="1730"/>
    </row>
    <row r="50" spans="7:8">
      <c r="G50" s="1730"/>
      <c r="H50" s="1730"/>
    </row>
    <row r="51" spans="7:8">
      <c r="G51" s="1730"/>
      <c r="H51" s="1730"/>
    </row>
  </sheetData>
  <mergeCells count="49">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B24:E24"/>
    <mergeCell ref="C36:D36"/>
    <mergeCell ref="F36:G36"/>
    <mergeCell ref="B21:F21"/>
    <mergeCell ref="E32:E33"/>
    <mergeCell ref="N27:N28"/>
    <mergeCell ref="C35:D35"/>
    <mergeCell ref="F35:G35"/>
    <mergeCell ref="B29:G29"/>
    <mergeCell ref="C34:D34"/>
    <mergeCell ref="B30:G31"/>
    <mergeCell ref="B32:B33"/>
    <mergeCell ref="C32:D32"/>
    <mergeCell ref="C33:D33"/>
    <mergeCell ref="F32:G32"/>
    <mergeCell ref="F33:G33"/>
    <mergeCell ref="F34:G34"/>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dimension ref="A1:CA493"/>
  <sheetViews>
    <sheetView workbookViewId="0">
      <selection activeCell="H27" sqref="H27"/>
    </sheetView>
  </sheetViews>
  <sheetFormatPr baseColWidth="10" defaultColWidth="11" defaultRowHeight="14.25"/>
  <cols>
    <col min="1" max="1" width="14" style="2284" customWidth="1"/>
    <col min="2" max="2" width="19.75" style="2284" customWidth="1"/>
    <col min="3" max="12" width="12.375" style="2284" customWidth="1"/>
    <col min="13" max="13" width="11.375" style="2284" bestFit="1" customWidth="1"/>
    <col min="14" max="14" width="11" style="2284"/>
    <col min="15" max="15" width="11" style="2284" customWidth="1"/>
    <col min="16" max="16384" width="11" style="2284"/>
  </cols>
  <sheetData>
    <row r="1" spans="1:79" s="2285" customFormat="1" ht="15" thickBot="1">
      <c r="A1" s="2285" t="s">
        <v>2029</v>
      </c>
      <c r="B1" s="2286" t="s">
        <v>2030</v>
      </c>
      <c r="C1" s="2287" t="str">
        <f>IF(Dat_EzA&gt;0,Dat_EzA,"")</f>
        <v/>
      </c>
      <c r="D1" s="2286" t="s">
        <v>2031</v>
      </c>
      <c r="E1" s="2287" t="str">
        <f>IF(Dat_EzE&gt;0,Dat_EzE,"")</f>
        <v/>
      </c>
      <c r="F1" s="2286" t="s">
        <v>2032</v>
      </c>
      <c r="G1" s="2287" t="str">
        <f>IF(Dat_GebDatM&gt;0,Dat_GebDatM,"")</f>
        <v/>
      </c>
      <c r="H1" s="2286" t="s">
        <v>2033</v>
      </c>
      <c r="I1" s="2287" t="str">
        <f>IF(Dat_GebDatF&gt;0,Dat_GebDatF,"")</f>
        <v/>
      </c>
    </row>
    <row r="2" spans="1:79">
      <c r="A2" s="15"/>
      <c r="B2" s="15"/>
      <c r="C2" s="15"/>
      <c r="D2" s="15"/>
      <c r="E2" s="2312"/>
      <c r="F2" s="2312"/>
      <c r="G2" s="15"/>
      <c r="H2" s="15"/>
      <c r="I2" s="15"/>
      <c r="J2" s="15"/>
      <c r="K2" s="15"/>
      <c r="L2" s="15"/>
      <c r="M2" s="15"/>
      <c r="N2" s="15"/>
      <c r="O2" s="15"/>
      <c r="P2" s="15"/>
      <c r="Q2" s="15"/>
      <c r="R2" s="15"/>
      <c r="S2" s="15"/>
      <c r="T2" s="15"/>
      <c r="U2" s="15"/>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0"/>
      <c r="AW2" s="2290"/>
      <c r="AX2" s="2290"/>
      <c r="AY2" s="2290"/>
      <c r="AZ2" s="2290"/>
      <c r="BA2" s="2290"/>
      <c r="BB2" s="2290"/>
      <c r="BC2" s="2290"/>
      <c r="BD2" s="2290"/>
      <c r="BE2" s="2290"/>
      <c r="BF2" s="2290"/>
      <c r="BG2" s="2290"/>
      <c r="BH2" s="2290"/>
      <c r="BI2" s="2290"/>
      <c r="BJ2" s="2290"/>
      <c r="BK2" s="2290"/>
      <c r="BL2" s="2290"/>
      <c r="BM2" s="2290"/>
      <c r="BN2" s="2290"/>
      <c r="BO2" s="2290"/>
      <c r="BP2" s="2290"/>
      <c r="BQ2" s="2290"/>
      <c r="BR2" s="2290"/>
      <c r="BS2" s="2290"/>
      <c r="BT2" s="2290"/>
      <c r="BU2" s="2290"/>
      <c r="BV2" s="2290"/>
      <c r="BW2" s="2290"/>
      <c r="BX2" s="2290"/>
      <c r="BY2" s="2290"/>
      <c r="BZ2" s="2290"/>
      <c r="CA2" s="2290"/>
    </row>
    <row r="3" spans="1:79">
      <c r="A3" s="15"/>
      <c r="B3" s="2313"/>
      <c r="C3" s="2313"/>
      <c r="D3" s="15"/>
      <c r="E3" s="2313"/>
      <c r="F3" s="15"/>
      <c r="G3" s="15"/>
      <c r="H3" s="15"/>
      <c r="I3" s="15"/>
      <c r="J3" s="15"/>
      <c r="K3" s="15"/>
      <c r="L3" s="15"/>
      <c r="M3" s="15"/>
      <c r="N3" s="15"/>
      <c r="O3" s="15"/>
      <c r="P3" s="15"/>
      <c r="Q3" s="15"/>
      <c r="R3" s="15"/>
      <c r="S3" s="15"/>
      <c r="T3" s="15"/>
      <c r="U3" s="15"/>
      <c r="V3" s="2290"/>
      <c r="W3" s="2290"/>
      <c r="X3" s="2290"/>
      <c r="Y3" s="2290"/>
      <c r="Z3" s="2290"/>
      <c r="AA3" s="2290"/>
      <c r="AB3" s="2290"/>
      <c r="AC3" s="2290"/>
      <c r="AD3" s="2290"/>
      <c r="AE3" s="2290"/>
      <c r="AF3" s="2290"/>
      <c r="AG3" s="2290"/>
      <c r="AH3" s="2290"/>
      <c r="AI3" s="2290"/>
      <c r="AJ3" s="2290"/>
      <c r="AK3" s="2290"/>
      <c r="AL3" s="2290"/>
      <c r="AM3" s="2290"/>
      <c r="AN3" s="2290"/>
      <c r="AO3" s="2290"/>
      <c r="AP3" s="2290"/>
      <c r="AQ3" s="2290"/>
      <c r="AR3" s="2290"/>
      <c r="AS3" s="2290"/>
      <c r="AT3" s="2290"/>
      <c r="AU3" s="2290"/>
      <c r="AV3" s="2290"/>
      <c r="AW3" s="2290"/>
      <c r="AX3" s="2290"/>
      <c r="AY3" s="2290"/>
      <c r="AZ3" s="2290"/>
      <c r="BA3" s="2290"/>
      <c r="BB3" s="2290"/>
      <c r="BC3" s="2290"/>
      <c r="BD3" s="2290"/>
      <c r="BE3" s="2290"/>
      <c r="BF3" s="2290"/>
      <c r="BG3" s="2290"/>
      <c r="BH3" s="2290"/>
      <c r="BI3" s="2290"/>
      <c r="BJ3" s="2290"/>
      <c r="BK3" s="2290"/>
      <c r="BL3" s="2290"/>
      <c r="BM3" s="2290"/>
      <c r="BN3" s="2290"/>
      <c r="BO3" s="2290"/>
      <c r="BP3" s="2290"/>
      <c r="BQ3" s="2290"/>
      <c r="BR3" s="2290"/>
      <c r="BS3" s="2290"/>
      <c r="BT3" s="2290"/>
      <c r="BU3" s="2290"/>
      <c r="BV3" s="2290"/>
      <c r="BW3" s="2290"/>
      <c r="BX3" s="2290"/>
      <c r="BY3" s="2290"/>
      <c r="BZ3" s="2290"/>
      <c r="CA3" s="2290"/>
    </row>
    <row r="4" spans="1:79">
      <c r="A4" s="15"/>
      <c r="B4" s="2313"/>
      <c r="C4" s="2313"/>
      <c r="D4" s="2313"/>
      <c r="E4" s="2313"/>
      <c r="F4" s="2311"/>
      <c r="G4" s="2313"/>
      <c r="H4" s="2311"/>
      <c r="I4" s="16"/>
      <c r="J4" s="15"/>
      <c r="K4" s="15"/>
      <c r="L4" s="15"/>
      <c r="M4" s="15"/>
      <c r="N4" s="15"/>
      <c r="O4" s="15"/>
      <c r="P4" s="15"/>
      <c r="Q4" s="15"/>
      <c r="R4" s="15"/>
      <c r="S4" s="15"/>
      <c r="T4" s="15"/>
      <c r="U4" s="15"/>
      <c r="V4" s="2290"/>
      <c r="W4" s="2290"/>
      <c r="X4" s="2290"/>
      <c r="Y4" s="2290"/>
      <c r="Z4" s="2290"/>
      <c r="AA4" s="2290"/>
      <c r="AB4" s="2290"/>
      <c r="AC4" s="2290"/>
      <c r="AD4" s="2290"/>
      <c r="AE4" s="2290"/>
      <c r="AF4" s="2290"/>
      <c r="AG4" s="2290"/>
      <c r="AH4" s="2290"/>
      <c r="AI4" s="2290"/>
      <c r="AJ4" s="2290"/>
      <c r="AK4" s="2290"/>
      <c r="AL4" s="2290"/>
      <c r="AM4" s="2290"/>
      <c r="AN4" s="2290"/>
      <c r="AO4" s="2290"/>
      <c r="AP4" s="2290"/>
      <c r="AQ4" s="2290"/>
      <c r="AR4" s="2290"/>
      <c r="AS4" s="2290"/>
      <c r="AT4" s="2290"/>
      <c r="AU4" s="2290"/>
      <c r="AV4" s="2290"/>
      <c r="AW4" s="2290"/>
      <c r="AX4" s="2290"/>
      <c r="AY4" s="2290"/>
      <c r="AZ4" s="2290"/>
      <c r="BA4" s="2290"/>
      <c r="BB4" s="2290"/>
      <c r="BC4" s="2290"/>
      <c r="BD4" s="2290"/>
      <c r="BE4" s="2290"/>
      <c r="BF4" s="2290"/>
      <c r="BG4" s="2290"/>
      <c r="BH4" s="2290"/>
      <c r="BI4" s="2290"/>
      <c r="BJ4" s="2290"/>
      <c r="BK4" s="2290"/>
      <c r="BL4" s="2290"/>
      <c r="BM4" s="2290"/>
      <c r="BN4" s="2290"/>
      <c r="BO4" s="2290"/>
      <c r="BP4" s="2290"/>
      <c r="BQ4" s="2290"/>
      <c r="BR4" s="2290"/>
      <c r="BS4" s="2290"/>
      <c r="BT4" s="2290"/>
      <c r="BU4" s="2290"/>
      <c r="BV4" s="2290"/>
      <c r="BW4" s="2290"/>
      <c r="BX4" s="2290"/>
      <c r="BY4" s="2290"/>
      <c r="BZ4" s="2290"/>
      <c r="CA4" s="2290"/>
    </row>
    <row r="5" spans="1:79">
      <c r="A5" s="15"/>
      <c r="B5" s="2313"/>
      <c r="C5" s="2313"/>
      <c r="D5" s="2313"/>
      <c r="E5" s="2313"/>
      <c r="F5" s="2311"/>
      <c r="G5" s="2313"/>
      <c r="H5" s="2311"/>
      <c r="I5" s="16"/>
      <c r="J5" s="15"/>
      <c r="K5" s="15"/>
      <c r="L5" s="15"/>
      <c r="M5" s="15"/>
      <c r="N5" s="15"/>
      <c r="O5" s="15"/>
      <c r="P5" s="15"/>
      <c r="Q5" s="15"/>
      <c r="R5" s="15"/>
      <c r="S5" s="15"/>
      <c r="T5" s="15"/>
      <c r="U5" s="15"/>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BT5" s="2290"/>
      <c r="BU5" s="2290"/>
      <c r="BV5" s="2290"/>
      <c r="BW5" s="2290"/>
      <c r="BX5" s="2290"/>
      <c r="BY5" s="2290"/>
      <c r="BZ5" s="2290"/>
      <c r="CA5" s="2290"/>
    </row>
    <row r="6" spans="1:79">
      <c r="A6" s="15"/>
      <c r="B6" s="2313"/>
      <c r="C6" s="2313"/>
      <c r="D6" s="1704"/>
      <c r="E6" s="1704"/>
      <c r="F6" s="2311"/>
      <c r="G6" s="2313"/>
      <c r="H6" s="2311"/>
      <c r="I6" s="16"/>
      <c r="J6" s="15"/>
      <c r="K6" s="15"/>
      <c r="L6" s="15"/>
      <c r="M6" s="15"/>
      <c r="N6" s="15"/>
      <c r="O6" s="15"/>
      <c r="P6" s="15"/>
      <c r="Q6" s="15"/>
      <c r="R6" s="15"/>
      <c r="S6" s="15"/>
      <c r="T6" s="15"/>
      <c r="U6" s="15"/>
      <c r="V6" s="2290"/>
      <c r="W6" s="2290"/>
      <c r="X6" s="2290"/>
      <c r="Y6" s="2290"/>
      <c r="Z6" s="2290"/>
      <c r="AA6" s="2290"/>
      <c r="AB6" s="2290"/>
      <c r="AC6" s="2290"/>
      <c r="AD6" s="2290"/>
      <c r="AE6" s="2290"/>
      <c r="AF6" s="2290"/>
      <c r="AG6" s="2290"/>
      <c r="AH6" s="2290"/>
      <c r="AI6" s="2290"/>
      <c r="AJ6" s="2290"/>
      <c r="AK6" s="2290"/>
      <c r="AL6" s="2290"/>
      <c r="AM6" s="2290"/>
      <c r="AN6" s="2290"/>
      <c r="AO6" s="2290"/>
      <c r="AP6" s="2290"/>
      <c r="AQ6" s="2290"/>
      <c r="AR6" s="2290"/>
      <c r="AS6" s="2290"/>
      <c r="AT6" s="2290"/>
      <c r="AU6" s="2290"/>
      <c r="AV6" s="2290"/>
      <c r="AW6" s="2290"/>
      <c r="AX6" s="2290"/>
      <c r="AY6" s="2290"/>
      <c r="AZ6" s="2290"/>
      <c r="BA6" s="2290"/>
      <c r="BB6" s="2290"/>
      <c r="BC6" s="2290"/>
      <c r="BD6" s="2290"/>
      <c r="BE6" s="2290"/>
      <c r="BF6" s="2290"/>
      <c r="BG6" s="2290"/>
      <c r="BH6" s="2290"/>
      <c r="BI6" s="2290"/>
      <c r="BJ6" s="2290"/>
      <c r="BK6" s="2290"/>
      <c r="BL6" s="2290"/>
      <c r="BM6" s="2290"/>
      <c r="BN6" s="2290"/>
      <c r="BO6" s="2290"/>
      <c r="BP6" s="2290"/>
      <c r="BQ6" s="2290"/>
      <c r="BR6" s="2290"/>
      <c r="BS6" s="2290"/>
      <c r="BT6" s="2290"/>
      <c r="BU6" s="2290"/>
      <c r="BV6" s="2290"/>
      <c r="BW6" s="2290"/>
      <c r="BX6" s="2290"/>
      <c r="BY6" s="2290"/>
      <c r="BZ6" s="2290"/>
      <c r="CA6" s="2290"/>
    </row>
    <row r="7" spans="1:79" ht="15">
      <c r="A7" s="15"/>
      <c r="B7" s="2314"/>
      <c r="C7" s="2315"/>
      <c r="D7" s="2314"/>
      <c r="E7" s="2314"/>
      <c r="F7" s="2311"/>
      <c r="G7" s="2313"/>
      <c r="H7" s="2311"/>
      <c r="I7" s="16"/>
      <c r="J7" s="15"/>
      <c r="K7" s="15"/>
      <c r="L7" s="15"/>
      <c r="M7" s="15"/>
      <c r="N7" s="15"/>
      <c r="O7" s="15"/>
      <c r="P7" s="15"/>
      <c r="Q7" s="15"/>
      <c r="R7" s="15"/>
      <c r="S7" s="15"/>
      <c r="T7" s="15"/>
      <c r="U7" s="15"/>
      <c r="V7" s="2290"/>
      <c r="W7" s="2290"/>
      <c r="X7" s="2290"/>
      <c r="Y7" s="2290"/>
      <c r="Z7" s="2290"/>
      <c r="AA7" s="2290"/>
      <c r="AB7" s="2290"/>
      <c r="AC7" s="2290"/>
      <c r="AD7" s="2290"/>
      <c r="AE7" s="2290"/>
      <c r="AF7" s="2290"/>
      <c r="AG7" s="2290"/>
      <c r="AH7" s="2290"/>
      <c r="AI7" s="2290"/>
      <c r="AJ7" s="2290"/>
      <c r="AK7" s="2290"/>
      <c r="AL7" s="2290"/>
      <c r="AM7" s="2290"/>
      <c r="AN7" s="2290"/>
      <c r="AO7" s="2290"/>
      <c r="AP7" s="2290"/>
      <c r="AQ7" s="2290"/>
      <c r="AR7" s="2290"/>
      <c r="AS7" s="2290"/>
      <c r="AT7" s="2290"/>
      <c r="AU7" s="2290"/>
      <c r="AV7" s="2290"/>
      <c r="AW7" s="2290"/>
      <c r="AX7" s="2290"/>
      <c r="AY7" s="2290"/>
      <c r="AZ7" s="2290"/>
      <c r="BA7" s="2290"/>
      <c r="BB7" s="2290"/>
      <c r="BC7" s="2290"/>
      <c r="BD7" s="2290"/>
      <c r="BE7" s="2290"/>
      <c r="BF7" s="2290"/>
      <c r="BG7" s="2290"/>
      <c r="BH7" s="2290"/>
      <c r="BI7" s="2290"/>
      <c r="BJ7" s="2290"/>
      <c r="BK7" s="2290"/>
      <c r="BL7" s="2290"/>
      <c r="BM7" s="2290"/>
      <c r="BN7" s="2290"/>
      <c r="BO7" s="2290"/>
      <c r="BP7" s="2290"/>
      <c r="BQ7" s="2290"/>
      <c r="BR7" s="2290"/>
      <c r="BS7" s="2290"/>
      <c r="BT7" s="2290"/>
      <c r="BU7" s="2290"/>
      <c r="BV7" s="2290"/>
      <c r="BW7" s="2290"/>
      <c r="BX7" s="2290"/>
      <c r="BY7" s="2290"/>
      <c r="BZ7" s="2290"/>
      <c r="CA7" s="2290"/>
    </row>
    <row r="8" spans="1:79">
      <c r="A8" s="15"/>
      <c r="B8" s="2313"/>
      <c r="D8" s="2313"/>
      <c r="E8" s="2313"/>
      <c r="F8" s="15"/>
      <c r="G8" s="15"/>
      <c r="H8" s="2313"/>
      <c r="I8" s="15"/>
      <c r="J8" s="15"/>
      <c r="K8" s="15"/>
      <c r="L8" s="15"/>
      <c r="M8" s="15"/>
      <c r="N8" s="15"/>
      <c r="O8" s="15"/>
      <c r="P8" s="15"/>
      <c r="Q8" s="15"/>
      <c r="R8" s="15"/>
      <c r="S8" s="15"/>
      <c r="T8" s="15"/>
      <c r="U8" s="15"/>
      <c r="V8" s="2290"/>
      <c r="W8" s="2290"/>
      <c r="X8" s="2290"/>
      <c r="Y8" s="2290"/>
      <c r="Z8" s="2290"/>
      <c r="AA8" s="2290"/>
      <c r="AB8" s="2290"/>
      <c r="AC8" s="2290"/>
      <c r="AD8" s="2290"/>
      <c r="AE8" s="2290"/>
      <c r="AF8" s="2290"/>
      <c r="AG8" s="2290"/>
      <c r="AH8" s="2290"/>
      <c r="AI8" s="2290"/>
      <c r="AJ8" s="2290"/>
      <c r="AK8" s="2290"/>
      <c r="AL8" s="2290"/>
      <c r="AM8" s="2290"/>
      <c r="AN8" s="2290"/>
      <c r="AO8" s="2290"/>
      <c r="AP8" s="2290"/>
      <c r="AQ8" s="2290"/>
      <c r="AR8" s="2290"/>
      <c r="AS8" s="2290"/>
      <c r="AT8" s="2290"/>
      <c r="AU8" s="2290"/>
      <c r="AV8" s="2290"/>
      <c r="AW8" s="2290"/>
      <c r="AX8" s="2290"/>
      <c r="AY8" s="2290"/>
      <c r="AZ8" s="2290"/>
      <c r="BA8" s="2290"/>
      <c r="BB8" s="2290"/>
      <c r="BC8" s="2290"/>
      <c r="BD8" s="2290"/>
      <c r="BE8" s="2290"/>
      <c r="BF8" s="2290"/>
      <c r="BG8" s="2290"/>
      <c r="BH8" s="2290"/>
      <c r="BI8" s="2290"/>
      <c r="BJ8" s="2290"/>
      <c r="BK8" s="2290"/>
      <c r="BL8" s="2290"/>
      <c r="BM8" s="2290"/>
      <c r="BN8" s="2290"/>
      <c r="BO8" s="2290"/>
      <c r="BP8" s="2290"/>
      <c r="BQ8" s="2290"/>
      <c r="BR8" s="2290"/>
      <c r="BS8" s="2290"/>
      <c r="BT8" s="2290"/>
      <c r="BU8" s="2290"/>
      <c r="BV8" s="2290"/>
      <c r="BW8" s="2290"/>
      <c r="BX8" s="2290"/>
      <c r="BY8" s="2290"/>
      <c r="BZ8" s="2290"/>
      <c r="CA8" s="2290"/>
    </row>
    <row r="9" spans="1:79">
      <c r="A9" s="15"/>
      <c r="B9" s="2313"/>
      <c r="D9" s="2313"/>
      <c r="E9" s="2313"/>
      <c r="F9" s="3985"/>
      <c r="G9" s="15"/>
      <c r="H9" s="16"/>
      <c r="I9" s="15"/>
      <c r="J9" s="15"/>
      <c r="K9" s="15"/>
      <c r="L9" s="15"/>
      <c r="M9" s="15"/>
      <c r="N9" s="15"/>
      <c r="O9" s="15"/>
      <c r="P9" s="15"/>
      <c r="Q9" s="15"/>
      <c r="R9" s="15"/>
      <c r="S9" s="15"/>
      <c r="T9" s="15"/>
      <c r="U9" s="15"/>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c r="AW9" s="2290"/>
      <c r="AX9" s="2290"/>
      <c r="AY9" s="2290"/>
      <c r="AZ9" s="2290"/>
      <c r="BA9" s="2290"/>
      <c r="BB9" s="2290"/>
      <c r="BC9" s="2290"/>
      <c r="BD9" s="2290"/>
      <c r="BE9" s="2290"/>
      <c r="BF9" s="2290"/>
      <c r="BG9" s="2290"/>
      <c r="BH9" s="2290"/>
      <c r="BI9" s="2290"/>
      <c r="BJ9" s="2290"/>
      <c r="BK9" s="2290"/>
      <c r="BL9" s="2290"/>
      <c r="BM9" s="2290"/>
      <c r="BN9" s="2290"/>
      <c r="BO9" s="2290"/>
      <c r="BP9" s="2290"/>
      <c r="BQ9" s="2290"/>
      <c r="BR9" s="2290"/>
      <c r="BS9" s="2290"/>
      <c r="BT9" s="2290"/>
      <c r="BU9" s="2290"/>
      <c r="BV9" s="2290"/>
      <c r="BW9" s="2290"/>
      <c r="BX9" s="2290"/>
      <c r="BY9" s="2290"/>
      <c r="BZ9" s="2290"/>
      <c r="CA9" s="2290"/>
    </row>
    <row r="10" spans="1:79" ht="14.25" customHeight="1">
      <c r="A10" s="15"/>
      <c r="F10" s="3985"/>
      <c r="G10" s="15"/>
      <c r="H10" s="16"/>
      <c r="I10" s="15"/>
      <c r="J10" s="15"/>
      <c r="K10" s="15"/>
      <c r="L10" s="15"/>
      <c r="M10" s="15"/>
      <c r="N10" s="15"/>
      <c r="O10" s="15"/>
      <c r="P10" s="15"/>
      <c r="Q10" s="15"/>
      <c r="R10" s="15"/>
      <c r="S10" s="15"/>
      <c r="T10" s="15"/>
      <c r="U10" s="15"/>
      <c r="V10" s="2290"/>
      <c r="W10" s="2290"/>
      <c r="X10" s="2290"/>
      <c r="Y10" s="2290"/>
      <c r="Z10" s="2290"/>
      <c r="AA10" s="2290"/>
      <c r="AB10" s="2290"/>
      <c r="AC10" s="2290"/>
      <c r="AD10" s="2290"/>
      <c r="AE10" s="2290"/>
      <c r="AF10" s="2290"/>
      <c r="AG10" s="2290"/>
      <c r="AH10" s="2290"/>
      <c r="AI10" s="2290"/>
      <c r="AJ10" s="2290"/>
      <c r="AK10" s="2290"/>
      <c r="AL10" s="2290"/>
      <c r="AM10" s="2290"/>
      <c r="AN10" s="2290"/>
      <c r="AO10" s="2290"/>
      <c r="AP10" s="2290"/>
      <c r="AQ10" s="2290"/>
      <c r="AR10" s="2290"/>
      <c r="AS10" s="2290"/>
      <c r="AT10" s="2290"/>
      <c r="AU10" s="2290"/>
      <c r="AV10" s="2290"/>
      <c r="AW10" s="2290"/>
      <c r="AX10" s="2290"/>
      <c r="AY10" s="2290"/>
      <c r="AZ10" s="2290"/>
      <c r="BA10" s="2290"/>
      <c r="BB10" s="2290"/>
      <c r="BC10" s="2290"/>
      <c r="BD10" s="2290"/>
      <c r="BE10" s="2290"/>
      <c r="BF10" s="2290"/>
      <c r="BG10" s="2290"/>
      <c r="BH10" s="2290"/>
      <c r="BI10" s="2290"/>
      <c r="BJ10" s="2290"/>
      <c r="BK10" s="2290"/>
      <c r="BL10" s="2290"/>
      <c r="BM10" s="2290"/>
      <c r="BN10" s="2290"/>
      <c r="BO10" s="2290"/>
      <c r="BP10" s="2290"/>
      <c r="BQ10" s="2290"/>
      <c r="BR10" s="2290"/>
      <c r="BS10" s="2290"/>
      <c r="BT10" s="2290"/>
      <c r="BU10" s="2290"/>
      <c r="BV10" s="2290"/>
      <c r="BW10" s="2290"/>
      <c r="BX10" s="2290"/>
      <c r="BY10" s="2290"/>
      <c r="BZ10" s="2290"/>
      <c r="CA10" s="2290"/>
    </row>
    <row r="11" spans="1:79" ht="15">
      <c r="A11" s="15"/>
      <c r="B11" s="2313"/>
      <c r="D11" s="2313"/>
      <c r="E11" s="2313"/>
      <c r="F11" s="15"/>
      <c r="G11" s="15"/>
      <c r="H11" s="2316"/>
      <c r="I11" s="15"/>
      <c r="J11" s="15"/>
      <c r="K11" s="15"/>
      <c r="L11" s="15"/>
      <c r="M11" s="15"/>
      <c r="N11" s="15"/>
      <c r="O11" s="15"/>
      <c r="P11" s="15"/>
      <c r="Q11" s="15"/>
      <c r="R11" s="15"/>
      <c r="S11" s="15"/>
      <c r="T11" s="15"/>
      <c r="U11" s="15"/>
      <c r="V11" s="2290"/>
      <c r="W11" s="2290"/>
      <c r="X11" s="2290"/>
      <c r="Y11" s="2290"/>
      <c r="Z11" s="2290"/>
      <c r="AA11" s="2290"/>
      <c r="AB11" s="2290"/>
      <c r="AC11" s="2290"/>
      <c r="AD11" s="2290"/>
      <c r="AE11" s="2290"/>
      <c r="AF11" s="2290"/>
      <c r="AG11" s="2290"/>
      <c r="AH11" s="2290"/>
      <c r="AI11" s="2290"/>
      <c r="AJ11" s="2290"/>
      <c r="AK11" s="2290"/>
      <c r="AL11" s="2290"/>
      <c r="AM11" s="2290"/>
      <c r="AN11" s="2290"/>
      <c r="AO11" s="2290"/>
      <c r="AP11" s="2290"/>
      <c r="AQ11" s="2290"/>
      <c r="AR11" s="2290"/>
      <c r="AS11" s="2290"/>
      <c r="AT11" s="2290"/>
      <c r="AU11" s="2290"/>
      <c r="AV11" s="2290"/>
      <c r="AW11" s="2290"/>
      <c r="AX11" s="2290"/>
      <c r="AY11" s="2290"/>
      <c r="AZ11" s="2290"/>
      <c r="BA11" s="2290"/>
      <c r="BB11" s="2290"/>
      <c r="BC11" s="2290"/>
      <c r="BD11" s="2290"/>
      <c r="BE11" s="2290"/>
      <c r="BF11" s="2290"/>
      <c r="BG11" s="2290"/>
      <c r="BH11" s="2290"/>
      <c r="BI11" s="2290"/>
      <c r="BJ11" s="2290"/>
      <c r="BK11" s="2290"/>
      <c r="BL11" s="2290"/>
      <c r="BM11" s="2290"/>
      <c r="BN11" s="2290"/>
      <c r="BO11" s="2290"/>
      <c r="BP11" s="2290"/>
      <c r="BQ11" s="2290"/>
      <c r="BR11" s="2290"/>
      <c r="BS11" s="2290"/>
      <c r="BT11" s="2290"/>
      <c r="BU11" s="2290"/>
      <c r="BV11" s="2290"/>
      <c r="BW11" s="2290"/>
      <c r="BX11" s="2290"/>
      <c r="BY11" s="2290"/>
      <c r="BZ11" s="2290"/>
      <c r="CA11" s="2290"/>
    </row>
    <row r="12" spans="1:79">
      <c r="A12" s="15"/>
      <c r="B12" s="2313"/>
      <c r="C12" s="2313"/>
      <c r="D12" s="2313"/>
      <c r="E12" s="15"/>
      <c r="F12" s="15"/>
      <c r="G12" s="15"/>
      <c r="H12" s="15"/>
      <c r="I12" s="15"/>
      <c r="J12" s="15"/>
      <c r="K12" s="15"/>
      <c r="L12" s="15"/>
      <c r="M12" s="15"/>
      <c r="N12" s="15"/>
      <c r="O12" s="15"/>
      <c r="P12" s="15"/>
      <c r="Q12" s="15"/>
      <c r="R12" s="15"/>
      <c r="S12" s="15"/>
      <c r="T12" s="15"/>
      <c r="U12" s="15"/>
      <c r="V12" s="2290"/>
      <c r="W12" s="2290"/>
      <c r="X12" s="2290"/>
      <c r="Y12" s="2290"/>
      <c r="Z12" s="2290"/>
      <c r="AA12" s="2290"/>
      <c r="AB12" s="2290"/>
      <c r="AC12" s="2290"/>
      <c r="AD12" s="2290"/>
      <c r="AE12" s="2290"/>
      <c r="AF12" s="2290"/>
      <c r="AG12" s="2290"/>
      <c r="AH12" s="2290"/>
      <c r="AI12" s="2290"/>
      <c r="AJ12" s="2290"/>
      <c r="AK12" s="2290"/>
      <c r="AL12" s="2290"/>
      <c r="AM12" s="2290"/>
      <c r="AN12" s="2290"/>
      <c r="AO12" s="2290"/>
      <c r="AP12" s="2290"/>
      <c r="AQ12" s="2290"/>
      <c r="AR12" s="2290"/>
      <c r="AS12" s="2290"/>
      <c r="AT12" s="2290"/>
      <c r="AU12" s="2290"/>
      <c r="AV12" s="2290"/>
      <c r="AW12" s="2290"/>
      <c r="AX12" s="2290"/>
      <c r="AY12" s="2290"/>
      <c r="AZ12" s="2290"/>
      <c r="BA12" s="2290"/>
      <c r="BB12" s="2290"/>
      <c r="BC12" s="2290"/>
      <c r="BD12" s="2290"/>
      <c r="BE12" s="2290"/>
      <c r="BF12" s="2290"/>
      <c r="BG12" s="2290"/>
      <c r="BH12" s="2290"/>
      <c r="BI12" s="2290"/>
      <c r="BJ12" s="2290"/>
      <c r="BK12" s="2290"/>
      <c r="BL12" s="2290"/>
      <c r="BM12" s="2290"/>
      <c r="BN12" s="2290"/>
      <c r="BO12" s="2290"/>
      <c r="BP12" s="2290"/>
      <c r="BQ12" s="2290"/>
      <c r="BR12" s="2290"/>
      <c r="BS12" s="2290"/>
      <c r="BT12" s="2290"/>
      <c r="BU12" s="2290"/>
      <c r="BV12" s="2290"/>
      <c r="BW12" s="2290"/>
      <c r="BX12" s="2290"/>
      <c r="BY12" s="2290"/>
      <c r="BZ12" s="2290"/>
      <c r="CA12" s="2290"/>
    </row>
    <row r="13" spans="1:79">
      <c r="A13" s="15"/>
      <c r="B13" s="2313"/>
      <c r="C13" s="2313"/>
      <c r="D13" s="2313"/>
      <c r="E13" s="15"/>
      <c r="F13" s="15"/>
      <c r="G13" s="15"/>
      <c r="H13" s="15"/>
      <c r="I13" s="15"/>
      <c r="J13" s="15"/>
      <c r="K13" s="15"/>
      <c r="L13" s="15"/>
      <c r="M13" s="15"/>
      <c r="N13" s="15"/>
      <c r="O13" s="15"/>
      <c r="P13" s="15"/>
      <c r="Q13" s="15"/>
      <c r="R13" s="15"/>
      <c r="S13" s="15"/>
      <c r="T13" s="15"/>
      <c r="U13" s="15"/>
      <c r="V13" s="2290"/>
      <c r="W13" s="2290"/>
      <c r="X13" s="2290"/>
      <c r="Y13" s="2290"/>
      <c r="Z13" s="2290"/>
      <c r="AA13" s="2290"/>
      <c r="AB13" s="2290"/>
      <c r="AC13" s="2290"/>
      <c r="AD13" s="2290"/>
      <c r="AE13" s="2290"/>
      <c r="AF13" s="2290"/>
      <c r="AG13" s="2290"/>
      <c r="AH13" s="2290"/>
      <c r="AI13" s="2290"/>
      <c r="AJ13" s="2290"/>
      <c r="AK13" s="2290"/>
      <c r="AL13" s="2290"/>
      <c r="AM13" s="2290"/>
      <c r="AN13" s="2290"/>
      <c r="AO13" s="2290"/>
      <c r="AP13" s="2290"/>
      <c r="AQ13" s="2290"/>
      <c r="AR13" s="2290"/>
      <c r="AS13" s="2290"/>
      <c r="AT13" s="2290"/>
      <c r="AU13" s="2290"/>
      <c r="AV13" s="2290"/>
      <c r="AW13" s="2290"/>
      <c r="AX13" s="2290"/>
      <c r="AY13" s="2290"/>
      <c r="AZ13" s="2290"/>
      <c r="BA13" s="2290"/>
      <c r="BB13" s="2290"/>
      <c r="BC13" s="2290"/>
      <c r="BD13" s="2290"/>
      <c r="BE13" s="2290"/>
      <c r="BF13" s="2290"/>
      <c r="BG13" s="2290"/>
      <c r="BH13" s="2290"/>
      <c r="BI13" s="2290"/>
      <c r="BJ13" s="2290"/>
      <c r="BK13" s="2290"/>
      <c r="BL13" s="2290"/>
      <c r="BM13" s="2290"/>
      <c r="BN13" s="2290"/>
      <c r="BO13" s="2290"/>
      <c r="BP13" s="2290"/>
      <c r="BQ13" s="2290"/>
      <c r="BR13" s="2290"/>
      <c r="BS13" s="2290"/>
      <c r="BT13" s="2290"/>
      <c r="BU13" s="2290"/>
      <c r="BV13" s="2290"/>
      <c r="BW13" s="2290"/>
      <c r="BX13" s="2290"/>
      <c r="BY13" s="2290"/>
      <c r="BZ13" s="2290"/>
      <c r="CA13" s="2290"/>
    </row>
    <row r="14" spans="1:79">
      <c r="A14" s="15"/>
      <c r="B14" s="2313"/>
      <c r="C14" s="2313"/>
      <c r="D14" s="2313"/>
      <c r="E14" s="15"/>
      <c r="F14" s="15"/>
      <c r="G14" s="15"/>
      <c r="H14" s="15"/>
      <c r="I14" s="15"/>
      <c r="J14" s="15"/>
      <c r="K14" s="15"/>
      <c r="L14" s="15"/>
      <c r="M14" s="15"/>
      <c r="N14" s="15"/>
      <c r="O14" s="15"/>
      <c r="P14" s="15"/>
      <c r="Q14" s="15"/>
      <c r="R14" s="15"/>
      <c r="S14" s="15"/>
      <c r="T14" s="15"/>
      <c r="U14" s="15"/>
      <c r="V14" s="2290"/>
      <c r="W14" s="2290"/>
      <c r="X14" s="2290"/>
      <c r="Y14" s="2290"/>
      <c r="Z14" s="2290"/>
      <c r="AA14" s="2290"/>
      <c r="AB14" s="2290"/>
      <c r="AC14" s="2290"/>
      <c r="AD14" s="2290"/>
      <c r="AE14" s="2290"/>
      <c r="AF14" s="2290"/>
      <c r="AG14" s="2290"/>
      <c r="AH14" s="2290"/>
      <c r="AI14" s="2290"/>
      <c r="AJ14" s="2290"/>
      <c r="AK14" s="2290"/>
      <c r="AL14" s="2290"/>
      <c r="AM14" s="2290"/>
      <c r="AN14" s="2290"/>
      <c r="AO14" s="2290"/>
      <c r="AP14" s="2290"/>
      <c r="AQ14" s="2290"/>
      <c r="AR14" s="2290"/>
      <c r="AS14" s="2290"/>
      <c r="AT14" s="2290"/>
      <c r="AU14" s="2290"/>
      <c r="AV14" s="2290"/>
      <c r="AW14" s="2290"/>
      <c r="AX14" s="2290"/>
      <c r="AY14" s="2290"/>
      <c r="AZ14" s="2290"/>
      <c r="BA14" s="2290"/>
      <c r="BB14" s="2290"/>
      <c r="BC14" s="2290"/>
      <c r="BD14" s="2290"/>
      <c r="BE14" s="2290"/>
      <c r="BF14" s="2290"/>
      <c r="BG14" s="2290"/>
      <c r="BH14" s="2290"/>
      <c r="BI14" s="2290"/>
      <c r="BJ14" s="2290"/>
      <c r="BK14" s="2290"/>
      <c r="BL14" s="2290"/>
      <c r="BM14" s="2290"/>
      <c r="BN14" s="2290"/>
      <c r="BO14" s="2290"/>
      <c r="BP14" s="2290"/>
      <c r="BQ14" s="2290"/>
      <c r="BR14" s="2290"/>
      <c r="BS14" s="2290"/>
      <c r="BT14" s="2290"/>
      <c r="BU14" s="2290"/>
      <c r="BV14" s="2290"/>
      <c r="BW14" s="2290"/>
      <c r="BX14" s="2290"/>
      <c r="BY14" s="2290"/>
      <c r="BZ14" s="2290"/>
      <c r="CA14" s="2290"/>
    </row>
    <row r="15" spans="1:79">
      <c r="A15" s="15"/>
      <c r="B15" s="2313"/>
      <c r="C15" s="2313"/>
      <c r="D15" s="2313"/>
      <c r="E15" s="15"/>
      <c r="F15" s="15"/>
      <c r="G15" s="2317"/>
      <c r="H15" s="15"/>
      <c r="I15" s="15"/>
      <c r="J15" s="15"/>
      <c r="K15" s="15"/>
      <c r="L15" s="15"/>
      <c r="M15" s="15"/>
      <c r="N15" s="15"/>
      <c r="O15" s="15"/>
      <c r="P15" s="15"/>
      <c r="Q15" s="15"/>
      <c r="R15" s="15"/>
      <c r="S15" s="15"/>
      <c r="T15" s="15"/>
      <c r="U15" s="15"/>
      <c r="V15" s="2290"/>
      <c r="W15" s="2290"/>
      <c r="X15" s="2290"/>
      <c r="Y15" s="2290"/>
      <c r="Z15" s="2290"/>
      <c r="AA15" s="2290"/>
      <c r="AB15" s="2290"/>
      <c r="AC15" s="2290"/>
      <c r="AD15" s="2290"/>
      <c r="AE15" s="2290"/>
      <c r="AF15" s="2290"/>
      <c r="AG15" s="2290"/>
      <c r="AH15" s="2290"/>
      <c r="AI15" s="2290"/>
      <c r="AJ15" s="2290"/>
      <c r="AK15" s="2290"/>
      <c r="AL15" s="2290"/>
      <c r="AM15" s="2290"/>
      <c r="AN15" s="2290"/>
      <c r="AO15" s="2290"/>
      <c r="AP15" s="2290"/>
      <c r="AQ15" s="2290"/>
      <c r="AR15" s="2290"/>
      <c r="AS15" s="2290"/>
      <c r="AT15" s="2290"/>
      <c r="AU15" s="2290"/>
      <c r="AV15" s="2290"/>
      <c r="AW15" s="2290"/>
      <c r="AX15" s="2290"/>
      <c r="AY15" s="2290"/>
      <c r="AZ15" s="2290"/>
      <c r="BA15" s="2290"/>
      <c r="BB15" s="2290"/>
      <c r="BC15" s="2290"/>
      <c r="BD15" s="2290"/>
      <c r="BE15" s="2290"/>
      <c r="BF15" s="2290"/>
      <c r="BG15" s="2290"/>
      <c r="BH15" s="2290"/>
      <c r="BI15" s="2290"/>
      <c r="BJ15" s="2290"/>
      <c r="BK15" s="2290"/>
      <c r="BL15" s="2290"/>
      <c r="BM15" s="2290"/>
      <c r="BN15" s="2290"/>
      <c r="BO15" s="2290"/>
      <c r="BP15" s="2290"/>
      <c r="BQ15" s="2290"/>
      <c r="BR15" s="2290"/>
      <c r="BS15" s="2290"/>
      <c r="BT15" s="2290"/>
      <c r="BU15" s="2290"/>
      <c r="BV15" s="2290"/>
      <c r="BW15" s="2290"/>
      <c r="BX15" s="2290"/>
      <c r="BY15" s="2290"/>
      <c r="BZ15" s="2290"/>
      <c r="CA15" s="2290"/>
    </row>
    <row r="16" spans="1:79">
      <c r="A16" s="15"/>
      <c r="B16" s="2313"/>
      <c r="C16" s="2313"/>
      <c r="D16" s="1704"/>
      <c r="E16" s="15"/>
      <c r="F16" s="15"/>
      <c r="G16" s="2317"/>
      <c r="H16" s="15"/>
      <c r="I16" s="15"/>
      <c r="J16" s="15"/>
      <c r="K16" s="15"/>
      <c r="L16" s="15"/>
      <c r="M16" s="15"/>
      <c r="N16" s="15"/>
      <c r="O16" s="15"/>
      <c r="P16" s="15"/>
      <c r="Q16" s="15"/>
      <c r="R16" s="15"/>
      <c r="S16" s="15"/>
      <c r="T16" s="15"/>
      <c r="U16" s="15"/>
      <c r="V16" s="2290"/>
      <c r="W16" s="2290"/>
      <c r="X16" s="2290"/>
      <c r="Y16" s="2290"/>
      <c r="Z16" s="2290"/>
      <c r="AA16" s="2290"/>
      <c r="AB16" s="2290"/>
      <c r="AC16" s="2290"/>
      <c r="AD16" s="2290"/>
      <c r="AE16" s="2290"/>
      <c r="AF16" s="2290"/>
      <c r="AG16" s="2290"/>
      <c r="AH16" s="2290"/>
      <c r="AI16" s="2290"/>
      <c r="AJ16" s="2290"/>
      <c r="AK16" s="2290"/>
      <c r="AL16" s="2290"/>
      <c r="AM16" s="2290"/>
      <c r="AN16" s="2290"/>
      <c r="AO16" s="2290"/>
      <c r="AP16" s="2290"/>
      <c r="AQ16" s="2290"/>
      <c r="AR16" s="2290"/>
      <c r="AS16" s="2290"/>
      <c r="AT16" s="2290"/>
      <c r="AU16" s="2290"/>
      <c r="AV16" s="2290"/>
      <c r="AW16" s="2290"/>
      <c r="AX16" s="2290"/>
      <c r="AY16" s="2290"/>
      <c r="AZ16" s="2290"/>
      <c r="BA16" s="2290"/>
      <c r="BB16" s="2290"/>
      <c r="BC16" s="2290"/>
      <c r="BD16" s="2290"/>
      <c r="BE16" s="2290"/>
      <c r="BF16" s="2290"/>
      <c r="BG16" s="2290"/>
      <c r="BH16" s="2290"/>
      <c r="BI16" s="2290"/>
      <c r="BJ16" s="2290"/>
      <c r="BK16" s="2290"/>
      <c r="BL16" s="2290"/>
      <c r="BM16" s="2290"/>
      <c r="BN16" s="2290"/>
      <c r="BO16" s="2290"/>
      <c r="BP16" s="2290"/>
      <c r="BQ16" s="2290"/>
      <c r="BR16" s="2290"/>
      <c r="BS16" s="2290"/>
      <c r="BT16" s="2290"/>
      <c r="BU16" s="2290"/>
      <c r="BV16" s="2290"/>
      <c r="BW16" s="2290"/>
      <c r="BX16" s="2290"/>
      <c r="BY16" s="2290"/>
      <c r="BZ16" s="2290"/>
      <c r="CA16" s="2290"/>
    </row>
    <row r="17" spans="1:79" ht="15">
      <c r="A17" s="15"/>
      <c r="B17" s="2313"/>
      <c r="C17" s="2313"/>
      <c r="D17" s="1704"/>
      <c r="E17" s="15"/>
      <c r="F17" s="15"/>
      <c r="G17" s="2317"/>
      <c r="H17" s="15"/>
      <c r="I17" s="15"/>
      <c r="J17" s="15"/>
      <c r="K17" s="15"/>
      <c r="L17" s="15"/>
      <c r="M17" s="15"/>
      <c r="N17" s="15"/>
      <c r="O17" s="2316"/>
      <c r="P17" s="2316"/>
      <c r="Q17" s="2316"/>
      <c r="R17" s="2316"/>
      <c r="S17" s="2316"/>
      <c r="T17" s="15"/>
      <c r="U17" s="15"/>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90"/>
      <c r="AS17" s="2290"/>
      <c r="AT17" s="2290"/>
      <c r="AU17" s="2290"/>
      <c r="AV17" s="2290"/>
      <c r="AW17" s="2290"/>
      <c r="AX17" s="2290"/>
      <c r="AY17" s="2290"/>
      <c r="AZ17" s="2290"/>
      <c r="BA17" s="2290"/>
      <c r="BB17" s="2290"/>
      <c r="BC17" s="2290"/>
      <c r="BD17" s="2290"/>
      <c r="BE17" s="2290"/>
      <c r="BF17" s="2290"/>
      <c r="BG17" s="2290"/>
      <c r="BH17" s="2290"/>
      <c r="BI17" s="2290"/>
      <c r="BJ17" s="2290"/>
      <c r="BK17" s="2290"/>
      <c r="BL17" s="2290"/>
      <c r="BM17" s="2290"/>
      <c r="BN17" s="2290"/>
      <c r="BO17" s="2290"/>
      <c r="BP17" s="2290"/>
      <c r="BQ17" s="2290"/>
      <c r="BR17" s="2290"/>
      <c r="BS17" s="2290"/>
      <c r="BT17" s="2290"/>
      <c r="BU17" s="2290"/>
      <c r="BV17" s="2290"/>
      <c r="BW17" s="2290"/>
      <c r="BX17" s="2290"/>
      <c r="BY17" s="2290"/>
      <c r="BZ17" s="2290"/>
      <c r="CA17" s="2290"/>
    </row>
    <row r="18" spans="1:79">
      <c r="A18" s="15"/>
      <c r="B18" s="2313"/>
      <c r="C18" s="2313"/>
      <c r="D18" s="1704"/>
      <c r="E18" s="15"/>
      <c r="F18" s="15"/>
      <c r="G18" s="2317"/>
      <c r="H18" s="15"/>
      <c r="I18" s="15"/>
      <c r="J18" s="15"/>
      <c r="K18" s="15"/>
      <c r="L18" s="15"/>
      <c r="M18" s="15"/>
      <c r="N18" s="15"/>
      <c r="O18" s="15"/>
      <c r="P18" s="15"/>
      <c r="Q18" s="15"/>
      <c r="R18" s="15"/>
      <c r="S18" s="15"/>
      <c r="T18" s="15"/>
      <c r="U18" s="15"/>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c r="AS18" s="2290"/>
      <c r="AT18" s="2290"/>
      <c r="AU18" s="2290"/>
      <c r="AV18" s="2290"/>
      <c r="AW18" s="2290"/>
      <c r="AX18" s="2290"/>
      <c r="AY18" s="2290"/>
      <c r="AZ18" s="2290"/>
      <c r="BA18" s="2290"/>
      <c r="BB18" s="2290"/>
      <c r="BC18" s="2290"/>
      <c r="BD18" s="2290"/>
      <c r="BE18" s="2290"/>
      <c r="BF18" s="2290"/>
      <c r="BG18" s="2290"/>
      <c r="BH18" s="2290"/>
      <c r="BI18" s="2290"/>
      <c r="BJ18" s="2290"/>
      <c r="BK18" s="2290"/>
      <c r="BL18" s="2290"/>
      <c r="BM18" s="2290"/>
      <c r="BN18" s="2290"/>
      <c r="BO18" s="2290"/>
      <c r="BP18" s="2290"/>
      <c r="BQ18" s="2290"/>
      <c r="BR18" s="2290"/>
      <c r="BS18" s="2290"/>
      <c r="BT18" s="2290"/>
      <c r="BU18" s="2290"/>
      <c r="BV18" s="2290"/>
      <c r="BW18" s="2290"/>
      <c r="BX18" s="2290"/>
      <c r="BY18" s="2290"/>
      <c r="BZ18" s="2290"/>
      <c r="CA18" s="2290"/>
    </row>
    <row r="19" spans="1:79">
      <c r="A19" s="15"/>
      <c r="B19" s="2313"/>
      <c r="C19" s="2313"/>
      <c r="D19" s="1704"/>
      <c r="E19" s="15"/>
      <c r="F19" s="15"/>
      <c r="G19" s="2317"/>
      <c r="H19" s="15"/>
      <c r="I19" s="15"/>
      <c r="J19" s="15"/>
      <c r="K19" s="15"/>
      <c r="L19" s="15"/>
      <c r="M19" s="15"/>
      <c r="N19" s="15"/>
      <c r="O19" s="15"/>
      <c r="P19" s="15"/>
      <c r="Q19" s="15"/>
      <c r="R19" s="15"/>
      <c r="S19" s="15"/>
      <c r="T19" s="15"/>
      <c r="U19" s="15"/>
      <c r="V19" s="2290"/>
      <c r="W19" s="2290"/>
      <c r="X19" s="2290"/>
      <c r="Y19" s="2290"/>
      <c r="Z19" s="2290"/>
      <c r="AA19" s="2290"/>
      <c r="AB19" s="2290"/>
      <c r="AC19" s="2290"/>
      <c r="AD19" s="2290"/>
      <c r="AE19" s="2290"/>
      <c r="AF19" s="2290"/>
      <c r="AG19" s="2290"/>
      <c r="AH19" s="2290"/>
      <c r="AI19" s="2290"/>
      <c r="AJ19" s="2290"/>
      <c r="AK19" s="2290"/>
      <c r="AL19" s="2290"/>
      <c r="AM19" s="2290"/>
      <c r="AN19" s="2290"/>
      <c r="AO19" s="2290"/>
      <c r="AP19" s="2290"/>
      <c r="AQ19" s="2290"/>
      <c r="AR19" s="2290"/>
      <c r="AS19" s="2290"/>
      <c r="AT19" s="2290"/>
      <c r="AU19" s="2290"/>
      <c r="AV19" s="2290"/>
      <c r="AW19" s="2290"/>
      <c r="AX19" s="2290"/>
      <c r="AY19" s="2290"/>
      <c r="AZ19" s="2290"/>
      <c r="BA19" s="2290"/>
      <c r="BB19" s="2290"/>
      <c r="BC19" s="2290"/>
      <c r="BD19" s="2290"/>
      <c r="BE19" s="2290"/>
      <c r="BF19" s="2290"/>
      <c r="BG19" s="2290"/>
      <c r="BH19" s="2290"/>
      <c r="BI19" s="2290"/>
      <c r="BJ19" s="2290"/>
      <c r="BK19" s="2290"/>
      <c r="BL19" s="2290"/>
      <c r="BM19" s="2290"/>
      <c r="BN19" s="2290"/>
      <c r="BO19" s="2290"/>
      <c r="BP19" s="2290"/>
      <c r="BQ19" s="2290"/>
      <c r="BR19" s="2290"/>
      <c r="BS19" s="2290"/>
      <c r="BT19" s="2290"/>
      <c r="BU19" s="2290"/>
      <c r="BV19" s="2290"/>
      <c r="BW19" s="2290"/>
      <c r="BX19" s="2290"/>
      <c r="BY19" s="2290"/>
      <c r="BZ19" s="2290"/>
      <c r="CA19" s="2290"/>
    </row>
    <row r="20" spans="1:79">
      <c r="A20" s="15"/>
      <c r="B20" s="15"/>
      <c r="C20" s="2313"/>
      <c r="D20" s="1704"/>
      <c r="E20" s="15"/>
      <c r="F20" s="15"/>
      <c r="G20" s="2317"/>
      <c r="H20" s="15"/>
      <c r="I20" s="15"/>
      <c r="J20" s="15"/>
      <c r="K20" s="15"/>
      <c r="L20" s="15"/>
      <c r="M20" s="15"/>
      <c r="N20" s="15"/>
      <c r="O20" s="15"/>
      <c r="P20" s="15"/>
      <c r="Q20" s="15"/>
      <c r="R20" s="15"/>
      <c r="S20" s="15"/>
      <c r="T20" s="15"/>
      <c r="U20" s="15"/>
      <c r="V20" s="2290"/>
      <c r="W20" s="2290"/>
      <c r="X20" s="2290"/>
      <c r="Y20" s="2290"/>
      <c r="Z20" s="2290"/>
      <c r="AA20" s="2290"/>
      <c r="AB20" s="2290"/>
      <c r="AC20" s="2290"/>
      <c r="AD20" s="2290"/>
      <c r="AE20" s="2290"/>
      <c r="AF20" s="2290"/>
      <c r="AG20" s="2290"/>
      <c r="AH20" s="2290"/>
      <c r="AI20" s="2290"/>
      <c r="AJ20" s="2290"/>
      <c r="AK20" s="2290"/>
      <c r="AL20" s="2290"/>
      <c r="AM20" s="2290"/>
      <c r="AN20" s="2290"/>
      <c r="AO20" s="2290"/>
      <c r="AP20" s="2290"/>
      <c r="AQ20" s="2290"/>
      <c r="AR20" s="2290"/>
      <c r="AS20" s="2290"/>
      <c r="AT20" s="2290"/>
      <c r="AU20" s="2290"/>
      <c r="AV20" s="2290"/>
      <c r="AW20" s="2290"/>
      <c r="AX20" s="2290"/>
      <c r="AY20" s="2290"/>
      <c r="AZ20" s="2290"/>
      <c r="BA20" s="2290"/>
      <c r="BB20" s="2290"/>
      <c r="BC20" s="2290"/>
      <c r="BD20" s="2290"/>
      <c r="BE20" s="2290"/>
      <c r="BF20" s="2290"/>
      <c r="BG20" s="2290"/>
      <c r="BH20" s="2290"/>
      <c r="BI20" s="2290"/>
      <c r="BJ20" s="2290"/>
      <c r="BK20" s="2290"/>
      <c r="BL20" s="2290"/>
      <c r="BM20" s="2290"/>
      <c r="BN20" s="2290"/>
      <c r="BO20" s="2290"/>
      <c r="BP20" s="2290"/>
      <c r="BQ20" s="2290"/>
      <c r="BR20" s="2290"/>
      <c r="BS20" s="2290"/>
      <c r="BT20" s="2290"/>
      <c r="BU20" s="2290"/>
      <c r="BV20" s="2290"/>
      <c r="BW20" s="2290"/>
      <c r="BX20" s="2290"/>
      <c r="BY20" s="2290"/>
      <c r="BZ20" s="2290"/>
      <c r="CA20" s="2290"/>
    </row>
    <row r="21" spans="1:79">
      <c r="A21" s="15"/>
      <c r="B21" s="15"/>
      <c r="C21" s="2313"/>
      <c r="D21" s="1704"/>
      <c r="E21" s="15"/>
      <c r="F21" s="15"/>
      <c r="G21" s="2317"/>
      <c r="H21" s="15"/>
      <c r="I21" s="15"/>
      <c r="J21" s="15"/>
      <c r="K21" s="15"/>
      <c r="L21" s="15"/>
      <c r="M21" s="15"/>
      <c r="N21" s="15"/>
      <c r="O21" s="15"/>
      <c r="P21" s="15"/>
      <c r="Q21" s="15"/>
      <c r="R21" s="15"/>
      <c r="S21" s="15"/>
      <c r="T21" s="15"/>
      <c r="U21" s="15"/>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c r="AS21" s="2290"/>
      <c r="AT21" s="2290"/>
      <c r="AU21" s="2290"/>
      <c r="AV21" s="2290"/>
      <c r="AW21" s="2290"/>
      <c r="AX21" s="2290"/>
      <c r="AY21" s="2290"/>
      <c r="AZ21" s="2290"/>
      <c r="BA21" s="2290"/>
      <c r="BB21" s="2290"/>
      <c r="BC21" s="2290"/>
      <c r="BD21" s="2290"/>
      <c r="BE21" s="2290"/>
      <c r="BF21" s="2290"/>
      <c r="BG21" s="2290"/>
      <c r="BH21" s="2290"/>
      <c r="BI21" s="2290"/>
      <c r="BJ21" s="2290"/>
      <c r="BK21" s="2290"/>
      <c r="BL21" s="2290"/>
      <c r="BM21" s="2290"/>
      <c r="BN21" s="2290"/>
      <c r="BO21" s="2290"/>
      <c r="BP21" s="2290"/>
      <c r="BQ21" s="2290"/>
      <c r="BR21" s="2290"/>
      <c r="BS21" s="2290"/>
      <c r="BT21" s="2290"/>
      <c r="BU21" s="2290"/>
      <c r="BV21" s="2290"/>
      <c r="BW21" s="2290"/>
      <c r="BX21" s="2290"/>
      <c r="BY21" s="2290"/>
      <c r="BZ21" s="2290"/>
      <c r="CA21" s="2290"/>
    </row>
    <row r="22" spans="1:79">
      <c r="A22" s="15"/>
      <c r="B22" s="15"/>
      <c r="C22" s="2313"/>
      <c r="D22" s="1704"/>
      <c r="E22" s="15"/>
      <c r="F22" s="15"/>
      <c r="G22" s="2317"/>
      <c r="H22" s="15"/>
      <c r="I22" s="15"/>
      <c r="J22" s="15"/>
      <c r="K22" s="15"/>
      <c r="L22" s="15"/>
      <c r="M22" s="15"/>
      <c r="N22" s="15"/>
      <c r="O22" s="15"/>
      <c r="P22" s="15"/>
      <c r="Q22" s="15"/>
      <c r="R22" s="15"/>
      <c r="S22" s="15"/>
      <c r="T22" s="15"/>
      <c r="U22" s="15"/>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c r="AS22" s="2290"/>
      <c r="AT22" s="2290"/>
      <c r="AU22" s="2290"/>
      <c r="AV22" s="2290"/>
      <c r="AW22" s="2290"/>
      <c r="AX22" s="2290"/>
      <c r="AY22" s="2290"/>
      <c r="AZ22" s="2290"/>
      <c r="BA22" s="2290"/>
      <c r="BB22" s="2290"/>
      <c r="BC22" s="2290"/>
      <c r="BD22" s="2290"/>
      <c r="BE22" s="2290"/>
      <c r="BF22" s="2290"/>
      <c r="BG22" s="2290"/>
      <c r="BH22" s="2290"/>
      <c r="BI22" s="2290"/>
      <c r="BJ22" s="2290"/>
      <c r="BK22" s="2290"/>
      <c r="BL22" s="2290"/>
      <c r="BM22" s="2290"/>
      <c r="BN22" s="2290"/>
      <c r="BO22" s="2290"/>
      <c r="BP22" s="2290"/>
      <c r="BQ22" s="2290"/>
      <c r="BR22" s="2290"/>
      <c r="BS22" s="2290"/>
      <c r="BT22" s="2290"/>
      <c r="BU22" s="2290"/>
      <c r="BV22" s="2290"/>
      <c r="BW22" s="2290"/>
      <c r="BX22" s="2290"/>
      <c r="BY22" s="2290"/>
      <c r="BZ22" s="2290"/>
      <c r="CA22" s="2290"/>
    </row>
    <row r="23" spans="1:79">
      <c r="A23" s="15"/>
      <c r="B23" s="15"/>
      <c r="C23" s="2313"/>
      <c r="D23" s="1704"/>
      <c r="E23" s="15"/>
      <c r="F23" s="15"/>
      <c r="G23" s="2317"/>
      <c r="H23" s="15"/>
      <c r="I23" s="15"/>
      <c r="J23" s="15"/>
      <c r="K23" s="15"/>
      <c r="L23" s="15"/>
      <c r="M23" s="15"/>
      <c r="N23" s="15"/>
      <c r="O23" s="15"/>
      <c r="P23" s="15"/>
      <c r="Q23" s="15"/>
      <c r="R23" s="15"/>
      <c r="S23" s="15"/>
      <c r="T23" s="15"/>
      <c r="U23" s="15"/>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c r="AS23" s="2290"/>
      <c r="AT23" s="2290"/>
      <c r="AU23" s="2290"/>
      <c r="AV23" s="2290"/>
      <c r="AW23" s="2290"/>
      <c r="AX23" s="2290"/>
      <c r="AY23" s="2290"/>
      <c r="AZ23" s="2290"/>
      <c r="BA23" s="2290"/>
      <c r="BB23" s="2290"/>
      <c r="BC23" s="2290"/>
      <c r="BD23" s="2290"/>
      <c r="BE23" s="2290"/>
      <c r="BF23" s="2290"/>
      <c r="BG23" s="2290"/>
      <c r="BH23" s="2290"/>
      <c r="BI23" s="2290"/>
      <c r="BJ23" s="2290"/>
      <c r="BK23" s="2290"/>
      <c r="BL23" s="2290"/>
      <c r="BM23" s="2290"/>
      <c r="BN23" s="2290"/>
      <c r="BO23" s="2290"/>
      <c r="BP23" s="2290"/>
      <c r="BQ23" s="2290"/>
      <c r="BR23" s="2290"/>
      <c r="BS23" s="2290"/>
      <c r="BT23" s="2290"/>
      <c r="BU23" s="2290"/>
      <c r="BV23" s="2290"/>
      <c r="BW23" s="2290"/>
      <c r="BX23" s="2290"/>
      <c r="BY23" s="2290"/>
      <c r="BZ23" s="2290"/>
      <c r="CA23" s="2290"/>
    </row>
    <row r="24" spans="1:79">
      <c r="A24" s="15"/>
      <c r="B24" s="15"/>
      <c r="C24" s="2313"/>
      <c r="D24" s="1704"/>
      <c r="E24" s="15"/>
      <c r="F24" s="15"/>
      <c r="G24" s="2317"/>
      <c r="H24" s="15"/>
      <c r="I24" s="15"/>
      <c r="J24" s="15"/>
      <c r="K24" s="15"/>
      <c r="L24" s="15"/>
      <c r="M24" s="15"/>
      <c r="N24" s="15"/>
      <c r="O24" s="15"/>
      <c r="P24" s="15"/>
      <c r="Q24" s="15"/>
      <c r="R24" s="15"/>
      <c r="S24" s="15"/>
      <c r="T24" s="15"/>
      <c r="U24" s="15"/>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c r="AS24" s="2290"/>
      <c r="AT24" s="2290"/>
      <c r="AU24" s="2290"/>
      <c r="AV24" s="2290"/>
      <c r="AW24" s="2290"/>
      <c r="AX24" s="2290"/>
      <c r="AY24" s="2290"/>
      <c r="AZ24" s="2290"/>
      <c r="BA24" s="2290"/>
      <c r="BB24" s="2290"/>
      <c r="BC24" s="2290"/>
      <c r="BD24" s="2290"/>
      <c r="BE24" s="2290"/>
      <c r="BF24" s="2290"/>
      <c r="BG24" s="2290"/>
      <c r="BH24" s="2290"/>
      <c r="BI24" s="2290"/>
      <c r="BJ24" s="2290"/>
      <c r="BK24" s="2290"/>
      <c r="BL24" s="2290"/>
      <c r="BM24" s="2290"/>
      <c r="BN24" s="2290"/>
      <c r="BO24" s="2290"/>
      <c r="BP24" s="2290"/>
      <c r="BQ24" s="2290"/>
      <c r="BR24" s="2290"/>
      <c r="BS24" s="2290"/>
      <c r="BT24" s="2290"/>
      <c r="BU24" s="2290"/>
      <c r="BV24" s="2290"/>
      <c r="BW24" s="2290"/>
      <c r="BX24" s="2290"/>
      <c r="BY24" s="2290"/>
      <c r="BZ24" s="2290"/>
      <c r="CA24" s="2290"/>
    </row>
    <row r="25" spans="1:79" ht="15">
      <c r="A25" s="15"/>
      <c r="B25" s="15"/>
      <c r="C25" s="2313"/>
      <c r="D25" s="1704"/>
      <c r="E25" s="15"/>
      <c r="F25" s="15"/>
      <c r="G25" s="2317"/>
      <c r="H25" s="15"/>
      <c r="I25" s="15"/>
      <c r="J25" s="15"/>
      <c r="K25" s="15"/>
      <c r="L25" s="15"/>
      <c r="M25" s="15"/>
      <c r="N25" s="15"/>
      <c r="O25" s="2316"/>
      <c r="P25" s="2316"/>
      <c r="Q25" s="2316"/>
      <c r="R25" s="2316"/>
      <c r="S25" s="2316"/>
      <c r="T25" s="15"/>
      <c r="U25" s="15"/>
      <c r="V25" s="2290"/>
      <c r="W25" s="2290"/>
      <c r="X25" s="2290"/>
      <c r="Y25" s="2290"/>
      <c r="Z25" s="2290"/>
      <c r="AA25" s="2290"/>
      <c r="AB25" s="2290"/>
      <c r="AC25" s="2290"/>
      <c r="AD25" s="2290"/>
      <c r="AE25" s="2290"/>
      <c r="AF25" s="2290"/>
      <c r="AG25" s="2290"/>
      <c r="AH25" s="2290"/>
      <c r="AI25" s="2290"/>
      <c r="AJ25" s="2290"/>
      <c r="AK25" s="2290"/>
      <c r="AL25" s="2290"/>
      <c r="AM25" s="2290"/>
      <c r="AN25" s="2290"/>
      <c r="AO25" s="2290"/>
      <c r="AP25" s="2290"/>
      <c r="AQ25" s="2290"/>
      <c r="AR25" s="2290"/>
      <c r="AS25" s="2290"/>
      <c r="AT25" s="2290"/>
      <c r="AU25" s="2290"/>
      <c r="AV25" s="2290"/>
      <c r="AW25" s="2290"/>
      <c r="AX25" s="2290"/>
      <c r="AY25" s="2290"/>
      <c r="AZ25" s="2290"/>
      <c r="BA25" s="2290"/>
      <c r="BB25" s="2290"/>
      <c r="BC25" s="2290"/>
      <c r="BD25" s="2290"/>
      <c r="BE25" s="2290"/>
      <c r="BF25" s="2290"/>
      <c r="BG25" s="2290"/>
      <c r="BH25" s="2290"/>
      <c r="BI25" s="2290"/>
      <c r="BJ25" s="2290"/>
      <c r="BK25" s="2290"/>
      <c r="BL25" s="2290"/>
      <c r="BM25" s="2290"/>
      <c r="BN25" s="2290"/>
      <c r="BO25" s="2290"/>
      <c r="BP25" s="2290"/>
      <c r="BQ25" s="2290"/>
      <c r="BR25" s="2290"/>
      <c r="BS25" s="2290"/>
      <c r="BT25" s="2290"/>
      <c r="BU25" s="2290"/>
      <c r="BV25" s="2290"/>
      <c r="BW25" s="2290"/>
      <c r="BX25" s="2290"/>
      <c r="BY25" s="2290"/>
      <c r="BZ25" s="2290"/>
      <c r="CA25" s="2290"/>
    </row>
    <row r="26" spans="1:79">
      <c r="A26" s="15"/>
      <c r="B26" s="15"/>
      <c r="C26" s="2313"/>
      <c r="D26" s="1704"/>
      <c r="E26" s="15"/>
      <c r="F26" s="15"/>
      <c r="G26" s="2317"/>
      <c r="H26" s="15"/>
      <c r="I26" s="15"/>
      <c r="J26" s="15"/>
      <c r="K26" s="15"/>
      <c r="L26" s="15"/>
      <c r="M26" s="15"/>
      <c r="N26" s="15"/>
      <c r="O26" s="15"/>
      <c r="P26" s="15"/>
      <c r="Q26" s="15"/>
      <c r="R26" s="15"/>
      <c r="S26" s="15"/>
      <c r="T26" s="15"/>
      <c r="U26" s="15"/>
      <c r="V26" s="2290"/>
      <c r="W26" s="2290"/>
      <c r="X26" s="2290"/>
      <c r="Y26" s="2290"/>
      <c r="Z26" s="2290"/>
      <c r="AA26" s="2290"/>
      <c r="AB26" s="2290"/>
      <c r="AC26" s="2290"/>
      <c r="AD26" s="2290"/>
      <c r="AE26" s="2290"/>
      <c r="AF26" s="2290"/>
      <c r="AG26" s="2290"/>
      <c r="AH26" s="2290"/>
      <c r="AI26" s="2290"/>
      <c r="AJ26" s="2290"/>
      <c r="AK26" s="2290"/>
      <c r="AL26" s="2290"/>
      <c r="AM26" s="2290"/>
      <c r="AN26" s="2290"/>
      <c r="AO26" s="2290"/>
      <c r="AP26" s="2290"/>
      <c r="AQ26" s="2290"/>
      <c r="AR26" s="2290"/>
      <c r="AS26" s="2290"/>
      <c r="AT26" s="2290"/>
      <c r="AU26" s="2290"/>
      <c r="AV26" s="2290"/>
      <c r="AW26" s="2290"/>
      <c r="AX26" s="2290"/>
      <c r="AY26" s="2290"/>
      <c r="AZ26" s="2290"/>
      <c r="BA26" s="2290"/>
      <c r="BB26" s="2290"/>
      <c r="BC26" s="2290"/>
      <c r="BD26" s="2290"/>
      <c r="BE26" s="2290"/>
      <c r="BF26" s="2290"/>
      <c r="BG26" s="2290"/>
      <c r="BH26" s="2290"/>
      <c r="BI26" s="2290"/>
      <c r="BJ26" s="2290"/>
      <c r="BK26" s="2290"/>
      <c r="BL26" s="2290"/>
      <c r="BM26" s="2290"/>
      <c r="BN26" s="2290"/>
      <c r="BO26" s="2290"/>
      <c r="BP26" s="2290"/>
      <c r="BQ26" s="2290"/>
      <c r="BR26" s="2290"/>
      <c r="BS26" s="2290"/>
      <c r="BT26" s="2290"/>
      <c r="BU26" s="2290"/>
      <c r="BV26" s="2290"/>
      <c r="BW26" s="2290"/>
      <c r="BX26" s="2290"/>
      <c r="BY26" s="2290"/>
      <c r="BZ26" s="2290"/>
      <c r="CA26" s="2290"/>
    </row>
    <row r="27" spans="1:79">
      <c r="A27" s="15"/>
      <c r="B27" s="15"/>
      <c r="C27" s="2313"/>
      <c r="D27" s="1704"/>
      <c r="E27" s="15"/>
      <c r="F27" s="15"/>
      <c r="G27" s="2317"/>
      <c r="H27" s="15"/>
      <c r="I27" s="15"/>
      <c r="J27" s="15"/>
      <c r="K27" s="15"/>
      <c r="L27" s="15"/>
      <c r="M27" s="15"/>
      <c r="N27" s="15"/>
      <c r="O27" s="15"/>
      <c r="P27" s="15"/>
      <c r="Q27" s="15"/>
      <c r="R27" s="15"/>
      <c r="S27" s="15"/>
      <c r="T27" s="15"/>
      <c r="U27" s="15"/>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2290"/>
      <c r="AT27" s="2290"/>
      <c r="AU27" s="2290"/>
      <c r="AV27" s="2290"/>
      <c r="AW27" s="2290"/>
      <c r="AX27" s="2290"/>
      <c r="AY27" s="2290"/>
      <c r="AZ27" s="2290"/>
      <c r="BA27" s="2290"/>
      <c r="BB27" s="2290"/>
      <c r="BC27" s="2290"/>
      <c r="BD27" s="2290"/>
      <c r="BE27" s="2290"/>
      <c r="BF27" s="2290"/>
      <c r="BG27" s="2290"/>
      <c r="BH27" s="2290"/>
      <c r="BI27" s="2290"/>
      <c r="BJ27" s="2290"/>
      <c r="BK27" s="2290"/>
      <c r="BL27" s="2290"/>
      <c r="BM27" s="2290"/>
      <c r="BN27" s="2290"/>
      <c r="BO27" s="2290"/>
      <c r="BP27" s="2290"/>
      <c r="BQ27" s="2290"/>
      <c r="BR27" s="2290"/>
      <c r="BS27" s="2290"/>
      <c r="BT27" s="2290"/>
      <c r="BU27" s="2290"/>
      <c r="BV27" s="2290"/>
      <c r="BW27" s="2290"/>
      <c r="BX27" s="2290"/>
      <c r="BY27" s="2290"/>
      <c r="BZ27" s="2290"/>
      <c r="CA27" s="2290"/>
    </row>
    <row r="28" spans="1:79">
      <c r="A28" s="15"/>
      <c r="B28" s="15"/>
      <c r="C28" s="2313"/>
      <c r="D28" s="1704"/>
      <c r="E28" s="15"/>
      <c r="F28" s="15"/>
      <c r="G28" s="2317"/>
      <c r="H28" s="15"/>
      <c r="I28" s="15"/>
      <c r="J28" s="15"/>
      <c r="K28" s="15"/>
      <c r="L28" s="15"/>
      <c r="M28" s="15"/>
      <c r="N28" s="15"/>
      <c r="O28" s="15"/>
      <c r="P28" s="15"/>
      <c r="Q28" s="15"/>
      <c r="R28" s="15"/>
      <c r="S28" s="15"/>
      <c r="T28" s="15"/>
      <c r="U28" s="15"/>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2290"/>
      <c r="BB28" s="2290"/>
      <c r="BC28" s="2290"/>
      <c r="BD28" s="2290"/>
      <c r="BE28" s="2290"/>
      <c r="BF28" s="2290"/>
      <c r="BG28" s="2290"/>
      <c r="BH28" s="2290"/>
      <c r="BI28" s="2290"/>
      <c r="BJ28" s="2290"/>
      <c r="BK28" s="2290"/>
      <c r="BL28" s="2290"/>
      <c r="BM28" s="2290"/>
      <c r="BN28" s="2290"/>
      <c r="BO28" s="2290"/>
      <c r="BP28" s="2290"/>
      <c r="BQ28" s="2290"/>
      <c r="BR28" s="2290"/>
      <c r="BS28" s="2290"/>
      <c r="BT28" s="2290"/>
      <c r="BU28" s="2290"/>
      <c r="BV28" s="2290"/>
      <c r="BW28" s="2290"/>
      <c r="BX28" s="2290"/>
      <c r="BY28" s="2290"/>
      <c r="BZ28" s="2290"/>
      <c r="CA28" s="2290"/>
    </row>
    <row r="29" spans="1:79">
      <c r="A29" s="15"/>
      <c r="B29" s="15"/>
      <c r="C29" s="2313"/>
      <c r="D29" s="1704"/>
      <c r="E29" s="15"/>
      <c r="F29" s="15"/>
      <c r="G29" s="2317"/>
      <c r="H29" s="15"/>
      <c r="I29" s="15"/>
      <c r="J29" s="15"/>
      <c r="K29" s="15"/>
      <c r="L29" s="15"/>
      <c r="M29" s="15"/>
      <c r="N29" s="15"/>
      <c r="O29" s="15"/>
      <c r="P29" s="15"/>
      <c r="Q29" s="15"/>
      <c r="R29" s="15"/>
      <c r="S29" s="15"/>
      <c r="T29" s="15"/>
      <c r="U29" s="15"/>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90"/>
      <c r="AT29" s="2290"/>
      <c r="AU29" s="2290"/>
      <c r="AV29" s="2290"/>
      <c r="AW29" s="2290"/>
      <c r="AX29" s="2290"/>
      <c r="AY29" s="2290"/>
      <c r="AZ29" s="2290"/>
      <c r="BA29" s="2290"/>
      <c r="BB29" s="2290"/>
      <c r="BC29" s="2290"/>
      <c r="BD29" s="2290"/>
      <c r="BE29" s="2290"/>
      <c r="BF29" s="2290"/>
      <c r="BG29" s="2290"/>
      <c r="BH29" s="2290"/>
      <c r="BI29" s="2290"/>
      <c r="BJ29" s="2290"/>
      <c r="BK29" s="2290"/>
      <c r="BL29" s="2290"/>
      <c r="BM29" s="2290"/>
      <c r="BN29" s="2290"/>
      <c r="BO29" s="2290"/>
      <c r="BP29" s="2290"/>
      <c r="BQ29" s="2290"/>
      <c r="BR29" s="2290"/>
      <c r="BS29" s="2290"/>
      <c r="BT29" s="2290"/>
      <c r="BU29" s="2290"/>
      <c r="BV29" s="2290"/>
      <c r="BW29" s="2290"/>
      <c r="BX29" s="2290"/>
      <c r="BY29" s="2290"/>
      <c r="BZ29" s="2290"/>
      <c r="CA29" s="2290"/>
    </row>
    <row r="30" spans="1:79">
      <c r="A30" s="15"/>
      <c r="B30" s="15"/>
      <c r="C30" s="2313"/>
      <c r="D30" s="1704"/>
      <c r="E30" s="15"/>
      <c r="F30" s="15"/>
      <c r="G30" s="2317"/>
      <c r="H30" s="15"/>
      <c r="I30" s="15"/>
      <c r="J30" s="15"/>
      <c r="K30" s="15"/>
      <c r="L30" s="15"/>
      <c r="M30" s="15"/>
      <c r="N30" s="15"/>
      <c r="O30" s="15"/>
      <c r="P30" s="15"/>
      <c r="Q30" s="15"/>
      <c r="R30" s="15"/>
      <c r="S30" s="15"/>
      <c r="T30" s="15"/>
      <c r="U30" s="15"/>
      <c r="V30" s="2290"/>
      <c r="W30" s="2290"/>
      <c r="X30" s="2290"/>
      <c r="Y30" s="2290"/>
      <c r="Z30" s="2290"/>
      <c r="AA30" s="2290"/>
      <c r="AB30" s="2290"/>
      <c r="AC30" s="2290"/>
      <c r="AD30" s="2290"/>
      <c r="AE30" s="2290"/>
      <c r="AF30" s="2290"/>
      <c r="AG30" s="2290"/>
      <c r="AH30" s="2290"/>
      <c r="AI30" s="2290"/>
      <c r="AJ30" s="2290"/>
      <c r="AK30" s="2290"/>
      <c r="AL30" s="2290"/>
      <c r="AM30" s="2290"/>
      <c r="AN30" s="2290"/>
      <c r="AO30" s="2290"/>
      <c r="AP30" s="2290"/>
      <c r="AQ30" s="2290"/>
      <c r="AR30" s="2290"/>
      <c r="AS30" s="2290"/>
      <c r="AT30" s="2290"/>
      <c r="AU30" s="2290"/>
      <c r="AV30" s="2290"/>
      <c r="AW30" s="2290"/>
      <c r="AX30" s="2290"/>
      <c r="AY30" s="2290"/>
      <c r="AZ30" s="2290"/>
      <c r="BA30" s="2290"/>
      <c r="BB30" s="2290"/>
      <c r="BC30" s="2290"/>
      <c r="BD30" s="2290"/>
      <c r="BE30" s="2290"/>
      <c r="BF30" s="2290"/>
      <c r="BG30" s="2290"/>
      <c r="BH30" s="2290"/>
      <c r="BI30" s="2290"/>
      <c r="BJ30" s="2290"/>
      <c r="BK30" s="2290"/>
      <c r="BL30" s="2290"/>
      <c r="BM30" s="2290"/>
      <c r="BN30" s="2290"/>
      <c r="BO30" s="2290"/>
      <c r="BP30" s="2290"/>
      <c r="BQ30" s="2290"/>
      <c r="BR30" s="2290"/>
      <c r="BS30" s="2290"/>
      <c r="BT30" s="2290"/>
      <c r="BU30" s="2290"/>
      <c r="BV30" s="2290"/>
      <c r="BW30" s="2290"/>
      <c r="BX30" s="2290"/>
      <c r="BY30" s="2290"/>
      <c r="BZ30" s="2290"/>
      <c r="CA30" s="2290"/>
    </row>
    <row r="31" spans="1:79">
      <c r="A31" s="15"/>
      <c r="B31" s="15"/>
      <c r="C31" s="2313"/>
      <c r="D31" s="1704"/>
      <c r="E31" s="15"/>
      <c r="F31" s="15"/>
      <c r="G31" s="2317"/>
      <c r="H31" s="15"/>
      <c r="I31" s="15"/>
      <c r="J31" s="15"/>
      <c r="K31" s="15"/>
      <c r="L31" s="15"/>
      <c r="M31" s="15"/>
      <c r="N31" s="15"/>
      <c r="O31" s="15"/>
      <c r="P31" s="15"/>
      <c r="Q31" s="15"/>
      <c r="R31" s="15"/>
      <c r="S31" s="15"/>
      <c r="T31" s="15"/>
      <c r="U31" s="15"/>
      <c r="V31" s="2290"/>
      <c r="W31" s="2290"/>
      <c r="X31" s="2290"/>
      <c r="Y31" s="2290"/>
      <c r="Z31" s="2290"/>
      <c r="AA31" s="2290"/>
      <c r="AB31" s="2290"/>
      <c r="AC31" s="2290"/>
      <c r="AD31" s="2290"/>
      <c r="AE31" s="2290"/>
      <c r="AF31" s="2290"/>
      <c r="AG31" s="2290"/>
      <c r="AH31" s="2290"/>
      <c r="AI31" s="2290"/>
      <c r="AJ31" s="2290"/>
      <c r="AK31" s="2290"/>
      <c r="AL31" s="2290"/>
      <c r="AM31" s="2290"/>
      <c r="AN31" s="2290"/>
      <c r="AO31" s="2290"/>
      <c r="AP31" s="2290"/>
      <c r="AQ31" s="2290"/>
      <c r="AR31" s="2290"/>
      <c r="AS31" s="2290"/>
      <c r="AT31" s="2290"/>
      <c r="AU31" s="2290"/>
      <c r="AV31" s="2290"/>
      <c r="AW31" s="2290"/>
      <c r="AX31" s="2290"/>
      <c r="AY31" s="2290"/>
      <c r="AZ31" s="2290"/>
      <c r="BA31" s="2290"/>
      <c r="BB31" s="2290"/>
      <c r="BC31" s="2290"/>
      <c r="BD31" s="2290"/>
      <c r="BE31" s="2290"/>
      <c r="BF31" s="2290"/>
      <c r="BG31" s="2290"/>
      <c r="BH31" s="2290"/>
      <c r="BI31" s="2290"/>
      <c r="BJ31" s="2290"/>
      <c r="BK31" s="2290"/>
      <c r="BL31" s="2290"/>
      <c r="BM31" s="2290"/>
      <c r="BN31" s="2290"/>
      <c r="BO31" s="2290"/>
      <c r="BP31" s="2290"/>
      <c r="BQ31" s="2290"/>
      <c r="BR31" s="2290"/>
      <c r="BS31" s="2290"/>
      <c r="BT31" s="2290"/>
      <c r="BU31" s="2290"/>
      <c r="BV31" s="2290"/>
      <c r="BW31" s="2290"/>
      <c r="BX31" s="2290"/>
      <c r="BY31" s="2290"/>
      <c r="BZ31" s="2290"/>
      <c r="CA31" s="2290"/>
    </row>
    <row r="32" spans="1:79">
      <c r="A32" s="15"/>
      <c r="B32" s="15"/>
      <c r="C32" s="2313"/>
      <c r="D32" s="1704"/>
      <c r="E32" s="15"/>
      <c r="F32" s="15"/>
      <c r="G32" s="2317"/>
      <c r="H32" s="15"/>
      <c r="I32" s="15"/>
      <c r="J32" s="15"/>
      <c r="K32" s="15"/>
      <c r="L32" s="15"/>
      <c r="M32" s="15"/>
      <c r="N32" s="15"/>
      <c r="O32" s="15"/>
      <c r="P32" s="15"/>
      <c r="Q32" s="15"/>
      <c r="R32" s="15"/>
      <c r="S32" s="15"/>
      <c r="T32" s="15"/>
      <c r="U32" s="15"/>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90"/>
      <c r="AT32" s="2290"/>
      <c r="AU32" s="2290"/>
      <c r="AV32" s="2290"/>
      <c r="AW32" s="2290"/>
      <c r="AX32" s="2290"/>
      <c r="AY32" s="2290"/>
      <c r="AZ32" s="2290"/>
      <c r="BA32" s="2290"/>
      <c r="BB32" s="2290"/>
      <c r="BC32" s="2290"/>
      <c r="BD32" s="2290"/>
      <c r="BE32" s="2290"/>
      <c r="BF32" s="2290"/>
      <c r="BG32" s="2290"/>
      <c r="BH32" s="2290"/>
      <c r="BI32" s="2290"/>
      <c r="BJ32" s="2290"/>
      <c r="BK32" s="2290"/>
      <c r="BL32" s="2290"/>
      <c r="BM32" s="2290"/>
      <c r="BN32" s="2290"/>
      <c r="BO32" s="2290"/>
      <c r="BP32" s="2290"/>
      <c r="BQ32" s="2290"/>
      <c r="BR32" s="2290"/>
      <c r="BS32" s="2290"/>
      <c r="BT32" s="2290"/>
      <c r="BU32" s="2290"/>
      <c r="BV32" s="2290"/>
      <c r="BW32" s="2290"/>
      <c r="BX32" s="2290"/>
      <c r="BY32" s="2290"/>
      <c r="BZ32" s="2290"/>
      <c r="CA32" s="2290"/>
    </row>
    <row r="33" spans="1:79" ht="15">
      <c r="A33" s="15"/>
      <c r="B33" s="15"/>
      <c r="C33" s="2313"/>
      <c r="D33" s="1704"/>
      <c r="E33" s="15"/>
      <c r="F33" s="15"/>
      <c r="G33" s="2317"/>
      <c r="H33" s="15"/>
      <c r="I33" s="15"/>
      <c r="J33" s="2316"/>
      <c r="K33" s="15"/>
      <c r="L33" s="15"/>
      <c r="M33" s="15"/>
      <c r="N33" s="15"/>
      <c r="O33" s="15"/>
      <c r="P33" s="15"/>
      <c r="Q33" s="15"/>
      <c r="R33" s="15"/>
      <c r="S33" s="15"/>
      <c r="T33" s="15"/>
      <c r="U33" s="15"/>
      <c r="V33" s="2290"/>
      <c r="W33" s="2290"/>
      <c r="X33" s="2290"/>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90"/>
      <c r="AT33" s="2290"/>
      <c r="AU33" s="2290"/>
      <c r="AV33" s="2290"/>
      <c r="AW33" s="2290"/>
      <c r="AX33" s="2290"/>
      <c r="AY33" s="2290"/>
      <c r="AZ33" s="2290"/>
      <c r="BA33" s="2290"/>
      <c r="BB33" s="2290"/>
      <c r="BC33" s="2290"/>
      <c r="BD33" s="2290"/>
      <c r="BE33" s="2290"/>
      <c r="BF33" s="2290"/>
      <c r="BG33" s="2290"/>
      <c r="BH33" s="2290"/>
      <c r="BI33" s="2290"/>
      <c r="BJ33" s="2290"/>
      <c r="BK33" s="2290"/>
      <c r="BL33" s="2290"/>
      <c r="BM33" s="2290"/>
      <c r="BN33" s="2290"/>
      <c r="BO33" s="2290"/>
      <c r="BP33" s="2290"/>
      <c r="BQ33" s="2290"/>
      <c r="BR33" s="2290"/>
      <c r="BS33" s="2290"/>
      <c r="BT33" s="2290"/>
      <c r="BU33" s="2290"/>
      <c r="BV33" s="2290"/>
      <c r="BW33" s="2290"/>
      <c r="BX33" s="2290"/>
      <c r="BY33" s="2290"/>
      <c r="BZ33" s="2290"/>
      <c r="CA33" s="2290"/>
    </row>
    <row r="34" spans="1:79">
      <c r="A34" s="15"/>
      <c r="B34" s="15"/>
      <c r="C34" s="2313"/>
      <c r="D34" s="1704"/>
      <c r="E34" s="15"/>
      <c r="F34" s="15"/>
      <c r="G34" s="2317"/>
      <c r="H34" s="15"/>
      <c r="I34" s="15"/>
      <c r="J34" s="15"/>
      <c r="K34" s="15"/>
      <c r="L34" s="15"/>
      <c r="M34" s="15"/>
      <c r="N34" s="15"/>
      <c r="O34" s="15"/>
      <c r="P34" s="15"/>
      <c r="Q34" s="15"/>
      <c r="R34" s="15"/>
      <c r="S34" s="15"/>
      <c r="T34" s="15"/>
      <c r="U34" s="15"/>
      <c r="V34" s="2290"/>
      <c r="W34" s="2290"/>
      <c r="X34" s="2290"/>
      <c r="Y34" s="2290"/>
      <c r="Z34" s="2290"/>
      <c r="AA34" s="2290"/>
      <c r="AB34" s="2290"/>
      <c r="AC34" s="2290"/>
      <c r="AD34" s="2290"/>
      <c r="AE34" s="2290"/>
      <c r="AF34" s="2290"/>
      <c r="AG34" s="2290"/>
      <c r="AH34" s="2290"/>
      <c r="AI34" s="2290"/>
      <c r="AJ34" s="2290"/>
      <c r="AK34" s="2290"/>
      <c r="AL34" s="2290"/>
      <c r="AM34" s="2290"/>
      <c r="AN34" s="2290"/>
      <c r="AO34" s="2290"/>
      <c r="AP34" s="2290"/>
      <c r="AQ34" s="2290"/>
      <c r="AR34" s="2290"/>
      <c r="AS34" s="2290"/>
      <c r="AT34" s="2290"/>
      <c r="AU34" s="2290"/>
      <c r="AV34" s="2290"/>
      <c r="AW34" s="2290"/>
      <c r="AX34" s="2290"/>
      <c r="AY34" s="2290"/>
      <c r="AZ34" s="2290"/>
      <c r="BA34" s="2290"/>
      <c r="BB34" s="2290"/>
      <c r="BC34" s="2290"/>
      <c r="BD34" s="2290"/>
      <c r="BE34" s="2290"/>
      <c r="BF34" s="2290"/>
      <c r="BG34" s="2290"/>
      <c r="BH34" s="2290"/>
      <c r="BI34" s="2290"/>
      <c r="BJ34" s="2290"/>
      <c r="BK34" s="2290"/>
      <c r="BL34" s="2290"/>
      <c r="BM34" s="2290"/>
      <c r="BN34" s="2290"/>
      <c r="BO34" s="2290"/>
      <c r="BP34" s="2290"/>
      <c r="BQ34" s="2290"/>
      <c r="BR34" s="2290"/>
      <c r="BS34" s="2290"/>
      <c r="BT34" s="2290"/>
      <c r="BU34" s="2290"/>
      <c r="BV34" s="2290"/>
      <c r="BW34" s="2290"/>
      <c r="BX34" s="2290"/>
      <c r="BY34" s="2290"/>
      <c r="BZ34" s="2290"/>
      <c r="CA34" s="2290"/>
    </row>
    <row r="35" spans="1:79">
      <c r="A35" s="15"/>
      <c r="B35" s="15"/>
      <c r="C35" s="2313"/>
      <c r="D35" s="1704"/>
      <c r="E35" s="15"/>
      <c r="F35" s="15"/>
      <c r="G35" s="2317"/>
      <c r="H35" s="15"/>
      <c r="I35" s="15"/>
      <c r="J35" s="15"/>
      <c r="K35" s="15"/>
      <c r="L35" s="15"/>
      <c r="M35" s="15"/>
      <c r="N35" s="15"/>
      <c r="O35" s="15"/>
      <c r="P35" s="15"/>
      <c r="Q35" s="15"/>
      <c r="R35" s="15"/>
      <c r="S35" s="15"/>
      <c r="T35" s="15"/>
      <c r="U35" s="15"/>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R35" s="2290"/>
      <c r="AS35" s="2290"/>
      <c r="AT35" s="2290"/>
      <c r="AU35" s="2290"/>
      <c r="AV35" s="2290"/>
      <c r="AW35" s="2290"/>
      <c r="AX35" s="2290"/>
      <c r="AY35" s="2290"/>
      <c r="AZ35" s="2290"/>
      <c r="BA35" s="2290"/>
      <c r="BB35" s="2290"/>
      <c r="BC35" s="2290"/>
      <c r="BD35" s="2290"/>
      <c r="BE35" s="2290"/>
      <c r="BF35" s="2290"/>
      <c r="BG35" s="2290"/>
      <c r="BH35" s="2290"/>
      <c r="BI35" s="2290"/>
      <c r="BJ35" s="2290"/>
      <c r="BK35" s="2290"/>
      <c r="BL35" s="2290"/>
      <c r="BM35" s="2290"/>
      <c r="BN35" s="2290"/>
      <c r="BO35" s="2290"/>
      <c r="BP35" s="2290"/>
      <c r="BQ35" s="2290"/>
      <c r="BR35" s="2290"/>
      <c r="BS35" s="2290"/>
      <c r="BT35" s="2290"/>
      <c r="BU35" s="2290"/>
      <c r="BV35" s="2290"/>
      <c r="BW35" s="2290"/>
      <c r="BX35" s="2290"/>
      <c r="BY35" s="2290"/>
      <c r="BZ35" s="2290"/>
      <c r="CA35" s="2290"/>
    </row>
    <row r="36" spans="1:79">
      <c r="A36" s="15"/>
      <c r="B36" s="15"/>
      <c r="C36" s="15"/>
      <c r="D36" s="15"/>
      <c r="E36" s="15"/>
      <c r="F36" s="15"/>
      <c r="G36" s="15"/>
      <c r="H36" s="15"/>
      <c r="I36" s="15"/>
      <c r="J36" s="15"/>
      <c r="K36" s="15"/>
      <c r="L36" s="15"/>
      <c r="M36" s="15"/>
      <c r="N36" s="15"/>
      <c r="O36" s="15"/>
      <c r="P36" s="15"/>
      <c r="Q36" s="15"/>
      <c r="R36" s="15"/>
      <c r="S36" s="15"/>
      <c r="T36" s="15"/>
      <c r="U36" s="15"/>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c r="AQ36" s="2290"/>
      <c r="AR36" s="2290"/>
      <c r="AS36" s="2290"/>
      <c r="AT36" s="2290"/>
      <c r="AU36" s="2290"/>
      <c r="AV36" s="2290"/>
      <c r="AW36" s="2290"/>
      <c r="AX36" s="2290"/>
      <c r="AY36" s="2290"/>
      <c r="AZ36" s="2290"/>
      <c r="BA36" s="2290"/>
      <c r="BB36" s="2290"/>
      <c r="BC36" s="2290"/>
      <c r="BD36" s="2290"/>
      <c r="BE36" s="2290"/>
      <c r="BF36" s="2290"/>
      <c r="BG36" s="2290"/>
      <c r="BH36" s="2290"/>
      <c r="BI36" s="2290"/>
      <c r="BJ36" s="2290"/>
      <c r="BK36" s="2290"/>
      <c r="BL36" s="2290"/>
      <c r="BM36" s="2290"/>
      <c r="BN36" s="2290"/>
      <c r="BO36" s="2290"/>
      <c r="BP36" s="2290"/>
      <c r="BQ36" s="2290"/>
      <c r="BR36" s="2290"/>
      <c r="BS36" s="2290"/>
      <c r="BT36" s="2290"/>
      <c r="BU36" s="2290"/>
      <c r="BV36" s="2290"/>
      <c r="BW36" s="2290"/>
      <c r="BX36" s="2290"/>
      <c r="BY36" s="2290"/>
      <c r="BZ36" s="2290"/>
      <c r="CA36" s="2290"/>
    </row>
    <row r="37" spans="1:79" ht="15">
      <c r="A37" s="15"/>
      <c r="B37" s="15"/>
      <c r="C37" s="15"/>
      <c r="D37" s="15"/>
      <c r="E37" s="15"/>
      <c r="F37" s="3986"/>
      <c r="G37" s="3986"/>
      <c r="H37" s="2318"/>
      <c r="I37" s="15"/>
      <c r="J37" s="15"/>
      <c r="K37" s="15"/>
      <c r="L37" s="15"/>
      <c r="M37" s="15"/>
      <c r="N37" s="15"/>
      <c r="O37" s="15"/>
      <c r="P37" s="15"/>
      <c r="Q37" s="15"/>
      <c r="R37" s="15"/>
      <c r="S37" s="15"/>
      <c r="T37" s="15"/>
      <c r="U37" s="15"/>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c r="AQ37" s="2290"/>
      <c r="AR37" s="2290"/>
      <c r="AS37" s="2290"/>
      <c r="AT37" s="2290"/>
      <c r="AU37" s="2290"/>
      <c r="AV37" s="2290"/>
      <c r="AW37" s="2290"/>
      <c r="AX37" s="2290"/>
      <c r="AY37" s="2290"/>
      <c r="AZ37" s="2290"/>
      <c r="BA37" s="2290"/>
      <c r="BB37" s="2290"/>
      <c r="BC37" s="2290"/>
      <c r="BD37" s="2290"/>
      <c r="BE37" s="2290"/>
      <c r="BF37" s="2290"/>
      <c r="BG37" s="2290"/>
      <c r="BH37" s="2290"/>
      <c r="BI37" s="2290"/>
      <c r="BJ37" s="2290"/>
      <c r="BK37" s="2290"/>
      <c r="BL37" s="2290"/>
      <c r="BM37" s="2290"/>
      <c r="BN37" s="2290"/>
      <c r="BO37" s="2290"/>
      <c r="BP37" s="2290"/>
      <c r="BQ37" s="2290"/>
      <c r="BR37" s="2290"/>
      <c r="BS37" s="2290"/>
      <c r="BT37" s="2290"/>
      <c r="BU37" s="2290"/>
      <c r="BV37" s="2290"/>
      <c r="BW37" s="2290"/>
      <c r="BX37" s="2290"/>
      <c r="BY37" s="2290"/>
      <c r="BZ37" s="2290"/>
      <c r="CA37" s="2290"/>
    </row>
    <row r="38" spans="1:79">
      <c r="A38" s="15"/>
      <c r="B38" s="15"/>
      <c r="C38" s="15"/>
      <c r="D38" s="15"/>
      <c r="I38" s="15"/>
      <c r="J38" s="15"/>
      <c r="K38" s="15"/>
      <c r="L38" s="15"/>
      <c r="M38" s="15"/>
      <c r="N38" s="15"/>
      <c r="O38" s="15"/>
      <c r="P38" s="15"/>
      <c r="Q38" s="15"/>
      <c r="R38" s="15"/>
      <c r="S38" s="15"/>
      <c r="T38" s="15"/>
      <c r="U38" s="15"/>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AT38" s="2290"/>
      <c r="AU38" s="2290"/>
      <c r="AV38" s="2290"/>
      <c r="AW38" s="2290"/>
      <c r="AX38" s="2290"/>
      <c r="AY38" s="2290"/>
      <c r="AZ38" s="2290"/>
      <c r="BA38" s="2290"/>
      <c r="BB38" s="2290"/>
      <c r="BC38" s="2290"/>
      <c r="BD38" s="2290"/>
      <c r="BE38" s="2290"/>
      <c r="BF38" s="2290"/>
      <c r="BG38" s="2290"/>
      <c r="BH38" s="2290"/>
      <c r="BI38" s="2290"/>
      <c r="BJ38" s="2290"/>
      <c r="BK38" s="2290"/>
      <c r="BL38" s="2290"/>
      <c r="BM38" s="2290"/>
      <c r="BN38" s="2290"/>
      <c r="BO38" s="2290"/>
      <c r="BP38" s="2290"/>
      <c r="BQ38" s="2290"/>
      <c r="BR38" s="2290"/>
      <c r="BS38" s="2290"/>
      <c r="BT38" s="2290"/>
      <c r="BU38" s="2290"/>
      <c r="BV38" s="2290"/>
      <c r="BW38" s="2290"/>
      <c r="BX38" s="2290"/>
      <c r="BY38" s="2290"/>
      <c r="BZ38" s="2290"/>
      <c r="CA38" s="2290"/>
    </row>
    <row r="39" spans="1:79">
      <c r="A39" s="15"/>
      <c r="B39" s="15"/>
      <c r="C39" s="15"/>
      <c r="D39" s="15"/>
      <c r="E39" s="15"/>
      <c r="F39" s="15"/>
      <c r="G39" s="15"/>
      <c r="H39" s="15"/>
      <c r="I39" s="15"/>
      <c r="J39" s="15"/>
      <c r="K39" s="15"/>
      <c r="L39" s="15"/>
      <c r="M39" s="15"/>
      <c r="N39" s="15"/>
      <c r="O39" s="15"/>
      <c r="P39" s="15"/>
      <c r="Q39" s="15"/>
      <c r="R39" s="15"/>
      <c r="S39" s="15"/>
      <c r="T39" s="15"/>
      <c r="U39" s="15"/>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B39" s="2290"/>
      <c r="BC39" s="2290"/>
      <c r="BD39" s="2290"/>
      <c r="BE39" s="2290"/>
      <c r="BF39" s="2290"/>
      <c r="BG39" s="2290"/>
      <c r="BH39" s="2290"/>
      <c r="BI39" s="2290"/>
      <c r="BJ39" s="2290"/>
      <c r="BK39" s="2290"/>
      <c r="BL39" s="2290"/>
      <c r="BM39" s="2290"/>
      <c r="BN39" s="2290"/>
      <c r="BO39" s="2290"/>
      <c r="BP39" s="2290"/>
      <c r="BQ39" s="2290"/>
      <c r="BR39" s="2290"/>
      <c r="BS39" s="2290"/>
      <c r="BT39" s="2290"/>
      <c r="BU39" s="2290"/>
      <c r="BV39" s="2290"/>
      <c r="BW39" s="2290"/>
      <c r="BX39" s="2290"/>
      <c r="BY39" s="2290"/>
      <c r="BZ39" s="2290"/>
      <c r="CA39" s="2290"/>
    </row>
    <row r="40" spans="1:79">
      <c r="A40" s="15"/>
      <c r="B40" s="15"/>
      <c r="C40" s="15"/>
      <c r="D40" s="15"/>
      <c r="E40" s="15"/>
      <c r="F40" s="15"/>
      <c r="G40" s="15"/>
      <c r="H40" s="15"/>
      <c r="I40" s="15"/>
      <c r="J40" s="15"/>
      <c r="K40" s="15"/>
      <c r="L40" s="15"/>
      <c r="M40" s="15"/>
      <c r="N40" s="15"/>
      <c r="O40" s="15"/>
      <c r="P40" s="15"/>
      <c r="Q40" s="15"/>
      <c r="R40" s="15"/>
      <c r="S40" s="15"/>
      <c r="T40" s="15"/>
      <c r="U40" s="15"/>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c r="AQ40" s="2290"/>
      <c r="AR40" s="2290"/>
      <c r="AS40" s="2290"/>
      <c r="AT40" s="2290"/>
      <c r="AU40" s="2290"/>
      <c r="AV40" s="2290"/>
      <c r="AW40" s="2290"/>
      <c r="AX40" s="2290"/>
      <c r="AY40" s="2290"/>
      <c r="AZ40" s="2290"/>
      <c r="BA40" s="2290"/>
      <c r="BB40" s="2290"/>
      <c r="BC40" s="2290"/>
      <c r="BD40" s="2290"/>
      <c r="BE40" s="2290"/>
      <c r="BF40" s="2290"/>
      <c r="BG40" s="2290"/>
      <c r="BH40" s="2290"/>
      <c r="BI40" s="2290"/>
      <c r="BJ40" s="2290"/>
      <c r="BK40" s="2290"/>
      <c r="BL40" s="2290"/>
      <c r="BM40" s="2290"/>
      <c r="BN40" s="2290"/>
      <c r="BO40" s="2290"/>
      <c r="BP40" s="2290"/>
      <c r="BQ40" s="2290"/>
      <c r="BR40" s="2290"/>
      <c r="BS40" s="2290"/>
      <c r="BT40" s="2290"/>
      <c r="BU40" s="2290"/>
      <c r="BV40" s="2290"/>
      <c r="BW40" s="2290"/>
      <c r="BX40" s="2290"/>
      <c r="BY40" s="2290"/>
      <c r="BZ40" s="2290"/>
      <c r="CA40" s="2290"/>
    </row>
    <row r="41" spans="1:79">
      <c r="A41" s="15"/>
      <c r="B41" s="15"/>
      <c r="C41" s="15"/>
      <c r="D41" s="15"/>
      <c r="E41" s="15"/>
      <c r="F41" s="15"/>
      <c r="G41" s="15"/>
      <c r="H41" s="15"/>
      <c r="I41" s="15"/>
      <c r="J41" s="15"/>
      <c r="K41" s="15"/>
      <c r="L41" s="15"/>
      <c r="M41" s="15"/>
      <c r="N41" s="15"/>
      <c r="O41" s="15"/>
      <c r="P41" s="15"/>
      <c r="Q41" s="15"/>
      <c r="R41" s="15"/>
      <c r="S41" s="15"/>
      <c r="T41" s="15"/>
      <c r="U41" s="15"/>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c r="AQ41" s="2290"/>
      <c r="AR41" s="2290"/>
      <c r="AS41" s="2290"/>
      <c r="AT41" s="2290"/>
      <c r="AU41" s="2290"/>
      <c r="AV41" s="2290"/>
      <c r="AW41" s="2290"/>
      <c r="AX41" s="2290"/>
      <c r="AY41" s="2290"/>
      <c r="AZ41" s="2290"/>
      <c r="BA41" s="2290"/>
      <c r="BB41" s="2290"/>
      <c r="BC41" s="2290"/>
      <c r="BD41" s="2290"/>
      <c r="BE41" s="2290"/>
      <c r="BF41" s="2290"/>
      <c r="BG41" s="2290"/>
      <c r="BH41" s="2290"/>
      <c r="BI41" s="2290"/>
      <c r="BJ41" s="2290"/>
      <c r="BK41" s="2290"/>
      <c r="BL41" s="2290"/>
      <c r="BM41" s="2290"/>
      <c r="BN41" s="2290"/>
      <c r="BO41" s="2290"/>
      <c r="BP41" s="2290"/>
      <c r="BQ41" s="2290"/>
      <c r="BR41" s="2290"/>
      <c r="BS41" s="2290"/>
      <c r="BT41" s="2290"/>
      <c r="BU41" s="2290"/>
      <c r="BV41" s="2290"/>
      <c r="BW41" s="2290"/>
      <c r="BX41" s="2290"/>
      <c r="BY41" s="2290"/>
      <c r="BZ41" s="2290"/>
      <c r="CA41" s="2290"/>
    </row>
    <row r="42" spans="1:79">
      <c r="A42" s="15"/>
      <c r="B42" s="15"/>
      <c r="C42" s="15"/>
      <c r="D42" s="15"/>
      <c r="E42" s="15"/>
      <c r="F42" s="15"/>
      <c r="G42" s="15"/>
      <c r="H42" s="15"/>
      <c r="I42" s="15"/>
      <c r="J42" s="15"/>
      <c r="K42" s="15"/>
      <c r="L42" s="15"/>
      <c r="M42" s="15"/>
      <c r="N42" s="15"/>
      <c r="O42" s="15"/>
      <c r="P42" s="15"/>
      <c r="Q42" s="15"/>
      <c r="R42" s="15"/>
      <c r="S42" s="15"/>
      <c r="T42" s="15"/>
      <c r="U42" s="15"/>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c r="AS42" s="2290"/>
      <c r="AT42" s="2290"/>
      <c r="AU42" s="2290"/>
      <c r="AV42" s="2290"/>
      <c r="AW42" s="2290"/>
      <c r="AX42" s="2290"/>
      <c r="AY42" s="2290"/>
      <c r="AZ42" s="2290"/>
      <c r="BA42" s="2290"/>
      <c r="BB42" s="2290"/>
      <c r="BC42" s="2290"/>
      <c r="BD42" s="2290"/>
      <c r="BE42" s="2290"/>
      <c r="BF42" s="2290"/>
      <c r="BG42" s="2290"/>
      <c r="BH42" s="2290"/>
      <c r="BI42" s="2290"/>
      <c r="BJ42" s="2290"/>
      <c r="BK42" s="2290"/>
      <c r="BL42" s="2290"/>
      <c r="BM42" s="2290"/>
      <c r="BN42" s="2290"/>
      <c r="BO42" s="2290"/>
      <c r="BP42" s="2290"/>
      <c r="BQ42" s="2290"/>
      <c r="BR42" s="2290"/>
      <c r="BS42" s="2290"/>
      <c r="BT42" s="2290"/>
      <c r="BU42" s="2290"/>
      <c r="BV42" s="2290"/>
      <c r="BW42" s="2290"/>
      <c r="BX42" s="2290"/>
      <c r="BY42" s="2290"/>
      <c r="BZ42" s="2290"/>
      <c r="CA42" s="2290"/>
    </row>
    <row r="43" spans="1:79">
      <c r="A43" s="15"/>
      <c r="B43" s="15"/>
      <c r="C43" s="15"/>
      <c r="D43" s="15"/>
      <c r="E43" s="15"/>
      <c r="F43" s="15"/>
      <c r="G43" s="15"/>
      <c r="H43" s="15"/>
      <c r="I43" s="15"/>
      <c r="J43" s="15"/>
      <c r="K43" s="15"/>
      <c r="L43" s="15"/>
      <c r="M43" s="15"/>
      <c r="N43" s="15"/>
      <c r="O43" s="15"/>
      <c r="P43" s="15"/>
      <c r="Q43" s="15"/>
      <c r="R43" s="15"/>
      <c r="S43" s="15"/>
      <c r="T43" s="15"/>
      <c r="U43" s="15"/>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c r="AS43" s="2290"/>
      <c r="AT43" s="2290"/>
      <c r="AU43" s="2290"/>
      <c r="AV43" s="2290"/>
      <c r="AW43" s="2290"/>
      <c r="AX43" s="2290"/>
      <c r="AY43" s="2290"/>
      <c r="AZ43" s="2290"/>
      <c r="BA43" s="2290"/>
      <c r="BB43" s="2290"/>
      <c r="BC43" s="2290"/>
      <c r="BD43" s="2290"/>
      <c r="BE43" s="2290"/>
      <c r="BF43" s="2290"/>
      <c r="BG43" s="2290"/>
      <c r="BH43" s="2290"/>
      <c r="BI43" s="2290"/>
      <c r="BJ43" s="2290"/>
      <c r="BK43" s="2290"/>
      <c r="BL43" s="2290"/>
      <c r="BM43" s="2290"/>
      <c r="BN43" s="2290"/>
      <c r="BO43" s="2290"/>
      <c r="BP43" s="2290"/>
      <c r="BQ43" s="2290"/>
      <c r="BR43" s="2290"/>
      <c r="BS43" s="2290"/>
      <c r="BT43" s="2290"/>
      <c r="BU43" s="2290"/>
      <c r="BV43" s="2290"/>
      <c r="BW43" s="2290"/>
      <c r="BX43" s="2290"/>
      <c r="BY43" s="2290"/>
      <c r="BZ43" s="2290"/>
      <c r="CA43" s="2290"/>
    </row>
    <row r="44" spans="1:79">
      <c r="A44" s="15"/>
      <c r="B44" s="15"/>
      <c r="C44" s="15"/>
      <c r="D44" s="15"/>
      <c r="E44" s="15"/>
      <c r="F44" s="15"/>
      <c r="G44" s="15"/>
      <c r="H44" s="15"/>
      <c r="I44" s="15"/>
      <c r="J44" s="15"/>
      <c r="K44" s="15"/>
      <c r="L44" s="15"/>
      <c r="M44" s="15"/>
      <c r="N44" s="15"/>
      <c r="O44" s="15"/>
      <c r="P44" s="15"/>
      <c r="Q44" s="15"/>
      <c r="R44" s="15"/>
      <c r="S44" s="15"/>
      <c r="T44" s="15"/>
      <c r="U44" s="15"/>
      <c r="V44" s="2290"/>
      <c r="W44" s="2290"/>
      <c r="X44" s="2290"/>
      <c r="Y44" s="2290"/>
      <c r="Z44" s="2290"/>
      <c r="AA44" s="2290"/>
      <c r="AB44" s="2290"/>
      <c r="AC44" s="2290"/>
      <c r="AD44" s="2290"/>
      <c r="AE44" s="2290"/>
      <c r="AF44" s="2290"/>
      <c r="AG44" s="2290"/>
      <c r="AH44" s="2290"/>
      <c r="AI44" s="2290"/>
      <c r="AJ44" s="2290"/>
      <c r="AK44" s="2290"/>
      <c r="AL44" s="2290"/>
      <c r="AM44" s="2290"/>
      <c r="AN44" s="2290"/>
      <c r="AO44" s="2290"/>
      <c r="AP44" s="2290"/>
      <c r="AQ44" s="2290"/>
      <c r="AR44" s="2290"/>
      <c r="AS44" s="2290"/>
      <c r="AT44" s="2290"/>
      <c r="AU44" s="2290"/>
      <c r="AV44" s="2290"/>
      <c r="AW44" s="2290"/>
      <c r="AX44" s="2290"/>
      <c r="AY44" s="2290"/>
      <c r="AZ44" s="2290"/>
      <c r="BA44" s="2290"/>
      <c r="BB44" s="2290"/>
      <c r="BC44" s="2290"/>
      <c r="BD44" s="2290"/>
      <c r="BE44" s="2290"/>
      <c r="BF44" s="2290"/>
      <c r="BG44" s="2290"/>
      <c r="BH44" s="2290"/>
      <c r="BI44" s="2290"/>
      <c r="BJ44" s="2290"/>
      <c r="BK44" s="2290"/>
      <c r="BL44" s="2290"/>
      <c r="BM44" s="2290"/>
      <c r="BN44" s="2290"/>
      <c r="BO44" s="2290"/>
      <c r="BP44" s="2290"/>
      <c r="BQ44" s="2290"/>
      <c r="BR44" s="2290"/>
      <c r="BS44" s="2290"/>
      <c r="BT44" s="2290"/>
      <c r="BU44" s="2290"/>
      <c r="BV44" s="2290"/>
      <c r="BW44" s="2290"/>
      <c r="BX44" s="2290"/>
      <c r="BY44" s="2290"/>
      <c r="BZ44" s="2290"/>
      <c r="CA44" s="2290"/>
    </row>
    <row r="45" spans="1:79">
      <c r="A45" s="15"/>
      <c r="B45" s="15"/>
      <c r="C45" s="15"/>
      <c r="D45" s="15"/>
      <c r="E45" s="15"/>
      <c r="F45" s="15"/>
      <c r="G45" s="15"/>
      <c r="H45" s="15"/>
      <c r="I45" s="15"/>
      <c r="J45" s="15"/>
      <c r="K45" s="15"/>
      <c r="L45" s="15"/>
      <c r="M45" s="15"/>
      <c r="N45" s="15"/>
      <c r="O45" s="15"/>
      <c r="P45" s="15"/>
      <c r="Q45" s="15"/>
      <c r="R45" s="15"/>
      <c r="S45" s="15"/>
      <c r="T45" s="15"/>
      <c r="U45" s="15"/>
      <c r="V45" s="2290"/>
      <c r="W45" s="2290"/>
      <c r="X45" s="2290"/>
      <c r="Y45" s="2290"/>
      <c r="Z45" s="2290"/>
      <c r="AA45" s="2290"/>
      <c r="AB45" s="2290"/>
      <c r="AC45" s="2290"/>
      <c r="AD45" s="2290"/>
      <c r="AE45" s="2290"/>
      <c r="AF45" s="2290"/>
      <c r="AG45" s="2290"/>
      <c r="AH45" s="2290"/>
      <c r="AI45" s="2290"/>
      <c r="AJ45" s="2290"/>
      <c r="AK45" s="2290"/>
      <c r="AL45" s="2290"/>
      <c r="AM45" s="2290"/>
      <c r="AN45" s="2290"/>
      <c r="AO45" s="2290"/>
      <c r="AP45" s="2290"/>
      <c r="AQ45" s="2290"/>
      <c r="AR45" s="2290"/>
      <c r="AS45" s="2290"/>
      <c r="AT45" s="2290"/>
      <c r="AU45" s="2290"/>
      <c r="AV45" s="2290"/>
      <c r="AW45" s="2290"/>
      <c r="AX45" s="2290"/>
      <c r="AY45" s="2290"/>
      <c r="AZ45" s="2290"/>
      <c r="BA45" s="2290"/>
      <c r="BB45" s="2290"/>
      <c r="BC45" s="2290"/>
      <c r="BD45" s="2290"/>
      <c r="BE45" s="2290"/>
      <c r="BF45" s="2290"/>
      <c r="BG45" s="2290"/>
      <c r="BH45" s="2290"/>
      <c r="BI45" s="2290"/>
      <c r="BJ45" s="2290"/>
      <c r="BK45" s="2290"/>
      <c r="BL45" s="2290"/>
      <c r="BM45" s="2290"/>
      <c r="BN45" s="2290"/>
      <c r="BO45" s="2290"/>
      <c r="BP45" s="2290"/>
      <c r="BQ45" s="2290"/>
      <c r="BR45" s="2290"/>
      <c r="BS45" s="2290"/>
      <c r="BT45" s="2290"/>
      <c r="BU45" s="2290"/>
      <c r="BV45" s="2290"/>
      <c r="BW45" s="2290"/>
      <c r="BX45" s="2290"/>
      <c r="BY45" s="2290"/>
      <c r="BZ45" s="2290"/>
      <c r="CA45" s="2290"/>
    </row>
    <row r="46" spans="1:79">
      <c r="A46" s="15"/>
      <c r="B46" s="15"/>
      <c r="C46" s="15"/>
      <c r="D46" s="15"/>
      <c r="E46" s="15"/>
      <c r="F46" s="15"/>
      <c r="G46" s="15"/>
      <c r="H46" s="15"/>
      <c r="I46" s="15"/>
      <c r="J46" s="15"/>
      <c r="K46" s="15"/>
      <c r="L46" s="15"/>
      <c r="M46" s="15"/>
      <c r="N46" s="15"/>
      <c r="O46" s="15"/>
      <c r="P46" s="15"/>
      <c r="Q46" s="15"/>
      <c r="R46" s="15"/>
      <c r="S46" s="15"/>
      <c r="T46" s="15"/>
      <c r="U46" s="15"/>
      <c r="V46" s="2290"/>
      <c r="W46" s="2290"/>
      <c r="X46" s="2290"/>
      <c r="Y46" s="2290"/>
      <c r="Z46" s="2290"/>
      <c r="AA46" s="2290"/>
      <c r="AB46" s="2290"/>
      <c r="AC46" s="2290"/>
      <c r="AD46" s="2290"/>
      <c r="AE46" s="2290"/>
      <c r="AF46" s="2290"/>
      <c r="AG46" s="2290"/>
      <c r="AH46" s="2290"/>
      <c r="AI46" s="2290"/>
      <c r="AJ46" s="2290"/>
      <c r="AK46" s="2290"/>
      <c r="AL46" s="2290"/>
      <c r="AM46" s="2290"/>
      <c r="AN46" s="2290"/>
      <c r="AO46" s="2290"/>
      <c r="AP46" s="2290"/>
      <c r="AQ46" s="2290"/>
      <c r="AR46" s="2290"/>
      <c r="AS46" s="2290"/>
      <c r="AT46" s="2290"/>
      <c r="AU46" s="2290"/>
      <c r="AV46" s="2290"/>
      <c r="AW46" s="2290"/>
      <c r="AX46" s="2290"/>
      <c r="AY46" s="2290"/>
      <c r="AZ46" s="2290"/>
      <c r="BA46" s="2290"/>
      <c r="BB46" s="2290"/>
      <c r="BC46" s="2290"/>
      <c r="BD46" s="2290"/>
      <c r="BE46" s="2290"/>
      <c r="BF46" s="2290"/>
      <c r="BG46" s="2290"/>
      <c r="BH46" s="2290"/>
      <c r="BI46" s="2290"/>
      <c r="BJ46" s="2290"/>
      <c r="BK46" s="2290"/>
      <c r="BL46" s="2290"/>
      <c r="BM46" s="2290"/>
      <c r="BN46" s="2290"/>
      <c r="BO46" s="2290"/>
      <c r="BP46" s="2290"/>
      <c r="BQ46" s="2290"/>
      <c r="BR46" s="2290"/>
      <c r="BS46" s="2290"/>
      <c r="BT46" s="2290"/>
      <c r="BU46" s="2290"/>
      <c r="BV46" s="2290"/>
      <c r="BW46" s="2290"/>
      <c r="BX46" s="2290"/>
      <c r="BY46" s="2290"/>
      <c r="BZ46" s="2290"/>
      <c r="CA46" s="2290"/>
    </row>
    <row r="47" spans="1:79">
      <c r="A47" s="15"/>
      <c r="B47" s="15"/>
      <c r="C47" s="15"/>
      <c r="D47" s="15"/>
      <c r="E47" s="15"/>
      <c r="F47" s="15"/>
      <c r="G47" s="15"/>
      <c r="H47" s="15"/>
      <c r="I47" s="15"/>
      <c r="J47" s="15"/>
      <c r="K47" s="15"/>
      <c r="L47" s="15"/>
      <c r="M47" s="15"/>
      <c r="N47" s="15"/>
      <c r="O47" s="15"/>
      <c r="P47" s="15"/>
      <c r="Q47" s="15"/>
      <c r="R47" s="15"/>
      <c r="S47" s="15"/>
      <c r="T47" s="15"/>
      <c r="U47" s="15"/>
      <c r="V47" s="2290"/>
      <c r="W47" s="2290"/>
      <c r="X47" s="2290"/>
      <c r="Y47" s="2290"/>
      <c r="Z47" s="2290"/>
      <c r="AA47" s="2290"/>
      <c r="AB47" s="2290"/>
      <c r="AC47" s="2290"/>
      <c r="AD47" s="2290"/>
      <c r="AE47" s="2290"/>
      <c r="AF47" s="2290"/>
      <c r="AG47" s="2290"/>
      <c r="AH47" s="2290"/>
      <c r="AI47" s="2290"/>
      <c r="AJ47" s="2290"/>
      <c r="AK47" s="2290"/>
      <c r="AL47" s="2290"/>
      <c r="AM47" s="2290"/>
      <c r="AN47" s="2290"/>
      <c r="AO47" s="2290"/>
      <c r="AP47" s="2290"/>
      <c r="AQ47" s="2290"/>
      <c r="AR47" s="2290"/>
      <c r="AS47" s="2290"/>
      <c r="AT47" s="2290"/>
      <c r="AU47" s="2290"/>
      <c r="AV47" s="2290"/>
      <c r="AW47" s="2290"/>
      <c r="AX47" s="2290"/>
      <c r="AY47" s="2290"/>
      <c r="AZ47" s="2290"/>
      <c r="BA47" s="2290"/>
      <c r="BB47" s="2290"/>
      <c r="BC47" s="2290"/>
      <c r="BD47" s="2290"/>
      <c r="BE47" s="2290"/>
      <c r="BF47" s="2290"/>
      <c r="BG47" s="2290"/>
      <c r="BH47" s="2290"/>
      <c r="BI47" s="2290"/>
      <c r="BJ47" s="2290"/>
      <c r="BK47" s="2290"/>
      <c r="BL47" s="2290"/>
      <c r="BM47" s="2290"/>
      <c r="BN47" s="2290"/>
      <c r="BO47" s="2290"/>
      <c r="BP47" s="2290"/>
      <c r="BQ47" s="2290"/>
      <c r="BR47" s="2290"/>
      <c r="BS47" s="2290"/>
      <c r="BT47" s="2290"/>
      <c r="BU47" s="2290"/>
      <c r="BV47" s="2290"/>
      <c r="BW47" s="2290"/>
      <c r="BX47" s="2290"/>
      <c r="BY47" s="2290"/>
      <c r="BZ47" s="2290"/>
      <c r="CA47" s="2290"/>
    </row>
    <row r="48" spans="1:79">
      <c r="A48" s="15"/>
      <c r="B48" s="15"/>
      <c r="C48" s="15"/>
      <c r="D48" s="15"/>
      <c r="E48" s="15"/>
      <c r="F48" s="15"/>
      <c r="G48" s="15"/>
      <c r="H48" s="15"/>
      <c r="I48" s="15"/>
      <c r="J48" s="15"/>
      <c r="K48" s="15"/>
      <c r="L48" s="15"/>
      <c r="M48" s="15"/>
      <c r="N48" s="15"/>
      <c r="O48" s="15"/>
      <c r="P48" s="15"/>
      <c r="Q48" s="15"/>
      <c r="R48" s="15"/>
      <c r="S48" s="15"/>
      <c r="T48" s="15"/>
      <c r="U48" s="15"/>
      <c r="V48" s="2290"/>
      <c r="W48" s="2290"/>
      <c r="X48" s="2290"/>
      <c r="Y48" s="2290"/>
      <c r="Z48" s="2290"/>
      <c r="AA48" s="2290"/>
      <c r="AB48" s="2290"/>
      <c r="AC48" s="2290"/>
      <c r="AD48" s="2290"/>
      <c r="AE48" s="2290"/>
      <c r="AF48" s="2290"/>
      <c r="AG48" s="2290"/>
      <c r="AH48" s="2290"/>
      <c r="AI48" s="2290"/>
      <c r="AJ48" s="2290"/>
      <c r="AK48" s="2290"/>
      <c r="AL48" s="2290"/>
      <c r="AM48" s="2290"/>
      <c r="AN48" s="2290"/>
      <c r="AO48" s="2290"/>
      <c r="AP48" s="2290"/>
      <c r="AQ48" s="2290"/>
      <c r="AR48" s="2290"/>
      <c r="AS48" s="2290"/>
      <c r="AT48" s="2290"/>
      <c r="AU48" s="2290"/>
      <c r="AV48" s="2290"/>
      <c r="AW48" s="2290"/>
      <c r="AX48" s="2290"/>
      <c r="AY48" s="2290"/>
      <c r="AZ48" s="2290"/>
      <c r="BA48" s="2290"/>
      <c r="BB48" s="2290"/>
      <c r="BC48" s="2290"/>
      <c r="BD48" s="2290"/>
      <c r="BE48" s="2290"/>
      <c r="BF48" s="2290"/>
      <c r="BG48" s="2290"/>
      <c r="BH48" s="2290"/>
      <c r="BI48" s="2290"/>
      <c r="BJ48" s="2290"/>
      <c r="BK48" s="2290"/>
      <c r="BL48" s="2290"/>
      <c r="BM48" s="2290"/>
      <c r="BN48" s="2290"/>
      <c r="BO48" s="2290"/>
      <c r="BP48" s="2290"/>
      <c r="BQ48" s="2290"/>
      <c r="BR48" s="2290"/>
      <c r="BS48" s="2290"/>
      <c r="BT48" s="2290"/>
      <c r="BU48" s="2290"/>
      <c r="BV48" s="2290"/>
      <c r="BW48" s="2290"/>
      <c r="BX48" s="2290"/>
      <c r="BY48" s="2290"/>
      <c r="BZ48" s="2290"/>
      <c r="CA48" s="2290"/>
    </row>
    <row r="49" spans="1:79">
      <c r="A49" s="15"/>
      <c r="B49" s="15"/>
      <c r="C49" s="15"/>
      <c r="D49" s="15"/>
      <c r="E49" s="15"/>
      <c r="F49" s="15"/>
      <c r="G49" s="15"/>
      <c r="H49" s="15"/>
      <c r="I49" s="15"/>
      <c r="J49" s="15"/>
      <c r="K49" s="15"/>
      <c r="L49" s="15"/>
      <c r="M49" s="15"/>
      <c r="N49" s="15"/>
      <c r="O49" s="15"/>
      <c r="P49" s="15"/>
      <c r="Q49" s="15"/>
      <c r="R49" s="15"/>
      <c r="S49" s="15"/>
      <c r="T49" s="15"/>
      <c r="U49" s="15"/>
      <c r="V49" s="2290"/>
      <c r="W49" s="2290"/>
      <c r="X49" s="2290"/>
      <c r="Y49" s="2290"/>
      <c r="Z49" s="2290"/>
      <c r="AA49" s="2290"/>
      <c r="AB49" s="2290"/>
      <c r="AC49" s="2290"/>
      <c r="AD49" s="2290"/>
      <c r="AE49" s="2290"/>
      <c r="AF49" s="2290"/>
      <c r="AG49" s="2290"/>
      <c r="AH49" s="2290"/>
      <c r="AI49" s="2290"/>
      <c r="AJ49" s="2290"/>
      <c r="AK49" s="2290"/>
      <c r="AL49" s="2290"/>
      <c r="AM49" s="2290"/>
      <c r="AN49" s="2290"/>
      <c r="AO49" s="2290"/>
      <c r="AP49" s="2290"/>
      <c r="AQ49" s="2290"/>
      <c r="AR49" s="2290"/>
      <c r="AS49" s="2290"/>
      <c r="AT49" s="2290"/>
      <c r="AU49" s="2290"/>
      <c r="AV49" s="2290"/>
      <c r="AW49" s="2290"/>
      <c r="AX49" s="2290"/>
      <c r="AY49" s="2290"/>
      <c r="AZ49" s="2290"/>
      <c r="BA49" s="2290"/>
      <c r="BB49" s="2290"/>
      <c r="BC49" s="2290"/>
      <c r="BD49" s="2290"/>
      <c r="BE49" s="2290"/>
      <c r="BF49" s="2290"/>
      <c r="BG49" s="2290"/>
      <c r="BH49" s="2290"/>
      <c r="BI49" s="2290"/>
      <c r="BJ49" s="2290"/>
      <c r="BK49" s="2290"/>
      <c r="BL49" s="2290"/>
      <c r="BM49" s="2290"/>
      <c r="BN49" s="2290"/>
      <c r="BO49" s="2290"/>
      <c r="BP49" s="2290"/>
      <c r="BQ49" s="2290"/>
      <c r="BR49" s="2290"/>
      <c r="BS49" s="2290"/>
      <c r="BT49" s="2290"/>
      <c r="BU49" s="2290"/>
      <c r="BV49" s="2290"/>
      <c r="BW49" s="2290"/>
      <c r="BX49" s="2290"/>
      <c r="BY49" s="2290"/>
      <c r="BZ49" s="2290"/>
      <c r="CA49" s="2290"/>
    </row>
    <row r="50" spans="1:79">
      <c r="A50" s="15"/>
      <c r="B50" s="15"/>
      <c r="C50" s="15"/>
      <c r="D50" s="15"/>
      <c r="E50" s="15"/>
      <c r="F50" s="15"/>
      <c r="G50" s="15"/>
      <c r="H50" s="15"/>
      <c r="I50" s="15"/>
      <c r="J50" s="15"/>
      <c r="K50" s="15"/>
      <c r="L50" s="15"/>
      <c r="M50" s="15"/>
      <c r="N50" s="15"/>
      <c r="O50" s="15"/>
      <c r="P50" s="15"/>
      <c r="Q50" s="15"/>
      <c r="R50" s="15"/>
      <c r="S50" s="15"/>
      <c r="T50" s="15"/>
      <c r="U50" s="15"/>
      <c r="V50" s="2290"/>
      <c r="W50" s="2290"/>
      <c r="X50" s="2290"/>
      <c r="Y50" s="2290"/>
      <c r="Z50" s="2290"/>
      <c r="AA50" s="2290"/>
      <c r="AB50" s="2290"/>
      <c r="AC50" s="2290"/>
      <c r="AD50" s="2290"/>
      <c r="AE50" s="2290"/>
      <c r="AF50" s="2290"/>
      <c r="AG50" s="2290"/>
      <c r="AH50" s="2290"/>
      <c r="AI50" s="2290"/>
      <c r="AJ50" s="2290"/>
      <c r="AK50" s="2290"/>
      <c r="AL50" s="2290"/>
      <c r="AM50" s="2290"/>
      <c r="AN50" s="2290"/>
      <c r="AO50" s="2290"/>
      <c r="AP50" s="2290"/>
      <c r="AQ50" s="2290"/>
      <c r="AR50" s="2290"/>
      <c r="AS50" s="2290"/>
      <c r="AT50" s="2290"/>
      <c r="AU50" s="2290"/>
      <c r="AV50" s="2290"/>
      <c r="AW50" s="2290"/>
      <c r="AX50" s="2290"/>
      <c r="AY50" s="2290"/>
      <c r="AZ50" s="2290"/>
      <c r="BA50" s="2290"/>
      <c r="BB50" s="2290"/>
      <c r="BC50" s="2290"/>
      <c r="BD50" s="2290"/>
      <c r="BE50" s="2290"/>
      <c r="BF50" s="2290"/>
      <c r="BG50" s="2290"/>
      <c r="BH50" s="2290"/>
      <c r="BI50" s="2290"/>
      <c r="BJ50" s="2290"/>
      <c r="BK50" s="2290"/>
      <c r="BL50" s="2290"/>
      <c r="BM50" s="2290"/>
      <c r="BN50" s="2290"/>
      <c r="BO50" s="2290"/>
      <c r="BP50" s="2290"/>
      <c r="BQ50" s="2290"/>
      <c r="BR50" s="2290"/>
      <c r="BS50" s="2290"/>
      <c r="BT50" s="2290"/>
      <c r="BU50" s="2290"/>
      <c r="BV50" s="2290"/>
      <c r="BW50" s="2290"/>
      <c r="BX50" s="2290"/>
      <c r="BY50" s="2290"/>
      <c r="BZ50" s="2290"/>
      <c r="CA50" s="2290"/>
    </row>
    <row r="51" spans="1:79">
      <c r="A51" s="15"/>
      <c r="B51" s="15"/>
      <c r="C51" s="15"/>
      <c r="D51" s="15"/>
      <c r="E51" s="15"/>
      <c r="F51" s="15"/>
      <c r="G51" s="15"/>
      <c r="H51" s="15"/>
      <c r="I51" s="15"/>
      <c r="J51" s="15"/>
      <c r="K51" s="15"/>
      <c r="L51" s="15"/>
      <c r="M51" s="15"/>
      <c r="N51" s="15"/>
      <c r="O51" s="15"/>
      <c r="P51" s="15"/>
      <c r="Q51" s="15"/>
      <c r="R51" s="15"/>
      <c r="S51" s="15"/>
      <c r="T51" s="15"/>
      <c r="U51" s="15"/>
      <c r="V51" s="2290"/>
      <c r="W51" s="2290"/>
      <c r="X51" s="2290"/>
      <c r="Y51" s="2290"/>
      <c r="Z51" s="2290"/>
      <c r="AA51" s="2290"/>
      <c r="AB51" s="2290"/>
      <c r="AC51" s="2290"/>
      <c r="AD51" s="2290"/>
      <c r="AE51" s="2290"/>
      <c r="AF51" s="2290"/>
      <c r="AG51" s="2290"/>
      <c r="AH51" s="2290"/>
      <c r="AI51" s="2290"/>
      <c r="AJ51" s="2290"/>
      <c r="AK51" s="2290"/>
      <c r="AL51" s="2290"/>
      <c r="AM51" s="2290"/>
      <c r="AN51" s="2290"/>
      <c r="AO51" s="2290"/>
      <c r="AP51" s="2290"/>
      <c r="AQ51" s="2290"/>
      <c r="AR51" s="2290"/>
      <c r="AS51" s="2290"/>
      <c r="AT51" s="2290"/>
      <c r="AU51" s="2290"/>
      <c r="AV51" s="2290"/>
      <c r="AW51" s="2290"/>
      <c r="AX51" s="2290"/>
      <c r="AY51" s="2290"/>
      <c r="AZ51" s="2290"/>
      <c r="BA51" s="2290"/>
      <c r="BB51" s="2290"/>
      <c r="BC51" s="2290"/>
      <c r="BD51" s="2290"/>
      <c r="BE51" s="2290"/>
      <c r="BF51" s="2290"/>
      <c r="BG51" s="2290"/>
      <c r="BH51" s="2290"/>
      <c r="BI51" s="2290"/>
      <c r="BJ51" s="2290"/>
      <c r="BK51" s="2290"/>
      <c r="BL51" s="2290"/>
      <c r="BM51" s="2290"/>
      <c r="BN51" s="2290"/>
      <c r="BO51" s="2290"/>
      <c r="BP51" s="2290"/>
      <c r="BQ51" s="2290"/>
      <c r="BR51" s="2290"/>
      <c r="BS51" s="2290"/>
      <c r="BT51" s="2290"/>
      <c r="BU51" s="2290"/>
      <c r="BV51" s="2290"/>
      <c r="BW51" s="2290"/>
      <c r="BX51" s="2290"/>
      <c r="BY51" s="2290"/>
      <c r="BZ51" s="2290"/>
      <c r="CA51" s="2290"/>
    </row>
    <row r="52" spans="1:79">
      <c r="A52" s="15"/>
      <c r="B52" s="15"/>
      <c r="C52" s="15"/>
      <c r="D52" s="15"/>
      <c r="E52" s="15"/>
      <c r="F52" s="15"/>
      <c r="G52" s="15"/>
      <c r="H52" s="15"/>
      <c r="I52" s="15"/>
      <c r="J52" s="15"/>
      <c r="K52" s="15"/>
      <c r="L52" s="15"/>
      <c r="M52" s="15"/>
      <c r="N52" s="15"/>
      <c r="O52" s="15"/>
      <c r="P52" s="15"/>
      <c r="Q52" s="15"/>
      <c r="R52" s="15"/>
      <c r="S52" s="15"/>
      <c r="T52" s="15"/>
      <c r="U52" s="15"/>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c r="AS52" s="2290"/>
      <c r="AT52" s="2290"/>
      <c r="AU52" s="2290"/>
      <c r="AV52" s="2290"/>
      <c r="AW52" s="2290"/>
      <c r="AX52" s="2290"/>
      <c r="AY52" s="2290"/>
      <c r="AZ52" s="2290"/>
      <c r="BA52" s="2290"/>
      <c r="BB52" s="2290"/>
      <c r="BC52" s="2290"/>
      <c r="BD52" s="2290"/>
      <c r="BE52" s="2290"/>
      <c r="BF52" s="2290"/>
      <c r="BG52" s="2290"/>
      <c r="BH52" s="2290"/>
      <c r="BI52" s="2290"/>
      <c r="BJ52" s="2290"/>
      <c r="BK52" s="2290"/>
      <c r="BL52" s="2290"/>
      <c r="BM52" s="2290"/>
      <c r="BN52" s="2290"/>
      <c r="BO52" s="2290"/>
      <c r="BP52" s="2290"/>
      <c r="BQ52" s="2290"/>
      <c r="BR52" s="2290"/>
      <c r="BS52" s="2290"/>
      <c r="BT52" s="2290"/>
      <c r="BU52" s="2290"/>
      <c r="BV52" s="2290"/>
      <c r="BW52" s="2290"/>
      <c r="BX52" s="2290"/>
      <c r="BY52" s="2290"/>
      <c r="BZ52" s="2290"/>
      <c r="CA52" s="2290"/>
    </row>
    <row r="53" spans="1:79">
      <c r="A53" s="15"/>
      <c r="B53" s="15"/>
      <c r="C53" s="15"/>
      <c r="D53" s="15"/>
      <c r="E53" s="15"/>
      <c r="F53" s="15"/>
      <c r="G53" s="15"/>
      <c r="H53" s="15"/>
      <c r="I53" s="15"/>
      <c r="J53" s="15"/>
      <c r="K53" s="15"/>
      <c r="L53" s="15"/>
      <c r="M53" s="15"/>
      <c r="N53" s="15"/>
      <c r="O53" s="15"/>
      <c r="P53" s="15"/>
      <c r="Q53" s="15"/>
      <c r="R53" s="15"/>
      <c r="S53" s="15"/>
      <c r="T53" s="15"/>
      <c r="U53" s="15"/>
      <c r="V53" s="2290"/>
      <c r="W53" s="2290"/>
      <c r="X53" s="2290"/>
      <c r="Y53" s="2290"/>
      <c r="Z53" s="2290"/>
      <c r="AA53" s="2290"/>
      <c r="AB53" s="2290"/>
      <c r="AC53" s="2290"/>
      <c r="AD53" s="2290"/>
      <c r="AE53" s="2290"/>
      <c r="AF53" s="2290"/>
      <c r="AG53" s="2290"/>
      <c r="AH53" s="2290"/>
      <c r="AI53" s="2290"/>
      <c r="AJ53" s="2290"/>
      <c r="AK53" s="2290"/>
      <c r="AL53" s="2290"/>
      <c r="AM53" s="2290"/>
      <c r="AN53" s="2290"/>
      <c r="AO53" s="2290"/>
      <c r="AP53" s="2290"/>
      <c r="AQ53" s="2290"/>
      <c r="AR53" s="2290"/>
      <c r="AS53" s="2290"/>
      <c r="AT53" s="2290"/>
      <c r="AU53" s="2290"/>
      <c r="AV53" s="2290"/>
      <c r="AW53" s="2290"/>
      <c r="AX53" s="2290"/>
      <c r="AY53" s="2290"/>
      <c r="AZ53" s="2290"/>
      <c r="BA53" s="2290"/>
      <c r="BB53" s="2290"/>
      <c r="BC53" s="2290"/>
      <c r="BD53" s="2290"/>
      <c r="BE53" s="2290"/>
      <c r="BF53" s="2290"/>
      <c r="BG53" s="2290"/>
      <c r="BH53" s="2290"/>
      <c r="BI53" s="2290"/>
      <c r="BJ53" s="2290"/>
      <c r="BK53" s="2290"/>
      <c r="BL53" s="2290"/>
      <c r="BM53" s="2290"/>
      <c r="BN53" s="2290"/>
      <c r="BO53" s="2290"/>
      <c r="BP53" s="2290"/>
      <c r="BQ53" s="2290"/>
      <c r="BR53" s="2290"/>
      <c r="BS53" s="2290"/>
      <c r="BT53" s="2290"/>
      <c r="BU53" s="2290"/>
      <c r="BV53" s="2290"/>
      <c r="BW53" s="2290"/>
      <c r="BX53" s="2290"/>
      <c r="BY53" s="2290"/>
      <c r="BZ53" s="2290"/>
      <c r="CA53" s="2290"/>
    </row>
    <row r="54" spans="1:79">
      <c r="A54" s="15"/>
      <c r="B54" s="15"/>
      <c r="C54" s="15"/>
      <c r="D54" s="15"/>
      <c r="E54" s="15"/>
      <c r="F54" s="15"/>
      <c r="G54" s="15"/>
      <c r="H54" s="15"/>
      <c r="I54" s="15"/>
      <c r="J54" s="15"/>
      <c r="K54" s="15"/>
      <c r="L54" s="15"/>
      <c r="M54" s="15"/>
      <c r="N54" s="15"/>
      <c r="O54" s="15"/>
      <c r="P54" s="15"/>
      <c r="Q54" s="15"/>
      <c r="R54" s="15"/>
      <c r="S54" s="15"/>
      <c r="T54" s="15"/>
      <c r="U54" s="15"/>
      <c r="V54" s="2290"/>
      <c r="W54" s="2290"/>
      <c r="X54" s="2290"/>
      <c r="Y54" s="2290"/>
      <c r="Z54" s="2290"/>
      <c r="AA54" s="2290"/>
      <c r="AB54" s="2290"/>
      <c r="AC54" s="2290"/>
      <c r="AD54" s="2290"/>
      <c r="AE54" s="2290"/>
      <c r="AF54" s="2290"/>
      <c r="AG54" s="2290"/>
      <c r="AH54" s="2290"/>
      <c r="AI54" s="2290"/>
      <c r="AJ54" s="2290"/>
      <c r="AK54" s="2290"/>
      <c r="AL54" s="2290"/>
      <c r="AM54" s="2290"/>
      <c r="AN54" s="2290"/>
      <c r="AO54" s="2290"/>
      <c r="AP54" s="2290"/>
      <c r="AQ54" s="2290"/>
      <c r="AR54" s="2290"/>
      <c r="AS54" s="2290"/>
      <c r="AT54" s="2290"/>
      <c r="AU54" s="2290"/>
      <c r="AV54" s="2290"/>
      <c r="AW54" s="2290"/>
      <c r="AX54" s="2290"/>
      <c r="AY54" s="2290"/>
      <c r="AZ54" s="2290"/>
      <c r="BA54" s="2290"/>
      <c r="BB54" s="2290"/>
      <c r="BC54" s="2290"/>
      <c r="BD54" s="2290"/>
      <c r="BE54" s="2290"/>
      <c r="BF54" s="2290"/>
      <c r="BG54" s="2290"/>
      <c r="BH54" s="2290"/>
      <c r="BI54" s="2290"/>
      <c r="BJ54" s="2290"/>
      <c r="BK54" s="2290"/>
      <c r="BL54" s="2290"/>
      <c r="BM54" s="2290"/>
      <c r="BN54" s="2290"/>
      <c r="BO54" s="2290"/>
      <c r="BP54" s="2290"/>
      <c r="BQ54" s="2290"/>
      <c r="BR54" s="2290"/>
      <c r="BS54" s="2290"/>
      <c r="BT54" s="2290"/>
      <c r="BU54" s="2290"/>
      <c r="BV54" s="2290"/>
      <c r="BW54" s="2290"/>
      <c r="BX54" s="2290"/>
      <c r="BY54" s="2290"/>
      <c r="BZ54" s="2290"/>
      <c r="CA54" s="2290"/>
    </row>
    <row r="55" spans="1:79">
      <c r="A55" s="15"/>
      <c r="B55" s="15"/>
      <c r="C55" s="15"/>
      <c r="D55" s="15"/>
      <c r="E55" s="15"/>
      <c r="F55" s="15"/>
      <c r="G55" s="15"/>
      <c r="H55" s="15"/>
      <c r="I55" s="15"/>
      <c r="J55" s="15"/>
      <c r="K55" s="15"/>
      <c r="L55" s="15"/>
      <c r="M55" s="15"/>
      <c r="N55" s="15"/>
      <c r="O55" s="15"/>
      <c r="P55" s="15"/>
      <c r="Q55" s="15"/>
      <c r="R55" s="15"/>
      <c r="S55" s="15"/>
      <c r="T55" s="15"/>
      <c r="U55" s="15"/>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c r="AS55" s="2290"/>
      <c r="AT55" s="2290"/>
      <c r="AU55" s="2290"/>
      <c r="AV55" s="2290"/>
      <c r="AW55" s="2290"/>
      <c r="AX55" s="2290"/>
      <c r="AY55" s="2290"/>
      <c r="AZ55" s="2290"/>
      <c r="BA55" s="2290"/>
      <c r="BB55" s="2290"/>
      <c r="BC55" s="2290"/>
      <c r="BD55" s="2290"/>
      <c r="BE55" s="2290"/>
      <c r="BF55" s="2290"/>
      <c r="BG55" s="2290"/>
      <c r="BH55" s="2290"/>
      <c r="BI55" s="2290"/>
      <c r="BJ55" s="2290"/>
      <c r="BK55" s="2290"/>
      <c r="BL55" s="2290"/>
      <c r="BM55" s="2290"/>
      <c r="BN55" s="2290"/>
      <c r="BO55" s="2290"/>
      <c r="BP55" s="2290"/>
      <c r="BQ55" s="2290"/>
      <c r="BR55" s="2290"/>
      <c r="BS55" s="2290"/>
      <c r="BT55" s="2290"/>
      <c r="BU55" s="2290"/>
      <c r="BV55" s="2290"/>
      <c r="BW55" s="2290"/>
      <c r="BX55" s="2290"/>
      <c r="BY55" s="2290"/>
      <c r="BZ55" s="2290"/>
      <c r="CA55" s="2290"/>
    </row>
    <row r="56" spans="1:79">
      <c r="A56" s="15"/>
      <c r="B56" s="15"/>
      <c r="C56" s="15"/>
      <c r="D56" s="15"/>
      <c r="E56" s="15"/>
      <c r="F56" s="15"/>
      <c r="G56" s="15"/>
      <c r="H56" s="15"/>
      <c r="I56" s="15"/>
      <c r="J56" s="15"/>
      <c r="K56" s="15"/>
      <c r="L56" s="15"/>
      <c r="M56" s="15"/>
      <c r="N56" s="15"/>
      <c r="O56" s="15"/>
      <c r="P56" s="15"/>
      <c r="Q56" s="15"/>
      <c r="R56" s="15"/>
      <c r="S56" s="15"/>
      <c r="T56" s="15"/>
      <c r="U56" s="15"/>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T56" s="2290"/>
      <c r="AU56" s="2290"/>
      <c r="AV56" s="2290"/>
      <c r="AW56" s="2290"/>
      <c r="AX56" s="2290"/>
      <c r="AY56" s="2290"/>
      <c r="AZ56" s="2290"/>
      <c r="BA56" s="2290"/>
      <c r="BB56" s="2290"/>
      <c r="BC56" s="2290"/>
      <c r="BD56" s="2290"/>
      <c r="BE56" s="2290"/>
      <c r="BF56" s="2290"/>
      <c r="BG56" s="2290"/>
      <c r="BH56" s="2290"/>
      <c r="BI56" s="2290"/>
      <c r="BJ56" s="2290"/>
      <c r="BK56" s="2290"/>
      <c r="BL56" s="2290"/>
      <c r="BM56" s="2290"/>
      <c r="BN56" s="2290"/>
      <c r="BO56" s="2290"/>
      <c r="BP56" s="2290"/>
      <c r="BQ56" s="2290"/>
      <c r="BR56" s="2290"/>
      <c r="BS56" s="2290"/>
      <c r="BT56" s="2290"/>
      <c r="BU56" s="2290"/>
      <c r="BV56" s="2290"/>
      <c r="BW56" s="2290"/>
      <c r="BX56" s="2290"/>
      <c r="BY56" s="2290"/>
      <c r="BZ56" s="2290"/>
      <c r="CA56" s="2290"/>
    </row>
    <row r="57" spans="1:79">
      <c r="A57" s="15"/>
      <c r="B57" s="15"/>
      <c r="C57" s="15"/>
      <c r="D57" s="15"/>
      <c r="E57" s="15"/>
      <c r="F57" s="15"/>
      <c r="G57" s="15"/>
      <c r="H57" s="15"/>
      <c r="I57" s="15"/>
      <c r="J57" s="15"/>
      <c r="K57" s="15"/>
      <c r="L57" s="15"/>
      <c r="M57" s="15"/>
      <c r="N57" s="15"/>
      <c r="O57" s="15"/>
      <c r="P57" s="15"/>
      <c r="Q57" s="15"/>
      <c r="R57" s="15"/>
      <c r="S57" s="15"/>
      <c r="T57" s="15"/>
      <c r="U57" s="15"/>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c r="AS57" s="2290"/>
      <c r="AT57" s="2290"/>
      <c r="AU57" s="2290"/>
      <c r="AV57" s="2290"/>
      <c r="AW57" s="2290"/>
      <c r="AX57" s="2290"/>
      <c r="AY57" s="2290"/>
      <c r="AZ57" s="2290"/>
      <c r="BA57" s="2290"/>
      <c r="BB57" s="2290"/>
      <c r="BC57" s="2290"/>
      <c r="BD57" s="2290"/>
      <c r="BE57" s="2290"/>
      <c r="BF57" s="2290"/>
      <c r="BG57" s="2290"/>
      <c r="BH57" s="2290"/>
      <c r="BI57" s="2290"/>
      <c r="BJ57" s="2290"/>
      <c r="BK57" s="2290"/>
      <c r="BL57" s="2290"/>
      <c r="BM57" s="2290"/>
      <c r="BN57" s="2290"/>
      <c r="BO57" s="2290"/>
      <c r="BP57" s="2290"/>
      <c r="BQ57" s="2290"/>
      <c r="BR57" s="2290"/>
      <c r="BS57" s="2290"/>
      <c r="BT57" s="2290"/>
      <c r="BU57" s="2290"/>
      <c r="BV57" s="2290"/>
      <c r="BW57" s="2290"/>
      <c r="BX57" s="2290"/>
      <c r="BY57" s="2290"/>
      <c r="BZ57" s="2290"/>
      <c r="CA57" s="2290"/>
    </row>
    <row r="58" spans="1:79">
      <c r="A58" s="15"/>
      <c r="B58" s="15"/>
      <c r="C58" s="15"/>
      <c r="D58" s="15"/>
      <c r="E58" s="15"/>
      <c r="F58" s="15"/>
      <c r="G58" s="15"/>
      <c r="H58" s="15"/>
      <c r="I58" s="15"/>
      <c r="J58" s="15"/>
      <c r="K58" s="15"/>
      <c r="L58" s="15"/>
      <c r="M58" s="15"/>
      <c r="N58" s="15"/>
      <c r="O58" s="15"/>
      <c r="P58" s="15"/>
      <c r="Q58" s="15"/>
      <c r="R58" s="15"/>
      <c r="S58" s="15"/>
      <c r="T58" s="15"/>
      <c r="U58" s="15"/>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T58" s="2290"/>
      <c r="AU58" s="2290"/>
      <c r="AV58" s="2290"/>
      <c r="AW58" s="2290"/>
      <c r="AX58" s="2290"/>
      <c r="AY58" s="2290"/>
      <c r="AZ58" s="2290"/>
      <c r="BA58" s="2290"/>
      <c r="BB58" s="2290"/>
      <c r="BC58" s="2290"/>
      <c r="BD58" s="2290"/>
      <c r="BE58" s="2290"/>
      <c r="BF58" s="2290"/>
      <c r="BG58" s="2290"/>
      <c r="BH58" s="2290"/>
      <c r="BI58" s="2290"/>
      <c r="BJ58" s="2290"/>
      <c r="BK58" s="2290"/>
      <c r="BL58" s="2290"/>
      <c r="BM58" s="2290"/>
      <c r="BN58" s="2290"/>
      <c r="BO58" s="2290"/>
      <c r="BP58" s="2290"/>
      <c r="BQ58" s="2290"/>
      <c r="BR58" s="2290"/>
      <c r="BS58" s="2290"/>
      <c r="BT58" s="2290"/>
      <c r="BU58" s="2290"/>
      <c r="BV58" s="2290"/>
      <c r="BW58" s="2290"/>
      <c r="BX58" s="2290"/>
      <c r="BY58" s="2290"/>
      <c r="BZ58" s="2290"/>
      <c r="CA58" s="2290"/>
    </row>
    <row r="59" spans="1:79">
      <c r="A59" s="15"/>
      <c r="B59" s="15"/>
      <c r="C59" s="15"/>
      <c r="D59" s="15"/>
      <c r="E59" s="15"/>
      <c r="F59" s="15"/>
      <c r="G59" s="15"/>
      <c r="H59" s="15"/>
      <c r="I59" s="15"/>
      <c r="J59" s="15"/>
      <c r="K59" s="15"/>
      <c r="L59" s="15"/>
      <c r="M59" s="15"/>
      <c r="N59" s="15"/>
      <c r="O59" s="15"/>
      <c r="P59" s="15"/>
      <c r="Q59" s="15"/>
      <c r="R59" s="15"/>
      <c r="S59" s="15"/>
      <c r="T59" s="15"/>
      <c r="U59" s="15"/>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c r="AS59" s="2290"/>
      <c r="AT59" s="2290"/>
      <c r="AU59" s="2290"/>
      <c r="AV59" s="2290"/>
      <c r="AW59" s="2290"/>
      <c r="AX59" s="2290"/>
      <c r="AY59" s="2290"/>
      <c r="AZ59" s="2290"/>
      <c r="BA59" s="2290"/>
      <c r="BB59" s="2290"/>
      <c r="BC59" s="2290"/>
      <c r="BD59" s="2290"/>
      <c r="BE59" s="2290"/>
      <c r="BF59" s="2290"/>
      <c r="BG59" s="2290"/>
      <c r="BH59" s="2290"/>
      <c r="BI59" s="2290"/>
      <c r="BJ59" s="2290"/>
      <c r="BK59" s="2290"/>
      <c r="BL59" s="2290"/>
      <c r="BM59" s="2290"/>
      <c r="BN59" s="2290"/>
      <c r="BO59" s="2290"/>
      <c r="BP59" s="2290"/>
      <c r="BQ59" s="2290"/>
      <c r="BR59" s="2290"/>
      <c r="BS59" s="2290"/>
      <c r="BT59" s="2290"/>
      <c r="BU59" s="2290"/>
      <c r="BV59" s="2290"/>
      <c r="BW59" s="2290"/>
      <c r="BX59" s="2290"/>
      <c r="BY59" s="2290"/>
      <c r="BZ59" s="2290"/>
      <c r="CA59" s="2290"/>
    </row>
    <row r="60" spans="1:79">
      <c r="A60" s="15"/>
      <c r="B60" s="15"/>
      <c r="C60" s="15"/>
      <c r="D60" s="15"/>
      <c r="E60" s="15"/>
      <c r="F60" s="15"/>
      <c r="G60" s="15"/>
      <c r="H60" s="15"/>
      <c r="I60" s="15"/>
      <c r="J60" s="15"/>
      <c r="K60" s="15"/>
      <c r="L60" s="15"/>
      <c r="M60" s="15"/>
      <c r="N60" s="15"/>
      <c r="O60" s="15"/>
      <c r="P60" s="15"/>
      <c r="Q60" s="15"/>
      <c r="R60" s="15"/>
      <c r="S60" s="15"/>
      <c r="T60" s="15"/>
      <c r="U60" s="15"/>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c r="AS60" s="2290"/>
      <c r="AT60" s="2290"/>
      <c r="AU60" s="2290"/>
      <c r="AV60" s="2290"/>
      <c r="AW60" s="2290"/>
      <c r="AX60" s="2290"/>
      <c r="AY60" s="2290"/>
      <c r="AZ60" s="2290"/>
      <c r="BA60" s="2290"/>
      <c r="BB60" s="2290"/>
      <c r="BC60" s="2290"/>
      <c r="BD60" s="2290"/>
      <c r="BE60" s="2290"/>
      <c r="BF60" s="2290"/>
      <c r="BG60" s="2290"/>
      <c r="BH60" s="2290"/>
      <c r="BI60" s="2290"/>
      <c r="BJ60" s="2290"/>
      <c r="BK60" s="2290"/>
      <c r="BL60" s="2290"/>
      <c r="BM60" s="2290"/>
      <c r="BN60" s="2290"/>
      <c r="BO60" s="2290"/>
      <c r="BP60" s="2290"/>
      <c r="BQ60" s="2290"/>
      <c r="BR60" s="2290"/>
      <c r="BS60" s="2290"/>
      <c r="BT60" s="2290"/>
      <c r="BU60" s="2290"/>
      <c r="BV60" s="2290"/>
      <c r="BW60" s="2290"/>
      <c r="BX60" s="2290"/>
      <c r="BY60" s="2290"/>
      <c r="BZ60" s="2290"/>
      <c r="CA60" s="2290"/>
    </row>
    <row r="61" spans="1:79">
      <c r="A61" s="15"/>
      <c r="B61" s="15"/>
      <c r="C61" s="15"/>
      <c r="D61" s="15"/>
      <c r="E61" s="15"/>
      <c r="F61" s="15"/>
      <c r="G61" s="15"/>
      <c r="H61" s="15"/>
      <c r="I61" s="15"/>
      <c r="J61" s="15"/>
      <c r="K61" s="15"/>
      <c r="L61" s="15"/>
      <c r="M61" s="15"/>
      <c r="N61" s="15"/>
      <c r="O61" s="15"/>
      <c r="P61" s="15"/>
      <c r="Q61" s="15"/>
      <c r="R61" s="15"/>
      <c r="S61" s="15"/>
      <c r="T61" s="15"/>
      <c r="U61" s="15"/>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c r="AS61" s="2290"/>
      <c r="AT61" s="2290"/>
      <c r="AU61" s="2290"/>
      <c r="AV61" s="2290"/>
      <c r="AW61" s="2290"/>
      <c r="AX61" s="2290"/>
      <c r="AY61" s="2290"/>
      <c r="AZ61" s="2290"/>
      <c r="BA61" s="2290"/>
      <c r="BB61" s="2290"/>
      <c r="BC61" s="2290"/>
      <c r="BD61" s="2290"/>
      <c r="BE61" s="2290"/>
      <c r="BF61" s="2290"/>
      <c r="BG61" s="2290"/>
      <c r="BH61" s="2290"/>
      <c r="BI61" s="2290"/>
      <c r="BJ61" s="2290"/>
      <c r="BK61" s="2290"/>
      <c r="BL61" s="2290"/>
      <c r="BM61" s="2290"/>
      <c r="BN61" s="2290"/>
      <c r="BO61" s="2290"/>
      <c r="BP61" s="2290"/>
      <c r="BQ61" s="2290"/>
      <c r="BR61" s="2290"/>
      <c r="BS61" s="2290"/>
      <c r="BT61" s="2290"/>
      <c r="BU61" s="2290"/>
      <c r="BV61" s="2290"/>
      <c r="BW61" s="2290"/>
      <c r="BX61" s="2290"/>
      <c r="BY61" s="2290"/>
      <c r="BZ61" s="2290"/>
      <c r="CA61" s="2290"/>
    </row>
    <row r="62" spans="1:79">
      <c r="A62" s="15"/>
      <c r="B62" s="15"/>
      <c r="C62" s="15"/>
      <c r="D62" s="15"/>
      <c r="E62" s="15"/>
      <c r="F62" s="15"/>
      <c r="G62" s="15"/>
      <c r="H62" s="15"/>
      <c r="I62" s="15"/>
      <c r="J62" s="15"/>
      <c r="K62" s="15"/>
      <c r="L62" s="15"/>
      <c r="M62" s="15"/>
      <c r="N62" s="15"/>
      <c r="O62" s="15"/>
      <c r="P62" s="15"/>
      <c r="Q62" s="15"/>
      <c r="R62" s="15"/>
      <c r="S62" s="15"/>
      <c r="T62" s="15"/>
      <c r="U62" s="15"/>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c r="AS62" s="2290"/>
      <c r="AT62" s="2290"/>
      <c r="AU62" s="2290"/>
      <c r="AV62" s="2290"/>
      <c r="AW62" s="2290"/>
      <c r="AX62" s="2290"/>
      <c r="AY62" s="2290"/>
      <c r="AZ62" s="2290"/>
      <c r="BA62" s="2290"/>
      <c r="BB62" s="2290"/>
      <c r="BC62" s="2290"/>
      <c r="BD62" s="2290"/>
      <c r="BE62" s="2290"/>
      <c r="BF62" s="2290"/>
      <c r="BG62" s="2290"/>
      <c r="BH62" s="2290"/>
      <c r="BI62" s="2290"/>
      <c r="BJ62" s="2290"/>
      <c r="BK62" s="2290"/>
      <c r="BL62" s="2290"/>
      <c r="BM62" s="2290"/>
      <c r="BN62" s="2290"/>
      <c r="BO62" s="2290"/>
      <c r="BP62" s="2290"/>
      <c r="BQ62" s="2290"/>
      <c r="BR62" s="2290"/>
      <c r="BS62" s="2290"/>
      <c r="BT62" s="2290"/>
      <c r="BU62" s="2290"/>
      <c r="BV62" s="2290"/>
      <c r="BW62" s="2290"/>
      <c r="BX62" s="2290"/>
      <c r="BY62" s="2290"/>
      <c r="BZ62" s="2290"/>
      <c r="CA62" s="2290"/>
    </row>
    <row r="63" spans="1:79">
      <c r="A63" s="15"/>
      <c r="B63" s="15"/>
      <c r="C63" s="15"/>
      <c r="D63" s="15"/>
      <c r="E63" s="15"/>
      <c r="F63" s="15"/>
      <c r="G63" s="15"/>
      <c r="H63" s="15"/>
      <c r="I63" s="15"/>
      <c r="J63" s="15"/>
      <c r="K63" s="15"/>
      <c r="L63" s="15"/>
      <c r="M63" s="15"/>
      <c r="N63" s="15"/>
      <c r="O63" s="15"/>
      <c r="P63" s="15"/>
      <c r="Q63" s="15"/>
      <c r="R63" s="15"/>
      <c r="S63" s="15"/>
      <c r="T63" s="15"/>
      <c r="U63" s="15"/>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c r="AS63" s="2290"/>
      <c r="AT63" s="2290"/>
      <c r="AU63" s="2290"/>
      <c r="AV63" s="2290"/>
      <c r="AW63" s="2290"/>
      <c r="AX63" s="2290"/>
      <c r="AY63" s="2290"/>
      <c r="AZ63" s="2290"/>
      <c r="BA63" s="2290"/>
      <c r="BB63" s="2290"/>
      <c r="BC63" s="2290"/>
      <c r="BD63" s="2290"/>
      <c r="BE63" s="2290"/>
      <c r="BF63" s="2290"/>
      <c r="BG63" s="2290"/>
      <c r="BH63" s="2290"/>
      <c r="BI63" s="2290"/>
      <c r="BJ63" s="2290"/>
      <c r="BK63" s="2290"/>
      <c r="BL63" s="2290"/>
      <c r="BM63" s="2290"/>
      <c r="BN63" s="2290"/>
      <c r="BO63" s="2290"/>
      <c r="BP63" s="2290"/>
      <c r="BQ63" s="2290"/>
      <c r="BR63" s="2290"/>
      <c r="BS63" s="2290"/>
      <c r="BT63" s="2290"/>
      <c r="BU63" s="2290"/>
      <c r="BV63" s="2290"/>
      <c r="BW63" s="2290"/>
      <c r="BX63" s="2290"/>
      <c r="BY63" s="2290"/>
      <c r="BZ63" s="2290"/>
      <c r="CA63" s="2290"/>
    </row>
    <row r="64" spans="1:79">
      <c r="A64" s="15"/>
      <c r="B64" s="15"/>
      <c r="C64" s="15"/>
      <c r="D64" s="15"/>
      <c r="E64" s="15"/>
      <c r="F64" s="15"/>
      <c r="G64" s="15"/>
      <c r="H64" s="15"/>
      <c r="I64" s="15"/>
      <c r="J64" s="15"/>
      <c r="K64" s="15"/>
      <c r="L64" s="15"/>
      <c r="M64" s="15"/>
      <c r="N64" s="15"/>
      <c r="O64" s="15"/>
      <c r="P64" s="15"/>
      <c r="Q64" s="15"/>
      <c r="R64" s="15"/>
      <c r="S64" s="15"/>
      <c r="T64" s="15"/>
      <c r="U64" s="15"/>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0"/>
      <c r="AX64" s="2290"/>
      <c r="AY64" s="2290"/>
      <c r="AZ64" s="2290"/>
      <c r="BA64" s="2290"/>
      <c r="BB64" s="2290"/>
      <c r="BC64" s="2290"/>
      <c r="BD64" s="2290"/>
      <c r="BE64" s="2290"/>
      <c r="BF64" s="2290"/>
      <c r="BG64" s="2290"/>
      <c r="BH64" s="2290"/>
      <c r="BI64" s="2290"/>
      <c r="BJ64" s="2290"/>
      <c r="BK64" s="2290"/>
      <c r="BL64" s="2290"/>
      <c r="BM64" s="2290"/>
      <c r="BN64" s="2290"/>
      <c r="BO64" s="2290"/>
      <c r="BP64" s="2290"/>
      <c r="BQ64" s="2290"/>
      <c r="BR64" s="2290"/>
      <c r="BS64" s="2290"/>
      <c r="BT64" s="2290"/>
      <c r="BU64" s="2290"/>
      <c r="BV64" s="2290"/>
      <c r="BW64" s="2290"/>
      <c r="BX64" s="2290"/>
      <c r="BY64" s="2290"/>
      <c r="BZ64" s="2290"/>
      <c r="CA64" s="2290"/>
    </row>
    <row r="65" spans="1:79">
      <c r="A65" s="15"/>
      <c r="B65" s="15"/>
      <c r="C65" s="15"/>
      <c r="D65" s="15"/>
      <c r="E65" s="15"/>
      <c r="F65" s="15"/>
      <c r="G65" s="15"/>
      <c r="H65" s="15"/>
      <c r="I65" s="15"/>
      <c r="J65" s="15"/>
      <c r="K65" s="15"/>
      <c r="L65" s="15"/>
      <c r="M65" s="15"/>
      <c r="N65" s="15"/>
      <c r="O65" s="15"/>
      <c r="P65" s="15"/>
      <c r="Q65" s="15"/>
      <c r="R65" s="15"/>
      <c r="S65" s="15"/>
      <c r="T65" s="15"/>
      <c r="U65" s="15"/>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D65" s="2290"/>
      <c r="BE65" s="2290"/>
      <c r="BF65" s="2290"/>
      <c r="BG65" s="2290"/>
      <c r="BH65" s="2290"/>
      <c r="BI65" s="2290"/>
      <c r="BJ65" s="2290"/>
      <c r="BK65" s="2290"/>
      <c r="BL65" s="2290"/>
      <c r="BM65" s="2290"/>
      <c r="BN65" s="2290"/>
      <c r="BO65" s="2290"/>
      <c r="BP65" s="2290"/>
      <c r="BQ65" s="2290"/>
      <c r="BR65" s="2290"/>
      <c r="BS65" s="2290"/>
      <c r="BT65" s="2290"/>
      <c r="BU65" s="2290"/>
      <c r="BV65" s="2290"/>
      <c r="BW65" s="2290"/>
      <c r="BX65" s="2290"/>
      <c r="BY65" s="2290"/>
      <c r="BZ65" s="2290"/>
      <c r="CA65" s="2290"/>
    </row>
    <row r="66" spans="1:79">
      <c r="A66" s="15"/>
      <c r="B66" s="15"/>
      <c r="C66" s="15"/>
      <c r="D66" s="15"/>
      <c r="E66" s="15"/>
      <c r="F66" s="15"/>
      <c r="G66" s="15"/>
      <c r="H66" s="15"/>
      <c r="I66" s="15"/>
      <c r="J66" s="15"/>
      <c r="K66" s="15"/>
      <c r="L66" s="15"/>
      <c r="M66" s="15"/>
      <c r="N66" s="15"/>
      <c r="O66" s="15"/>
      <c r="P66" s="15"/>
      <c r="Q66" s="15"/>
      <c r="R66" s="15"/>
      <c r="S66" s="15"/>
      <c r="T66" s="15"/>
      <c r="U66" s="15"/>
      <c r="V66" s="2290"/>
      <c r="W66" s="2290"/>
      <c r="X66" s="2290"/>
      <c r="Y66" s="2290"/>
      <c r="Z66" s="2290"/>
      <c r="AA66" s="2290"/>
      <c r="AB66" s="2290"/>
      <c r="AC66" s="2290"/>
      <c r="AD66" s="2290"/>
      <c r="AE66" s="2290"/>
      <c r="AF66" s="2290"/>
      <c r="AG66" s="2290"/>
      <c r="AH66" s="2290"/>
      <c r="AI66" s="2290"/>
      <c r="AJ66" s="2290"/>
      <c r="AK66" s="2290"/>
      <c r="AL66" s="2290"/>
      <c r="AM66" s="2290"/>
      <c r="AN66" s="2290"/>
      <c r="AO66" s="2290"/>
      <c r="AP66" s="2290"/>
      <c r="AQ66" s="2290"/>
      <c r="AR66" s="2290"/>
      <c r="AS66" s="2290"/>
      <c r="AT66" s="2290"/>
      <c r="AU66" s="2290"/>
      <c r="AV66" s="2290"/>
      <c r="AW66" s="2290"/>
      <c r="AX66" s="2290"/>
      <c r="AY66" s="2290"/>
      <c r="AZ66" s="2290"/>
      <c r="BA66" s="2290"/>
      <c r="BB66" s="2290"/>
      <c r="BC66" s="2290"/>
      <c r="BD66" s="2290"/>
      <c r="BE66" s="2290"/>
      <c r="BF66" s="2290"/>
      <c r="BG66" s="2290"/>
      <c r="BH66" s="2290"/>
      <c r="BI66" s="2290"/>
      <c r="BJ66" s="2290"/>
      <c r="BK66" s="2290"/>
      <c r="BL66" s="2290"/>
      <c r="BM66" s="2290"/>
      <c r="BN66" s="2290"/>
      <c r="BO66" s="2290"/>
      <c r="BP66" s="2290"/>
      <c r="BQ66" s="2290"/>
      <c r="BR66" s="2290"/>
      <c r="BS66" s="2290"/>
      <c r="BT66" s="2290"/>
      <c r="BU66" s="2290"/>
      <c r="BV66" s="2290"/>
      <c r="BW66" s="2290"/>
      <c r="BX66" s="2290"/>
      <c r="BY66" s="2290"/>
      <c r="BZ66" s="2290"/>
      <c r="CA66" s="2290"/>
    </row>
    <row r="67" spans="1:79">
      <c r="A67" s="15"/>
      <c r="B67" s="15"/>
      <c r="C67" s="15"/>
      <c r="D67" s="15"/>
      <c r="E67" s="15"/>
      <c r="F67" s="15"/>
      <c r="G67" s="15"/>
      <c r="H67" s="15"/>
      <c r="I67" s="15"/>
      <c r="J67" s="15"/>
      <c r="K67" s="15"/>
      <c r="L67" s="15"/>
      <c r="M67" s="15"/>
      <c r="N67" s="15"/>
      <c r="O67" s="15"/>
      <c r="P67" s="15"/>
      <c r="Q67" s="15"/>
      <c r="R67" s="15"/>
      <c r="S67" s="15"/>
      <c r="T67" s="15"/>
      <c r="U67" s="15"/>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D67" s="2290"/>
      <c r="BE67" s="2290"/>
      <c r="BF67" s="2290"/>
      <c r="BG67" s="2290"/>
      <c r="BH67" s="2290"/>
      <c r="BI67" s="2290"/>
      <c r="BJ67" s="2290"/>
      <c r="BK67" s="2290"/>
      <c r="BL67" s="2290"/>
      <c r="BM67" s="2290"/>
      <c r="BN67" s="2290"/>
      <c r="BO67" s="2290"/>
      <c r="BP67" s="2290"/>
      <c r="BQ67" s="2290"/>
      <c r="BR67" s="2290"/>
      <c r="BS67" s="2290"/>
      <c r="BT67" s="2290"/>
      <c r="BU67" s="2290"/>
      <c r="BV67" s="2290"/>
      <c r="BW67" s="2290"/>
      <c r="BX67" s="2290"/>
      <c r="BY67" s="2290"/>
      <c r="BZ67" s="2290"/>
      <c r="CA67" s="2290"/>
    </row>
    <row r="68" spans="1:79">
      <c r="A68" s="15"/>
      <c r="B68" s="15"/>
      <c r="C68" s="15"/>
      <c r="D68" s="15"/>
      <c r="E68" s="15"/>
      <c r="F68" s="15"/>
      <c r="G68" s="15"/>
      <c r="H68" s="15"/>
      <c r="I68" s="15"/>
      <c r="J68" s="15"/>
      <c r="K68" s="15"/>
      <c r="L68" s="15"/>
      <c r="M68" s="15"/>
      <c r="N68" s="15"/>
      <c r="O68" s="15"/>
      <c r="P68" s="15"/>
      <c r="Q68" s="15"/>
      <c r="R68" s="15"/>
      <c r="S68" s="15"/>
      <c r="T68" s="15"/>
      <c r="U68" s="15"/>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AV68" s="2290"/>
      <c r="AW68" s="2290"/>
      <c r="AX68" s="2290"/>
      <c r="AY68" s="2290"/>
      <c r="AZ68" s="2290"/>
      <c r="BA68" s="2290"/>
      <c r="BB68" s="2290"/>
      <c r="BC68" s="2290"/>
      <c r="BD68" s="2290"/>
      <c r="BE68" s="2290"/>
      <c r="BF68" s="2290"/>
      <c r="BG68" s="2290"/>
      <c r="BH68" s="2290"/>
      <c r="BI68" s="2290"/>
      <c r="BJ68" s="2290"/>
      <c r="BK68" s="2290"/>
      <c r="BL68" s="2290"/>
      <c r="BM68" s="2290"/>
      <c r="BN68" s="2290"/>
      <c r="BO68" s="2290"/>
      <c r="BP68" s="2290"/>
      <c r="BQ68" s="2290"/>
      <c r="BR68" s="2290"/>
      <c r="BS68" s="2290"/>
      <c r="BT68" s="2290"/>
      <c r="BU68" s="2290"/>
      <c r="BV68" s="2290"/>
      <c r="BW68" s="2290"/>
      <c r="BX68" s="2290"/>
      <c r="BY68" s="2290"/>
      <c r="BZ68" s="2290"/>
      <c r="CA68" s="2290"/>
    </row>
    <row r="69" spans="1:79">
      <c r="A69" s="15"/>
      <c r="B69" s="15"/>
      <c r="C69" s="15"/>
      <c r="D69" s="15"/>
      <c r="E69" s="15"/>
      <c r="F69" s="15"/>
      <c r="G69" s="15"/>
      <c r="H69" s="15"/>
      <c r="I69" s="15"/>
      <c r="J69" s="15"/>
      <c r="K69" s="15"/>
      <c r="L69" s="15"/>
      <c r="M69" s="15"/>
      <c r="N69" s="15"/>
      <c r="O69" s="15"/>
      <c r="P69" s="15"/>
      <c r="Q69" s="15"/>
      <c r="R69" s="15"/>
      <c r="S69" s="15"/>
      <c r="T69" s="15"/>
      <c r="U69" s="15"/>
      <c r="V69" s="2290"/>
      <c r="W69" s="2290"/>
      <c r="X69" s="2290"/>
      <c r="Y69" s="2290"/>
      <c r="Z69" s="2290"/>
      <c r="AA69" s="2290"/>
      <c r="AB69" s="2290"/>
      <c r="AC69" s="2290"/>
      <c r="AD69" s="2290"/>
      <c r="AE69" s="2290"/>
      <c r="AF69" s="2290"/>
      <c r="AG69" s="2290"/>
      <c r="AH69" s="2290"/>
      <c r="AI69" s="2290"/>
      <c r="AJ69" s="2290"/>
      <c r="AK69" s="2290"/>
      <c r="AL69" s="2290"/>
      <c r="AM69" s="2290"/>
      <c r="AN69" s="2290"/>
      <c r="AO69" s="2290"/>
      <c r="AP69" s="2290"/>
      <c r="AQ69" s="2290"/>
      <c r="AR69" s="2290"/>
      <c r="AS69" s="2290"/>
      <c r="AT69" s="2290"/>
      <c r="AU69" s="2290"/>
      <c r="AV69" s="2290"/>
      <c r="AW69" s="2290"/>
      <c r="AX69" s="2290"/>
      <c r="AY69" s="2290"/>
      <c r="AZ69" s="2290"/>
      <c r="BA69" s="2290"/>
      <c r="BB69" s="2290"/>
      <c r="BC69" s="2290"/>
      <c r="BD69" s="2290"/>
      <c r="BE69" s="2290"/>
      <c r="BF69" s="2290"/>
      <c r="BG69" s="2290"/>
      <c r="BH69" s="2290"/>
      <c r="BI69" s="2290"/>
      <c r="BJ69" s="2290"/>
      <c r="BK69" s="2290"/>
      <c r="BL69" s="2290"/>
      <c r="BM69" s="2290"/>
      <c r="BN69" s="2290"/>
      <c r="BO69" s="2290"/>
      <c r="BP69" s="2290"/>
      <c r="BQ69" s="2290"/>
      <c r="BR69" s="2290"/>
      <c r="BS69" s="2290"/>
      <c r="BT69" s="2290"/>
      <c r="BU69" s="2290"/>
      <c r="BV69" s="2290"/>
      <c r="BW69" s="2290"/>
      <c r="BX69" s="2290"/>
      <c r="BY69" s="2290"/>
      <c r="BZ69" s="2290"/>
      <c r="CA69" s="2290"/>
    </row>
    <row r="70" spans="1:79">
      <c r="A70" s="15"/>
      <c r="B70" s="15"/>
      <c r="C70" s="15"/>
      <c r="D70" s="15"/>
      <c r="E70" s="15"/>
      <c r="F70" s="15"/>
      <c r="G70" s="15"/>
      <c r="H70" s="15"/>
      <c r="I70" s="15"/>
      <c r="J70" s="15"/>
      <c r="K70" s="15"/>
      <c r="L70" s="15"/>
      <c r="M70" s="15"/>
      <c r="N70" s="15"/>
      <c r="O70" s="15"/>
      <c r="P70" s="15"/>
      <c r="Q70" s="15"/>
      <c r="R70" s="15"/>
      <c r="S70" s="15"/>
      <c r="T70" s="15"/>
      <c r="U70" s="15"/>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R70" s="2290"/>
      <c r="AS70" s="2290"/>
      <c r="AT70" s="2290"/>
      <c r="AU70" s="2290"/>
      <c r="AV70" s="2290"/>
      <c r="AW70" s="2290"/>
      <c r="AX70" s="2290"/>
      <c r="AY70" s="2290"/>
      <c r="AZ70" s="2290"/>
      <c r="BA70" s="2290"/>
      <c r="BB70" s="2290"/>
      <c r="BC70" s="2290"/>
      <c r="BD70" s="2290"/>
      <c r="BE70" s="2290"/>
      <c r="BF70" s="2290"/>
      <c r="BG70" s="2290"/>
      <c r="BH70" s="2290"/>
      <c r="BI70" s="2290"/>
      <c r="BJ70" s="2290"/>
      <c r="BK70" s="2290"/>
      <c r="BL70" s="2290"/>
      <c r="BM70" s="2290"/>
      <c r="BN70" s="2290"/>
      <c r="BO70" s="2290"/>
      <c r="BP70" s="2290"/>
      <c r="BQ70" s="2290"/>
      <c r="BR70" s="2290"/>
      <c r="BS70" s="2290"/>
      <c r="BT70" s="2290"/>
      <c r="BU70" s="2290"/>
      <c r="BV70" s="2290"/>
      <c r="BW70" s="2290"/>
      <c r="BX70" s="2290"/>
      <c r="BY70" s="2290"/>
      <c r="BZ70" s="2290"/>
      <c r="CA70" s="2290"/>
    </row>
    <row r="71" spans="1:79">
      <c r="A71" s="15"/>
      <c r="B71" s="15"/>
      <c r="C71" s="15"/>
      <c r="D71" s="15"/>
      <c r="E71" s="15"/>
      <c r="F71" s="15"/>
      <c r="G71" s="15"/>
      <c r="H71" s="15"/>
      <c r="I71" s="15"/>
      <c r="J71" s="15"/>
      <c r="K71" s="15"/>
      <c r="L71" s="15"/>
      <c r="M71" s="15"/>
      <c r="N71" s="15"/>
      <c r="O71" s="15"/>
      <c r="P71" s="15"/>
      <c r="Q71" s="15"/>
      <c r="R71" s="15"/>
      <c r="S71" s="15"/>
      <c r="T71" s="15"/>
      <c r="U71" s="15"/>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R71" s="2290"/>
      <c r="AS71" s="2290"/>
      <c r="AT71" s="2290"/>
      <c r="AU71" s="2290"/>
      <c r="AV71" s="2290"/>
      <c r="AW71" s="2290"/>
      <c r="AX71" s="2290"/>
      <c r="AY71" s="2290"/>
      <c r="AZ71" s="2290"/>
      <c r="BA71" s="2290"/>
      <c r="BB71" s="2290"/>
      <c r="BC71" s="2290"/>
      <c r="BD71" s="2290"/>
      <c r="BE71" s="2290"/>
      <c r="BF71" s="2290"/>
      <c r="BG71" s="2290"/>
      <c r="BH71" s="2290"/>
      <c r="BI71" s="2290"/>
      <c r="BJ71" s="2290"/>
      <c r="BK71" s="2290"/>
      <c r="BL71" s="2290"/>
      <c r="BM71" s="2290"/>
      <c r="BN71" s="2290"/>
      <c r="BO71" s="2290"/>
      <c r="BP71" s="2290"/>
      <c r="BQ71" s="2290"/>
      <c r="BR71" s="2290"/>
      <c r="BS71" s="2290"/>
      <c r="BT71" s="2290"/>
      <c r="BU71" s="2290"/>
      <c r="BV71" s="2290"/>
      <c r="BW71" s="2290"/>
      <c r="BX71" s="2290"/>
      <c r="BY71" s="2290"/>
      <c r="BZ71" s="2290"/>
      <c r="CA71" s="2290"/>
    </row>
    <row r="72" spans="1:79">
      <c r="A72" s="15"/>
      <c r="B72" s="15"/>
      <c r="C72" s="15"/>
      <c r="D72" s="15"/>
      <c r="E72" s="15"/>
      <c r="F72" s="15"/>
      <c r="G72" s="15"/>
      <c r="H72" s="15"/>
      <c r="I72" s="15"/>
      <c r="J72" s="15"/>
      <c r="K72" s="15"/>
      <c r="L72" s="15"/>
      <c r="M72" s="15"/>
      <c r="N72" s="15"/>
      <c r="O72" s="15"/>
      <c r="P72" s="15"/>
      <c r="Q72" s="15"/>
      <c r="R72" s="15"/>
      <c r="S72" s="15"/>
      <c r="T72" s="15"/>
      <c r="U72" s="15"/>
      <c r="V72" s="2290"/>
      <c r="W72" s="2290"/>
      <c r="X72" s="2290"/>
      <c r="Y72" s="2290"/>
      <c r="Z72" s="2290"/>
      <c r="AA72" s="2290"/>
      <c r="AB72" s="2290"/>
      <c r="AC72" s="2290"/>
      <c r="AD72" s="2290"/>
      <c r="AE72" s="2290"/>
      <c r="AF72" s="2290"/>
      <c r="AG72" s="2290"/>
      <c r="AH72" s="2290"/>
      <c r="AI72" s="2290"/>
      <c r="AJ72" s="2290"/>
      <c r="AK72" s="2290"/>
      <c r="AL72" s="2290"/>
      <c r="AM72" s="2290"/>
      <c r="AN72" s="2290"/>
      <c r="AO72" s="2290"/>
      <c r="AP72" s="2290"/>
      <c r="AQ72" s="2290"/>
      <c r="AR72" s="2290"/>
      <c r="AS72" s="2290"/>
      <c r="AT72" s="2290"/>
      <c r="AU72" s="2290"/>
      <c r="AV72" s="2290"/>
      <c r="AW72" s="2290"/>
      <c r="AX72" s="2290"/>
      <c r="AY72" s="2290"/>
      <c r="AZ72" s="2290"/>
      <c r="BA72" s="2290"/>
      <c r="BB72" s="2290"/>
      <c r="BC72" s="2290"/>
      <c r="BD72" s="2290"/>
      <c r="BE72" s="2290"/>
      <c r="BF72" s="2290"/>
      <c r="BG72" s="2290"/>
      <c r="BH72" s="2290"/>
      <c r="BI72" s="2290"/>
      <c r="BJ72" s="2290"/>
      <c r="BK72" s="2290"/>
      <c r="BL72" s="2290"/>
      <c r="BM72" s="2290"/>
      <c r="BN72" s="2290"/>
      <c r="BO72" s="2290"/>
      <c r="BP72" s="2290"/>
      <c r="BQ72" s="2290"/>
      <c r="BR72" s="2290"/>
      <c r="BS72" s="2290"/>
      <c r="BT72" s="2290"/>
      <c r="BU72" s="2290"/>
      <c r="BV72" s="2290"/>
      <c r="BW72" s="2290"/>
      <c r="BX72" s="2290"/>
      <c r="BY72" s="2290"/>
      <c r="BZ72" s="2290"/>
      <c r="CA72" s="2290"/>
    </row>
    <row r="73" spans="1:79">
      <c r="A73" s="15"/>
      <c r="B73" s="15"/>
      <c r="C73" s="15"/>
      <c r="D73" s="15"/>
      <c r="E73" s="15"/>
      <c r="F73" s="15"/>
      <c r="G73" s="15"/>
      <c r="H73" s="15"/>
      <c r="I73" s="15"/>
      <c r="J73" s="15"/>
      <c r="K73" s="15"/>
      <c r="L73" s="15"/>
      <c r="M73" s="15"/>
      <c r="N73" s="15"/>
      <c r="O73" s="15"/>
      <c r="P73" s="15"/>
      <c r="Q73" s="15"/>
      <c r="R73" s="15"/>
      <c r="S73" s="15"/>
      <c r="T73" s="15"/>
      <c r="U73" s="15"/>
      <c r="V73" s="2290"/>
      <c r="W73" s="2290"/>
      <c r="X73" s="2290"/>
      <c r="Y73" s="2290"/>
      <c r="Z73" s="2290"/>
      <c r="AA73" s="2290"/>
      <c r="AB73" s="2290"/>
      <c r="AC73" s="2290"/>
      <c r="AD73" s="2290"/>
      <c r="AE73" s="2290"/>
      <c r="AF73" s="2290"/>
      <c r="AG73" s="2290"/>
      <c r="AH73" s="2290"/>
      <c r="AI73" s="2290"/>
      <c r="AJ73" s="2290"/>
      <c r="AK73" s="2290"/>
      <c r="AL73" s="2290"/>
      <c r="AM73" s="2290"/>
      <c r="AN73" s="2290"/>
      <c r="AO73" s="2290"/>
      <c r="AP73" s="2290"/>
      <c r="AQ73" s="2290"/>
      <c r="AR73" s="2290"/>
      <c r="AS73" s="2290"/>
      <c r="AT73" s="2290"/>
      <c r="AU73" s="2290"/>
      <c r="AV73" s="2290"/>
      <c r="AW73" s="2290"/>
      <c r="AX73" s="2290"/>
      <c r="AY73" s="2290"/>
      <c r="AZ73" s="2290"/>
      <c r="BA73" s="2290"/>
      <c r="BB73" s="2290"/>
      <c r="BC73" s="2290"/>
      <c r="BD73" s="2290"/>
      <c r="BE73" s="2290"/>
      <c r="BF73" s="2290"/>
      <c r="BG73" s="2290"/>
      <c r="BH73" s="2290"/>
      <c r="BI73" s="2290"/>
      <c r="BJ73" s="2290"/>
      <c r="BK73" s="2290"/>
      <c r="BL73" s="2290"/>
      <c r="BM73" s="2290"/>
      <c r="BN73" s="2290"/>
      <c r="BO73" s="2290"/>
      <c r="BP73" s="2290"/>
      <c r="BQ73" s="2290"/>
      <c r="BR73" s="2290"/>
      <c r="BS73" s="2290"/>
      <c r="BT73" s="2290"/>
      <c r="BU73" s="2290"/>
      <c r="BV73" s="2290"/>
      <c r="BW73" s="2290"/>
      <c r="BX73" s="2290"/>
      <c r="BY73" s="2290"/>
      <c r="BZ73" s="2290"/>
      <c r="CA73" s="2290"/>
    </row>
    <row r="74" spans="1:79">
      <c r="A74" s="15"/>
      <c r="B74" s="15"/>
      <c r="C74" s="15"/>
      <c r="D74" s="15"/>
      <c r="E74" s="15"/>
      <c r="F74" s="15"/>
      <c r="G74" s="15"/>
      <c r="H74" s="15"/>
      <c r="I74" s="15"/>
      <c r="J74" s="15"/>
      <c r="K74" s="15"/>
      <c r="L74" s="15"/>
      <c r="M74" s="15"/>
      <c r="N74" s="15"/>
      <c r="O74" s="15"/>
      <c r="P74" s="15"/>
      <c r="Q74" s="15"/>
      <c r="R74" s="15"/>
      <c r="S74" s="15"/>
      <c r="T74" s="15"/>
      <c r="U74" s="15"/>
      <c r="V74" s="2290"/>
      <c r="W74" s="2290"/>
      <c r="X74" s="2290"/>
      <c r="Y74" s="2290"/>
      <c r="Z74" s="2290"/>
      <c r="AA74" s="2290"/>
      <c r="AB74" s="2290"/>
      <c r="AC74" s="2290"/>
      <c r="AD74" s="2290"/>
      <c r="AE74" s="2290"/>
      <c r="AF74" s="2290"/>
      <c r="AG74" s="2290"/>
      <c r="AH74" s="2290"/>
      <c r="AI74" s="2290"/>
      <c r="AJ74" s="2290"/>
      <c r="AK74" s="2290"/>
      <c r="AL74" s="2290"/>
      <c r="AM74" s="2290"/>
      <c r="AN74" s="2290"/>
      <c r="AO74" s="2290"/>
      <c r="AP74" s="2290"/>
      <c r="AQ74" s="2290"/>
      <c r="AR74" s="2290"/>
      <c r="AS74" s="2290"/>
      <c r="AT74" s="2290"/>
      <c r="AU74" s="2290"/>
      <c r="AV74" s="2290"/>
      <c r="AW74" s="2290"/>
      <c r="AX74" s="2290"/>
      <c r="AY74" s="2290"/>
      <c r="AZ74" s="2290"/>
      <c r="BA74" s="2290"/>
      <c r="BB74" s="2290"/>
      <c r="BC74" s="2290"/>
      <c r="BD74" s="2290"/>
      <c r="BE74" s="2290"/>
      <c r="BF74" s="2290"/>
      <c r="BG74" s="2290"/>
      <c r="BH74" s="2290"/>
      <c r="BI74" s="2290"/>
      <c r="BJ74" s="2290"/>
      <c r="BK74" s="2290"/>
      <c r="BL74" s="2290"/>
      <c r="BM74" s="2290"/>
      <c r="BN74" s="2290"/>
      <c r="BO74" s="2290"/>
      <c r="BP74" s="2290"/>
      <c r="BQ74" s="2290"/>
      <c r="BR74" s="2290"/>
      <c r="BS74" s="2290"/>
      <c r="BT74" s="2290"/>
      <c r="BU74" s="2290"/>
      <c r="BV74" s="2290"/>
      <c r="BW74" s="2290"/>
      <c r="BX74" s="2290"/>
      <c r="BY74" s="2290"/>
      <c r="BZ74" s="2290"/>
      <c r="CA74" s="2290"/>
    </row>
    <row r="75" spans="1:79">
      <c r="A75" s="15"/>
      <c r="B75" s="15"/>
      <c r="C75" s="15"/>
      <c r="D75" s="15"/>
      <c r="E75" s="15"/>
      <c r="F75" s="15"/>
      <c r="G75" s="15"/>
      <c r="H75" s="15"/>
      <c r="I75" s="15"/>
      <c r="J75" s="15"/>
      <c r="K75" s="15"/>
      <c r="L75" s="15"/>
      <c r="M75" s="15"/>
      <c r="N75" s="15"/>
      <c r="O75" s="15"/>
      <c r="P75" s="15"/>
      <c r="Q75" s="15"/>
      <c r="R75" s="15"/>
      <c r="S75" s="15"/>
      <c r="T75" s="15"/>
      <c r="U75" s="15"/>
      <c r="V75" s="2290"/>
      <c r="W75" s="2290"/>
      <c r="X75" s="2290"/>
      <c r="Y75" s="2290"/>
      <c r="Z75" s="2290"/>
      <c r="AA75" s="2290"/>
      <c r="AB75" s="2290"/>
      <c r="AC75" s="2290"/>
      <c r="AD75" s="2290"/>
      <c r="AE75" s="2290"/>
      <c r="AF75" s="2290"/>
      <c r="AG75" s="2290"/>
      <c r="AH75" s="2290"/>
      <c r="AI75" s="2290"/>
      <c r="AJ75" s="2290"/>
      <c r="AK75" s="2290"/>
      <c r="AL75" s="2290"/>
      <c r="AM75" s="2290"/>
      <c r="AN75" s="2290"/>
      <c r="AO75" s="2290"/>
      <c r="AP75" s="2290"/>
      <c r="AQ75" s="2290"/>
      <c r="AR75" s="2290"/>
      <c r="AS75" s="2290"/>
      <c r="AT75" s="2290"/>
      <c r="AU75" s="2290"/>
      <c r="AV75" s="2290"/>
      <c r="AW75" s="2290"/>
      <c r="AX75" s="2290"/>
      <c r="AY75" s="2290"/>
      <c r="AZ75" s="2290"/>
      <c r="BA75" s="2290"/>
      <c r="BB75" s="2290"/>
      <c r="BC75" s="2290"/>
      <c r="BD75" s="2290"/>
      <c r="BE75" s="2290"/>
      <c r="BF75" s="2290"/>
      <c r="BG75" s="2290"/>
      <c r="BH75" s="2290"/>
      <c r="BI75" s="2290"/>
      <c r="BJ75" s="2290"/>
      <c r="BK75" s="2290"/>
      <c r="BL75" s="2290"/>
      <c r="BM75" s="2290"/>
      <c r="BN75" s="2290"/>
      <c r="BO75" s="2290"/>
      <c r="BP75" s="2290"/>
      <c r="BQ75" s="2290"/>
      <c r="BR75" s="2290"/>
      <c r="BS75" s="2290"/>
      <c r="BT75" s="2290"/>
      <c r="BU75" s="2290"/>
      <c r="BV75" s="2290"/>
      <c r="BW75" s="2290"/>
      <c r="BX75" s="2290"/>
      <c r="BY75" s="2290"/>
      <c r="BZ75" s="2290"/>
      <c r="CA75" s="2290"/>
    </row>
    <row r="76" spans="1:79">
      <c r="A76" s="15"/>
      <c r="B76" s="15"/>
      <c r="C76" s="15"/>
      <c r="D76" s="15"/>
      <c r="E76" s="15"/>
      <c r="F76" s="15"/>
      <c r="G76" s="15"/>
      <c r="H76" s="15"/>
      <c r="I76" s="15"/>
      <c r="J76" s="15"/>
      <c r="K76" s="15"/>
      <c r="L76" s="15"/>
      <c r="M76" s="15"/>
      <c r="N76" s="15"/>
      <c r="O76" s="15"/>
      <c r="P76" s="15"/>
      <c r="Q76" s="15"/>
      <c r="R76" s="15"/>
      <c r="S76" s="15"/>
      <c r="T76" s="15"/>
      <c r="U76" s="15"/>
      <c r="V76" s="2290"/>
      <c r="W76" s="2290"/>
      <c r="X76" s="2290"/>
      <c r="Y76" s="2290"/>
      <c r="Z76" s="2290"/>
      <c r="AA76" s="2290"/>
      <c r="AB76" s="2290"/>
      <c r="AC76" s="2290"/>
      <c r="AD76" s="2290"/>
      <c r="AE76" s="2290"/>
      <c r="AF76" s="2290"/>
      <c r="AG76" s="2290"/>
      <c r="AH76" s="2290"/>
      <c r="AI76" s="2290"/>
      <c r="AJ76" s="2290"/>
      <c r="AK76" s="2290"/>
      <c r="AL76" s="2290"/>
      <c r="AM76" s="2290"/>
      <c r="AN76" s="2290"/>
      <c r="AO76" s="2290"/>
      <c r="AP76" s="2290"/>
      <c r="AQ76" s="2290"/>
      <c r="AR76" s="2290"/>
      <c r="AS76" s="2290"/>
      <c r="AT76" s="2290"/>
      <c r="AU76" s="2290"/>
      <c r="AV76" s="2290"/>
      <c r="AW76" s="2290"/>
      <c r="AX76" s="2290"/>
      <c r="AY76" s="2290"/>
      <c r="AZ76" s="2290"/>
      <c r="BA76" s="2290"/>
      <c r="BB76" s="2290"/>
      <c r="BC76" s="2290"/>
      <c r="BD76" s="2290"/>
      <c r="BE76" s="2290"/>
      <c r="BF76" s="2290"/>
      <c r="BG76" s="2290"/>
      <c r="BH76" s="2290"/>
      <c r="BI76" s="2290"/>
      <c r="BJ76" s="2290"/>
      <c r="BK76" s="2290"/>
      <c r="BL76" s="2290"/>
      <c r="BM76" s="2290"/>
      <c r="BN76" s="2290"/>
      <c r="BO76" s="2290"/>
      <c r="BP76" s="2290"/>
      <c r="BQ76" s="2290"/>
      <c r="BR76" s="2290"/>
      <c r="BS76" s="2290"/>
      <c r="BT76" s="2290"/>
      <c r="BU76" s="2290"/>
      <c r="BV76" s="2290"/>
      <c r="BW76" s="2290"/>
      <c r="BX76" s="2290"/>
      <c r="BY76" s="2290"/>
      <c r="BZ76" s="2290"/>
      <c r="CA76" s="2290"/>
    </row>
    <row r="77" spans="1:79">
      <c r="A77" s="15"/>
      <c r="B77" s="15"/>
      <c r="C77" s="15"/>
      <c r="D77" s="15"/>
      <c r="E77" s="15"/>
      <c r="F77" s="15"/>
      <c r="G77" s="15"/>
      <c r="H77" s="15"/>
      <c r="I77" s="15"/>
      <c r="J77" s="15"/>
      <c r="K77" s="15"/>
      <c r="L77" s="15"/>
      <c r="M77" s="15"/>
      <c r="N77" s="15"/>
      <c r="O77" s="15"/>
      <c r="P77" s="15"/>
      <c r="Q77" s="15"/>
      <c r="R77" s="15"/>
      <c r="S77" s="15"/>
      <c r="T77" s="15"/>
      <c r="U77" s="15"/>
      <c r="V77" s="2290"/>
      <c r="W77" s="2290"/>
      <c r="X77" s="2290"/>
      <c r="Y77" s="2290"/>
      <c r="Z77" s="2290"/>
      <c r="AA77" s="2290"/>
      <c r="AB77" s="2290"/>
      <c r="AC77" s="2290"/>
      <c r="AD77" s="2290"/>
      <c r="AE77" s="2290"/>
      <c r="AF77" s="2290"/>
      <c r="AG77" s="2290"/>
      <c r="AH77" s="2290"/>
      <c r="AI77" s="2290"/>
      <c r="AJ77" s="2290"/>
      <c r="AK77" s="2290"/>
      <c r="AL77" s="2290"/>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290"/>
      <c r="BH77" s="2290"/>
      <c r="BI77" s="2290"/>
      <c r="BJ77" s="2290"/>
      <c r="BK77" s="2290"/>
      <c r="BL77" s="2290"/>
      <c r="BM77" s="2290"/>
      <c r="BN77" s="2290"/>
      <c r="BO77" s="2290"/>
      <c r="BP77" s="2290"/>
      <c r="BQ77" s="2290"/>
      <c r="BR77" s="2290"/>
      <c r="BS77" s="2290"/>
      <c r="BT77" s="2290"/>
      <c r="BU77" s="2290"/>
      <c r="BV77" s="2290"/>
      <c r="BW77" s="2290"/>
      <c r="BX77" s="2290"/>
      <c r="BY77" s="2290"/>
      <c r="BZ77" s="2290"/>
      <c r="CA77" s="2290"/>
    </row>
    <row r="78" spans="1:79">
      <c r="A78" s="15"/>
      <c r="B78" s="15"/>
      <c r="C78" s="15"/>
      <c r="D78" s="15"/>
      <c r="E78" s="15"/>
      <c r="F78" s="15"/>
      <c r="G78" s="15"/>
      <c r="H78" s="15"/>
      <c r="I78" s="15"/>
      <c r="J78" s="15"/>
      <c r="K78" s="15"/>
      <c r="L78" s="15"/>
      <c r="M78" s="15"/>
      <c r="N78" s="15"/>
      <c r="O78" s="15"/>
      <c r="P78" s="15"/>
      <c r="Q78" s="15"/>
      <c r="R78" s="15"/>
      <c r="S78" s="15"/>
      <c r="T78" s="15"/>
      <c r="U78" s="15"/>
      <c r="V78" s="2290"/>
      <c r="W78" s="2290"/>
      <c r="X78" s="2290"/>
      <c r="Y78" s="2290"/>
      <c r="Z78" s="2290"/>
      <c r="AA78" s="2290"/>
      <c r="AB78" s="2290"/>
      <c r="AC78" s="2290"/>
      <c r="AD78" s="2290"/>
      <c r="AE78" s="2290"/>
      <c r="AF78" s="2290"/>
      <c r="AG78" s="2290"/>
      <c r="AH78" s="2290"/>
      <c r="AI78" s="2290"/>
      <c r="AJ78" s="2290"/>
      <c r="AK78" s="2290"/>
      <c r="AL78" s="2290"/>
      <c r="AM78" s="2290"/>
      <c r="AN78" s="2290"/>
      <c r="AO78" s="2290"/>
      <c r="AP78" s="2290"/>
      <c r="AQ78" s="2290"/>
      <c r="AR78" s="2290"/>
      <c r="AS78" s="2290"/>
      <c r="AT78" s="2290"/>
      <c r="AU78" s="2290"/>
      <c r="AV78" s="2290"/>
      <c r="AW78" s="2290"/>
      <c r="AX78" s="2290"/>
      <c r="AY78" s="2290"/>
      <c r="AZ78" s="2290"/>
      <c r="BA78" s="2290"/>
      <c r="BB78" s="2290"/>
      <c r="BC78" s="2290"/>
      <c r="BD78" s="2290"/>
      <c r="BE78" s="2290"/>
      <c r="BF78" s="2290"/>
      <c r="BG78" s="2290"/>
      <c r="BH78" s="2290"/>
      <c r="BI78" s="2290"/>
      <c r="BJ78" s="2290"/>
      <c r="BK78" s="2290"/>
      <c r="BL78" s="2290"/>
      <c r="BM78" s="2290"/>
      <c r="BN78" s="2290"/>
      <c r="BO78" s="2290"/>
      <c r="BP78" s="2290"/>
      <c r="BQ78" s="2290"/>
      <c r="BR78" s="2290"/>
      <c r="BS78" s="2290"/>
      <c r="BT78" s="2290"/>
      <c r="BU78" s="2290"/>
      <c r="BV78" s="2290"/>
      <c r="BW78" s="2290"/>
      <c r="BX78" s="2290"/>
      <c r="BY78" s="2290"/>
      <c r="BZ78" s="2290"/>
      <c r="CA78" s="2290"/>
    </row>
    <row r="79" spans="1:79">
      <c r="A79" s="15"/>
      <c r="B79" s="15"/>
      <c r="C79" s="15"/>
      <c r="D79" s="15"/>
      <c r="E79" s="15"/>
      <c r="F79" s="15"/>
      <c r="G79" s="15"/>
      <c r="H79" s="15"/>
      <c r="I79" s="15"/>
      <c r="J79" s="15"/>
      <c r="K79" s="15"/>
      <c r="L79" s="15"/>
      <c r="M79" s="15"/>
      <c r="N79" s="15"/>
      <c r="O79" s="15"/>
      <c r="P79" s="15"/>
      <c r="Q79" s="15"/>
      <c r="R79" s="15"/>
      <c r="S79" s="15"/>
      <c r="T79" s="15"/>
      <c r="U79" s="15"/>
      <c r="V79" s="2290"/>
      <c r="W79" s="2290"/>
      <c r="X79" s="2290"/>
      <c r="Y79" s="2290"/>
      <c r="Z79" s="2290"/>
      <c r="AA79" s="2290"/>
      <c r="AB79" s="2290"/>
      <c r="AC79" s="2290"/>
      <c r="AD79" s="2290"/>
      <c r="AE79" s="2290"/>
      <c r="AF79" s="2290"/>
      <c r="AG79" s="2290"/>
      <c r="AH79" s="2290"/>
      <c r="AI79" s="2290"/>
      <c r="AJ79" s="2290"/>
      <c r="AK79" s="2290"/>
      <c r="AL79" s="2290"/>
      <c r="AM79" s="2290"/>
      <c r="AN79" s="2290"/>
      <c r="AO79" s="2290"/>
      <c r="AP79" s="2290"/>
      <c r="AQ79" s="2290"/>
      <c r="AR79" s="2290"/>
      <c r="AS79" s="2290"/>
      <c r="AT79" s="2290"/>
      <c r="AU79" s="2290"/>
      <c r="AV79" s="2290"/>
      <c r="AW79" s="2290"/>
      <c r="AX79" s="2290"/>
      <c r="AY79" s="2290"/>
      <c r="AZ79" s="2290"/>
      <c r="BA79" s="2290"/>
      <c r="BB79" s="2290"/>
      <c r="BC79" s="2290"/>
      <c r="BD79" s="2290"/>
      <c r="BE79" s="2290"/>
      <c r="BF79" s="2290"/>
      <c r="BG79" s="2290"/>
      <c r="BH79" s="2290"/>
      <c r="BI79" s="2290"/>
      <c r="BJ79" s="2290"/>
      <c r="BK79" s="2290"/>
      <c r="BL79" s="2290"/>
      <c r="BM79" s="2290"/>
      <c r="BN79" s="2290"/>
      <c r="BO79" s="2290"/>
      <c r="BP79" s="2290"/>
      <c r="BQ79" s="2290"/>
      <c r="BR79" s="2290"/>
      <c r="BS79" s="2290"/>
      <c r="BT79" s="2290"/>
      <c r="BU79" s="2290"/>
      <c r="BV79" s="2290"/>
      <c r="BW79" s="2290"/>
      <c r="BX79" s="2290"/>
      <c r="BY79" s="2290"/>
      <c r="BZ79" s="2290"/>
      <c r="CA79" s="2290"/>
    </row>
    <row r="80" spans="1:79">
      <c r="A80" s="15"/>
      <c r="B80" s="15"/>
      <c r="C80" s="15"/>
      <c r="D80" s="15"/>
      <c r="E80" s="15"/>
      <c r="F80" s="15"/>
      <c r="G80" s="15"/>
      <c r="H80" s="15"/>
      <c r="I80" s="15"/>
      <c r="J80" s="15"/>
      <c r="K80" s="15"/>
      <c r="L80" s="15"/>
      <c r="M80" s="15"/>
      <c r="N80" s="15"/>
      <c r="O80" s="15"/>
      <c r="P80" s="15"/>
      <c r="Q80" s="15"/>
      <c r="R80" s="15"/>
      <c r="S80" s="15"/>
      <c r="T80" s="15"/>
      <c r="U80" s="15"/>
      <c r="V80" s="2290"/>
      <c r="W80" s="2290"/>
      <c r="X80" s="2290"/>
      <c r="Y80" s="2290"/>
      <c r="Z80" s="2290"/>
      <c r="AA80" s="2290"/>
      <c r="AB80" s="2290"/>
      <c r="AC80" s="2290"/>
      <c r="AD80" s="2290"/>
      <c r="AE80" s="2290"/>
      <c r="AF80" s="2290"/>
      <c r="AG80" s="2290"/>
      <c r="AH80" s="2290"/>
      <c r="AI80" s="2290"/>
      <c r="AJ80" s="2290"/>
      <c r="AK80" s="2290"/>
      <c r="AL80" s="2290"/>
      <c r="AM80" s="2290"/>
      <c r="AN80" s="2290"/>
      <c r="AO80" s="2290"/>
      <c r="AP80" s="2290"/>
      <c r="AQ80" s="2290"/>
      <c r="AR80" s="2290"/>
      <c r="AS80" s="2290"/>
      <c r="AT80" s="2290"/>
      <c r="AU80" s="2290"/>
      <c r="AV80" s="2290"/>
      <c r="AW80" s="2290"/>
      <c r="AX80" s="2290"/>
      <c r="AY80" s="2290"/>
      <c r="AZ80" s="2290"/>
      <c r="BA80" s="2290"/>
      <c r="BB80" s="2290"/>
      <c r="BC80" s="2290"/>
      <c r="BD80" s="2290"/>
      <c r="BE80" s="2290"/>
      <c r="BF80" s="2290"/>
      <c r="BG80" s="2290"/>
      <c r="BH80" s="2290"/>
      <c r="BI80" s="2290"/>
      <c r="BJ80" s="2290"/>
      <c r="BK80" s="2290"/>
      <c r="BL80" s="2290"/>
      <c r="BM80" s="2290"/>
      <c r="BN80" s="2290"/>
      <c r="BO80" s="2290"/>
      <c r="BP80" s="2290"/>
      <c r="BQ80" s="2290"/>
      <c r="BR80" s="2290"/>
      <c r="BS80" s="2290"/>
      <c r="BT80" s="2290"/>
      <c r="BU80" s="2290"/>
      <c r="BV80" s="2290"/>
      <c r="BW80" s="2290"/>
      <c r="BX80" s="2290"/>
      <c r="BY80" s="2290"/>
      <c r="BZ80" s="2290"/>
      <c r="CA80" s="2290"/>
    </row>
    <row r="81" spans="1:79">
      <c r="A81" s="15"/>
      <c r="B81" s="15"/>
      <c r="C81" s="15"/>
      <c r="D81" s="15"/>
      <c r="E81" s="15"/>
      <c r="F81" s="15"/>
      <c r="G81" s="15"/>
      <c r="H81" s="15"/>
      <c r="I81" s="15"/>
      <c r="J81" s="15"/>
      <c r="K81" s="15"/>
      <c r="L81" s="15"/>
      <c r="M81" s="15"/>
      <c r="N81" s="15"/>
      <c r="O81" s="15"/>
      <c r="P81" s="15"/>
      <c r="Q81" s="15"/>
      <c r="R81" s="15"/>
      <c r="S81" s="15"/>
      <c r="T81" s="15"/>
      <c r="U81" s="15"/>
      <c r="V81" s="2290"/>
      <c r="W81" s="2290"/>
      <c r="X81" s="2290"/>
      <c r="Y81" s="2290"/>
      <c r="Z81" s="2290"/>
      <c r="AA81" s="2290"/>
      <c r="AB81" s="2290"/>
      <c r="AC81" s="2290"/>
      <c r="AD81" s="2290"/>
      <c r="AE81" s="2290"/>
      <c r="AF81" s="2290"/>
      <c r="AG81" s="2290"/>
      <c r="AH81" s="2290"/>
      <c r="AI81" s="2290"/>
      <c r="AJ81" s="2290"/>
      <c r="AK81" s="2290"/>
      <c r="AL81" s="2290"/>
      <c r="AM81" s="2290"/>
      <c r="AN81" s="2290"/>
      <c r="AO81" s="2290"/>
      <c r="AP81" s="2290"/>
      <c r="AQ81" s="2290"/>
      <c r="AR81" s="2290"/>
      <c r="AS81" s="2290"/>
      <c r="AT81" s="2290"/>
      <c r="AU81" s="2290"/>
      <c r="AV81" s="2290"/>
      <c r="AW81" s="2290"/>
      <c r="AX81" s="2290"/>
      <c r="AY81" s="2290"/>
      <c r="AZ81" s="2290"/>
      <c r="BA81" s="2290"/>
      <c r="BB81" s="2290"/>
      <c r="BC81" s="2290"/>
      <c r="BD81" s="2290"/>
      <c r="BE81" s="2290"/>
      <c r="BF81" s="2290"/>
      <c r="BG81" s="2290"/>
      <c r="BH81" s="2290"/>
      <c r="BI81" s="2290"/>
      <c r="BJ81" s="2290"/>
      <c r="BK81" s="2290"/>
      <c r="BL81" s="2290"/>
      <c r="BM81" s="2290"/>
      <c r="BN81" s="2290"/>
      <c r="BO81" s="2290"/>
      <c r="BP81" s="2290"/>
      <c r="BQ81" s="2290"/>
      <c r="BR81" s="2290"/>
      <c r="BS81" s="2290"/>
      <c r="BT81" s="2290"/>
      <c r="BU81" s="2290"/>
      <c r="BV81" s="2290"/>
      <c r="BW81" s="2290"/>
      <c r="BX81" s="2290"/>
      <c r="BY81" s="2290"/>
      <c r="BZ81" s="2290"/>
      <c r="CA81" s="2290"/>
    </row>
    <row r="82" spans="1:79">
      <c r="A82" s="15"/>
      <c r="B82" s="15"/>
      <c r="C82" s="15"/>
      <c r="D82" s="15"/>
      <c r="E82" s="15"/>
      <c r="F82" s="15"/>
      <c r="G82" s="15"/>
      <c r="H82" s="15"/>
      <c r="I82" s="15"/>
      <c r="J82" s="15"/>
      <c r="K82" s="15"/>
      <c r="L82" s="15"/>
      <c r="M82" s="15"/>
      <c r="N82" s="15"/>
      <c r="O82" s="15"/>
      <c r="P82" s="15"/>
      <c r="Q82" s="15"/>
      <c r="R82" s="15"/>
      <c r="S82" s="15"/>
      <c r="T82" s="15"/>
      <c r="U82" s="15"/>
      <c r="V82" s="2290"/>
      <c r="W82" s="2290"/>
      <c r="X82" s="2290"/>
      <c r="Y82" s="2290"/>
      <c r="Z82" s="2290"/>
      <c r="AA82" s="2290"/>
      <c r="AB82" s="2290"/>
      <c r="AC82" s="2290"/>
      <c r="AD82" s="2290"/>
      <c r="AE82" s="2290"/>
      <c r="AF82" s="2290"/>
      <c r="AG82" s="2290"/>
      <c r="AH82" s="2290"/>
      <c r="AI82" s="2290"/>
      <c r="AJ82" s="2290"/>
      <c r="AK82" s="2290"/>
      <c r="AL82" s="2290"/>
      <c r="AM82" s="2290"/>
      <c r="AN82" s="2290"/>
      <c r="AO82" s="2290"/>
      <c r="AP82" s="2290"/>
      <c r="AQ82" s="2290"/>
      <c r="AR82" s="2290"/>
      <c r="AS82" s="2290"/>
      <c r="AT82" s="2290"/>
      <c r="AU82" s="2290"/>
      <c r="AV82" s="2290"/>
      <c r="AW82" s="2290"/>
      <c r="AX82" s="2290"/>
      <c r="AY82" s="2290"/>
      <c r="AZ82" s="2290"/>
      <c r="BA82" s="2290"/>
      <c r="BB82" s="2290"/>
      <c r="BC82" s="2290"/>
      <c r="BD82" s="2290"/>
      <c r="BE82" s="2290"/>
      <c r="BF82" s="2290"/>
      <c r="BG82" s="2290"/>
      <c r="BH82" s="2290"/>
      <c r="BI82" s="2290"/>
      <c r="BJ82" s="2290"/>
      <c r="BK82" s="2290"/>
      <c r="BL82" s="2290"/>
      <c r="BM82" s="2290"/>
      <c r="BN82" s="2290"/>
      <c r="BO82" s="2290"/>
      <c r="BP82" s="2290"/>
      <c r="BQ82" s="2290"/>
      <c r="BR82" s="2290"/>
      <c r="BS82" s="2290"/>
      <c r="BT82" s="2290"/>
      <c r="BU82" s="2290"/>
      <c r="BV82" s="2290"/>
      <c r="BW82" s="2290"/>
      <c r="BX82" s="2290"/>
      <c r="BY82" s="2290"/>
      <c r="BZ82" s="2290"/>
      <c r="CA82" s="2290"/>
    </row>
    <row r="83" spans="1:79">
      <c r="A83" s="15"/>
      <c r="B83" s="15"/>
      <c r="C83" s="15"/>
      <c r="D83" s="15"/>
      <c r="E83" s="15"/>
      <c r="F83" s="15"/>
      <c r="G83" s="15"/>
      <c r="H83" s="15"/>
      <c r="I83" s="15"/>
      <c r="J83" s="15"/>
      <c r="K83" s="15"/>
      <c r="L83" s="15"/>
      <c r="M83" s="15"/>
      <c r="N83" s="15"/>
      <c r="O83" s="15"/>
      <c r="P83" s="15"/>
      <c r="Q83" s="15"/>
      <c r="R83" s="15"/>
      <c r="S83" s="15"/>
      <c r="T83" s="15"/>
      <c r="U83" s="15"/>
      <c r="V83" s="2290"/>
      <c r="W83" s="2290"/>
      <c r="X83" s="2290"/>
      <c r="Y83" s="2290"/>
      <c r="Z83" s="2290"/>
      <c r="AA83" s="2290"/>
      <c r="AB83" s="2290"/>
      <c r="AC83" s="2290"/>
      <c r="AD83" s="2290"/>
      <c r="AE83" s="2290"/>
      <c r="AF83" s="2290"/>
      <c r="AG83" s="2290"/>
      <c r="AH83" s="2290"/>
      <c r="AI83" s="2290"/>
      <c r="AJ83" s="2290"/>
      <c r="AK83" s="2290"/>
      <c r="AL83" s="2290"/>
      <c r="AM83" s="2290"/>
      <c r="AN83" s="2290"/>
      <c r="AO83" s="2290"/>
      <c r="AP83" s="2290"/>
      <c r="AQ83" s="2290"/>
      <c r="AR83" s="2290"/>
      <c r="AS83" s="2290"/>
      <c r="AT83" s="2290"/>
      <c r="AU83" s="2290"/>
      <c r="AV83" s="2290"/>
      <c r="AW83" s="2290"/>
      <c r="AX83" s="2290"/>
      <c r="AY83" s="2290"/>
      <c r="AZ83" s="2290"/>
      <c r="BA83" s="2290"/>
      <c r="BB83" s="2290"/>
      <c r="BC83" s="2290"/>
      <c r="BD83" s="2290"/>
      <c r="BE83" s="2290"/>
      <c r="BF83" s="2290"/>
      <c r="BG83" s="2290"/>
      <c r="BH83" s="2290"/>
      <c r="BI83" s="2290"/>
      <c r="BJ83" s="2290"/>
      <c r="BK83" s="2290"/>
      <c r="BL83" s="2290"/>
      <c r="BM83" s="2290"/>
      <c r="BN83" s="2290"/>
      <c r="BO83" s="2290"/>
      <c r="BP83" s="2290"/>
      <c r="BQ83" s="2290"/>
      <c r="BR83" s="2290"/>
      <c r="BS83" s="2290"/>
      <c r="BT83" s="2290"/>
      <c r="BU83" s="2290"/>
      <c r="BV83" s="2290"/>
      <c r="BW83" s="2290"/>
      <c r="BX83" s="2290"/>
      <c r="BY83" s="2290"/>
      <c r="BZ83" s="2290"/>
      <c r="CA83" s="2290"/>
    </row>
    <row r="84" spans="1:79">
      <c r="A84" s="15"/>
      <c r="B84" s="15"/>
      <c r="C84" s="15"/>
      <c r="D84" s="15"/>
      <c r="E84" s="15"/>
      <c r="F84" s="15"/>
      <c r="G84" s="15"/>
      <c r="H84" s="15"/>
      <c r="I84" s="15"/>
      <c r="J84" s="15"/>
      <c r="K84" s="15"/>
      <c r="L84" s="15"/>
      <c r="M84" s="15"/>
      <c r="N84" s="15"/>
      <c r="O84" s="15"/>
      <c r="P84" s="15"/>
      <c r="Q84" s="15"/>
      <c r="R84" s="15"/>
      <c r="S84" s="15"/>
      <c r="T84" s="15"/>
      <c r="U84" s="15"/>
      <c r="V84" s="2290"/>
      <c r="W84" s="2290"/>
      <c r="X84" s="2290"/>
      <c r="Y84" s="2290"/>
      <c r="Z84" s="2290"/>
      <c r="AA84" s="2290"/>
      <c r="AB84" s="2290"/>
      <c r="AC84" s="2290"/>
      <c r="AD84" s="2290"/>
      <c r="AE84" s="2290"/>
      <c r="AF84" s="2290"/>
      <c r="AG84" s="2290"/>
      <c r="AH84" s="2290"/>
      <c r="AI84" s="2290"/>
      <c r="AJ84" s="2290"/>
      <c r="AK84" s="2290"/>
      <c r="AL84" s="2290"/>
      <c r="AM84" s="2290"/>
      <c r="AN84" s="2290"/>
      <c r="AO84" s="2290"/>
      <c r="AP84" s="2290"/>
      <c r="AQ84" s="2290"/>
      <c r="AR84" s="2290"/>
      <c r="AS84" s="2290"/>
      <c r="AT84" s="2290"/>
      <c r="AU84" s="2290"/>
      <c r="AV84" s="2290"/>
      <c r="AW84" s="2290"/>
      <c r="AX84" s="2290"/>
      <c r="AY84" s="2290"/>
      <c r="AZ84" s="2290"/>
      <c r="BA84" s="2290"/>
      <c r="BB84" s="2290"/>
      <c r="BC84" s="2290"/>
      <c r="BD84" s="2290"/>
      <c r="BE84" s="2290"/>
      <c r="BF84" s="2290"/>
      <c r="BG84" s="2290"/>
      <c r="BH84" s="2290"/>
      <c r="BI84" s="2290"/>
      <c r="BJ84" s="2290"/>
      <c r="BK84" s="2290"/>
      <c r="BL84" s="2290"/>
      <c r="BM84" s="2290"/>
      <c r="BN84" s="2290"/>
      <c r="BO84" s="2290"/>
      <c r="BP84" s="2290"/>
      <c r="BQ84" s="2290"/>
      <c r="BR84" s="2290"/>
      <c r="BS84" s="2290"/>
      <c r="BT84" s="2290"/>
      <c r="BU84" s="2290"/>
      <c r="BV84" s="2290"/>
      <c r="BW84" s="2290"/>
      <c r="BX84" s="2290"/>
      <c r="BY84" s="2290"/>
      <c r="BZ84" s="2290"/>
      <c r="CA84" s="2290"/>
    </row>
    <row r="85" spans="1:79">
      <c r="A85" s="15"/>
      <c r="B85" s="15"/>
      <c r="C85" s="15"/>
      <c r="D85" s="15"/>
      <c r="E85" s="15"/>
      <c r="F85" s="15"/>
      <c r="G85" s="15"/>
      <c r="H85" s="15"/>
      <c r="I85" s="15"/>
      <c r="J85" s="15"/>
      <c r="K85" s="15"/>
      <c r="L85" s="15"/>
      <c r="M85" s="15"/>
      <c r="N85" s="15"/>
      <c r="O85" s="15"/>
      <c r="P85" s="15"/>
      <c r="Q85" s="15"/>
      <c r="R85" s="15"/>
      <c r="S85" s="15"/>
      <c r="T85" s="15"/>
      <c r="U85" s="15"/>
      <c r="V85" s="2290"/>
      <c r="W85" s="2290"/>
      <c r="X85" s="2290"/>
      <c r="Y85" s="2290"/>
      <c r="Z85" s="2290"/>
      <c r="AA85" s="2290"/>
      <c r="AB85" s="2290"/>
      <c r="AC85" s="2290"/>
      <c r="AD85" s="2290"/>
      <c r="AE85" s="2290"/>
      <c r="AF85" s="2290"/>
      <c r="AG85" s="2290"/>
      <c r="AH85" s="2290"/>
      <c r="AI85" s="2290"/>
      <c r="AJ85" s="2290"/>
      <c r="AK85" s="2290"/>
      <c r="AL85" s="2290"/>
      <c r="AM85" s="2290"/>
      <c r="AN85" s="2290"/>
      <c r="AO85" s="2290"/>
      <c r="AP85" s="2290"/>
      <c r="AQ85" s="2290"/>
      <c r="AR85" s="2290"/>
      <c r="AS85" s="2290"/>
      <c r="AT85" s="2290"/>
      <c r="AU85" s="2290"/>
      <c r="AV85" s="2290"/>
      <c r="AW85" s="2290"/>
      <c r="AX85" s="2290"/>
      <c r="AY85" s="2290"/>
      <c r="AZ85" s="2290"/>
      <c r="BA85" s="2290"/>
      <c r="BB85" s="2290"/>
      <c r="BC85" s="2290"/>
      <c r="BD85" s="2290"/>
      <c r="BE85" s="2290"/>
      <c r="BF85" s="2290"/>
      <c r="BG85" s="2290"/>
      <c r="BH85" s="2290"/>
      <c r="BI85" s="2290"/>
      <c r="BJ85" s="2290"/>
      <c r="BK85" s="2290"/>
      <c r="BL85" s="2290"/>
      <c r="BM85" s="2290"/>
      <c r="BN85" s="2290"/>
      <c r="BO85" s="2290"/>
      <c r="BP85" s="2290"/>
      <c r="BQ85" s="2290"/>
      <c r="BR85" s="2290"/>
      <c r="BS85" s="2290"/>
      <c r="BT85" s="2290"/>
      <c r="BU85" s="2290"/>
      <c r="BV85" s="2290"/>
      <c r="BW85" s="2290"/>
      <c r="BX85" s="2290"/>
      <c r="BY85" s="2290"/>
      <c r="BZ85" s="2290"/>
      <c r="CA85" s="2290"/>
    </row>
    <row r="86" spans="1:79">
      <c r="A86" s="15"/>
      <c r="B86" s="15"/>
      <c r="C86" s="15"/>
      <c r="D86" s="15"/>
      <c r="E86" s="15"/>
      <c r="F86" s="15"/>
      <c r="G86" s="15"/>
      <c r="H86" s="15"/>
      <c r="I86" s="15"/>
      <c r="J86" s="15"/>
      <c r="K86" s="15"/>
      <c r="L86" s="15"/>
      <c r="M86" s="15"/>
      <c r="N86" s="15"/>
      <c r="O86" s="15"/>
      <c r="P86" s="15"/>
      <c r="Q86" s="15"/>
      <c r="R86" s="15"/>
      <c r="S86" s="15"/>
      <c r="T86" s="15"/>
      <c r="U86" s="15"/>
      <c r="V86" s="2290"/>
      <c r="W86" s="2290"/>
      <c r="X86" s="2290"/>
      <c r="Y86" s="2290"/>
      <c r="Z86" s="2290"/>
      <c r="AA86" s="2290"/>
      <c r="AB86" s="2290"/>
      <c r="AC86" s="2290"/>
      <c r="AD86" s="2290"/>
      <c r="AE86" s="2290"/>
      <c r="AF86" s="2290"/>
      <c r="AG86" s="2290"/>
      <c r="AH86" s="2290"/>
      <c r="AI86" s="2290"/>
      <c r="AJ86" s="2290"/>
      <c r="AK86" s="2290"/>
      <c r="AL86" s="2290"/>
      <c r="AM86" s="2290"/>
      <c r="AN86" s="2290"/>
      <c r="AO86" s="2290"/>
      <c r="AP86" s="2290"/>
      <c r="AQ86" s="2290"/>
      <c r="AR86" s="2290"/>
      <c r="AS86" s="2290"/>
      <c r="AT86" s="2290"/>
      <c r="AU86" s="2290"/>
      <c r="AV86" s="2290"/>
      <c r="AW86" s="2290"/>
      <c r="AX86" s="2290"/>
      <c r="AY86" s="2290"/>
      <c r="AZ86" s="2290"/>
      <c r="BA86" s="2290"/>
      <c r="BB86" s="2290"/>
      <c r="BC86" s="2290"/>
      <c r="BD86" s="2290"/>
      <c r="BE86" s="2290"/>
      <c r="BF86" s="2290"/>
      <c r="BG86" s="2290"/>
      <c r="BH86" s="2290"/>
      <c r="BI86" s="2290"/>
      <c r="BJ86" s="2290"/>
      <c r="BK86" s="2290"/>
      <c r="BL86" s="2290"/>
      <c r="BM86" s="2290"/>
      <c r="BN86" s="2290"/>
      <c r="BO86" s="2290"/>
      <c r="BP86" s="2290"/>
      <c r="BQ86" s="2290"/>
      <c r="BR86" s="2290"/>
      <c r="BS86" s="2290"/>
      <c r="BT86" s="2290"/>
      <c r="BU86" s="2290"/>
      <c r="BV86" s="2290"/>
      <c r="BW86" s="2290"/>
      <c r="BX86" s="2290"/>
      <c r="BY86" s="2290"/>
      <c r="BZ86" s="2290"/>
      <c r="CA86" s="2290"/>
    </row>
    <row r="87" spans="1:79">
      <c r="A87" s="15"/>
      <c r="B87" s="15"/>
      <c r="C87" s="15"/>
      <c r="D87" s="15"/>
      <c r="E87" s="15"/>
      <c r="F87" s="15"/>
      <c r="G87" s="15"/>
      <c r="H87" s="15"/>
      <c r="I87" s="15"/>
      <c r="J87" s="15"/>
      <c r="K87" s="15"/>
      <c r="L87" s="15"/>
      <c r="M87" s="15"/>
      <c r="N87" s="15"/>
      <c r="O87" s="15"/>
      <c r="P87" s="15"/>
      <c r="Q87" s="15"/>
      <c r="R87" s="15"/>
      <c r="S87" s="15"/>
      <c r="T87" s="15"/>
      <c r="U87" s="15"/>
      <c r="V87" s="2290"/>
      <c r="W87" s="2290"/>
      <c r="X87" s="2290"/>
      <c r="Y87" s="2290"/>
      <c r="Z87" s="2290"/>
      <c r="AA87" s="2290"/>
      <c r="AB87" s="2290"/>
      <c r="AC87" s="2290"/>
      <c r="AD87" s="2290"/>
      <c r="AE87" s="2290"/>
      <c r="AF87" s="2290"/>
      <c r="AG87" s="2290"/>
      <c r="AH87" s="2290"/>
      <c r="AI87" s="2290"/>
      <c r="AJ87" s="2290"/>
      <c r="AK87" s="2290"/>
      <c r="AL87" s="2290"/>
      <c r="AM87" s="2290"/>
      <c r="AN87" s="2290"/>
      <c r="AO87" s="2290"/>
      <c r="AP87" s="2290"/>
      <c r="AQ87" s="2290"/>
      <c r="AR87" s="2290"/>
      <c r="AS87" s="2290"/>
      <c r="AT87" s="2290"/>
      <c r="AU87" s="2290"/>
      <c r="AV87" s="2290"/>
      <c r="AW87" s="2290"/>
      <c r="AX87" s="2290"/>
      <c r="AY87" s="2290"/>
      <c r="AZ87" s="2290"/>
      <c r="BA87" s="2290"/>
      <c r="BB87" s="2290"/>
      <c r="BC87" s="2290"/>
      <c r="BD87" s="2290"/>
      <c r="BE87" s="2290"/>
      <c r="BF87" s="2290"/>
      <c r="BG87" s="2290"/>
      <c r="BH87" s="2290"/>
      <c r="BI87" s="2290"/>
      <c r="BJ87" s="2290"/>
      <c r="BK87" s="2290"/>
      <c r="BL87" s="2290"/>
      <c r="BM87" s="2290"/>
      <c r="BN87" s="2290"/>
      <c r="BO87" s="2290"/>
      <c r="BP87" s="2290"/>
      <c r="BQ87" s="2290"/>
      <c r="BR87" s="2290"/>
      <c r="BS87" s="2290"/>
      <c r="BT87" s="2290"/>
      <c r="BU87" s="2290"/>
      <c r="BV87" s="2290"/>
      <c r="BW87" s="2290"/>
      <c r="BX87" s="2290"/>
      <c r="BY87" s="2290"/>
      <c r="BZ87" s="2290"/>
      <c r="CA87" s="2290"/>
    </row>
    <row r="88" spans="1:79">
      <c r="A88" s="15"/>
      <c r="B88" s="15"/>
      <c r="C88" s="15"/>
      <c r="D88" s="15"/>
      <c r="E88" s="15"/>
      <c r="F88" s="15"/>
      <c r="G88" s="15"/>
      <c r="H88" s="15"/>
      <c r="I88" s="15"/>
      <c r="J88" s="15"/>
      <c r="K88" s="15"/>
      <c r="L88" s="15"/>
      <c r="M88" s="15"/>
      <c r="N88" s="15"/>
      <c r="O88" s="15"/>
      <c r="P88" s="15"/>
      <c r="Q88" s="15"/>
      <c r="R88" s="15"/>
      <c r="S88" s="15"/>
      <c r="T88" s="15"/>
      <c r="U88" s="15"/>
      <c r="V88" s="2290"/>
      <c r="W88" s="2290"/>
      <c r="X88" s="2290"/>
      <c r="Y88" s="2290"/>
      <c r="Z88" s="2290"/>
      <c r="AA88" s="2290"/>
      <c r="AB88" s="2290"/>
      <c r="AC88" s="2290"/>
      <c r="AD88" s="2290"/>
      <c r="AE88" s="2290"/>
      <c r="AF88" s="2290"/>
      <c r="AG88" s="2290"/>
      <c r="AH88" s="2290"/>
      <c r="AI88" s="2290"/>
      <c r="AJ88" s="2290"/>
      <c r="AK88" s="2290"/>
      <c r="AL88" s="2290"/>
      <c r="AM88" s="2290"/>
      <c r="AN88" s="2290"/>
      <c r="AO88" s="2290"/>
      <c r="AP88" s="2290"/>
      <c r="AQ88" s="2290"/>
      <c r="AR88" s="2290"/>
      <c r="AS88" s="2290"/>
      <c r="AT88" s="2290"/>
      <c r="AU88" s="2290"/>
      <c r="AV88" s="2290"/>
      <c r="AW88" s="2290"/>
      <c r="AX88" s="2290"/>
      <c r="AY88" s="2290"/>
      <c r="AZ88" s="2290"/>
      <c r="BA88" s="2290"/>
      <c r="BB88" s="2290"/>
      <c r="BC88" s="2290"/>
      <c r="BD88" s="2290"/>
      <c r="BE88" s="2290"/>
      <c r="BF88" s="2290"/>
      <c r="BG88" s="2290"/>
      <c r="BH88" s="2290"/>
      <c r="BI88" s="2290"/>
      <c r="BJ88" s="2290"/>
      <c r="BK88" s="2290"/>
      <c r="BL88" s="2290"/>
      <c r="BM88" s="2290"/>
      <c r="BN88" s="2290"/>
      <c r="BO88" s="2290"/>
      <c r="BP88" s="2290"/>
      <c r="BQ88" s="2290"/>
      <c r="BR88" s="2290"/>
      <c r="BS88" s="2290"/>
      <c r="BT88" s="2290"/>
      <c r="BU88" s="2290"/>
      <c r="BV88" s="2290"/>
      <c r="BW88" s="2290"/>
      <c r="BX88" s="2290"/>
      <c r="BY88" s="2290"/>
      <c r="BZ88" s="2290"/>
      <c r="CA88" s="2290"/>
    </row>
    <row r="89" spans="1:79">
      <c r="A89" s="15"/>
      <c r="B89" s="15"/>
      <c r="C89" s="15"/>
      <c r="D89" s="15"/>
      <c r="E89" s="15"/>
      <c r="F89" s="15"/>
      <c r="G89" s="15"/>
      <c r="H89" s="15"/>
      <c r="I89" s="15"/>
      <c r="J89" s="15"/>
      <c r="K89" s="15"/>
      <c r="L89" s="15"/>
      <c r="M89" s="15"/>
      <c r="N89" s="15"/>
      <c r="O89" s="15"/>
      <c r="P89" s="15"/>
      <c r="Q89" s="15"/>
      <c r="R89" s="15"/>
      <c r="S89" s="15"/>
      <c r="T89" s="15"/>
      <c r="U89" s="15"/>
      <c r="V89" s="2290"/>
      <c r="W89" s="2290"/>
      <c r="X89" s="2290"/>
      <c r="Y89" s="2290"/>
      <c r="Z89" s="2290"/>
      <c r="AA89" s="2290"/>
      <c r="AB89" s="2290"/>
      <c r="AC89" s="2290"/>
      <c r="AD89" s="2290"/>
      <c r="AE89" s="2290"/>
      <c r="AF89" s="2290"/>
      <c r="AG89" s="2290"/>
      <c r="AH89" s="2290"/>
      <c r="AI89" s="2290"/>
      <c r="AJ89" s="2290"/>
      <c r="AK89" s="2290"/>
      <c r="AL89" s="2290"/>
      <c r="AM89" s="2290"/>
      <c r="AN89" s="2290"/>
      <c r="AO89" s="2290"/>
      <c r="AP89" s="2290"/>
      <c r="AQ89" s="2290"/>
      <c r="AR89" s="2290"/>
      <c r="AS89" s="2290"/>
      <c r="AT89" s="2290"/>
      <c r="AU89" s="2290"/>
      <c r="AV89" s="2290"/>
      <c r="AW89" s="2290"/>
      <c r="AX89" s="2290"/>
      <c r="AY89" s="2290"/>
      <c r="AZ89" s="2290"/>
      <c r="BA89" s="2290"/>
      <c r="BB89" s="2290"/>
      <c r="BC89" s="2290"/>
      <c r="BD89" s="2290"/>
      <c r="BE89" s="2290"/>
      <c r="BF89" s="2290"/>
      <c r="BG89" s="2290"/>
      <c r="BH89" s="2290"/>
      <c r="BI89" s="2290"/>
      <c r="BJ89" s="2290"/>
      <c r="BK89" s="2290"/>
      <c r="BL89" s="2290"/>
      <c r="BM89" s="2290"/>
      <c r="BN89" s="2290"/>
      <c r="BO89" s="2290"/>
      <c r="BP89" s="2290"/>
      <c r="BQ89" s="2290"/>
      <c r="BR89" s="2290"/>
      <c r="BS89" s="2290"/>
      <c r="BT89" s="2290"/>
      <c r="BU89" s="2290"/>
      <c r="BV89" s="2290"/>
      <c r="BW89" s="2290"/>
      <c r="BX89" s="2290"/>
      <c r="BY89" s="2290"/>
      <c r="BZ89" s="2290"/>
      <c r="CA89" s="2290"/>
    </row>
    <row r="90" spans="1:79">
      <c r="A90" s="15"/>
      <c r="B90" s="15"/>
      <c r="C90" s="15"/>
      <c r="D90" s="15"/>
      <c r="E90" s="15"/>
      <c r="F90" s="15"/>
      <c r="G90" s="15"/>
      <c r="H90" s="15"/>
      <c r="I90" s="15"/>
      <c r="J90" s="15"/>
      <c r="K90" s="15"/>
      <c r="L90" s="15"/>
      <c r="M90" s="15"/>
      <c r="N90" s="15"/>
      <c r="O90" s="15"/>
      <c r="P90" s="15"/>
      <c r="Q90" s="15"/>
      <c r="R90" s="15"/>
      <c r="S90" s="15"/>
      <c r="T90" s="15"/>
      <c r="U90" s="15"/>
      <c r="V90" s="2290"/>
      <c r="W90" s="2290"/>
      <c r="X90" s="2290"/>
      <c r="Y90" s="2290"/>
      <c r="Z90" s="2290"/>
      <c r="AA90" s="2290"/>
      <c r="AB90" s="2290"/>
      <c r="AC90" s="2290"/>
      <c r="AD90" s="2290"/>
      <c r="AE90" s="2290"/>
      <c r="AF90" s="2290"/>
      <c r="AG90" s="2290"/>
      <c r="AH90" s="2290"/>
      <c r="AI90" s="2290"/>
      <c r="AJ90" s="2290"/>
      <c r="AK90" s="2290"/>
      <c r="AL90" s="2290"/>
      <c r="AM90" s="2290"/>
      <c r="AN90" s="2290"/>
      <c r="AO90" s="2290"/>
      <c r="AP90" s="2290"/>
      <c r="AQ90" s="2290"/>
      <c r="AR90" s="2290"/>
      <c r="AS90" s="2290"/>
      <c r="AT90" s="2290"/>
      <c r="AU90" s="2290"/>
      <c r="AV90" s="2290"/>
      <c r="AW90" s="2290"/>
      <c r="AX90" s="2290"/>
      <c r="AY90" s="2290"/>
      <c r="AZ90" s="2290"/>
      <c r="BA90" s="2290"/>
      <c r="BB90" s="2290"/>
      <c r="BC90" s="2290"/>
      <c r="BD90" s="2290"/>
      <c r="BE90" s="2290"/>
      <c r="BF90" s="2290"/>
      <c r="BG90" s="2290"/>
      <c r="BH90" s="2290"/>
      <c r="BI90" s="2290"/>
      <c r="BJ90" s="2290"/>
      <c r="BK90" s="2290"/>
      <c r="BL90" s="2290"/>
      <c r="BM90" s="2290"/>
      <c r="BN90" s="2290"/>
      <c r="BO90" s="2290"/>
      <c r="BP90" s="2290"/>
      <c r="BQ90" s="2290"/>
      <c r="BR90" s="2290"/>
      <c r="BS90" s="2290"/>
      <c r="BT90" s="2290"/>
      <c r="BU90" s="2290"/>
      <c r="BV90" s="2290"/>
      <c r="BW90" s="2290"/>
      <c r="BX90" s="2290"/>
      <c r="BY90" s="2290"/>
      <c r="BZ90" s="2290"/>
      <c r="CA90" s="2290"/>
    </row>
    <row r="91" spans="1:79">
      <c r="A91" s="15"/>
      <c r="B91" s="15"/>
      <c r="C91" s="15"/>
      <c r="D91" s="15"/>
      <c r="E91" s="15"/>
      <c r="F91" s="15"/>
      <c r="G91" s="15"/>
      <c r="H91" s="15"/>
      <c r="I91" s="15"/>
      <c r="J91" s="15"/>
      <c r="K91" s="15"/>
      <c r="L91" s="15"/>
      <c r="M91" s="15"/>
      <c r="N91" s="15"/>
      <c r="O91" s="15"/>
      <c r="P91" s="15"/>
      <c r="Q91" s="15"/>
      <c r="R91" s="15"/>
      <c r="S91" s="15"/>
      <c r="T91" s="15"/>
      <c r="U91" s="15"/>
      <c r="V91" s="2290"/>
      <c r="W91" s="2290"/>
      <c r="X91" s="2290"/>
      <c r="Y91" s="2290"/>
      <c r="Z91" s="2290"/>
      <c r="AA91" s="2290"/>
      <c r="AB91" s="2290"/>
      <c r="AC91" s="2290"/>
      <c r="AD91" s="2290"/>
      <c r="AE91" s="2290"/>
      <c r="AF91" s="2290"/>
      <c r="AG91" s="2290"/>
      <c r="AH91" s="2290"/>
      <c r="AI91" s="2290"/>
      <c r="AJ91" s="2290"/>
      <c r="AK91" s="2290"/>
      <c r="AL91" s="2290"/>
      <c r="AM91" s="2290"/>
      <c r="AN91" s="2290"/>
      <c r="AO91" s="2290"/>
      <c r="AP91" s="2290"/>
      <c r="AQ91" s="2290"/>
      <c r="AR91" s="2290"/>
      <c r="AS91" s="2290"/>
      <c r="AT91" s="2290"/>
      <c r="AU91" s="2290"/>
      <c r="AV91" s="2290"/>
      <c r="AW91" s="2290"/>
      <c r="AX91" s="2290"/>
      <c r="AY91" s="2290"/>
      <c r="AZ91" s="2290"/>
      <c r="BA91" s="2290"/>
      <c r="BB91" s="2290"/>
      <c r="BC91" s="2290"/>
      <c r="BD91" s="2290"/>
      <c r="BE91" s="2290"/>
      <c r="BF91" s="2290"/>
      <c r="BG91" s="2290"/>
      <c r="BH91" s="2290"/>
      <c r="BI91" s="2290"/>
      <c r="BJ91" s="2290"/>
      <c r="BK91" s="2290"/>
      <c r="BL91" s="2290"/>
      <c r="BM91" s="2290"/>
      <c r="BN91" s="2290"/>
      <c r="BO91" s="2290"/>
      <c r="BP91" s="2290"/>
      <c r="BQ91" s="2290"/>
      <c r="BR91" s="2290"/>
      <c r="BS91" s="2290"/>
      <c r="BT91" s="2290"/>
      <c r="BU91" s="2290"/>
      <c r="BV91" s="2290"/>
      <c r="BW91" s="2290"/>
      <c r="BX91" s="2290"/>
      <c r="BY91" s="2290"/>
      <c r="BZ91" s="2290"/>
      <c r="CA91" s="2290"/>
    </row>
    <row r="92" spans="1:79">
      <c r="A92" s="15"/>
      <c r="B92" s="15"/>
      <c r="C92" s="15"/>
      <c r="D92" s="15"/>
      <c r="E92" s="15"/>
      <c r="F92" s="15"/>
      <c r="G92" s="15"/>
      <c r="H92" s="15"/>
      <c r="I92" s="15"/>
      <c r="J92" s="15"/>
      <c r="K92" s="15"/>
      <c r="L92" s="15"/>
      <c r="M92" s="15"/>
      <c r="N92" s="15"/>
      <c r="O92" s="15"/>
      <c r="P92" s="15"/>
      <c r="Q92" s="15"/>
      <c r="R92" s="15"/>
      <c r="S92" s="15"/>
      <c r="T92" s="15"/>
      <c r="U92" s="15"/>
      <c r="V92" s="2290"/>
      <c r="W92" s="2290"/>
      <c r="X92" s="2290"/>
      <c r="Y92" s="2290"/>
      <c r="Z92" s="2290"/>
      <c r="AA92" s="2290"/>
      <c r="AB92" s="2290"/>
      <c r="AC92" s="2290"/>
      <c r="AD92" s="2290"/>
      <c r="AE92" s="2290"/>
      <c r="AF92" s="2290"/>
      <c r="AG92" s="2290"/>
      <c r="AH92" s="2290"/>
      <c r="AI92" s="2290"/>
      <c r="AJ92" s="2290"/>
      <c r="AK92" s="2290"/>
      <c r="AL92" s="2290"/>
      <c r="AM92" s="2290"/>
      <c r="AN92" s="2290"/>
      <c r="AO92" s="2290"/>
      <c r="AP92" s="2290"/>
      <c r="AQ92" s="2290"/>
      <c r="AR92" s="2290"/>
      <c r="AS92" s="2290"/>
      <c r="AT92" s="2290"/>
      <c r="AU92" s="2290"/>
      <c r="AV92" s="2290"/>
      <c r="AW92" s="2290"/>
      <c r="AX92" s="2290"/>
      <c r="AY92" s="2290"/>
      <c r="AZ92" s="2290"/>
      <c r="BA92" s="2290"/>
      <c r="BB92" s="2290"/>
      <c r="BC92" s="2290"/>
      <c r="BD92" s="2290"/>
      <c r="BE92" s="2290"/>
      <c r="BF92" s="2290"/>
      <c r="BG92" s="2290"/>
      <c r="BH92" s="2290"/>
      <c r="BI92" s="2290"/>
      <c r="BJ92" s="2290"/>
      <c r="BK92" s="2290"/>
      <c r="BL92" s="2290"/>
      <c r="BM92" s="2290"/>
      <c r="BN92" s="2290"/>
      <c r="BO92" s="2290"/>
      <c r="BP92" s="2290"/>
      <c r="BQ92" s="2290"/>
      <c r="BR92" s="2290"/>
      <c r="BS92" s="2290"/>
      <c r="BT92" s="2290"/>
      <c r="BU92" s="2290"/>
      <c r="BV92" s="2290"/>
      <c r="BW92" s="2290"/>
      <c r="BX92" s="2290"/>
      <c r="BY92" s="2290"/>
      <c r="BZ92" s="2290"/>
      <c r="CA92" s="2290"/>
    </row>
    <row r="93" spans="1:79">
      <c r="A93" s="15"/>
      <c r="B93" s="15"/>
      <c r="C93" s="15"/>
      <c r="D93" s="15"/>
      <c r="E93" s="15"/>
      <c r="F93" s="15"/>
      <c r="G93" s="15"/>
      <c r="H93" s="15"/>
      <c r="I93" s="15"/>
      <c r="J93" s="15"/>
      <c r="K93" s="15"/>
      <c r="L93" s="15"/>
      <c r="M93" s="15"/>
      <c r="N93" s="15"/>
      <c r="O93" s="15"/>
      <c r="P93" s="15"/>
      <c r="Q93" s="15"/>
      <c r="R93" s="15"/>
      <c r="S93" s="15"/>
      <c r="T93" s="15"/>
      <c r="U93" s="15"/>
      <c r="V93" s="2290"/>
      <c r="W93" s="2290"/>
      <c r="X93" s="2290"/>
      <c r="Y93" s="2290"/>
      <c r="Z93" s="2290"/>
      <c r="AA93" s="2290"/>
      <c r="AB93" s="2290"/>
      <c r="AC93" s="2290"/>
      <c r="AD93" s="2290"/>
      <c r="AE93" s="2290"/>
      <c r="AF93" s="2290"/>
      <c r="AG93" s="2290"/>
      <c r="AH93" s="2290"/>
      <c r="AI93" s="2290"/>
      <c r="AJ93" s="2290"/>
      <c r="AK93" s="2290"/>
      <c r="AL93" s="2290"/>
      <c r="AM93" s="2290"/>
      <c r="AN93" s="2290"/>
      <c r="AO93" s="2290"/>
      <c r="AP93" s="2290"/>
      <c r="AQ93" s="2290"/>
      <c r="AR93" s="2290"/>
      <c r="AS93" s="2290"/>
      <c r="AT93" s="2290"/>
      <c r="AU93" s="2290"/>
      <c r="AV93" s="2290"/>
      <c r="AW93" s="2290"/>
      <c r="AX93" s="2290"/>
      <c r="AY93" s="2290"/>
      <c r="AZ93" s="2290"/>
      <c r="BA93" s="2290"/>
      <c r="BB93" s="2290"/>
      <c r="BC93" s="2290"/>
      <c r="BD93" s="2290"/>
      <c r="BE93" s="2290"/>
      <c r="BF93" s="2290"/>
      <c r="BG93" s="2290"/>
      <c r="BH93" s="2290"/>
      <c r="BI93" s="2290"/>
      <c r="BJ93" s="2290"/>
      <c r="BK93" s="2290"/>
      <c r="BL93" s="2290"/>
      <c r="BM93" s="2290"/>
      <c r="BN93" s="2290"/>
      <c r="BO93" s="2290"/>
      <c r="BP93" s="2290"/>
      <c r="BQ93" s="2290"/>
      <c r="BR93" s="2290"/>
      <c r="BS93" s="2290"/>
      <c r="BT93" s="2290"/>
      <c r="BU93" s="2290"/>
      <c r="BV93" s="2290"/>
      <c r="BW93" s="2290"/>
      <c r="BX93" s="2290"/>
      <c r="BY93" s="2290"/>
      <c r="BZ93" s="2290"/>
      <c r="CA93" s="2290"/>
    </row>
    <row r="94" spans="1:79">
      <c r="A94" s="15"/>
      <c r="B94" s="15"/>
      <c r="C94" s="15"/>
      <c r="D94" s="15"/>
      <c r="E94" s="15"/>
      <c r="F94" s="15"/>
      <c r="G94" s="15"/>
      <c r="H94" s="15"/>
      <c r="I94" s="15"/>
      <c r="J94" s="15"/>
      <c r="K94" s="15"/>
      <c r="L94" s="15"/>
      <c r="M94" s="15"/>
      <c r="N94" s="15"/>
      <c r="O94" s="15"/>
      <c r="P94" s="15"/>
      <c r="Q94" s="15"/>
      <c r="R94" s="15"/>
      <c r="S94" s="15"/>
      <c r="T94" s="15"/>
      <c r="U94" s="15"/>
      <c r="V94" s="2290"/>
      <c r="W94" s="2290"/>
      <c r="X94" s="2290"/>
      <c r="Y94" s="2290"/>
      <c r="Z94" s="2290"/>
      <c r="AA94" s="2290"/>
      <c r="AB94" s="2290"/>
      <c r="AC94" s="2290"/>
      <c r="AD94" s="2290"/>
      <c r="AE94" s="2290"/>
      <c r="AF94" s="2290"/>
      <c r="AG94" s="2290"/>
      <c r="AH94" s="2290"/>
      <c r="AI94" s="2290"/>
      <c r="AJ94" s="2290"/>
      <c r="AK94" s="2290"/>
      <c r="AL94" s="2290"/>
      <c r="AM94" s="2290"/>
      <c r="AN94" s="2290"/>
      <c r="AO94" s="2290"/>
      <c r="AP94" s="2290"/>
      <c r="AQ94" s="2290"/>
      <c r="AR94" s="2290"/>
      <c r="AS94" s="2290"/>
      <c r="AT94" s="2290"/>
      <c r="AU94" s="2290"/>
      <c r="AV94" s="2290"/>
      <c r="AW94" s="2290"/>
      <c r="AX94" s="2290"/>
      <c r="AY94" s="2290"/>
      <c r="AZ94" s="2290"/>
      <c r="BA94" s="2290"/>
      <c r="BB94" s="2290"/>
      <c r="BC94" s="2290"/>
      <c r="BD94" s="2290"/>
      <c r="BE94" s="2290"/>
      <c r="BF94" s="2290"/>
      <c r="BG94" s="2290"/>
      <c r="BH94" s="2290"/>
      <c r="BI94" s="2290"/>
      <c r="BJ94" s="2290"/>
      <c r="BK94" s="2290"/>
      <c r="BL94" s="2290"/>
      <c r="BM94" s="2290"/>
      <c r="BN94" s="2290"/>
      <c r="BO94" s="2290"/>
      <c r="BP94" s="2290"/>
      <c r="BQ94" s="2290"/>
      <c r="BR94" s="2290"/>
      <c r="BS94" s="2290"/>
      <c r="BT94" s="2290"/>
      <c r="BU94" s="2290"/>
      <c r="BV94" s="2290"/>
      <c r="BW94" s="2290"/>
      <c r="BX94" s="2290"/>
      <c r="BY94" s="2290"/>
      <c r="BZ94" s="2290"/>
      <c r="CA94" s="2290"/>
    </row>
    <row r="95" spans="1:79">
      <c r="A95" s="15"/>
      <c r="B95" s="15"/>
      <c r="C95" s="15"/>
      <c r="D95" s="15"/>
      <c r="E95" s="15"/>
      <c r="F95" s="15"/>
      <c r="G95" s="15"/>
      <c r="H95" s="15"/>
      <c r="I95" s="15"/>
      <c r="J95" s="15"/>
      <c r="K95" s="15"/>
      <c r="L95" s="15"/>
      <c r="M95" s="15"/>
      <c r="N95" s="15"/>
      <c r="O95" s="15"/>
      <c r="P95" s="15"/>
      <c r="Q95" s="15"/>
      <c r="R95" s="15"/>
      <c r="S95" s="15"/>
      <c r="T95" s="15"/>
      <c r="U95" s="15"/>
      <c r="V95" s="2290"/>
      <c r="W95" s="2290"/>
      <c r="X95" s="2290"/>
      <c r="Y95" s="2290"/>
      <c r="Z95" s="2290"/>
      <c r="AA95" s="2290"/>
      <c r="AB95" s="2290"/>
      <c r="AC95" s="2290"/>
      <c r="AD95" s="2290"/>
      <c r="AE95" s="2290"/>
      <c r="AF95" s="2290"/>
      <c r="AG95" s="2290"/>
      <c r="AH95" s="2290"/>
      <c r="AI95" s="2290"/>
      <c r="AJ95" s="2290"/>
      <c r="AK95" s="2290"/>
      <c r="AL95" s="2290"/>
      <c r="AM95" s="2290"/>
      <c r="AN95" s="2290"/>
      <c r="AO95" s="2290"/>
      <c r="AP95" s="2290"/>
      <c r="AQ95" s="2290"/>
      <c r="AR95" s="2290"/>
      <c r="AS95" s="2290"/>
      <c r="AT95" s="2290"/>
      <c r="AU95" s="2290"/>
      <c r="AV95" s="2290"/>
      <c r="AW95" s="2290"/>
      <c r="AX95" s="2290"/>
      <c r="AY95" s="2290"/>
      <c r="AZ95" s="2290"/>
      <c r="BA95" s="2290"/>
      <c r="BB95" s="2290"/>
      <c r="BC95" s="2290"/>
      <c r="BD95" s="2290"/>
      <c r="BE95" s="2290"/>
      <c r="BF95" s="2290"/>
      <c r="BG95" s="2290"/>
      <c r="BH95" s="2290"/>
      <c r="BI95" s="2290"/>
      <c r="BJ95" s="2290"/>
      <c r="BK95" s="2290"/>
      <c r="BL95" s="2290"/>
      <c r="BM95" s="2290"/>
      <c r="BN95" s="2290"/>
      <c r="BO95" s="2290"/>
      <c r="BP95" s="2290"/>
      <c r="BQ95" s="2290"/>
      <c r="BR95" s="2290"/>
      <c r="BS95" s="2290"/>
      <c r="BT95" s="2290"/>
      <c r="BU95" s="2290"/>
      <c r="BV95" s="2290"/>
      <c r="BW95" s="2290"/>
      <c r="BX95" s="2290"/>
      <c r="BY95" s="2290"/>
      <c r="BZ95" s="2290"/>
      <c r="CA95" s="2290"/>
    </row>
    <row r="96" spans="1:79">
      <c r="A96" s="15"/>
      <c r="B96" s="15"/>
      <c r="C96" s="15"/>
      <c r="D96" s="15"/>
      <c r="E96" s="15"/>
      <c r="F96" s="15"/>
      <c r="G96" s="15"/>
      <c r="H96" s="15"/>
      <c r="I96" s="15"/>
      <c r="J96" s="15"/>
      <c r="K96" s="15"/>
      <c r="L96" s="15"/>
      <c r="M96" s="15"/>
      <c r="N96" s="15"/>
      <c r="O96" s="15"/>
      <c r="P96" s="15"/>
      <c r="Q96" s="15"/>
      <c r="R96" s="15"/>
      <c r="S96" s="15"/>
      <c r="T96" s="15"/>
      <c r="U96" s="15"/>
      <c r="V96" s="2290"/>
      <c r="W96" s="2290"/>
      <c r="X96" s="2290"/>
      <c r="Y96" s="2290"/>
      <c r="Z96" s="2290"/>
      <c r="AA96" s="2290"/>
      <c r="AB96" s="2290"/>
      <c r="AC96" s="2290"/>
      <c r="AD96" s="2290"/>
      <c r="AE96" s="2290"/>
      <c r="AF96" s="2290"/>
      <c r="AG96" s="2290"/>
      <c r="AH96" s="2290"/>
      <c r="AI96" s="2290"/>
      <c r="AJ96" s="2290"/>
      <c r="AK96" s="2290"/>
      <c r="AL96" s="2290"/>
      <c r="AM96" s="2290"/>
      <c r="AN96" s="2290"/>
      <c r="AO96" s="2290"/>
      <c r="AP96" s="2290"/>
      <c r="AQ96" s="2290"/>
      <c r="AR96" s="2290"/>
      <c r="AS96" s="2290"/>
      <c r="AT96" s="2290"/>
      <c r="AU96" s="2290"/>
      <c r="AV96" s="2290"/>
      <c r="AW96" s="2290"/>
      <c r="AX96" s="2290"/>
      <c r="AY96" s="2290"/>
      <c r="AZ96" s="2290"/>
      <c r="BA96" s="2290"/>
      <c r="BB96" s="2290"/>
      <c r="BC96" s="2290"/>
      <c r="BD96" s="2290"/>
      <c r="BE96" s="2290"/>
      <c r="BF96" s="2290"/>
      <c r="BG96" s="2290"/>
      <c r="BH96" s="2290"/>
      <c r="BI96" s="2290"/>
      <c r="BJ96" s="2290"/>
      <c r="BK96" s="2290"/>
      <c r="BL96" s="2290"/>
      <c r="BM96" s="2290"/>
      <c r="BN96" s="2290"/>
      <c r="BO96" s="2290"/>
      <c r="BP96" s="2290"/>
      <c r="BQ96" s="2290"/>
      <c r="BR96" s="2290"/>
      <c r="BS96" s="2290"/>
      <c r="BT96" s="2290"/>
      <c r="BU96" s="2290"/>
      <c r="BV96" s="2290"/>
      <c r="BW96" s="2290"/>
      <c r="BX96" s="2290"/>
      <c r="BY96" s="2290"/>
      <c r="BZ96" s="2290"/>
      <c r="CA96" s="2290"/>
    </row>
    <row r="97" spans="1:79">
      <c r="A97" s="15"/>
      <c r="B97" s="15"/>
      <c r="C97" s="15"/>
      <c r="D97" s="15"/>
      <c r="E97" s="15"/>
      <c r="F97" s="15"/>
      <c r="G97" s="15"/>
      <c r="H97" s="15"/>
      <c r="I97" s="15"/>
      <c r="J97" s="15"/>
      <c r="K97" s="15"/>
      <c r="L97" s="15"/>
      <c r="M97" s="15"/>
      <c r="N97" s="15"/>
      <c r="O97" s="15"/>
      <c r="P97" s="15"/>
      <c r="Q97" s="15"/>
      <c r="R97" s="15"/>
      <c r="S97" s="15"/>
      <c r="T97" s="15"/>
      <c r="U97" s="15"/>
      <c r="V97" s="2290"/>
      <c r="W97" s="2290"/>
      <c r="X97" s="2290"/>
      <c r="Y97" s="2290"/>
      <c r="Z97" s="2290"/>
      <c r="AA97" s="2290"/>
      <c r="AB97" s="2290"/>
      <c r="AC97" s="2290"/>
      <c r="AD97" s="2290"/>
      <c r="AE97" s="2290"/>
      <c r="AF97" s="2290"/>
      <c r="AG97" s="2290"/>
      <c r="AH97" s="2290"/>
      <c r="AI97" s="2290"/>
      <c r="AJ97" s="2290"/>
      <c r="AK97" s="2290"/>
      <c r="AL97" s="2290"/>
      <c r="AM97" s="2290"/>
      <c r="AN97" s="2290"/>
      <c r="AO97" s="2290"/>
      <c r="AP97" s="2290"/>
      <c r="AQ97" s="2290"/>
      <c r="AR97" s="2290"/>
      <c r="AS97" s="2290"/>
      <c r="AT97" s="2290"/>
      <c r="AU97" s="2290"/>
      <c r="AV97" s="2290"/>
      <c r="AW97" s="2290"/>
      <c r="AX97" s="2290"/>
      <c r="AY97" s="2290"/>
      <c r="AZ97" s="2290"/>
      <c r="BA97" s="2290"/>
      <c r="BB97" s="2290"/>
      <c r="BC97" s="2290"/>
      <c r="BD97" s="2290"/>
      <c r="BE97" s="2290"/>
      <c r="BF97" s="2290"/>
      <c r="BG97" s="2290"/>
      <c r="BH97" s="2290"/>
      <c r="BI97" s="2290"/>
      <c r="BJ97" s="2290"/>
      <c r="BK97" s="2290"/>
      <c r="BL97" s="2290"/>
      <c r="BM97" s="2290"/>
      <c r="BN97" s="2290"/>
      <c r="BO97" s="2290"/>
      <c r="BP97" s="2290"/>
      <c r="BQ97" s="2290"/>
      <c r="BR97" s="2290"/>
      <c r="BS97" s="2290"/>
      <c r="BT97" s="2290"/>
      <c r="BU97" s="2290"/>
      <c r="BV97" s="2290"/>
      <c r="BW97" s="2290"/>
      <c r="BX97" s="2290"/>
      <c r="BY97" s="2290"/>
      <c r="BZ97" s="2290"/>
      <c r="CA97" s="2290"/>
    </row>
    <row r="98" spans="1:79">
      <c r="A98" s="15"/>
      <c r="B98" s="15"/>
      <c r="C98" s="15"/>
      <c r="D98" s="15"/>
      <c r="E98" s="15"/>
      <c r="F98" s="15"/>
      <c r="G98" s="15"/>
      <c r="H98" s="15"/>
      <c r="I98" s="15"/>
      <c r="J98" s="15"/>
      <c r="K98" s="15"/>
      <c r="L98" s="15"/>
      <c r="M98" s="15"/>
      <c r="N98" s="15"/>
      <c r="O98" s="15"/>
      <c r="P98" s="15"/>
      <c r="Q98" s="15"/>
      <c r="R98" s="15"/>
      <c r="S98" s="15"/>
      <c r="T98" s="15"/>
      <c r="U98" s="15"/>
      <c r="V98" s="2290"/>
      <c r="W98" s="2290"/>
      <c r="X98" s="2290"/>
      <c r="Y98" s="2290"/>
      <c r="Z98" s="2290"/>
      <c r="AA98" s="2290"/>
      <c r="AB98" s="2290"/>
      <c r="AC98" s="2290"/>
      <c r="AD98" s="2290"/>
      <c r="AE98" s="2290"/>
      <c r="AF98" s="2290"/>
      <c r="AG98" s="2290"/>
      <c r="AH98" s="2290"/>
      <c r="AI98" s="2290"/>
      <c r="AJ98" s="2290"/>
      <c r="AK98" s="2290"/>
      <c r="AL98" s="2290"/>
      <c r="AM98" s="2290"/>
      <c r="AN98" s="2290"/>
      <c r="AO98" s="2290"/>
      <c r="AP98" s="2290"/>
      <c r="AQ98" s="2290"/>
      <c r="AR98" s="2290"/>
      <c r="AS98" s="2290"/>
      <c r="AT98" s="2290"/>
      <c r="AU98" s="2290"/>
      <c r="AV98" s="2290"/>
      <c r="AW98" s="2290"/>
      <c r="AX98" s="2290"/>
      <c r="AY98" s="2290"/>
      <c r="AZ98" s="2290"/>
      <c r="BA98" s="2290"/>
      <c r="BB98" s="2290"/>
      <c r="BC98" s="2290"/>
      <c r="BD98" s="2290"/>
      <c r="BE98" s="2290"/>
      <c r="BF98" s="2290"/>
      <c r="BG98" s="2290"/>
      <c r="BH98" s="2290"/>
      <c r="BI98" s="2290"/>
      <c r="BJ98" s="2290"/>
      <c r="BK98" s="2290"/>
      <c r="BL98" s="2290"/>
      <c r="BM98" s="2290"/>
      <c r="BN98" s="2290"/>
      <c r="BO98" s="2290"/>
      <c r="BP98" s="2290"/>
      <c r="BQ98" s="2290"/>
      <c r="BR98" s="2290"/>
      <c r="BS98" s="2290"/>
      <c r="BT98" s="2290"/>
      <c r="BU98" s="2290"/>
      <c r="BV98" s="2290"/>
      <c r="BW98" s="2290"/>
      <c r="BX98" s="2290"/>
      <c r="BY98" s="2290"/>
      <c r="BZ98" s="2290"/>
      <c r="CA98" s="2290"/>
    </row>
    <row r="99" spans="1:79">
      <c r="A99" s="15"/>
      <c r="B99" s="15"/>
      <c r="C99" s="15"/>
      <c r="D99" s="15"/>
      <c r="E99" s="15"/>
      <c r="F99" s="15"/>
      <c r="G99" s="15"/>
      <c r="H99" s="15"/>
      <c r="I99" s="15"/>
      <c r="J99" s="15"/>
      <c r="K99" s="15"/>
      <c r="L99" s="15"/>
      <c r="M99" s="15"/>
      <c r="N99" s="15"/>
      <c r="O99" s="15"/>
      <c r="P99" s="15"/>
      <c r="Q99" s="15"/>
      <c r="R99" s="15"/>
      <c r="S99" s="15"/>
      <c r="T99" s="15"/>
      <c r="U99" s="15"/>
      <c r="V99" s="2290"/>
      <c r="W99" s="2290"/>
      <c r="X99" s="2290"/>
      <c r="Y99" s="2290"/>
      <c r="Z99" s="2290"/>
      <c r="AA99" s="2290"/>
      <c r="AB99" s="2290"/>
      <c r="AC99" s="2290"/>
      <c r="AD99" s="2290"/>
      <c r="AE99" s="2290"/>
      <c r="AF99" s="2290"/>
      <c r="AG99" s="2290"/>
      <c r="AH99" s="2290"/>
      <c r="AI99" s="2290"/>
      <c r="AJ99" s="2290"/>
      <c r="AK99" s="2290"/>
      <c r="AL99" s="2290"/>
      <c r="AM99" s="2290"/>
      <c r="AN99" s="2290"/>
      <c r="AO99" s="2290"/>
      <c r="AP99" s="2290"/>
      <c r="AQ99" s="2290"/>
      <c r="AR99" s="2290"/>
      <c r="AS99" s="2290"/>
      <c r="AT99" s="2290"/>
      <c r="AU99" s="2290"/>
      <c r="AV99" s="2290"/>
      <c r="AW99" s="2290"/>
      <c r="AX99" s="2290"/>
      <c r="AY99" s="2290"/>
      <c r="AZ99" s="2290"/>
      <c r="BA99" s="2290"/>
      <c r="BB99" s="2290"/>
      <c r="BC99" s="2290"/>
      <c r="BD99" s="2290"/>
      <c r="BE99" s="2290"/>
      <c r="BF99" s="2290"/>
      <c r="BG99" s="2290"/>
      <c r="BH99" s="2290"/>
      <c r="BI99" s="2290"/>
      <c r="BJ99" s="2290"/>
      <c r="BK99" s="2290"/>
      <c r="BL99" s="2290"/>
      <c r="BM99" s="2290"/>
      <c r="BN99" s="2290"/>
      <c r="BO99" s="2290"/>
      <c r="BP99" s="2290"/>
      <c r="BQ99" s="2290"/>
      <c r="BR99" s="2290"/>
      <c r="BS99" s="2290"/>
      <c r="BT99" s="2290"/>
      <c r="BU99" s="2290"/>
      <c r="BV99" s="2290"/>
      <c r="BW99" s="2290"/>
      <c r="BX99" s="2290"/>
      <c r="BY99" s="2290"/>
      <c r="BZ99" s="2290"/>
      <c r="CA99" s="2290"/>
    </row>
    <row r="100" spans="1:79">
      <c r="A100" s="15"/>
      <c r="B100" s="15"/>
      <c r="C100" s="15"/>
      <c r="D100" s="15"/>
      <c r="E100" s="15"/>
      <c r="F100" s="15"/>
      <c r="G100" s="15"/>
      <c r="H100" s="15"/>
      <c r="I100" s="15"/>
      <c r="J100" s="15"/>
      <c r="K100" s="15"/>
      <c r="L100" s="15"/>
      <c r="M100" s="15"/>
      <c r="N100" s="15"/>
      <c r="O100" s="15"/>
      <c r="P100" s="15"/>
      <c r="Q100" s="15"/>
      <c r="R100" s="15"/>
      <c r="S100" s="15"/>
      <c r="T100" s="15"/>
      <c r="U100" s="15"/>
      <c r="V100" s="2290"/>
      <c r="W100" s="2290"/>
      <c r="X100" s="2290"/>
      <c r="Y100" s="2290"/>
      <c r="Z100" s="2290"/>
      <c r="AA100" s="2290"/>
      <c r="AB100" s="2290"/>
      <c r="AC100" s="2290"/>
      <c r="AD100" s="2290"/>
      <c r="AE100" s="2290"/>
      <c r="AF100" s="2290"/>
      <c r="AG100" s="2290"/>
      <c r="AH100" s="2290"/>
      <c r="AI100" s="2290"/>
      <c r="AJ100" s="2290"/>
      <c r="AK100" s="2290"/>
      <c r="AL100" s="2290"/>
      <c r="AM100" s="2290"/>
      <c r="AN100" s="2290"/>
      <c r="AO100" s="2290"/>
      <c r="AP100" s="2290"/>
      <c r="AQ100" s="2290"/>
      <c r="AR100" s="2290"/>
      <c r="AS100" s="2290"/>
      <c r="AT100" s="2290"/>
      <c r="AU100" s="2290"/>
      <c r="AV100" s="2290"/>
      <c r="AW100" s="2290"/>
      <c r="AX100" s="2290"/>
      <c r="AY100" s="2290"/>
      <c r="AZ100" s="2290"/>
      <c r="BA100" s="2290"/>
      <c r="BB100" s="2290"/>
      <c r="BC100" s="2290"/>
      <c r="BD100" s="2290"/>
      <c r="BE100" s="2290"/>
      <c r="BF100" s="2290"/>
      <c r="BG100" s="2290"/>
      <c r="BH100" s="2290"/>
      <c r="BI100" s="2290"/>
      <c r="BJ100" s="2290"/>
      <c r="BK100" s="2290"/>
      <c r="BL100" s="2290"/>
      <c r="BM100" s="2290"/>
      <c r="BN100" s="2290"/>
      <c r="BO100" s="2290"/>
      <c r="BP100" s="2290"/>
      <c r="BQ100" s="2290"/>
      <c r="BR100" s="2290"/>
      <c r="BS100" s="2290"/>
      <c r="BT100" s="2290"/>
      <c r="BU100" s="2290"/>
      <c r="BV100" s="2290"/>
      <c r="BW100" s="2290"/>
      <c r="BX100" s="2290"/>
      <c r="BY100" s="2290"/>
      <c r="BZ100" s="2290"/>
      <c r="CA100" s="2290"/>
    </row>
    <row r="101" spans="1:79">
      <c r="A101" s="15"/>
      <c r="B101" s="15"/>
      <c r="C101" s="15"/>
      <c r="D101" s="15"/>
      <c r="E101" s="15"/>
      <c r="F101" s="15"/>
      <c r="G101" s="15"/>
      <c r="H101" s="15"/>
      <c r="I101" s="15"/>
      <c r="J101" s="15"/>
      <c r="K101" s="15"/>
      <c r="L101" s="15"/>
      <c r="M101" s="15"/>
      <c r="N101" s="15"/>
      <c r="O101" s="15"/>
      <c r="P101" s="15"/>
      <c r="Q101" s="15"/>
      <c r="R101" s="15"/>
      <c r="S101" s="15"/>
      <c r="T101" s="15"/>
      <c r="U101" s="15"/>
      <c r="V101" s="2290"/>
      <c r="W101" s="2290"/>
      <c r="X101" s="2290"/>
      <c r="Y101" s="2290"/>
      <c r="Z101" s="2290"/>
      <c r="AA101" s="2290"/>
      <c r="AB101" s="2290"/>
      <c r="AC101" s="2290"/>
      <c r="AD101" s="2290"/>
      <c r="AE101" s="2290"/>
      <c r="AF101" s="2290"/>
      <c r="AG101" s="2290"/>
      <c r="AH101" s="2290"/>
      <c r="AI101" s="2290"/>
      <c r="AJ101" s="2290"/>
      <c r="AK101" s="2290"/>
      <c r="AL101" s="2290"/>
      <c r="AM101" s="2290"/>
      <c r="AN101" s="2290"/>
      <c r="AO101" s="2290"/>
      <c r="AP101" s="2290"/>
      <c r="AQ101" s="2290"/>
      <c r="AR101" s="2290"/>
      <c r="AS101" s="2290"/>
      <c r="AT101" s="2290"/>
      <c r="AU101" s="2290"/>
      <c r="AV101" s="2290"/>
      <c r="AW101" s="2290"/>
      <c r="AX101" s="2290"/>
      <c r="AY101" s="2290"/>
      <c r="AZ101" s="2290"/>
      <c r="BA101" s="2290"/>
      <c r="BB101" s="2290"/>
      <c r="BC101" s="2290"/>
      <c r="BD101" s="2290"/>
      <c r="BE101" s="2290"/>
      <c r="BF101" s="2290"/>
      <c r="BG101" s="2290"/>
      <c r="BH101" s="2290"/>
      <c r="BI101" s="2290"/>
      <c r="BJ101" s="2290"/>
      <c r="BK101" s="2290"/>
      <c r="BL101" s="2290"/>
      <c r="BM101" s="2290"/>
      <c r="BN101" s="2290"/>
      <c r="BO101" s="2290"/>
      <c r="BP101" s="2290"/>
      <c r="BQ101" s="2290"/>
      <c r="BR101" s="2290"/>
      <c r="BS101" s="2290"/>
      <c r="BT101" s="2290"/>
      <c r="BU101" s="2290"/>
      <c r="BV101" s="2290"/>
      <c r="BW101" s="2290"/>
      <c r="BX101" s="2290"/>
      <c r="BY101" s="2290"/>
      <c r="BZ101" s="2290"/>
      <c r="CA101" s="2290"/>
    </row>
    <row r="102" spans="1:79">
      <c r="A102" s="15"/>
      <c r="B102" s="15"/>
      <c r="C102" s="15"/>
      <c r="D102" s="15"/>
      <c r="E102" s="15"/>
      <c r="F102" s="15"/>
      <c r="G102" s="15"/>
      <c r="H102" s="15"/>
      <c r="I102" s="15"/>
      <c r="J102" s="15"/>
      <c r="K102" s="15"/>
      <c r="L102" s="15"/>
      <c r="M102" s="15"/>
      <c r="N102" s="15"/>
      <c r="O102" s="15"/>
      <c r="P102" s="15"/>
      <c r="Q102" s="15"/>
      <c r="R102" s="15"/>
      <c r="S102" s="15"/>
      <c r="T102" s="15"/>
      <c r="U102" s="15"/>
      <c r="V102" s="2290"/>
      <c r="W102" s="2290"/>
      <c r="X102" s="2290"/>
      <c r="Y102" s="2290"/>
      <c r="Z102" s="2290"/>
      <c r="AA102" s="2290"/>
      <c r="AB102" s="2290"/>
      <c r="AC102" s="2290"/>
      <c r="AD102" s="2290"/>
      <c r="AE102" s="2290"/>
      <c r="AF102" s="2290"/>
      <c r="AG102" s="2290"/>
      <c r="AH102" s="2290"/>
      <c r="AI102" s="2290"/>
      <c r="AJ102" s="2290"/>
      <c r="AK102" s="2290"/>
      <c r="AL102" s="2290"/>
      <c r="AM102" s="2290"/>
      <c r="AN102" s="2290"/>
      <c r="AO102" s="2290"/>
      <c r="AP102" s="2290"/>
      <c r="AQ102" s="2290"/>
      <c r="AR102" s="2290"/>
      <c r="AS102" s="2290"/>
      <c r="AT102" s="2290"/>
      <c r="AU102" s="2290"/>
      <c r="AV102" s="2290"/>
      <c r="AW102" s="2290"/>
      <c r="AX102" s="2290"/>
      <c r="AY102" s="2290"/>
      <c r="AZ102" s="2290"/>
      <c r="BA102" s="2290"/>
      <c r="BB102" s="2290"/>
      <c r="BC102" s="2290"/>
      <c r="BD102" s="2290"/>
      <c r="BE102" s="2290"/>
      <c r="BF102" s="2290"/>
      <c r="BG102" s="2290"/>
      <c r="BH102" s="2290"/>
      <c r="BI102" s="2290"/>
      <c r="BJ102" s="2290"/>
      <c r="BK102" s="2290"/>
      <c r="BL102" s="2290"/>
      <c r="BM102" s="2290"/>
      <c r="BN102" s="2290"/>
      <c r="BO102" s="2290"/>
      <c r="BP102" s="2290"/>
      <c r="BQ102" s="2290"/>
      <c r="BR102" s="2290"/>
      <c r="BS102" s="2290"/>
      <c r="BT102" s="2290"/>
      <c r="BU102" s="2290"/>
      <c r="BV102" s="2290"/>
      <c r="BW102" s="2290"/>
      <c r="BX102" s="2290"/>
      <c r="BY102" s="2290"/>
      <c r="BZ102" s="2290"/>
      <c r="CA102" s="2290"/>
    </row>
    <row r="103" spans="1:79">
      <c r="A103" s="15"/>
      <c r="B103" s="15"/>
      <c r="C103" s="15"/>
      <c r="D103" s="15"/>
      <c r="E103" s="15"/>
      <c r="F103" s="15"/>
      <c r="G103" s="15"/>
      <c r="H103" s="15"/>
      <c r="I103" s="15"/>
      <c r="J103" s="15"/>
      <c r="K103" s="15"/>
      <c r="L103" s="15"/>
      <c r="M103" s="15"/>
      <c r="N103" s="15"/>
      <c r="O103" s="15"/>
      <c r="P103" s="15"/>
      <c r="Q103" s="15"/>
      <c r="R103" s="15"/>
      <c r="S103" s="15"/>
      <c r="T103" s="15"/>
      <c r="U103" s="15"/>
      <c r="V103" s="2290"/>
      <c r="W103" s="2290"/>
      <c r="X103" s="2290"/>
      <c r="Y103" s="2290"/>
      <c r="Z103" s="2290"/>
      <c r="AA103" s="2290"/>
      <c r="AB103" s="2290"/>
      <c r="AC103" s="2290"/>
      <c r="AD103" s="2290"/>
      <c r="AE103" s="2290"/>
      <c r="AF103" s="2290"/>
      <c r="AG103" s="2290"/>
      <c r="AH103" s="2290"/>
      <c r="AI103" s="2290"/>
      <c r="AJ103" s="2290"/>
      <c r="AK103" s="2290"/>
      <c r="AL103" s="2290"/>
      <c r="AM103" s="2290"/>
      <c r="AN103" s="2290"/>
      <c r="AO103" s="2290"/>
      <c r="AP103" s="2290"/>
      <c r="AQ103" s="2290"/>
      <c r="AR103" s="2290"/>
      <c r="AS103" s="2290"/>
      <c r="AT103" s="2290"/>
      <c r="AU103" s="2290"/>
      <c r="AV103" s="2290"/>
      <c r="AW103" s="2290"/>
      <c r="AX103" s="2290"/>
      <c r="AY103" s="2290"/>
      <c r="AZ103" s="2290"/>
      <c r="BA103" s="2290"/>
      <c r="BB103" s="2290"/>
      <c r="BC103" s="2290"/>
      <c r="BD103" s="2290"/>
      <c r="BE103" s="2290"/>
      <c r="BF103" s="2290"/>
      <c r="BG103" s="2290"/>
      <c r="BH103" s="2290"/>
      <c r="BI103" s="2290"/>
      <c r="BJ103" s="2290"/>
      <c r="BK103" s="2290"/>
      <c r="BL103" s="2290"/>
      <c r="BM103" s="2290"/>
      <c r="BN103" s="2290"/>
      <c r="BO103" s="2290"/>
      <c r="BP103" s="2290"/>
      <c r="BQ103" s="2290"/>
      <c r="BR103" s="2290"/>
      <c r="BS103" s="2290"/>
      <c r="BT103" s="2290"/>
      <c r="BU103" s="2290"/>
      <c r="BV103" s="2290"/>
      <c r="BW103" s="2290"/>
      <c r="BX103" s="2290"/>
      <c r="BY103" s="2290"/>
      <c r="BZ103" s="2290"/>
      <c r="CA103" s="2290"/>
    </row>
    <row r="104" spans="1:79">
      <c r="A104" s="15"/>
      <c r="B104" s="15"/>
      <c r="C104" s="15"/>
      <c r="D104" s="15"/>
      <c r="E104" s="15"/>
      <c r="F104" s="15"/>
      <c r="G104" s="15"/>
      <c r="H104" s="15"/>
      <c r="I104" s="15"/>
      <c r="J104" s="15"/>
      <c r="K104" s="15"/>
      <c r="L104" s="15"/>
      <c r="M104" s="15"/>
      <c r="N104" s="15"/>
      <c r="O104" s="15"/>
      <c r="P104" s="15"/>
      <c r="Q104" s="15"/>
      <c r="R104" s="15"/>
      <c r="S104" s="15"/>
      <c r="T104" s="15"/>
      <c r="U104" s="15"/>
      <c r="V104" s="2290"/>
      <c r="W104" s="2290"/>
      <c r="X104" s="2290"/>
      <c r="Y104" s="2290"/>
      <c r="Z104" s="2290"/>
      <c r="AA104" s="2290"/>
      <c r="AB104" s="2290"/>
      <c r="AC104" s="2290"/>
      <c r="AD104" s="2290"/>
      <c r="AE104" s="2290"/>
      <c r="AF104" s="2290"/>
      <c r="AG104" s="2290"/>
      <c r="AH104" s="2290"/>
      <c r="AI104" s="2290"/>
      <c r="AJ104" s="2290"/>
      <c r="AK104" s="2290"/>
      <c r="AL104" s="2290"/>
      <c r="AM104" s="2290"/>
      <c r="AN104" s="2290"/>
      <c r="AO104" s="2290"/>
      <c r="AP104" s="2290"/>
      <c r="AQ104" s="2290"/>
      <c r="AR104" s="2290"/>
      <c r="AS104" s="2290"/>
      <c r="AT104" s="2290"/>
      <c r="AU104" s="2290"/>
      <c r="AV104" s="2290"/>
      <c r="AW104" s="2290"/>
      <c r="AX104" s="2290"/>
      <c r="AY104" s="2290"/>
      <c r="AZ104" s="2290"/>
      <c r="BA104" s="2290"/>
      <c r="BB104" s="2290"/>
      <c r="BC104" s="2290"/>
      <c r="BD104" s="2290"/>
      <c r="BE104" s="2290"/>
      <c r="BF104" s="2290"/>
      <c r="BG104" s="2290"/>
      <c r="BH104" s="2290"/>
      <c r="BI104" s="2290"/>
      <c r="BJ104" s="2290"/>
      <c r="BK104" s="2290"/>
      <c r="BL104" s="2290"/>
      <c r="BM104" s="2290"/>
      <c r="BN104" s="2290"/>
      <c r="BO104" s="2290"/>
      <c r="BP104" s="2290"/>
      <c r="BQ104" s="2290"/>
      <c r="BR104" s="2290"/>
      <c r="BS104" s="2290"/>
      <c r="BT104" s="2290"/>
      <c r="BU104" s="2290"/>
      <c r="BV104" s="2290"/>
      <c r="BW104" s="2290"/>
      <c r="BX104" s="2290"/>
      <c r="BY104" s="2290"/>
      <c r="BZ104" s="2290"/>
      <c r="CA104" s="2290"/>
    </row>
    <row r="105" spans="1:79">
      <c r="A105" s="15"/>
      <c r="B105" s="15"/>
      <c r="C105" s="15"/>
      <c r="D105" s="15"/>
      <c r="E105" s="15"/>
      <c r="F105" s="15"/>
      <c r="G105" s="15"/>
      <c r="H105" s="15"/>
      <c r="I105" s="15"/>
      <c r="J105" s="15"/>
      <c r="K105" s="15"/>
      <c r="L105" s="15"/>
      <c r="M105" s="15"/>
      <c r="N105" s="15"/>
      <c r="O105" s="15"/>
      <c r="P105" s="15"/>
      <c r="Q105" s="15"/>
      <c r="R105" s="15"/>
      <c r="S105" s="15"/>
      <c r="T105" s="15"/>
      <c r="U105" s="15"/>
      <c r="V105" s="2290"/>
      <c r="W105" s="2290"/>
      <c r="X105" s="2290"/>
      <c r="Y105" s="2290"/>
      <c r="Z105" s="2290"/>
      <c r="AA105" s="2290"/>
      <c r="AB105" s="2290"/>
      <c r="AC105" s="2290"/>
      <c r="AD105" s="2290"/>
      <c r="AE105" s="2290"/>
      <c r="AF105" s="2290"/>
      <c r="AG105" s="2290"/>
      <c r="AH105" s="2290"/>
      <c r="AI105" s="2290"/>
      <c r="AJ105" s="2290"/>
      <c r="AK105" s="2290"/>
      <c r="AL105" s="2290"/>
      <c r="AM105" s="2290"/>
      <c r="AN105" s="2290"/>
      <c r="AO105" s="2290"/>
      <c r="AP105" s="2290"/>
      <c r="AQ105" s="2290"/>
      <c r="AR105" s="2290"/>
      <c r="AS105" s="2290"/>
      <c r="AT105" s="2290"/>
      <c r="AU105" s="2290"/>
      <c r="AV105" s="2290"/>
      <c r="AW105" s="2290"/>
      <c r="AX105" s="2290"/>
      <c r="AY105" s="2290"/>
      <c r="AZ105" s="2290"/>
      <c r="BA105" s="2290"/>
      <c r="BB105" s="2290"/>
      <c r="BC105" s="2290"/>
      <c r="BD105" s="2290"/>
      <c r="BE105" s="2290"/>
      <c r="BF105" s="2290"/>
      <c r="BG105" s="2290"/>
      <c r="BH105" s="2290"/>
      <c r="BI105" s="2290"/>
      <c r="BJ105" s="2290"/>
      <c r="BK105" s="2290"/>
      <c r="BL105" s="2290"/>
      <c r="BM105" s="2290"/>
      <c r="BN105" s="2290"/>
      <c r="BO105" s="2290"/>
      <c r="BP105" s="2290"/>
      <c r="BQ105" s="2290"/>
      <c r="BR105" s="2290"/>
      <c r="BS105" s="2290"/>
      <c r="BT105" s="2290"/>
      <c r="BU105" s="2290"/>
      <c r="BV105" s="2290"/>
      <c r="BW105" s="2290"/>
      <c r="BX105" s="2290"/>
      <c r="BY105" s="2290"/>
      <c r="BZ105" s="2290"/>
      <c r="CA105" s="2290"/>
    </row>
    <row r="106" spans="1:79">
      <c r="A106" s="15"/>
      <c r="B106" s="15"/>
      <c r="C106" s="15"/>
      <c r="D106" s="15"/>
      <c r="E106" s="15"/>
      <c r="F106" s="15"/>
      <c r="G106" s="15"/>
      <c r="H106" s="15"/>
      <c r="I106" s="15"/>
      <c r="J106" s="15"/>
      <c r="K106" s="15"/>
      <c r="L106" s="15"/>
      <c r="M106" s="15"/>
      <c r="N106" s="15"/>
      <c r="O106" s="15"/>
      <c r="P106" s="15"/>
      <c r="Q106" s="15"/>
      <c r="R106" s="15"/>
      <c r="S106" s="15"/>
      <c r="T106" s="15"/>
      <c r="U106" s="15"/>
      <c r="V106" s="2290"/>
      <c r="W106" s="2290"/>
      <c r="X106" s="2290"/>
      <c r="Y106" s="2290"/>
      <c r="Z106" s="2290"/>
      <c r="AA106" s="2290"/>
      <c r="AB106" s="2290"/>
      <c r="AC106" s="2290"/>
      <c r="AD106" s="2290"/>
      <c r="AE106" s="2290"/>
      <c r="AF106" s="2290"/>
      <c r="AG106" s="2290"/>
      <c r="AH106" s="2290"/>
      <c r="AI106" s="2290"/>
      <c r="AJ106" s="2290"/>
      <c r="AK106" s="2290"/>
      <c r="AL106" s="2290"/>
      <c r="AM106" s="2290"/>
      <c r="AN106" s="2290"/>
      <c r="AO106" s="2290"/>
      <c r="AP106" s="2290"/>
      <c r="AQ106" s="2290"/>
      <c r="AR106" s="2290"/>
      <c r="AS106" s="2290"/>
      <c r="AT106" s="2290"/>
      <c r="AU106" s="2290"/>
      <c r="AV106" s="2290"/>
      <c r="AW106" s="2290"/>
      <c r="AX106" s="2290"/>
      <c r="AY106" s="2290"/>
      <c r="AZ106" s="2290"/>
      <c r="BA106" s="2290"/>
      <c r="BB106" s="2290"/>
      <c r="BC106" s="2290"/>
      <c r="BD106" s="2290"/>
      <c r="BE106" s="2290"/>
      <c r="BF106" s="2290"/>
      <c r="BG106" s="2290"/>
      <c r="BH106" s="2290"/>
      <c r="BI106" s="2290"/>
      <c r="BJ106" s="2290"/>
      <c r="BK106" s="2290"/>
      <c r="BL106" s="2290"/>
      <c r="BM106" s="2290"/>
      <c r="BN106" s="2290"/>
      <c r="BO106" s="2290"/>
      <c r="BP106" s="2290"/>
      <c r="BQ106" s="2290"/>
      <c r="BR106" s="2290"/>
      <c r="BS106" s="2290"/>
      <c r="BT106" s="2290"/>
      <c r="BU106" s="2290"/>
      <c r="BV106" s="2290"/>
      <c r="BW106" s="2290"/>
      <c r="BX106" s="2290"/>
      <c r="BY106" s="2290"/>
      <c r="BZ106" s="2290"/>
      <c r="CA106" s="2290"/>
    </row>
    <row r="107" spans="1:79">
      <c r="A107" s="15"/>
      <c r="B107" s="15"/>
      <c r="C107" s="15"/>
      <c r="D107" s="15"/>
      <c r="E107" s="15"/>
      <c r="F107" s="15"/>
      <c r="G107" s="15"/>
      <c r="H107" s="15"/>
      <c r="I107" s="15"/>
      <c r="J107" s="15"/>
      <c r="K107" s="15"/>
      <c r="L107" s="15"/>
      <c r="M107" s="15"/>
      <c r="N107" s="15"/>
      <c r="O107" s="15"/>
      <c r="P107" s="15"/>
      <c r="Q107" s="15"/>
      <c r="R107" s="15"/>
      <c r="S107" s="15"/>
      <c r="T107" s="15"/>
      <c r="U107" s="15"/>
      <c r="V107" s="2290"/>
      <c r="W107" s="2290"/>
      <c r="X107" s="2290"/>
      <c r="Y107" s="2290"/>
      <c r="Z107" s="2290"/>
      <c r="AA107" s="2290"/>
      <c r="AB107" s="2290"/>
      <c r="AC107" s="2290"/>
      <c r="AD107" s="2290"/>
      <c r="AE107" s="2290"/>
      <c r="AF107" s="2290"/>
      <c r="AG107" s="2290"/>
      <c r="AH107" s="2290"/>
      <c r="AI107" s="2290"/>
      <c r="AJ107" s="2290"/>
      <c r="AK107" s="2290"/>
      <c r="AL107" s="2290"/>
      <c r="AM107" s="2290"/>
      <c r="AN107" s="2290"/>
      <c r="AO107" s="2290"/>
      <c r="AP107" s="2290"/>
      <c r="AQ107" s="2290"/>
      <c r="AR107" s="2290"/>
      <c r="AS107" s="2290"/>
      <c r="AT107" s="2290"/>
      <c r="AU107" s="2290"/>
      <c r="AV107" s="2290"/>
      <c r="AW107" s="2290"/>
      <c r="AX107" s="2290"/>
      <c r="AY107" s="2290"/>
      <c r="AZ107" s="2290"/>
      <c r="BA107" s="2290"/>
      <c r="BB107" s="2290"/>
      <c r="BC107" s="2290"/>
      <c r="BD107" s="2290"/>
      <c r="BE107" s="2290"/>
      <c r="BF107" s="2290"/>
      <c r="BG107" s="2290"/>
      <c r="BH107" s="2290"/>
      <c r="BI107" s="2290"/>
      <c r="BJ107" s="2290"/>
      <c r="BK107" s="2290"/>
      <c r="BL107" s="2290"/>
      <c r="BM107" s="2290"/>
      <c r="BN107" s="2290"/>
      <c r="BO107" s="2290"/>
      <c r="BP107" s="2290"/>
      <c r="BQ107" s="2290"/>
      <c r="BR107" s="2290"/>
      <c r="BS107" s="2290"/>
      <c r="BT107" s="2290"/>
      <c r="BU107" s="2290"/>
      <c r="BV107" s="2290"/>
      <c r="BW107" s="2290"/>
      <c r="BX107" s="2290"/>
      <c r="BY107" s="2290"/>
      <c r="BZ107" s="2290"/>
      <c r="CA107" s="2290"/>
    </row>
    <row r="108" spans="1:79">
      <c r="A108" s="15"/>
      <c r="B108" s="15"/>
      <c r="C108" s="15"/>
      <c r="D108" s="15"/>
      <c r="E108" s="15"/>
      <c r="F108" s="15"/>
      <c r="G108" s="15"/>
      <c r="H108" s="15"/>
      <c r="I108" s="15"/>
      <c r="J108" s="15"/>
      <c r="K108" s="15"/>
      <c r="L108" s="15"/>
      <c r="M108" s="15"/>
      <c r="N108" s="15"/>
      <c r="O108" s="15"/>
      <c r="P108" s="15"/>
      <c r="Q108" s="15"/>
      <c r="R108" s="15"/>
      <c r="S108" s="15"/>
      <c r="T108" s="15"/>
      <c r="U108" s="15"/>
      <c r="V108" s="2290"/>
      <c r="W108" s="2290"/>
      <c r="X108" s="2290"/>
      <c r="Y108" s="2290"/>
      <c r="Z108" s="2290"/>
      <c r="AA108" s="2290"/>
      <c r="AB108" s="2290"/>
      <c r="AC108" s="2290"/>
      <c r="AD108" s="2290"/>
      <c r="AE108" s="2290"/>
      <c r="AF108" s="2290"/>
      <c r="AG108" s="2290"/>
      <c r="AH108" s="2290"/>
      <c r="AI108" s="2290"/>
      <c r="AJ108" s="2290"/>
      <c r="AK108" s="2290"/>
      <c r="AL108" s="2290"/>
      <c r="AM108" s="2290"/>
      <c r="AN108" s="2290"/>
      <c r="AO108" s="2290"/>
      <c r="AP108" s="2290"/>
      <c r="AQ108" s="2290"/>
      <c r="AR108" s="2290"/>
      <c r="AS108" s="2290"/>
      <c r="AT108" s="2290"/>
      <c r="AU108" s="2290"/>
      <c r="AV108" s="2290"/>
      <c r="AW108" s="2290"/>
      <c r="AX108" s="2290"/>
      <c r="AY108" s="2290"/>
      <c r="AZ108" s="2290"/>
      <c r="BA108" s="2290"/>
      <c r="BB108" s="2290"/>
      <c r="BC108" s="2290"/>
      <c r="BD108" s="2290"/>
      <c r="BE108" s="2290"/>
      <c r="BF108" s="2290"/>
      <c r="BG108" s="2290"/>
      <c r="BH108" s="2290"/>
      <c r="BI108" s="2290"/>
      <c r="BJ108" s="2290"/>
      <c r="BK108" s="2290"/>
      <c r="BL108" s="2290"/>
      <c r="BM108" s="2290"/>
      <c r="BN108" s="2290"/>
      <c r="BO108" s="2290"/>
      <c r="BP108" s="2290"/>
      <c r="BQ108" s="2290"/>
      <c r="BR108" s="2290"/>
      <c r="BS108" s="2290"/>
      <c r="BT108" s="2290"/>
      <c r="BU108" s="2290"/>
      <c r="BV108" s="2290"/>
      <c r="BW108" s="2290"/>
      <c r="BX108" s="2290"/>
      <c r="BY108" s="2290"/>
      <c r="BZ108" s="2290"/>
      <c r="CA108" s="2290"/>
    </row>
    <row r="109" spans="1:79">
      <c r="A109" s="15"/>
      <c r="B109" s="15"/>
      <c r="C109" s="15"/>
      <c r="D109" s="15"/>
      <c r="E109" s="15"/>
      <c r="F109" s="15"/>
      <c r="G109" s="15"/>
      <c r="H109" s="15"/>
      <c r="I109" s="15"/>
      <c r="J109" s="15"/>
      <c r="K109" s="15"/>
      <c r="L109" s="15"/>
      <c r="M109" s="15"/>
      <c r="N109" s="15"/>
      <c r="O109" s="15"/>
      <c r="P109" s="15"/>
      <c r="Q109" s="15"/>
      <c r="R109" s="15"/>
      <c r="S109" s="15"/>
      <c r="T109" s="15"/>
      <c r="U109" s="15"/>
      <c r="V109" s="2290"/>
      <c r="W109" s="2290"/>
      <c r="X109" s="2290"/>
      <c r="Y109" s="2290"/>
      <c r="Z109" s="2290"/>
      <c r="AA109" s="2290"/>
      <c r="AB109" s="2290"/>
      <c r="AC109" s="2290"/>
      <c r="AD109" s="2290"/>
      <c r="AE109" s="2290"/>
      <c r="AF109" s="2290"/>
      <c r="AG109" s="2290"/>
      <c r="AH109" s="2290"/>
      <c r="AI109" s="2290"/>
      <c r="AJ109" s="2290"/>
      <c r="AK109" s="2290"/>
      <c r="AL109" s="2290"/>
      <c r="AM109" s="2290"/>
      <c r="AN109" s="2290"/>
      <c r="AO109" s="2290"/>
      <c r="AP109" s="2290"/>
      <c r="AQ109" s="2290"/>
      <c r="AR109" s="2290"/>
      <c r="AS109" s="2290"/>
      <c r="AT109" s="2290"/>
      <c r="AU109" s="2290"/>
      <c r="AV109" s="2290"/>
      <c r="AW109" s="2290"/>
      <c r="AX109" s="2290"/>
      <c r="AY109" s="2290"/>
      <c r="AZ109" s="2290"/>
      <c r="BA109" s="2290"/>
      <c r="BB109" s="2290"/>
      <c r="BC109" s="2290"/>
      <c r="BD109" s="2290"/>
      <c r="BE109" s="2290"/>
      <c r="BF109" s="2290"/>
      <c r="BG109" s="2290"/>
      <c r="BH109" s="2290"/>
      <c r="BI109" s="2290"/>
      <c r="BJ109" s="2290"/>
      <c r="BK109" s="2290"/>
      <c r="BL109" s="2290"/>
      <c r="BM109" s="2290"/>
      <c r="BN109" s="2290"/>
      <c r="BO109" s="2290"/>
      <c r="BP109" s="2290"/>
      <c r="BQ109" s="2290"/>
      <c r="BR109" s="2290"/>
      <c r="BS109" s="2290"/>
      <c r="BT109" s="2290"/>
      <c r="BU109" s="2290"/>
      <c r="BV109" s="2290"/>
      <c r="BW109" s="2290"/>
      <c r="BX109" s="2290"/>
      <c r="BY109" s="2290"/>
      <c r="BZ109" s="2290"/>
      <c r="CA109" s="2290"/>
    </row>
    <row r="110" spans="1:79">
      <c r="A110" s="15"/>
      <c r="B110" s="15"/>
      <c r="C110" s="15"/>
      <c r="D110" s="15"/>
      <c r="E110" s="15"/>
      <c r="F110" s="15"/>
      <c r="G110" s="15"/>
      <c r="H110" s="15"/>
      <c r="I110" s="15"/>
      <c r="J110" s="15"/>
      <c r="K110" s="15"/>
      <c r="L110" s="15"/>
      <c r="M110" s="15"/>
      <c r="N110" s="15"/>
      <c r="O110" s="15"/>
      <c r="P110" s="15"/>
      <c r="Q110" s="15"/>
      <c r="R110" s="15"/>
      <c r="S110" s="15"/>
      <c r="T110" s="15"/>
      <c r="U110" s="15"/>
      <c r="V110" s="2290"/>
      <c r="W110" s="2290"/>
      <c r="X110" s="2290"/>
      <c r="Y110" s="2290"/>
      <c r="Z110" s="2290"/>
      <c r="AA110" s="2290"/>
      <c r="AB110" s="2290"/>
      <c r="AC110" s="2290"/>
      <c r="AD110" s="2290"/>
      <c r="AE110" s="2290"/>
      <c r="AF110" s="2290"/>
      <c r="AG110" s="2290"/>
      <c r="AH110" s="2290"/>
      <c r="AI110" s="2290"/>
      <c r="AJ110" s="2290"/>
      <c r="AK110" s="2290"/>
      <c r="AL110" s="2290"/>
      <c r="AM110" s="2290"/>
      <c r="AN110" s="2290"/>
      <c r="AO110" s="2290"/>
      <c r="AP110" s="2290"/>
      <c r="AQ110" s="2290"/>
      <c r="AR110" s="2290"/>
      <c r="AS110" s="2290"/>
      <c r="AT110" s="2290"/>
      <c r="AU110" s="2290"/>
      <c r="AV110" s="2290"/>
      <c r="AW110" s="2290"/>
      <c r="AX110" s="2290"/>
      <c r="AY110" s="2290"/>
      <c r="AZ110" s="2290"/>
      <c r="BA110" s="2290"/>
      <c r="BB110" s="2290"/>
      <c r="BC110" s="2290"/>
      <c r="BD110" s="2290"/>
      <c r="BE110" s="2290"/>
      <c r="BF110" s="2290"/>
      <c r="BG110" s="2290"/>
      <c r="BH110" s="2290"/>
      <c r="BI110" s="2290"/>
      <c r="BJ110" s="2290"/>
      <c r="BK110" s="2290"/>
      <c r="BL110" s="2290"/>
      <c r="BM110" s="2290"/>
      <c r="BN110" s="2290"/>
      <c r="BO110" s="2290"/>
      <c r="BP110" s="2290"/>
      <c r="BQ110" s="2290"/>
      <c r="BR110" s="2290"/>
      <c r="BS110" s="2290"/>
      <c r="BT110" s="2290"/>
      <c r="BU110" s="2290"/>
      <c r="BV110" s="2290"/>
      <c r="BW110" s="2290"/>
      <c r="BX110" s="2290"/>
      <c r="BY110" s="2290"/>
      <c r="BZ110" s="2290"/>
      <c r="CA110" s="2290"/>
    </row>
    <row r="111" spans="1:79">
      <c r="A111" s="15"/>
      <c r="B111" s="15"/>
      <c r="C111" s="15"/>
      <c r="D111" s="15"/>
      <c r="E111" s="15"/>
      <c r="F111" s="15"/>
      <c r="G111" s="15"/>
      <c r="H111" s="15"/>
      <c r="I111" s="15"/>
      <c r="J111" s="15"/>
      <c r="K111" s="15"/>
      <c r="L111" s="15"/>
      <c r="M111" s="15"/>
      <c r="N111" s="15"/>
      <c r="O111" s="15"/>
      <c r="P111" s="15"/>
      <c r="Q111" s="15"/>
      <c r="R111" s="15"/>
      <c r="S111" s="15"/>
      <c r="T111" s="15"/>
      <c r="U111" s="15"/>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0"/>
      <c r="AY111" s="2290"/>
      <c r="AZ111" s="2290"/>
      <c r="BA111" s="2290"/>
      <c r="BB111" s="2290"/>
      <c r="BC111" s="2290"/>
      <c r="BD111" s="2290"/>
      <c r="BE111" s="2290"/>
      <c r="BF111" s="2290"/>
      <c r="BG111" s="2290"/>
      <c r="BH111" s="2290"/>
      <c r="BI111" s="2290"/>
      <c r="BJ111" s="2290"/>
      <c r="BK111" s="2290"/>
      <c r="BL111" s="2290"/>
      <c r="BM111" s="2290"/>
      <c r="BN111" s="2290"/>
      <c r="BO111" s="2290"/>
      <c r="BP111" s="2290"/>
      <c r="BQ111" s="2290"/>
      <c r="BR111" s="2290"/>
      <c r="BS111" s="2290"/>
      <c r="BT111" s="2290"/>
      <c r="BU111" s="2290"/>
      <c r="BV111" s="2290"/>
      <c r="BW111" s="2290"/>
      <c r="BX111" s="2290"/>
      <c r="BY111" s="2290"/>
      <c r="BZ111" s="2290"/>
      <c r="CA111" s="2290"/>
    </row>
    <row r="112" spans="1:79">
      <c r="A112" s="15"/>
      <c r="B112" s="15"/>
      <c r="C112" s="15"/>
      <c r="D112" s="15"/>
      <c r="E112" s="15"/>
      <c r="F112" s="15"/>
      <c r="G112" s="15"/>
      <c r="H112" s="15"/>
      <c r="I112" s="15"/>
      <c r="J112" s="15"/>
      <c r="K112" s="15"/>
      <c r="L112" s="15"/>
      <c r="M112" s="15"/>
      <c r="N112" s="15"/>
      <c r="O112" s="15"/>
      <c r="P112" s="15"/>
      <c r="Q112" s="15"/>
      <c r="R112" s="15"/>
      <c r="S112" s="15"/>
      <c r="T112" s="15"/>
      <c r="U112" s="15"/>
      <c r="V112" s="2290"/>
      <c r="W112" s="2290"/>
      <c r="X112" s="2290"/>
      <c r="Y112" s="2290"/>
      <c r="Z112" s="2290"/>
      <c r="AA112" s="2290"/>
      <c r="AB112" s="2290"/>
      <c r="AC112" s="2290"/>
      <c r="AD112" s="2290"/>
      <c r="AE112" s="2290"/>
      <c r="AF112" s="2290"/>
      <c r="AG112" s="2290"/>
      <c r="AH112" s="2290"/>
      <c r="AI112" s="2290"/>
      <c r="AJ112" s="2290"/>
      <c r="AK112" s="2290"/>
      <c r="AL112" s="2290"/>
      <c r="AM112" s="2290"/>
      <c r="AN112" s="2290"/>
      <c r="AO112" s="2290"/>
      <c r="AP112" s="2290"/>
      <c r="AQ112" s="2290"/>
      <c r="AR112" s="2290"/>
      <c r="AS112" s="2290"/>
      <c r="AT112" s="2290"/>
      <c r="AU112" s="2290"/>
      <c r="AV112" s="2290"/>
      <c r="AW112" s="2290"/>
      <c r="AX112" s="2290"/>
      <c r="AY112" s="2290"/>
      <c r="AZ112" s="2290"/>
      <c r="BA112" s="2290"/>
      <c r="BB112" s="2290"/>
      <c r="BC112" s="2290"/>
      <c r="BD112" s="2290"/>
      <c r="BE112" s="2290"/>
      <c r="BF112" s="2290"/>
      <c r="BG112" s="2290"/>
      <c r="BH112" s="2290"/>
      <c r="BI112" s="2290"/>
      <c r="BJ112" s="2290"/>
      <c r="BK112" s="2290"/>
      <c r="BL112" s="2290"/>
      <c r="BM112" s="2290"/>
      <c r="BN112" s="2290"/>
      <c r="BO112" s="2290"/>
      <c r="BP112" s="2290"/>
      <c r="BQ112" s="2290"/>
      <c r="BR112" s="2290"/>
      <c r="BS112" s="2290"/>
      <c r="BT112" s="2290"/>
      <c r="BU112" s="2290"/>
      <c r="BV112" s="2290"/>
      <c r="BW112" s="2290"/>
      <c r="BX112" s="2290"/>
      <c r="BY112" s="2290"/>
      <c r="BZ112" s="2290"/>
      <c r="CA112" s="2290"/>
    </row>
    <row r="113" spans="1:79">
      <c r="A113" s="15"/>
      <c r="B113" s="15"/>
      <c r="C113" s="15"/>
      <c r="D113" s="15"/>
      <c r="E113" s="15"/>
      <c r="F113" s="15"/>
      <c r="G113" s="15"/>
      <c r="H113" s="15"/>
      <c r="I113" s="15"/>
      <c r="J113" s="15"/>
      <c r="K113" s="15"/>
      <c r="L113" s="15"/>
      <c r="M113" s="15"/>
      <c r="N113" s="15"/>
      <c r="O113" s="15"/>
      <c r="P113" s="15"/>
      <c r="Q113" s="15"/>
      <c r="R113" s="15"/>
      <c r="S113" s="15"/>
      <c r="T113" s="15"/>
      <c r="U113" s="15"/>
      <c r="V113" s="2290"/>
      <c r="W113" s="2290"/>
      <c r="X113" s="2290"/>
      <c r="Y113" s="2290"/>
      <c r="Z113" s="2290"/>
      <c r="AA113" s="2290"/>
      <c r="AB113" s="2290"/>
      <c r="AC113" s="2290"/>
      <c r="AD113" s="2290"/>
      <c r="AE113" s="2290"/>
      <c r="AF113" s="2290"/>
      <c r="AG113" s="2290"/>
      <c r="AH113" s="2290"/>
      <c r="AI113" s="2290"/>
      <c r="AJ113" s="2290"/>
      <c r="AK113" s="2290"/>
      <c r="AL113" s="2290"/>
      <c r="AM113" s="2290"/>
      <c r="AN113" s="2290"/>
      <c r="AO113" s="2290"/>
      <c r="AP113" s="2290"/>
      <c r="AQ113" s="2290"/>
      <c r="AR113" s="2290"/>
      <c r="AS113" s="2290"/>
      <c r="AT113" s="2290"/>
      <c r="AU113" s="2290"/>
      <c r="AV113" s="2290"/>
      <c r="AW113" s="2290"/>
      <c r="AX113" s="2290"/>
      <c r="AY113" s="2290"/>
      <c r="AZ113" s="2290"/>
      <c r="BA113" s="2290"/>
      <c r="BB113" s="2290"/>
      <c r="BC113" s="2290"/>
      <c r="BD113" s="2290"/>
      <c r="BE113" s="2290"/>
      <c r="BF113" s="2290"/>
      <c r="BG113" s="2290"/>
      <c r="BH113" s="2290"/>
      <c r="BI113" s="2290"/>
      <c r="BJ113" s="2290"/>
      <c r="BK113" s="2290"/>
      <c r="BL113" s="2290"/>
      <c r="BM113" s="2290"/>
      <c r="BN113" s="2290"/>
      <c r="BO113" s="2290"/>
      <c r="BP113" s="2290"/>
      <c r="BQ113" s="2290"/>
      <c r="BR113" s="2290"/>
      <c r="BS113" s="2290"/>
      <c r="BT113" s="2290"/>
      <c r="BU113" s="2290"/>
      <c r="BV113" s="2290"/>
      <c r="BW113" s="2290"/>
      <c r="BX113" s="2290"/>
      <c r="BY113" s="2290"/>
      <c r="BZ113" s="2290"/>
      <c r="CA113" s="2290"/>
    </row>
    <row r="114" spans="1:79">
      <c r="A114" s="15"/>
      <c r="B114" s="15"/>
      <c r="C114" s="15"/>
      <c r="D114" s="15"/>
      <c r="E114" s="15"/>
      <c r="F114" s="15"/>
      <c r="G114" s="15"/>
      <c r="H114" s="15"/>
      <c r="I114" s="15"/>
      <c r="J114" s="15"/>
      <c r="K114" s="15"/>
      <c r="L114" s="15"/>
      <c r="M114" s="15"/>
      <c r="N114" s="15"/>
      <c r="O114" s="15"/>
      <c r="P114" s="15"/>
      <c r="Q114" s="15"/>
      <c r="R114" s="15"/>
      <c r="S114" s="15"/>
      <c r="T114" s="15"/>
      <c r="U114" s="15"/>
      <c r="V114" s="2290"/>
      <c r="W114" s="2290"/>
      <c r="X114" s="2290"/>
      <c r="Y114" s="2290"/>
      <c r="Z114" s="2290"/>
      <c r="AA114" s="2290"/>
      <c r="AB114" s="2290"/>
      <c r="AC114" s="2290"/>
      <c r="AD114" s="2290"/>
      <c r="AE114" s="2290"/>
      <c r="AF114" s="2290"/>
      <c r="AG114" s="2290"/>
      <c r="AH114" s="2290"/>
      <c r="AI114" s="2290"/>
      <c r="AJ114" s="2290"/>
      <c r="AK114" s="2290"/>
      <c r="AL114" s="2290"/>
      <c r="AM114" s="2290"/>
      <c r="AN114" s="2290"/>
      <c r="AO114" s="2290"/>
      <c r="AP114" s="2290"/>
      <c r="AQ114" s="2290"/>
      <c r="AR114" s="2290"/>
      <c r="AS114" s="2290"/>
      <c r="AT114" s="2290"/>
      <c r="AU114" s="2290"/>
      <c r="AV114" s="2290"/>
      <c r="AW114" s="2290"/>
      <c r="AX114" s="2290"/>
      <c r="AY114" s="2290"/>
      <c r="AZ114" s="2290"/>
      <c r="BA114" s="2290"/>
      <c r="BB114" s="2290"/>
      <c r="BC114" s="2290"/>
      <c r="BD114" s="2290"/>
      <c r="BE114" s="2290"/>
      <c r="BF114" s="2290"/>
      <c r="BG114" s="2290"/>
      <c r="BH114" s="2290"/>
      <c r="BI114" s="2290"/>
      <c r="BJ114" s="2290"/>
      <c r="BK114" s="2290"/>
      <c r="BL114" s="2290"/>
      <c r="BM114" s="2290"/>
      <c r="BN114" s="2290"/>
      <c r="BO114" s="2290"/>
      <c r="BP114" s="2290"/>
      <c r="BQ114" s="2290"/>
      <c r="BR114" s="2290"/>
      <c r="BS114" s="2290"/>
      <c r="BT114" s="2290"/>
      <c r="BU114" s="2290"/>
      <c r="BV114" s="2290"/>
      <c r="BW114" s="2290"/>
      <c r="BX114" s="2290"/>
      <c r="BY114" s="2290"/>
      <c r="BZ114" s="2290"/>
      <c r="CA114" s="2290"/>
    </row>
    <row r="115" spans="1:79">
      <c r="A115" s="15"/>
      <c r="B115" s="15"/>
      <c r="C115" s="15"/>
      <c r="D115" s="15"/>
      <c r="E115" s="15"/>
      <c r="F115" s="15"/>
      <c r="G115" s="15"/>
      <c r="H115" s="15"/>
      <c r="I115" s="15"/>
      <c r="J115" s="15"/>
      <c r="K115" s="15"/>
      <c r="L115" s="15"/>
      <c r="M115" s="15"/>
      <c r="N115" s="15"/>
      <c r="O115" s="15"/>
      <c r="P115" s="15"/>
      <c r="Q115" s="15"/>
      <c r="R115" s="15"/>
      <c r="S115" s="15"/>
      <c r="T115" s="15"/>
      <c r="U115" s="15"/>
      <c r="V115" s="2290"/>
      <c r="W115" s="2290"/>
      <c r="X115" s="2290"/>
      <c r="Y115" s="2290"/>
      <c r="Z115" s="2290"/>
      <c r="AA115" s="2290"/>
      <c r="AB115" s="2290"/>
      <c r="AC115" s="2290"/>
      <c r="AD115" s="2290"/>
      <c r="AE115" s="2290"/>
      <c r="AF115" s="2290"/>
      <c r="AG115" s="2290"/>
      <c r="AH115" s="2290"/>
      <c r="AI115" s="2290"/>
      <c r="AJ115" s="2290"/>
      <c r="AK115" s="2290"/>
      <c r="AL115" s="2290"/>
      <c r="AM115" s="2290"/>
      <c r="AN115" s="2290"/>
      <c r="AO115" s="2290"/>
      <c r="AP115" s="2290"/>
      <c r="AQ115" s="2290"/>
      <c r="AR115" s="2290"/>
      <c r="AS115" s="2290"/>
      <c r="AT115" s="2290"/>
      <c r="AU115" s="2290"/>
      <c r="AV115" s="2290"/>
      <c r="AW115" s="2290"/>
      <c r="AX115" s="2290"/>
      <c r="AY115" s="2290"/>
      <c r="AZ115" s="2290"/>
      <c r="BA115" s="2290"/>
      <c r="BB115" s="2290"/>
      <c r="BC115" s="2290"/>
      <c r="BD115" s="2290"/>
      <c r="BE115" s="2290"/>
      <c r="BF115" s="2290"/>
      <c r="BG115" s="2290"/>
      <c r="BH115" s="2290"/>
      <c r="BI115" s="2290"/>
      <c r="BJ115" s="2290"/>
      <c r="BK115" s="2290"/>
      <c r="BL115" s="2290"/>
      <c r="BM115" s="2290"/>
      <c r="BN115" s="2290"/>
      <c r="BO115" s="2290"/>
      <c r="BP115" s="2290"/>
      <c r="BQ115" s="2290"/>
      <c r="BR115" s="2290"/>
      <c r="BS115" s="2290"/>
      <c r="BT115" s="2290"/>
      <c r="BU115" s="2290"/>
      <c r="BV115" s="2290"/>
      <c r="BW115" s="2290"/>
      <c r="BX115" s="2290"/>
      <c r="BY115" s="2290"/>
      <c r="BZ115" s="2290"/>
      <c r="CA115" s="2290"/>
    </row>
    <row r="116" spans="1:79">
      <c r="A116" s="15"/>
      <c r="B116" s="15"/>
      <c r="C116" s="15"/>
      <c r="D116" s="15"/>
      <c r="E116" s="15"/>
      <c r="F116" s="15"/>
      <c r="G116" s="15"/>
      <c r="H116" s="15"/>
      <c r="I116" s="15"/>
      <c r="J116" s="15"/>
      <c r="K116" s="15"/>
      <c r="L116" s="15"/>
      <c r="M116" s="15"/>
      <c r="N116" s="15"/>
      <c r="O116" s="15"/>
      <c r="P116" s="15"/>
      <c r="Q116" s="15"/>
      <c r="R116" s="15"/>
      <c r="S116" s="15"/>
      <c r="T116" s="15"/>
      <c r="U116" s="15"/>
      <c r="V116" s="2290"/>
      <c r="W116" s="2290"/>
      <c r="X116" s="2290"/>
      <c r="Y116" s="2290"/>
      <c r="Z116" s="2290"/>
      <c r="AA116" s="2290"/>
      <c r="AB116" s="2290"/>
      <c r="AC116" s="2290"/>
      <c r="AD116" s="2290"/>
      <c r="AE116" s="2290"/>
      <c r="AF116" s="2290"/>
      <c r="AG116" s="2290"/>
      <c r="AH116" s="2290"/>
      <c r="AI116" s="2290"/>
      <c r="AJ116" s="2290"/>
      <c r="AK116" s="2290"/>
      <c r="AL116" s="2290"/>
      <c r="AM116" s="2290"/>
      <c r="AN116" s="2290"/>
      <c r="AO116" s="2290"/>
      <c r="AP116" s="2290"/>
      <c r="AQ116" s="2290"/>
      <c r="AR116" s="2290"/>
      <c r="AS116" s="2290"/>
      <c r="AT116" s="2290"/>
      <c r="AU116" s="2290"/>
      <c r="AV116" s="2290"/>
      <c r="AW116" s="2290"/>
      <c r="AX116" s="2290"/>
      <c r="AY116" s="2290"/>
      <c r="AZ116" s="2290"/>
      <c r="BA116" s="2290"/>
      <c r="BB116" s="2290"/>
      <c r="BC116" s="2290"/>
      <c r="BD116" s="2290"/>
      <c r="BE116" s="2290"/>
      <c r="BF116" s="2290"/>
      <c r="BG116" s="2290"/>
      <c r="BH116" s="2290"/>
      <c r="BI116" s="2290"/>
      <c r="BJ116" s="2290"/>
      <c r="BK116" s="2290"/>
      <c r="BL116" s="2290"/>
      <c r="BM116" s="2290"/>
      <c r="BN116" s="2290"/>
      <c r="BO116" s="2290"/>
      <c r="BP116" s="2290"/>
      <c r="BQ116" s="2290"/>
      <c r="BR116" s="2290"/>
      <c r="BS116" s="2290"/>
      <c r="BT116" s="2290"/>
      <c r="BU116" s="2290"/>
      <c r="BV116" s="2290"/>
      <c r="BW116" s="2290"/>
      <c r="BX116" s="2290"/>
      <c r="BY116" s="2290"/>
      <c r="BZ116" s="2290"/>
      <c r="CA116" s="2290"/>
    </row>
    <row r="117" spans="1:79">
      <c r="A117" s="15"/>
      <c r="B117" s="15"/>
      <c r="C117" s="15"/>
      <c r="D117" s="15"/>
      <c r="E117" s="15"/>
      <c r="F117" s="15"/>
      <c r="G117" s="15"/>
      <c r="H117" s="15"/>
      <c r="I117" s="15"/>
      <c r="J117" s="15"/>
      <c r="K117" s="15"/>
      <c r="L117" s="15"/>
      <c r="M117" s="15"/>
      <c r="N117" s="15"/>
      <c r="O117" s="15"/>
      <c r="P117" s="15"/>
      <c r="Q117" s="15"/>
      <c r="R117" s="15"/>
      <c r="S117" s="15"/>
      <c r="T117" s="15"/>
      <c r="U117" s="15"/>
      <c r="V117" s="2290"/>
      <c r="W117" s="2290"/>
      <c r="X117" s="2290"/>
      <c r="Y117" s="2290"/>
      <c r="Z117" s="2290"/>
      <c r="AA117" s="2290"/>
      <c r="AB117" s="2290"/>
      <c r="AC117" s="2290"/>
      <c r="AD117" s="2290"/>
      <c r="AE117" s="2290"/>
      <c r="AF117" s="2290"/>
      <c r="AG117" s="2290"/>
      <c r="AH117" s="2290"/>
      <c r="AI117" s="2290"/>
      <c r="AJ117" s="2290"/>
      <c r="AK117" s="2290"/>
      <c r="AL117" s="2290"/>
      <c r="AM117" s="2290"/>
      <c r="AN117" s="2290"/>
      <c r="AO117" s="2290"/>
      <c r="AP117" s="2290"/>
      <c r="AQ117" s="2290"/>
      <c r="AR117" s="2290"/>
      <c r="AS117" s="2290"/>
      <c r="AT117" s="2290"/>
      <c r="AU117" s="2290"/>
      <c r="AV117" s="2290"/>
      <c r="AW117" s="2290"/>
      <c r="AX117" s="2290"/>
      <c r="AY117" s="2290"/>
      <c r="AZ117" s="2290"/>
      <c r="BA117" s="2290"/>
      <c r="BB117" s="2290"/>
      <c r="BC117" s="2290"/>
      <c r="BD117" s="2290"/>
      <c r="BE117" s="2290"/>
      <c r="BF117" s="2290"/>
      <c r="BG117" s="2290"/>
      <c r="BH117" s="2290"/>
      <c r="BI117" s="2290"/>
      <c r="BJ117" s="2290"/>
      <c r="BK117" s="2290"/>
      <c r="BL117" s="2290"/>
      <c r="BM117" s="2290"/>
      <c r="BN117" s="2290"/>
      <c r="BO117" s="2290"/>
      <c r="BP117" s="2290"/>
      <c r="BQ117" s="2290"/>
      <c r="BR117" s="2290"/>
      <c r="BS117" s="2290"/>
      <c r="BT117" s="2290"/>
      <c r="BU117" s="2290"/>
      <c r="BV117" s="2290"/>
      <c r="BW117" s="2290"/>
      <c r="BX117" s="2290"/>
      <c r="BY117" s="2290"/>
      <c r="BZ117" s="2290"/>
      <c r="CA117" s="2290"/>
    </row>
    <row r="118" spans="1:79">
      <c r="A118" s="15"/>
      <c r="B118" s="15"/>
      <c r="C118" s="15"/>
      <c r="D118" s="15"/>
      <c r="E118" s="15"/>
      <c r="F118" s="15"/>
      <c r="G118" s="15"/>
      <c r="H118" s="15"/>
      <c r="I118" s="15"/>
      <c r="J118" s="15"/>
      <c r="K118" s="15"/>
      <c r="L118" s="15"/>
      <c r="M118" s="15"/>
      <c r="N118" s="15"/>
      <c r="O118" s="15"/>
      <c r="P118" s="15"/>
      <c r="Q118" s="15"/>
      <c r="R118" s="15"/>
      <c r="S118" s="15"/>
      <c r="T118" s="15"/>
      <c r="U118" s="15"/>
      <c r="V118" s="2290"/>
      <c r="W118" s="2290"/>
      <c r="X118" s="2290"/>
      <c r="Y118" s="2290"/>
      <c r="Z118" s="2290"/>
      <c r="AA118" s="2290"/>
      <c r="AB118" s="2290"/>
      <c r="AC118" s="2290"/>
      <c r="AD118" s="2290"/>
      <c r="AE118" s="2290"/>
      <c r="AF118" s="2290"/>
      <c r="AG118" s="2290"/>
      <c r="AH118" s="2290"/>
      <c r="AI118" s="2290"/>
      <c r="AJ118" s="2290"/>
      <c r="AK118" s="2290"/>
      <c r="AL118" s="2290"/>
      <c r="AM118" s="2290"/>
      <c r="AN118" s="2290"/>
      <c r="AO118" s="2290"/>
      <c r="AP118" s="2290"/>
      <c r="AQ118" s="2290"/>
      <c r="AR118" s="2290"/>
      <c r="AS118" s="2290"/>
      <c r="AT118" s="2290"/>
      <c r="AU118" s="2290"/>
      <c r="AV118" s="2290"/>
      <c r="AW118" s="2290"/>
      <c r="AX118" s="2290"/>
      <c r="AY118" s="2290"/>
      <c r="AZ118" s="2290"/>
      <c r="BA118" s="2290"/>
      <c r="BB118" s="2290"/>
      <c r="BC118" s="2290"/>
      <c r="BD118" s="2290"/>
      <c r="BE118" s="2290"/>
      <c r="BF118" s="2290"/>
      <c r="BG118" s="2290"/>
      <c r="BH118" s="2290"/>
      <c r="BI118" s="2290"/>
      <c r="BJ118" s="2290"/>
      <c r="BK118" s="2290"/>
      <c r="BL118" s="2290"/>
      <c r="BM118" s="2290"/>
      <c r="BN118" s="2290"/>
      <c r="BO118" s="2290"/>
      <c r="BP118" s="2290"/>
      <c r="BQ118" s="2290"/>
      <c r="BR118" s="2290"/>
      <c r="BS118" s="2290"/>
      <c r="BT118" s="2290"/>
      <c r="BU118" s="2290"/>
      <c r="BV118" s="2290"/>
      <c r="BW118" s="2290"/>
      <c r="BX118" s="2290"/>
      <c r="BY118" s="2290"/>
      <c r="BZ118" s="2290"/>
      <c r="CA118" s="2290"/>
    </row>
    <row r="119" spans="1:79">
      <c r="A119" s="15"/>
      <c r="B119" s="15"/>
      <c r="C119" s="15"/>
      <c r="D119" s="15"/>
      <c r="E119" s="15"/>
      <c r="F119" s="15"/>
      <c r="G119" s="15"/>
      <c r="H119" s="15"/>
      <c r="I119" s="15"/>
      <c r="J119" s="15"/>
      <c r="K119" s="15"/>
      <c r="L119" s="15"/>
      <c r="M119" s="15"/>
      <c r="N119" s="15"/>
      <c r="O119" s="15"/>
      <c r="P119" s="15"/>
      <c r="Q119" s="15"/>
      <c r="R119" s="15"/>
      <c r="S119" s="15"/>
      <c r="T119" s="15"/>
      <c r="U119" s="15"/>
      <c r="V119" s="2290"/>
      <c r="W119" s="2290"/>
      <c r="X119" s="2290"/>
      <c r="Y119" s="2290"/>
      <c r="Z119" s="2290"/>
      <c r="AA119" s="2290"/>
      <c r="AB119" s="2290"/>
      <c r="AC119" s="2290"/>
      <c r="AD119" s="2290"/>
      <c r="AE119" s="2290"/>
      <c r="AF119" s="2290"/>
      <c r="AG119" s="2290"/>
      <c r="AH119" s="2290"/>
      <c r="AI119" s="2290"/>
      <c r="AJ119" s="2290"/>
      <c r="AK119" s="2290"/>
      <c r="AL119" s="2290"/>
      <c r="AM119" s="2290"/>
      <c r="AN119" s="2290"/>
      <c r="AO119" s="2290"/>
      <c r="AP119" s="2290"/>
      <c r="AQ119" s="2290"/>
      <c r="AR119" s="2290"/>
      <c r="AS119" s="2290"/>
      <c r="AT119" s="2290"/>
      <c r="AU119" s="2290"/>
      <c r="AV119" s="2290"/>
      <c r="AW119" s="2290"/>
      <c r="AX119" s="2290"/>
      <c r="AY119" s="2290"/>
      <c r="AZ119" s="2290"/>
      <c r="BA119" s="2290"/>
      <c r="BB119" s="2290"/>
      <c r="BC119" s="2290"/>
      <c r="BD119" s="2290"/>
      <c r="BE119" s="2290"/>
      <c r="BF119" s="2290"/>
      <c r="BG119" s="2290"/>
      <c r="BH119" s="2290"/>
      <c r="BI119" s="2290"/>
      <c r="BJ119" s="2290"/>
      <c r="BK119" s="2290"/>
      <c r="BL119" s="2290"/>
      <c r="BM119" s="2290"/>
      <c r="BN119" s="2290"/>
      <c r="BO119" s="2290"/>
      <c r="BP119" s="2290"/>
      <c r="BQ119" s="2290"/>
      <c r="BR119" s="2290"/>
      <c r="BS119" s="2290"/>
      <c r="BT119" s="2290"/>
      <c r="BU119" s="2290"/>
      <c r="BV119" s="2290"/>
      <c r="BW119" s="2290"/>
      <c r="BX119" s="2290"/>
      <c r="BY119" s="2290"/>
      <c r="BZ119" s="2290"/>
      <c r="CA119" s="2290"/>
    </row>
    <row r="120" spans="1:79">
      <c r="A120" s="15"/>
      <c r="B120" s="15"/>
      <c r="C120" s="15"/>
      <c r="D120" s="15"/>
      <c r="E120" s="15"/>
      <c r="F120" s="15"/>
      <c r="G120" s="15"/>
      <c r="H120" s="15"/>
      <c r="I120" s="15"/>
      <c r="J120" s="15"/>
      <c r="K120" s="15"/>
      <c r="L120" s="15"/>
      <c r="M120" s="15"/>
      <c r="N120" s="15"/>
      <c r="O120" s="15"/>
      <c r="P120" s="15"/>
      <c r="Q120" s="15"/>
      <c r="R120" s="15"/>
      <c r="S120" s="15"/>
      <c r="T120" s="15"/>
      <c r="U120" s="15"/>
      <c r="V120" s="2290"/>
      <c r="W120" s="2290"/>
      <c r="X120" s="2290"/>
      <c r="Y120" s="2290"/>
      <c r="Z120" s="2290"/>
      <c r="AA120" s="2290"/>
      <c r="AB120" s="2290"/>
      <c r="AC120" s="2290"/>
      <c r="AD120" s="2290"/>
      <c r="AE120" s="2290"/>
      <c r="AF120" s="2290"/>
      <c r="AG120" s="2290"/>
      <c r="AH120" s="2290"/>
      <c r="AI120" s="2290"/>
      <c r="AJ120" s="2290"/>
      <c r="AK120" s="2290"/>
      <c r="AL120" s="2290"/>
      <c r="AM120" s="2290"/>
      <c r="AN120" s="2290"/>
      <c r="AO120" s="2290"/>
      <c r="AP120" s="2290"/>
      <c r="AQ120" s="2290"/>
      <c r="AR120" s="2290"/>
      <c r="AS120" s="2290"/>
      <c r="AT120" s="2290"/>
      <c r="AU120" s="2290"/>
      <c r="AV120" s="2290"/>
      <c r="AW120" s="2290"/>
      <c r="AX120" s="2290"/>
      <c r="AY120" s="2290"/>
      <c r="AZ120" s="2290"/>
      <c r="BA120" s="2290"/>
      <c r="BB120" s="2290"/>
      <c r="BC120" s="2290"/>
      <c r="BD120" s="2290"/>
      <c r="BE120" s="2290"/>
      <c r="BF120" s="2290"/>
      <c r="BG120" s="2290"/>
      <c r="BH120" s="2290"/>
      <c r="BI120" s="2290"/>
      <c r="BJ120" s="2290"/>
      <c r="BK120" s="2290"/>
      <c r="BL120" s="2290"/>
      <c r="BM120" s="2290"/>
      <c r="BN120" s="2290"/>
      <c r="BO120" s="2290"/>
      <c r="BP120" s="2290"/>
      <c r="BQ120" s="2290"/>
      <c r="BR120" s="2290"/>
      <c r="BS120" s="2290"/>
      <c r="BT120" s="2290"/>
      <c r="BU120" s="2290"/>
      <c r="BV120" s="2290"/>
      <c r="BW120" s="2290"/>
      <c r="BX120" s="2290"/>
      <c r="BY120" s="2290"/>
      <c r="BZ120" s="2290"/>
      <c r="CA120" s="2290"/>
    </row>
    <row r="121" spans="1:79">
      <c r="A121" s="15"/>
      <c r="B121" s="15"/>
      <c r="C121" s="15"/>
      <c r="D121" s="15"/>
      <c r="E121" s="15"/>
      <c r="F121" s="15"/>
      <c r="G121" s="15"/>
      <c r="H121" s="15"/>
      <c r="I121" s="15"/>
      <c r="J121" s="15"/>
      <c r="K121" s="15"/>
      <c r="L121" s="15"/>
      <c r="M121" s="15"/>
      <c r="N121" s="15"/>
      <c r="O121" s="15"/>
      <c r="P121" s="15"/>
      <c r="Q121" s="15"/>
      <c r="R121" s="15"/>
      <c r="S121" s="15"/>
      <c r="T121" s="15"/>
      <c r="U121" s="15"/>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0"/>
      <c r="AY121" s="2290"/>
      <c r="AZ121" s="2290"/>
      <c r="BA121" s="2290"/>
      <c r="BB121" s="2290"/>
      <c r="BC121" s="2290"/>
      <c r="BD121" s="2290"/>
      <c r="BE121" s="2290"/>
      <c r="BF121" s="2290"/>
      <c r="BG121" s="2290"/>
      <c r="BH121" s="2290"/>
      <c r="BI121" s="2290"/>
      <c r="BJ121" s="2290"/>
      <c r="BK121" s="2290"/>
      <c r="BL121" s="2290"/>
      <c r="BM121" s="2290"/>
      <c r="BN121" s="2290"/>
      <c r="BO121" s="2290"/>
      <c r="BP121" s="2290"/>
      <c r="BQ121" s="2290"/>
      <c r="BR121" s="2290"/>
      <c r="BS121" s="2290"/>
      <c r="BT121" s="2290"/>
      <c r="BU121" s="2290"/>
      <c r="BV121" s="2290"/>
      <c r="BW121" s="2290"/>
      <c r="BX121" s="2290"/>
      <c r="BY121" s="2290"/>
      <c r="BZ121" s="2290"/>
      <c r="CA121" s="2290"/>
    </row>
    <row r="122" spans="1:79">
      <c r="A122" s="15"/>
      <c r="B122" s="15"/>
      <c r="C122" s="15"/>
      <c r="D122" s="15"/>
      <c r="E122" s="15"/>
      <c r="F122" s="15"/>
      <c r="G122" s="15"/>
      <c r="H122" s="15"/>
      <c r="I122" s="15"/>
      <c r="J122" s="15"/>
      <c r="K122" s="15"/>
      <c r="L122" s="15"/>
      <c r="M122" s="15"/>
      <c r="N122" s="15"/>
      <c r="O122" s="15"/>
      <c r="P122" s="15"/>
      <c r="Q122" s="15"/>
      <c r="R122" s="15"/>
      <c r="S122" s="15"/>
      <c r="T122" s="15"/>
      <c r="U122" s="15"/>
      <c r="V122" s="2290"/>
      <c r="W122" s="2290"/>
      <c r="X122" s="2290"/>
      <c r="Y122" s="2290"/>
      <c r="Z122" s="2290"/>
      <c r="AA122" s="2290"/>
      <c r="AB122" s="2290"/>
      <c r="AC122" s="2290"/>
      <c r="AD122" s="2290"/>
      <c r="AE122" s="2290"/>
      <c r="AF122" s="2290"/>
      <c r="AG122" s="2290"/>
      <c r="AH122" s="2290"/>
      <c r="AI122" s="2290"/>
      <c r="AJ122" s="2290"/>
      <c r="AK122" s="2290"/>
      <c r="AL122" s="2290"/>
      <c r="AM122" s="2290"/>
      <c r="AN122" s="2290"/>
      <c r="AO122" s="2290"/>
      <c r="AP122" s="2290"/>
      <c r="AQ122" s="2290"/>
      <c r="AR122" s="2290"/>
      <c r="AS122" s="2290"/>
      <c r="AT122" s="2290"/>
      <c r="AU122" s="2290"/>
      <c r="AV122" s="2290"/>
      <c r="AW122" s="2290"/>
      <c r="AX122" s="2290"/>
      <c r="AY122" s="2290"/>
      <c r="AZ122" s="2290"/>
      <c r="BA122" s="2290"/>
      <c r="BB122" s="2290"/>
      <c r="BC122" s="2290"/>
      <c r="BD122" s="2290"/>
      <c r="BE122" s="2290"/>
      <c r="BF122" s="2290"/>
      <c r="BG122" s="2290"/>
      <c r="BH122" s="2290"/>
      <c r="BI122" s="2290"/>
      <c r="BJ122" s="2290"/>
      <c r="BK122" s="2290"/>
      <c r="BL122" s="2290"/>
      <c r="BM122" s="2290"/>
      <c r="BN122" s="2290"/>
      <c r="BO122" s="2290"/>
      <c r="BP122" s="2290"/>
      <c r="BQ122" s="2290"/>
      <c r="BR122" s="2290"/>
      <c r="BS122" s="2290"/>
      <c r="BT122" s="2290"/>
      <c r="BU122" s="2290"/>
      <c r="BV122" s="2290"/>
      <c r="BW122" s="2290"/>
      <c r="BX122" s="2290"/>
      <c r="BY122" s="2290"/>
      <c r="BZ122" s="2290"/>
      <c r="CA122" s="2290"/>
    </row>
    <row r="123" spans="1:79">
      <c r="A123" s="2290"/>
      <c r="B123" s="2290"/>
      <c r="C123" s="2290"/>
      <c r="D123" s="2290"/>
      <c r="E123" s="2290"/>
      <c r="F123" s="2290"/>
      <c r="G123" s="2290"/>
      <c r="H123" s="2290"/>
      <c r="I123" s="2290"/>
      <c r="J123" s="2290"/>
      <c r="K123" s="2290"/>
      <c r="L123" s="2290"/>
      <c r="M123" s="2290"/>
      <c r="N123" s="2290"/>
      <c r="O123" s="2290"/>
      <c r="P123" s="2290"/>
      <c r="Q123" s="2290"/>
      <c r="R123" s="2290"/>
      <c r="S123" s="2290"/>
      <c r="T123" s="2290"/>
      <c r="U123" s="2290"/>
      <c r="V123" s="2290"/>
      <c r="W123" s="2290"/>
      <c r="X123" s="2290"/>
      <c r="Y123" s="2290"/>
      <c r="Z123" s="2290"/>
      <c r="AA123" s="2290"/>
      <c r="AB123" s="2290"/>
      <c r="AC123" s="2290"/>
      <c r="AD123" s="2290"/>
      <c r="AE123" s="2290"/>
      <c r="AF123" s="2290"/>
      <c r="AG123" s="2290"/>
      <c r="AH123" s="2290"/>
      <c r="AI123" s="2290"/>
      <c r="AJ123" s="2290"/>
      <c r="AK123" s="2290"/>
      <c r="AL123" s="2290"/>
      <c r="AM123" s="2290"/>
      <c r="AN123" s="2290"/>
      <c r="AO123" s="2290"/>
      <c r="AP123" s="2290"/>
      <c r="AQ123" s="2290"/>
      <c r="AR123" s="2290"/>
      <c r="AS123" s="2290"/>
      <c r="AT123" s="2290"/>
      <c r="AU123" s="2290"/>
      <c r="AV123" s="2290"/>
      <c r="AW123" s="2290"/>
      <c r="AX123" s="2290"/>
      <c r="AY123" s="2290"/>
      <c r="AZ123" s="2290"/>
      <c r="BA123" s="2290"/>
      <c r="BB123" s="2290"/>
      <c r="BC123" s="2290"/>
      <c r="BD123" s="2290"/>
      <c r="BE123" s="2290"/>
      <c r="BF123" s="2290"/>
      <c r="BG123" s="2290"/>
      <c r="BH123" s="2290"/>
      <c r="BI123" s="2290"/>
      <c r="BJ123" s="2290"/>
      <c r="BK123" s="2290"/>
      <c r="BL123" s="2290"/>
      <c r="BM123" s="2290"/>
      <c r="BN123" s="2290"/>
      <c r="BO123" s="2290"/>
      <c r="BP123" s="2290"/>
      <c r="BQ123" s="2290"/>
      <c r="BR123" s="2290"/>
      <c r="BS123" s="2290"/>
      <c r="BT123" s="2290"/>
      <c r="BU123" s="2290"/>
      <c r="BV123" s="2290"/>
      <c r="BW123" s="2290"/>
      <c r="BX123" s="2290"/>
      <c r="BY123" s="2290"/>
      <c r="BZ123" s="2290"/>
      <c r="CA123" s="2290"/>
    </row>
    <row r="124" spans="1:79">
      <c r="A124" s="2290"/>
      <c r="B124" s="2290"/>
      <c r="C124" s="2290"/>
      <c r="D124" s="2290"/>
      <c r="E124" s="2290"/>
      <c r="F124" s="2290"/>
      <c r="G124" s="2290"/>
      <c r="H124" s="2290"/>
      <c r="I124" s="2290"/>
      <c r="J124" s="2290"/>
      <c r="K124" s="2290"/>
      <c r="L124" s="2290"/>
      <c r="M124" s="2290"/>
      <c r="N124" s="2290"/>
      <c r="O124" s="2290"/>
      <c r="P124" s="2290"/>
      <c r="Q124" s="2290"/>
      <c r="R124" s="2290"/>
      <c r="S124" s="2290"/>
      <c r="T124" s="2290"/>
      <c r="U124" s="2290"/>
      <c r="V124" s="2290"/>
      <c r="W124" s="2290"/>
      <c r="X124" s="2290"/>
      <c r="Y124" s="2290"/>
      <c r="Z124" s="2290"/>
      <c r="AA124" s="2290"/>
      <c r="AB124" s="2290"/>
      <c r="AC124" s="2290"/>
      <c r="AD124" s="2290"/>
      <c r="AE124" s="2290"/>
      <c r="AF124" s="2290"/>
      <c r="AG124" s="2290"/>
      <c r="AH124" s="2290"/>
      <c r="AI124" s="2290"/>
      <c r="AJ124" s="2290"/>
      <c r="AK124" s="2290"/>
      <c r="AL124" s="2290"/>
      <c r="AM124" s="2290"/>
      <c r="AN124" s="2290"/>
      <c r="AO124" s="2290"/>
      <c r="AP124" s="2290"/>
      <c r="AQ124" s="2290"/>
      <c r="AR124" s="2290"/>
      <c r="AS124" s="2290"/>
      <c r="AT124" s="2290"/>
      <c r="AU124" s="2290"/>
      <c r="AV124" s="2290"/>
      <c r="AW124" s="2290"/>
      <c r="AX124" s="2290"/>
      <c r="AY124" s="2290"/>
      <c r="AZ124" s="2290"/>
      <c r="BA124" s="2290"/>
      <c r="BB124" s="2290"/>
      <c r="BC124" s="2290"/>
      <c r="BD124" s="2290"/>
      <c r="BE124" s="2290"/>
      <c r="BF124" s="2290"/>
      <c r="BG124" s="2290"/>
      <c r="BH124" s="2290"/>
      <c r="BI124" s="2290"/>
      <c r="BJ124" s="2290"/>
      <c r="BK124" s="2290"/>
      <c r="BL124" s="2290"/>
      <c r="BM124" s="2290"/>
      <c r="BN124" s="2290"/>
      <c r="BO124" s="2290"/>
      <c r="BP124" s="2290"/>
      <c r="BQ124" s="2290"/>
      <c r="BR124" s="2290"/>
      <c r="BS124" s="2290"/>
      <c r="BT124" s="2290"/>
      <c r="BU124" s="2290"/>
      <c r="BV124" s="2290"/>
      <c r="BW124" s="2290"/>
      <c r="BX124" s="2290"/>
      <c r="BY124" s="2290"/>
      <c r="BZ124" s="2290"/>
      <c r="CA124" s="2290"/>
    </row>
    <row r="125" spans="1:79">
      <c r="A125" s="2290"/>
      <c r="B125" s="2290"/>
      <c r="C125" s="2290"/>
      <c r="D125" s="2290"/>
      <c r="E125" s="2290"/>
      <c r="F125" s="2290"/>
      <c r="G125" s="2290"/>
      <c r="H125" s="2290"/>
      <c r="I125" s="2290"/>
      <c r="J125" s="2290"/>
      <c r="K125" s="2290"/>
      <c r="L125" s="2290"/>
      <c r="M125" s="2290"/>
      <c r="N125" s="2290"/>
      <c r="O125" s="2290"/>
      <c r="P125" s="2290"/>
      <c r="Q125" s="2290"/>
      <c r="R125" s="2290"/>
      <c r="S125" s="2290"/>
      <c r="T125" s="2290"/>
      <c r="U125" s="2290"/>
      <c r="V125" s="2290"/>
      <c r="W125" s="2290"/>
      <c r="X125" s="2290"/>
      <c r="Y125" s="2290"/>
      <c r="Z125" s="2290"/>
      <c r="AA125" s="2290"/>
      <c r="AB125" s="2290"/>
      <c r="AC125" s="2290"/>
      <c r="AD125" s="2290"/>
      <c r="AE125" s="2290"/>
      <c r="AF125" s="2290"/>
      <c r="AG125" s="2290"/>
      <c r="AH125" s="2290"/>
      <c r="AI125" s="2290"/>
      <c r="AJ125" s="2290"/>
      <c r="AK125" s="2290"/>
      <c r="AL125" s="2290"/>
      <c r="AM125" s="2290"/>
      <c r="AN125" s="2290"/>
      <c r="AO125" s="2290"/>
      <c r="AP125" s="2290"/>
      <c r="AQ125" s="2290"/>
      <c r="AR125" s="2290"/>
      <c r="AS125" s="2290"/>
      <c r="AT125" s="2290"/>
      <c r="AU125" s="2290"/>
      <c r="AV125" s="2290"/>
      <c r="AW125" s="2290"/>
      <c r="AX125" s="2290"/>
      <c r="AY125" s="2290"/>
      <c r="AZ125" s="2290"/>
      <c r="BA125" s="2290"/>
      <c r="BB125" s="2290"/>
      <c r="BC125" s="2290"/>
      <c r="BD125" s="2290"/>
      <c r="BE125" s="2290"/>
      <c r="BF125" s="2290"/>
      <c r="BG125" s="2290"/>
      <c r="BH125" s="2290"/>
      <c r="BI125" s="2290"/>
      <c r="BJ125" s="2290"/>
      <c r="BK125" s="2290"/>
      <c r="BL125" s="2290"/>
      <c r="BM125" s="2290"/>
      <c r="BN125" s="2290"/>
      <c r="BO125" s="2290"/>
      <c r="BP125" s="2290"/>
      <c r="BQ125" s="2290"/>
      <c r="BR125" s="2290"/>
      <c r="BS125" s="2290"/>
      <c r="BT125" s="2290"/>
      <c r="BU125" s="2290"/>
      <c r="BV125" s="2290"/>
      <c r="BW125" s="2290"/>
      <c r="BX125" s="2290"/>
      <c r="BY125" s="2290"/>
      <c r="BZ125" s="2290"/>
      <c r="CA125" s="2290"/>
    </row>
    <row r="126" spans="1:79">
      <c r="A126" s="2290"/>
      <c r="B126" s="2290"/>
      <c r="C126" s="2290"/>
      <c r="D126" s="2290"/>
      <c r="E126" s="2290"/>
      <c r="F126" s="2290"/>
      <c r="G126" s="2290"/>
      <c r="H126" s="2290"/>
      <c r="I126" s="2290"/>
      <c r="J126" s="2290"/>
      <c r="K126" s="2290"/>
      <c r="L126" s="2290"/>
      <c r="M126" s="2290"/>
      <c r="N126" s="2290"/>
      <c r="O126" s="2290"/>
      <c r="P126" s="2290"/>
      <c r="Q126" s="2290"/>
      <c r="R126" s="2290"/>
      <c r="S126" s="2290"/>
      <c r="T126" s="2290"/>
      <c r="U126" s="2290"/>
      <c r="V126" s="2290"/>
      <c r="W126" s="2290"/>
      <c r="X126" s="2290"/>
      <c r="Y126" s="2290"/>
      <c r="Z126" s="2290"/>
      <c r="AA126" s="2290"/>
      <c r="AB126" s="2290"/>
      <c r="AC126" s="2290"/>
      <c r="AD126" s="2290"/>
      <c r="AE126" s="2290"/>
      <c r="AF126" s="2290"/>
      <c r="AG126" s="2290"/>
      <c r="AH126" s="2290"/>
      <c r="AI126" s="2290"/>
      <c r="AJ126" s="2290"/>
      <c r="AK126" s="2290"/>
      <c r="AL126" s="2290"/>
      <c r="AM126" s="2290"/>
      <c r="AN126" s="2290"/>
      <c r="AO126" s="2290"/>
      <c r="AP126" s="2290"/>
      <c r="AQ126" s="2290"/>
      <c r="AR126" s="2290"/>
      <c r="AS126" s="2290"/>
      <c r="AT126" s="2290"/>
      <c r="AU126" s="2290"/>
      <c r="AV126" s="2290"/>
      <c r="AW126" s="2290"/>
      <c r="AX126" s="2290"/>
      <c r="AY126" s="2290"/>
      <c r="AZ126" s="2290"/>
      <c r="BA126" s="2290"/>
      <c r="BB126" s="2290"/>
      <c r="BC126" s="2290"/>
      <c r="BD126" s="2290"/>
      <c r="BE126" s="2290"/>
      <c r="BF126" s="2290"/>
      <c r="BG126" s="2290"/>
      <c r="BH126" s="2290"/>
      <c r="BI126" s="2290"/>
      <c r="BJ126" s="2290"/>
      <c r="BK126" s="2290"/>
      <c r="BL126" s="2290"/>
      <c r="BM126" s="2290"/>
      <c r="BN126" s="2290"/>
      <c r="BO126" s="2290"/>
      <c r="BP126" s="2290"/>
      <c r="BQ126" s="2290"/>
      <c r="BR126" s="2290"/>
      <c r="BS126" s="2290"/>
      <c r="BT126" s="2290"/>
      <c r="BU126" s="2290"/>
      <c r="BV126" s="2290"/>
      <c r="BW126" s="2290"/>
      <c r="BX126" s="2290"/>
      <c r="BY126" s="2290"/>
      <c r="BZ126" s="2290"/>
      <c r="CA126" s="2290"/>
    </row>
    <row r="127" spans="1:79">
      <c r="A127" s="2290"/>
      <c r="B127" s="2290"/>
      <c r="C127" s="2290"/>
      <c r="D127" s="2290"/>
      <c r="E127" s="2290"/>
      <c r="F127" s="2290"/>
      <c r="G127" s="2290"/>
      <c r="H127" s="2290"/>
      <c r="I127" s="2290"/>
      <c r="J127" s="2290"/>
      <c r="K127" s="2290"/>
      <c r="L127" s="2290"/>
      <c r="M127" s="2290"/>
      <c r="N127" s="2290"/>
      <c r="O127" s="2290"/>
      <c r="P127" s="2290"/>
      <c r="Q127" s="2290"/>
      <c r="R127" s="2290"/>
      <c r="S127" s="2290"/>
      <c r="T127" s="2290"/>
      <c r="U127" s="2290"/>
      <c r="V127" s="2290"/>
      <c r="W127" s="2290"/>
      <c r="X127" s="2290"/>
      <c r="Y127" s="2290"/>
      <c r="Z127" s="2290"/>
      <c r="AA127" s="2290"/>
      <c r="AB127" s="2290"/>
      <c r="AC127" s="2290"/>
      <c r="AD127" s="2290"/>
      <c r="AE127" s="2290"/>
      <c r="AF127" s="2290"/>
      <c r="AG127" s="2290"/>
      <c r="AH127" s="2290"/>
      <c r="AI127" s="2290"/>
      <c r="AJ127" s="2290"/>
      <c r="AK127" s="2290"/>
      <c r="AL127" s="2290"/>
      <c r="AM127" s="2290"/>
      <c r="AN127" s="2290"/>
      <c r="AO127" s="2290"/>
      <c r="AP127" s="2290"/>
      <c r="AQ127" s="2290"/>
      <c r="AR127" s="2290"/>
      <c r="AS127" s="2290"/>
      <c r="AT127" s="2290"/>
      <c r="AU127" s="2290"/>
      <c r="AV127" s="2290"/>
      <c r="AW127" s="2290"/>
      <c r="AX127" s="2290"/>
      <c r="AY127" s="2290"/>
      <c r="AZ127" s="2290"/>
      <c r="BA127" s="2290"/>
      <c r="BB127" s="2290"/>
      <c r="BC127" s="2290"/>
      <c r="BD127" s="2290"/>
      <c r="BE127" s="2290"/>
      <c r="BF127" s="2290"/>
      <c r="BG127" s="2290"/>
      <c r="BH127" s="2290"/>
      <c r="BI127" s="2290"/>
      <c r="BJ127" s="2290"/>
      <c r="BK127" s="2290"/>
      <c r="BL127" s="2290"/>
      <c r="BM127" s="2290"/>
      <c r="BN127" s="2290"/>
      <c r="BO127" s="2290"/>
      <c r="BP127" s="2290"/>
      <c r="BQ127" s="2290"/>
      <c r="BR127" s="2290"/>
      <c r="BS127" s="2290"/>
      <c r="BT127" s="2290"/>
      <c r="BU127" s="2290"/>
      <c r="BV127" s="2290"/>
      <c r="BW127" s="2290"/>
      <c r="BX127" s="2290"/>
      <c r="BY127" s="2290"/>
      <c r="BZ127" s="2290"/>
      <c r="CA127" s="2290"/>
    </row>
    <row r="128" spans="1:79">
      <c r="A128" s="2290"/>
      <c r="B128" s="2290"/>
      <c r="C128" s="2290"/>
      <c r="D128" s="2290"/>
      <c r="E128" s="2290"/>
      <c r="F128" s="2290"/>
      <c r="G128" s="2290"/>
      <c r="H128" s="2290"/>
      <c r="I128" s="2290"/>
      <c r="J128" s="2290"/>
      <c r="K128" s="2290"/>
      <c r="L128" s="2290"/>
      <c r="M128" s="2290"/>
      <c r="N128" s="2290"/>
      <c r="O128" s="2290"/>
      <c r="P128" s="2290"/>
      <c r="Q128" s="2290"/>
      <c r="R128" s="2290"/>
      <c r="S128" s="2290"/>
      <c r="T128" s="2290"/>
      <c r="U128" s="2290"/>
      <c r="V128" s="2290"/>
      <c r="W128" s="2290"/>
      <c r="X128" s="2290"/>
      <c r="Y128" s="2290"/>
      <c r="Z128" s="2290"/>
      <c r="AA128" s="2290"/>
      <c r="AB128" s="2290"/>
      <c r="AC128" s="2290"/>
      <c r="AD128" s="2290"/>
      <c r="AE128" s="2290"/>
      <c r="AF128" s="2290"/>
      <c r="AG128" s="2290"/>
      <c r="AH128" s="2290"/>
      <c r="AI128" s="2290"/>
      <c r="AJ128" s="2290"/>
      <c r="AK128" s="2290"/>
      <c r="AL128" s="2290"/>
      <c r="AM128" s="2290"/>
      <c r="AN128" s="2290"/>
      <c r="AO128" s="2290"/>
      <c r="AP128" s="2290"/>
      <c r="AQ128" s="2290"/>
      <c r="AR128" s="2290"/>
      <c r="AS128" s="2290"/>
      <c r="AT128" s="2290"/>
      <c r="AU128" s="2290"/>
      <c r="AV128" s="2290"/>
      <c r="AW128" s="2290"/>
      <c r="AX128" s="2290"/>
      <c r="AY128" s="2290"/>
      <c r="AZ128" s="2290"/>
      <c r="BA128" s="2290"/>
      <c r="BB128" s="2290"/>
      <c r="BC128" s="2290"/>
      <c r="BD128" s="2290"/>
      <c r="BE128" s="2290"/>
      <c r="BF128" s="2290"/>
      <c r="BG128" s="2290"/>
      <c r="BH128" s="2290"/>
      <c r="BI128" s="2290"/>
      <c r="BJ128" s="2290"/>
      <c r="BK128" s="2290"/>
      <c r="BL128" s="2290"/>
      <c r="BM128" s="2290"/>
      <c r="BN128" s="2290"/>
      <c r="BO128" s="2290"/>
      <c r="BP128" s="2290"/>
      <c r="BQ128" s="2290"/>
      <c r="BR128" s="2290"/>
      <c r="BS128" s="2290"/>
      <c r="BT128" s="2290"/>
      <c r="BU128" s="2290"/>
      <c r="BV128" s="2290"/>
      <c r="BW128" s="2290"/>
      <c r="BX128" s="2290"/>
      <c r="BY128" s="2290"/>
      <c r="BZ128" s="2290"/>
      <c r="CA128" s="2290"/>
    </row>
    <row r="129" spans="1:79">
      <c r="A129" s="2290"/>
      <c r="B129" s="2290"/>
      <c r="C129" s="2290"/>
      <c r="D129" s="2290"/>
      <c r="E129" s="2290"/>
      <c r="F129" s="2290"/>
      <c r="G129" s="2290"/>
      <c r="H129" s="2290"/>
      <c r="I129" s="2290"/>
      <c r="J129" s="2290"/>
      <c r="K129" s="2290"/>
      <c r="L129" s="2290"/>
      <c r="M129" s="2290"/>
      <c r="N129" s="2290"/>
      <c r="O129" s="2290"/>
      <c r="P129" s="2290"/>
      <c r="Q129" s="2290"/>
      <c r="R129" s="2290"/>
      <c r="S129" s="2290"/>
      <c r="T129" s="2290"/>
      <c r="U129" s="2290"/>
      <c r="V129" s="2290"/>
      <c r="W129" s="2290"/>
      <c r="X129" s="2290"/>
      <c r="Y129" s="2290"/>
      <c r="Z129" s="2290"/>
      <c r="AA129" s="2290"/>
      <c r="AB129" s="2290"/>
      <c r="AC129" s="2290"/>
      <c r="AD129" s="2290"/>
      <c r="AE129" s="2290"/>
      <c r="AF129" s="2290"/>
      <c r="AG129" s="2290"/>
      <c r="AH129" s="2290"/>
      <c r="AI129" s="2290"/>
      <c r="AJ129" s="2290"/>
      <c r="AK129" s="2290"/>
      <c r="AL129" s="2290"/>
      <c r="AM129" s="2290"/>
      <c r="AN129" s="2290"/>
      <c r="AO129" s="2290"/>
      <c r="AP129" s="2290"/>
      <c r="AQ129" s="2290"/>
      <c r="AR129" s="2290"/>
      <c r="AS129" s="2290"/>
      <c r="AT129" s="2290"/>
      <c r="AU129" s="2290"/>
      <c r="AV129" s="2290"/>
      <c r="AW129" s="2290"/>
      <c r="AX129" s="2290"/>
      <c r="AY129" s="2290"/>
      <c r="AZ129" s="2290"/>
      <c r="BA129" s="2290"/>
      <c r="BB129" s="2290"/>
      <c r="BC129" s="2290"/>
      <c r="BD129" s="2290"/>
      <c r="BE129" s="2290"/>
      <c r="BF129" s="2290"/>
      <c r="BG129" s="2290"/>
      <c r="BH129" s="2290"/>
      <c r="BI129" s="2290"/>
      <c r="BJ129" s="2290"/>
      <c r="BK129" s="2290"/>
      <c r="BL129" s="2290"/>
      <c r="BM129" s="2290"/>
      <c r="BN129" s="2290"/>
      <c r="BO129" s="2290"/>
      <c r="BP129" s="2290"/>
      <c r="BQ129" s="2290"/>
      <c r="BR129" s="2290"/>
      <c r="BS129" s="2290"/>
      <c r="BT129" s="2290"/>
      <c r="BU129" s="2290"/>
      <c r="BV129" s="2290"/>
      <c r="BW129" s="2290"/>
      <c r="BX129" s="2290"/>
      <c r="BY129" s="2290"/>
      <c r="BZ129" s="2290"/>
      <c r="CA129" s="2290"/>
    </row>
    <row r="130" spans="1:79">
      <c r="A130" s="2290"/>
      <c r="B130" s="2290"/>
      <c r="C130" s="2290"/>
      <c r="D130" s="2290"/>
      <c r="E130" s="2290"/>
      <c r="F130" s="2290"/>
      <c r="G130" s="2290"/>
      <c r="H130" s="2290"/>
      <c r="I130" s="2290"/>
      <c r="J130" s="2290"/>
      <c r="K130" s="2290"/>
      <c r="L130" s="2290"/>
      <c r="M130" s="2290"/>
      <c r="N130" s="2290"/>
      <c r="O130" s="2290"/>
      <c r="P130" s="2290"/>
      <c r="Q130" s="2290"/>
      <c r="R130" s="2290"/>
      <c r="S130" s="2290"/>
      <c r="T130" s="2290"/>
      <c r="U130" s="2290"/>
      <c r="V130" s="2290"/>
      <c r="W130" s="2290"/>
      <c r="X130" s="2290"/>
      <c r="Y130" s="2290"/>
      <c r="Z130" s="2290"/>
      <c r="AA130" s="2290"/>
      <c r="AB130" s="2290"/>
      <c r="AC130" s="2290"/>
      <c r="AD130" s="2290"/>
      <c r="AE130" s="2290"/>
      <c r="AF130" s="2290"/>
      <c r="AG130" s="2290"/>
      <c r="AH130" s="2290"/>
      <c r="AI130" s="2290"/>
      <c r="AJ130" s="2290"/>
      <c r="AK130" s="2290"/>
      <c r="AL130" s="2290"/>
      <c r="AM130" s="2290"/>
      <c r="AN130" s="2290"/>
      <c r="AO130" s="2290"/>
      <c r="AP130" s="2290"/>
      <c r="AQ130" s="2290"/>
      <c r="AR130" s="2290"/>
      <c r="AS130" s="2290"/>
      <c r="AT130" s="2290"/>
      <c r="AU130" s="2290"/>
      <c r="AV130" s="2290"/>
      <c r="AW130" s="2290"/>
      <c r="AX130" s="2290"/>
      <c r="AY130" s="2290"/>
      <c r="AZ130" s="2290"/>
      <c r="BA130" s="2290"/>
      <c r="BB130" s="2290"/>
      <c r="BC130" s="2290"/>
      <c r="BD130" s="2290"/>
      <c r="BE130" s="2290"/>
      <c r="BF130" s="2290"/>
      <c r="BG130" s="2290"/>
      <c r="BH130" s="2290"/>
      <c r="BI130" s="2290"/>
      <c r="BJ130" s="2290"/>
      <c r="BK130" s="2290"/>
      <c r="BL130" s="2290"/>
      <c r="BM130" s="2290"/>
      <c r="BN130" s="2290"/>
      <c r="BO130" s="2290"/>
      <c r="BP130" s="2290"/>
      <c r="BQ130" s="2290"/>
      <c r="BR130" s="2290"/>
      <c r="BS130" s="2290"/>
      <c r="BT130" s="2290"/>
      <c r="BU130" s="2290"/>
      <c r="BV130" s="2290"/>
      <c r="BW130" s="2290"/>
      <c r="BX130" s="2290"/>
      <c r="BY130" s="2290"/>
      <c r="BZ130" s="2290"/>
      <c r="CA130" s="2290"/>
    </row>
    <row r="131" spans="1:79">
      <c r="A131" s="2290"/>
      <c r="B131" s="2290"/>
      <c r="C131" s="2290"/>
      <c r="D131" s="2290"/>
      <c r="E131" s="2290"/>
      <c r="F131" s="2290"/>
      <c r="G131" s="2290"/>
      <c r="H131" s="2290"/>
      <c r="I131" s="2290"/>
      <c r="J131" s="2290"/>
      <c r="K131" s="2290"/>
      <c r="L131" s="2290"/>
      <c r="M131" s="2290"/>
      <c r="N131" s="2290"/>
      <c r="O131" s="2290"/>
      <c r="P131" s="2290"/>
      <c r="Q131" s="2290"/>
      <c r="R131" s="2290"/>
      <c r="S131" s="2290"/>
      <c r="T131" s="2290"/>
      <c r="U131" s="2290"/>
      <c r="V131" s="2290"/>
      <c r="W131" s="2290"/>
      <c r="X131" s="2290"/>
      <c r="Y131" s="2290"/>
      <c r="Z131" s="2290"/>
      <c r="AA131" s="2290"/>
      <c r="AB131" s="2290"/>
      <c r="AC131" s="2290"/>
      <c r="AD131" s="2290"/>
      <c r="AE131" s="2290"/>
      <c r="AF131" s="2290"/>
      <c r="AG131" s="2290"/>
      <c r="AH131" s="2290"/>
      <c r="AI131" s="2290"/>
      <c r="AJ131" s="2290"/>
      <c r="AK131" s="2290"/>
      <c r="AL131" s="2290"/>
      <c r="AM131" s="2290"/>
      <c r="AN131" s="2290"/>
      <c r="AO131" s="2290"/>
      <c r="AP131" s="2290"/>
      <c r="AQ131" s="2290"/>
      <c r="AR131" s="2290"/>
      <c r="AS131" s="2290"/>
      <c r="AT131" s="2290"/>
      <c r="AU131" s="2290"/>
      <c r="AV131" s="2290"/>
      <c r="AW131" s="2290"/>
      <c r="AX131" s="2290"/>
      <c r="AY131" s="2290"/>
      <c r="AZ131" s="2290"/>
      <c r="BA131" s="2290"/>
      <c r="BB131" s="2290"/>
      <c r="BC131" s="2290"/>
      <c r="BD131" s="2290"/>
      <c r="BE131" s="2290"/>
      <c r="BF131" s="2290"/>
      <c r="BG131" s="2290"/>
      <c r="BH131" s="2290"/>
      <c r="BI131" s="2290"/>
      <c r="BJ131" s="2290"/>
      <c r="BK131" s="2290"/>
      <c r="BL131" s="2290"/>
      <c r="BM131" s="2290"/>
      <c r="BN131" s="2290"/>
      <c r="BO131" s="2290"/>
      <c r="BP131" s="2290"/>
      <c r="BQ131" s="2290"/>
      <c r="BR131" s="2290"/>
      <c r="BS131" s="2290"/>
      <c r="BT131" s="2290"/>
      <c r="BU131" s="2290"/>
      <c r="BV131" s="2290"/>
      <c r="BW131" s="2290"/>
      <c r="BX131" s="2290"/>
      <c r="BY131" s="2290"/>
      <c r="BZ131" s="2290"/>
      <c r="CA131" s="2290"/>
    </row>
    <row r="132" spans="1:79">
      <c r="A132" s="2290"/>
      <c r="B132" s="2290"/>
      <c r="C132" s="2290"/>
      <c r="D132" s="2290"/>
      <c r="E132" s="2290"/>
      <c r="F132" s="2290"/>
      <c r="G132" s="2290"/>
      <c r="H132" s="2290"/>
      <c r="I132" s="2290"/>
      <c r="J132" s="2290"/>
      <c r="K132" s="2290"/>
      <c r="L132" s="2290"/>
      <c r="M132" s="2290"/>
      <c r="N132" s="2290"/>
      <c r="O132" s="2290"/>
      <c r="P132" s="2290"/>
      <c r="Q132" s="2290"/>
      <c r="R132" s="2290"/>
      <c r="S132" s="2290"/>
      <c r="T132" s="2290"/>
      <c r="U132" s="2290"/>
      <c r="V132" s="2290"/>
      <c r="W132" s="2290"/>
      <c r="X132" s="2290"/>
      <c r="Y132" s="2290"/>
      <c r="Z132" s="2290"/>
      <c r="AA132" s="2290"/>
      <c r="AB132" s="2290"/>
      <c r="AC132" s="2290"/>
      <c r="AD132" s="2290"/>
      <c r="AE132" s="2290"/>
      <c r="AF132" s="2290"/>
      <c r="AG132" s="2290"/>
      <c r="AH132" s="2290"/>
      <c r="AI132" s="2290"/>
      <c r="AJ132" s="2290"/>
      <c r="AK132" s="2290"/>
      <c r="AL132" s="2290"/>
      <c r="AM132" s="2290"/>
      <c r="AN132" s="2290"/>
      <c r="AO132" s="2290"/>
      <c r="AP132" s="2290"/>
      <c r="AQ132" s="2290"/>
      <c r="AR132" s="2290"/>
      <c r="AS132" s="2290"/>
      <c r="AT132" s="2290"/>
      <c r="AU132" s="2290"/>
      <c r="AV132" s="2290"/>
      <c r="AW132" s="2290"/>
      <c r="AX132" s="2290"/>
      <c r="AY132" s="2290"/>
      <c r="AZ132" s="2290"/>
      <c r="BA132" s="2290"/>
      <c r="BB132" s="2290"/>
      <c r="BC132" s="2290"/>
      <c r="BD132" s="2290"/>
      <c r="BE132" s="2290"/>
      <c r="BF132" s="2290"/>
      <c r="BG132" s="2290"/>
      <c r="BH132" s="2290"/>
      <c r="BI132" s="2290"/>
      <c r="BJ132" s="2290"/>
      <c r="BK132" s="2290"/>
      <c r="BL132" s="2290"/>
      <c r="BM132" s="2290"/>
      <c r="BN132" s="2290"/>
      <c r="BO132" s="2290"/>
      <c r="BP132" s="2290"/>
      <c r="BQ132" s="2290"/>
      <c r="BR132" s="2290"/>
      <c r="BS132" s="2290"/>
      <c r="BT132" s="2290"/>
      <c r="BU132" s="2290"/>
      <c r="BV132" s="2290"/>
      <c r="BW132" s="2290"/>
      <c r="BX132" s="2290"/>
      <c r="BY132" s="2290"/>
      <c r="BZ132" s="2290"/>
      <c r="CA132" s="2290"/>
    </row>
    <row r="133" spans="1:79">
      <c r="A133" s="2290"/>
      <c r="B133" s="2290"/>
      <c r="C133" s="2290"/>
      <c r="D133" s="2290"/>
      <c r="E133" s="2290"/>
      <c r="F133" s="2290"/>
      <c r="G133" s="2290"/>
      <c r="H133" s="2290"/>
      <c r="I133" s="2290"/>
      <c r="J133" s="2290"/>
      <c r="K133" s="2290"/>
      <c r="L133" s="2290"/>
      <c r="M133" s="2290"/>
      <c r="N133" s="2290"/>
      <c r="O133" s="2290"/>
      <c r="P133" s="2290"/>
      <c r="Q133" s="2290"/>
      <c r="R133" s="2290"/>
      <c r="S133" s="2290"/>
      <c r="T133" s="2290"/>
      <c r="U133" s="2290"/>
      <c r="V133" s="2290"/>
      <c r="W133" s="2290"/>
      <c r="X133" s="2290"/>
      <c r="Y133" s="2290"/>
      <c r="Z133" s="2290"/>
      <c r="AA133" s="2290"/>
      <c r="AB133" s="2290"/>
      <c r="AC133" s="2290"/>
      <c r="AD133" s="2290"/>
      <c r="AE133" s="2290"/>
      <c r="AF133" s="2290"/>
      <c r="AG133" s="2290"/>
      <c r="AH133" s="2290"/>
      <c r="AI133" s="2290"/>
      <c r="AJ133" s="2290"/>
      <c r="AK133" s="2290"/>
      <c r="AL133" s="2290"/>
      <c r="AM133" s="2290"/>
      <c r="AN133" s="2290"/>
      <c r="AO133" s="2290"/>
      <c r="AP133" s="2290"/>
      <c r="AQ133" s="2290"/>
      <c r="AR133" s="2290"/>
      <c r="AS133" s="2290"/>
      <c r="AT133" s="2290"/>
      <c r="AU133" s="2290"/>
      <c r="AV133" s="2290"/>
      <c r="AW133" s="2290"/>
      <c r="AX133" s="2290"/>
      <c r="AY133" s="2290"/>
      <c r="AZ133" s="2290"/>
      <c r="BA133" s="2290"/>
      <c r="BB133" s="2290"/>
      <c r="BC133" s="2290"/>
      <c r="BD133" s="2290"/>
      <c r="BE133" s="2290"/>
      <c r="BF133" s="2290"/>
      <c r="BG133" s="2290"/>
      <c r="BH133" s="2290"/>
      <c r="BI133" s="2290"/>
      <c r="BJ133" s="2290"/>
      <c r="BK133" s="2290"/>
      <c r="BL133" s="2290"/>
      <c r="BM133" s="2290"/>
      <c r="BN133" s="2290"/>
      <c r="BO133" s="2290"/>
      <c r="BP133" s="2290"/>
      <c r="BQ133" s="2290"/>
      <c r="BR133" s="2290"/>
      <c r="BS133" s="2290"/>
      <c r="BT133" s="2290"/>
      <c r="BU133" s="2290"/>
      <c r="BV133" s="2290"/>
      <c r="BW133" s="2290"/>
      <c r="BX133" s="2290"/>
      <c r="BY133" s="2290"/>
      <c r="BZ133" s="2290"/>
      <c r="CA133" s="2290"/>
    </row>
    <row r="134" spans="1:79">
      <c r="A134" s="2290"/>
      <c r="B134" s="2290"/>
      <c r="C134" s="2290"/>
      <c r="D134" s="2290"/>
      <c r="E134" s="2290"/>
      <c r="F134" s="2290"/>
      <c r="G134" s="2290"/>
      <c r="H134" s="2290"/>
      <c r="I134" s="2290"/>
      <c r="J134" s="2290"/>
      <c r="K134" s="2290"/>
      <c r="L134" s="2290"/>
      <c r="M134" s="2290"/>
      <c r="N134" s="2290"/>
      <c r="O134" s="2290"/>
      <c r="P134" s="2290"/>
      <c r="Q134" s="2290"/>
      <c r="R134" s="2290"/>
      <c r="S134" s="2290"/>
      <c r="T134" s="2290"/>
      <c r="U134" s="2290"/>
      <c r="V134" s="2290"/>
      <c r="W134" s="2290"/>
      <c r="X134" s="2290"/>
      <c r="Y134" s="2290"/>
      <c r="Z134" s="2290"/>
      <c r="AA134" s="2290"/>
      <c r="AB134" s="2290"/>
      <c r="AC134" s="2290"/>
      <c r="AD134" s="2290"/>
      <c r="AE134" s="2290"/>
      <c r="AF134" s="2290"/>
      <c r="AG134" s="2290"/>
      <c r="AH134" s="2290"/>
      <c r="AI134" s="2290"/>
      <c r="AJ134" s="2290"/>
      <c r="AK134" s="2290"/>
      <c r="AL134" s="2290"/>
      <c r="AM134" s="2290"/>
      <c r="AN134" s="2290"/>
      <c r="AO134" s="2290"/>
      <c r="AP134" s="2290"/>
      <c r="AQ134" s="2290"/>
      <c r="AR134" s="2290"/>
      <c r="AS134" s="2290"/>
      <c r="AT134" s="2290"/>
      <c r="AU134" s="2290"/>
      <c r="AV134" s="2290"/>
      <c r="AW134" s="2290"/>
      <c r="AX134" s="2290"/>
      <c r="AY134" s="2290"/>
      <c r="AZ134" s="2290"/>
      <c r="BA134" s="2290"/>
      <c r="BB134" s="2290"/>
      <c r="BC134" s="2290"/>
      <c r="BD134" s="2290"/>
      <c r="BE134" s="2290"/>
      <c r="BF134" s="2290"/>
      <c r="BG134" s="2290"/>
      <c r="BH134" s="2290"/>
      <c r="BI134" s="2290"/>
      <c r="BJ134" s="2290"/>
      <c r="BK134" s="2290"/>
      <c r="BL134" s="2290"/>
      <c r="BM134" s="2290"/>
      <c r="BN134" s="2290"/>
      <c r="BO134" s="2290"/>
      <c r="BP134" s="2290"/>
      <c r="BQ134" s="2290"/>
      <c r="BR134" s="2290"/>
      <c r="BS134" s="2290"/>
      <c r="BT134" s="2290"/>
      <c r="BU134" s="2290"/>
      <c r="BV134" s="2290"/>
      <c r="BW134" s="2290"/>
      <c r="BX134" s="2290"/>
      <c r="BY134" s="2290"/>
      <c r="BZ134" s="2290"/>
      <c r="CA134" s="2290"/>
    </row>
    <row r="135" spans="1:79">
      <c r="A135" s="2290"/>
      <c r="B135" s="2290"/>
      <c r="C135" s="2290"/>
      <c r="D135" s="2290"/>
      <c r="E135" s="2290"/>
      <c r="F135" s="2290"/>
      <c r="G135" s="2290"/>
      <c r="H135" s="2290"/>
      <c r="I135" s="2290"/>
      <c r="J135" s="2290"/>
      <c r="K135" s="2290"/>
      <c r="L135" s="2290"/>
      <c r="M135" s="2290"/>
      <c r="N135" s="2290"/>
      <c r="O135" s="2290"/>
      <c r="P135" s="2290"/>
      <c r="Q135" s="2290"/>
      <c r="R135" s="2290"/>
      <c r="S135" s="2290"/>
      <c r="T135" s="2290"/>
      <c r="U135" s="2290"/>
      <c r="V135" s="2290"/>
      <c r="W135" s="2290"/>
      <c r="X135" s="2290"/>
      <c r="Y135" s="2290"/>
      <c r="Z135" s="2290"/>
      <c r="AA135" s="2290"/>
      <c r="AB135" s="2290"/>
      <c r="AC135" s="2290"/>
      <c r="AD135" s="2290"/>
      <c r="AE135" s="2290"/>
      <c r="AF135" s="2290"/>
      <c r="AG135" s="2290"/>
      <c r="AH135" s="2290"/>
      <c r="AI135" s="2290"/>
      <c r="AJ135" s="2290"/>
      <c r="AK135" s="2290"/>
      <c r="AL135" s="2290"/>
      <c r="AM135" s="2290"/>
      <c r="AN135" s="2290"/>
      <c r="AO135" s="2290"/>
      <c r="AP135" s="2290"/>
      <c r="AQ135" s="2290"/>
      <c r="AR135" s="2290"/>
      <c r="AS135" s="2290"/>
      <c r="AT135" s="2290"/>
      <c r="AU135" s="2290"/>
      <c r="AV135" s="2290"/>
      <c r="AW135" s="2290"/>
      <c r="AX135" s="2290"/>
      <c r="AY135" s="2290"/>
      <c r="AZ135" s="2290"/>
      <c r="BA135" s="2290"/>
      <c r="BB135" s="2290"/>
      <c r="BC135" s="2290"/>
      <c r="BD135" s="2290"/>
      <c r="BE135" s="2290"/>
      <c r="BF135" s="2290"/>
      <c r="BG135" s="2290"/>
      <c r="BH135" s="2290"/>
      <c r="BI135" s="2290"/>
      <c r="BJ135" s="2290"/>
      <c r="BK135" s="2290"/>
      <c r="BL135" s="2290"/>
      <c r="BM135" s="2290"/>
      <c r="BN135" s="2290"/>
      <c r="BO135" s="2290"/>
      <c r="BP135" s="2290"/>
      <c r="BQ135" s="2290"/>
      <c r="BR135" s="2290"/>
      <c r="BS135" s="2290"/>
      <c r="BT135" s="2290"/>
      <c r="BU135" s="2290"/>
      <c r="BV135" s="2290"/>
      <c r="BW135" s="2290"/>
      <c r="BX135" s="2290"/>
      <c r="BY135" s="2290"/>
      <c r="BZ135" s="2290"/>
      <c r="CA135" s="2290"/>
    </row>
    <row r="136" spans="1:79">
      <c r="A136" s="2290"/>
      <c r="B136" s="2290"/>
      <c r="C136" s="2290"/>
      <c r="D136" s="2290"/>
      <c r="E136" s="2290"/>
      <c r="F136" s="2290"/>
      <c r="G136" s="2290"/>
      <c r="H136" s="2290"/>
      <c r="I136" s="2290"/>
      <c r="J136" s="2290"/>
      <c r="K136" s="2290"/>
      <c r="L136" s="2290"/>
      <c r="M136" s="2290"/>
      <c r="N136" s="2290"/>
      <c r="O136" s="2290"/>
      <c r="P136" s="2290"/>
      <c r="Q136" s="2290"/>
      <c r="R136" s="2290"/>
      <c r="S136" s="2290"/>
      <c r="T136" s="2290"/>
      <c r="U136" s="2290"/>
      <c r="V136" s="2290"/>
      <c r="W136" s="2290"/>
      <c r="X136" s="2290"/>
      <c r="Y136" s="2290"/>
      <c r="Z136" s="2290"/>
      <c r="AA136" s="2290"/>
      <c r="AB136" s="2290"/>
      <c r="AC136" s="2290"/>
      <c r="AD136" s="2290"/>
      <c r="AE136" s="2290"/>
      <c r="AF136" s="2290"/>
      <c r="AG136" s="2290"/>
      <c r="AH136" s="2290"/>
      <c r="AI136" s="2290"/>
      <c r="AJ136" s="2290"/>
      <c r="AK136" s="2290"/>
      <c r="AL136" s="2290"/>
      <c r="AM136" s="2290"/>
      <c r="AN136" s="2290"/>
      <c r="AO136" s="2290"/>
      <c r="AP136" s="2290"/>
      <c r="AQ136" s="2290"/>
      <c r="AR136" s="2290"/>
      <c r="AS136" s="2290"/>
      <c r="AT136" s="2290"/>
      <c r="AU136" s="2290"/>
      <c r="AV136" s="2290"/>
      <c r="AW136" s="2290"/>
      <c r="AX136" s="2290"/>
      <c r="AY136" s="2290"/>
      <c r="AZ136" s="2290"/>
      <c r="BA136" s="2290"/>
      <c r="BB136" s="2290"/>
      <c r="BC136" s="2290"/>
      <c r="BD136" s="2290"/>
      <c r="BE136" s="2290"/>
      <c r="BF136" s="2290"/>
      <c r="BG136" s="2290"/>
      <c r="BH136" s="2290"/>
      <c r="BI136" s="2290"/>
      <c r="BJ136" s="2290"/>
      <c r="BK136" s="2290"/>
      <c r="BL136" s="2290"/>
      <c r="BM136" s="2290"/>
      <c r="BN136" s="2290"/>
      <c r="BO136" s="2290"/>
      <c r="BP136" s="2290"/>
      <c r="BQ136" s="2290"/>
      <c r="BR136" s="2290"/>
      <c r="BS136" s="2290"/>
      <c r="BT136" s="2290"/>
      <c r="BU136" s="2290"/>
      <c r="BV136" s="2290"/>
      <c r="BW136" s="2290"/>
      <c r="BX136" s="2290"/>
      <c r="BY136" s="2290"/>
      <c r="BZ136" s="2290"/>
      <c r="CA136" s="2290"/>
    </row>
    <row r="137" spans="1:79">
      <c r="A137" s="2290"/>
      <c r="B137" s="2290"/>
      <c r="C137" s="2290"/>
      <c r="D137" s="2290"/>
      <c r="E137" s="2290"/>
      <c r="F137" s="2290"/>
      <c r="G137" s="2290"/>
      <c r="H137" s="2290"/>
      <c r="I137" s="2290"/>
      <c r="J137" s="2290"/>
      <c r="K137" s="2290"/>
      <c r="L137" s="2290"/>
      <c r="M137" s="2290"/>
      <c r="N137" s="2290"/>
      <c r="O137" s="2290"/>
      <c r="P137" s="2290"/>
      <c r="Q137" s="2290"/>
      <c r="R137" s="2290"/>
      <c r="S137" s="2290"/>
      <c r="T137" s="2290"/>
      <c r="U137" s="2290"/>
      <c r="V137" s="2290"/>
      <c r="W137" s="2290"/>
      <c r="X137" s="2290"/>
      <c r="Y137" s="2290"/>
      <c r="Z137" s="2290"/>
      <c r="AA137" s="2290"/>
      <c r="AB137" s="2290"/>
      <c r="AC137" s="2290"/>
      <c r="AD137" s="2290"/>
      <c r="AE137" s="2290"/>
      <c r="AF137" s="2290"/>
      <c r="AG137" s="2290"/>
      <c r="AH137" s="2290"/>
      <c r="AI137" s="2290"/>
      <c r="AJ137" s="2290"/>
      <c r="AK137" s="2290"/>
      <c r="AL137" s="2290"/>
      <c r="AM137" s="2290"/>
      <c r="AN137" s="2290"/>
      <c r="AO137" s="2290"/>
      <c r="AP137" s="2290"/>
      <c r="AQ137" s="2290"/>
      <c r="AR137" s="2290"/>
      <c r="AS137" s="2290"/>
      <c r="AT137" s="2290"/>
      <c r="AU137" s="2290"/>
      <c r="AV137" s="2290"/>
      <c r="AW137" s="2290"/>
      <c r="AX137" s="2290"/>
      <c r="AY137" s="2290"/>
      <c r="AZ137" s="2290"/>
      <c r="BA137" s="2290"/>
      <c r="BB137" s="2290"/>
      <c r="BC137" s="2290"/>
      <c r="BD137" s="2290"/>
      <c r="BE137" s="2290"/>
      <c r="BF137" s="2290"/>
      <c r="BG137" s="2290"/>
      <c r="BH137" s="2290"/>
      <c r="BI137" s="2290"/>
      <c r="BJ137" s="2290"/>
      <c r="BK137" s="2290"/>
      <c r="BL137" s="2290"/>
      <c r="BM137" s="2290"/>
      <c r="BN137" s="2290"/>
      <c r="BO137" s="2290"/>
      <c r="BP137" s="2290"/>
      <c r="BQ137" s="2290"/>
      <c r="BR137" s="2290"/>
      <c r="BS137" s="2290"/>
      <c r="BT137" s="2290"/>
      <c r="BU137" s="2290"/>
      <c r="BV137" s="2290"/>
      <c r="BW137" s="2290"/>
      <c r="BX137" s="2290"/>
      <c r="BY137" s="2290"/>
      <c r="BZ137" s="2290"/>
      <c r="CA137" s="2290"/>
    </row>
    <row r="138" spans="1:79">
      <c r="A138" s="2290"/>
      <c r="B138" s="2290"/>
      <c r="C138" s="2290"/>
      <c r="D138" s="2290"/>
      <c r="E138" s="2290"/>
      <c r="F138" s="2290"/>
      <c r="G138" s="2290"/>
      <c r="H138" s="2290"/>
      <c r="I138" s="2290"/>
      <c r="J138" s="2290"/>
      <c r="K138" s="2290"/>
      <c r="L138" s="2290"/>
      <c r="M138" s="2290"/>
      <c r="N138" s="2290"/>
      <c r="O138" s="2290"/>
      <c r="P138" s="2290"/>
      <c r="Q138" s="2290"/>
      <c r="R138" s="2290"/>
      <c r="S138" s="2290"/>
      <c r="T138" s="2290"/>
      <c r="U138" s="2290"/>
      <c r="V138" s="2290"/>
      <c r="W138" s="2290"/>
      <c r="X138" s="2290"/>
      <c r="Y138" s="2290"/>
      <c r="Z138" s="2290"/>
      <c r="AA138" s="2290"/>
      <c r="AB138" s="2290"/>
      <c r="AC138" s="2290"/>
      <c r="AD138" s="2290"/>
      <c r="AE138" s="2290"/>
      <c r="AF138" s="2290"/>
      <c r="AG138" s="2290"/>
      <c r="AH138" s="2290"/>
      <c r="AI138" s="2290"/>
      <c r="AJ138" s="2290"/>
      <c r="AK138" s="2290"/>
      <c r="AL138" s="2290"/>
      <c r="AM138" s="2290"/>
      <c r="AN138" s="2290"/>
      <c r="AO138" s="2290"/>
      <c r="AP138" s="2290"/>
      <c r="AQ138" s="2290"/>
      <c r="AR138" s="2290"/>
      <c r="AS138" s="2290"/>
      <c r="AT138" s="2290"/>
      <c r="AU138" s="2290"/>
      <c r="AV138" s="2290"/>
      <c r="AW138" s="2290"/>
      <c r="AX138" s="2290"/>
      <c r="AY138" s="2290"/>
      <c r="AZ138" s="2290"/>
      <c r="BA138" s="2290"/>
      <c r="BB138" s="2290"/>
      <c r="BC138" s="2290"/>
      <c r="BD138" s="2290"/>
      <c r="BE138" s="2290"/>
      <c r="BF138" s="2290"/>
      <c r="BG138" s="2290"/>
      <c r="BH138" s="2290"/>
      <c r="BI138" s="2290"/>
      <c r="BJ138" s="2290"/>
      <c r="BK138" s="2290"/>
      <c r="BL138" s="2290"/>
      <c r="BM138" s="2290"/>
      <c r="BN138" s="2290"/>
      <c r="BO138" s="2290"/>
      <c r="BP138" s="2290"/>
      <c r="BQ138" s="2290"/>
      <c r="BR138" s="2290"/>
      <c r="BS138" s="2290"/>
      <c r="BT138" s="2290"/>
      <c r="BU138" s="2290"/>
      <c r="BV138" s="2290"/>
      <c r="BW138" s="2290"/>
      <c r="BX138" s="2290"/>
      <c r="BY138" s="2290"/>
      <c r="BZ138" s="2290"/>
      <c r="CA138" s="2290"/>
    </row>
    <row r="139" spans="1:79">
      <c r="A139" s="2290"/>
      <c r="B139" s="2290"/>
      <c r="C139" s="2290"/>
      <c r="D139" s="2290"/>
      <c r="E139" s="2290"/>
      <c r="F139" s="2290"/>
      <c r="G139" s="2290"/>
      <c r="H139" s="2290"/>
      <c r="I139" s="2290"/>
      <c r="J139" s="2290"/>
      <c r="K139" s="2290"/>
      <c r="L139" s="2290"/>
      <c r="M139" s="2290"/>
      <c r="N139" s="2290"/>
      <c r="O139" s="2290"/>
      <c r="P139" s="2290"/>
      <c r="Q139" s="2290"/>
      <c r="R139" s="2290"/>
      <c r="S139" s="2290"/>
      <c r="T139" s="2290"/>
      <c r="U139" s="2290"/>
      <c r="V139" s="2290"/>
      <c r="W139" s="2290"/>
      <c r="X139" s="2290"/>
      <c r="Y139" s="2290"/>
      <c r="Z139" s="2290"/>
      <c r="AA139" s="2290"/>
      <c r="AB139" s="2290"/>
      <c r="AC139" s="2290"/>
      <c r="AD139" s="2290"/>
      <c r="AE139" s="2290"/>
      <c r="AF139" s="2290"/>
      <c r="AG139" s="2290"/>
      <c r="AH139" s="2290"/>
      <c r="AI139" s="2290"/>
      <c r="AJ139" s="2290"/>
      <c r="AK139" s="2290"/>
      <c r="AL139" s="2290"/>
      <c r="AM139" s="2290"/>
      <c r="AN139" s="2290"/>
      <c r="AO139" s="2290"/>
      <c r="AP139" s="2290"/>
      <c r="AQ139" s="2290"/>
      <c r="AR139" s="2290"/>
      <c r="AS139" s="2290"/>
      <c r="AT139" s="2290"/>
      <c r="AU139" s="2290"/>
      <c r="AV139" s="2290"/>
      <c r="AW139" s="2290"/>
      <c r="AX139" s="2290"/>
      <c r="AY139" s="2290"/>
      <c r="AZ139" s="2290"/>
      <c r="BA139" s="2290"/>
      <c r="BB139" s="2290"/>
      <c r="BC139" s="2290"/>
      <c r="BD139" s="2290"/>
      <c r="BE139" s="2290"/>
      <c r="BF139" s="2290"/>
      <c r="BG139" s="2290"/>
      <c r="BH139" s="2290"/>
      <c r="BI139" s="2290"/>
      <c r="BJ139" s="2290"/>
      <c r="BK139" s="2290"/>
      <c r="BL139" s="2290"/>
      <c r="BM139" s="2290"/>
      <c r="BN139" s="2290"/>
      <c r="BO139" s="2290"/>
      <c r="BP139" s="2290"/>
      <c r="BQ139" s="2290"/>
      <c r="BR139" s="2290"/>
      <c r="BS139" s="2290"/>
      <c r="BT139" s="2290"/>
      <c r="BU139" s="2290"/>
      <c r="BV139" s="2290"/>
      <c r="BW139" s="2290"/>
      <c r="BX139" s="2290"/>
      <c r="BY139" s="2290"/>
      <c r="BZ139" s="2290"/>
      <c r="CA139" s="2290"/>
    </row>
    <row r="140" spans="1:79">
      <c r="A140" s="2290"/>
      <c r="B140" s="2290"/>
      <c r="C140" s="2290"/>
      <c r="D140" s="2290"/>
      <c r="E140" s="2290"/>
      <c r="F140" s="2290"/>
      <c r="G140" s="2290"/>
      <c r="H140" s="2290"/>
      <c r="I140" s="2290"/>
      <c r="J140" s="2290"/>
      <c r="K140" s="2290"/>
      <c r="L140" s="2290"/>
      <c r="M140" s="2290"/>
      <c r="N140" s="2290"/>
      <c r="O140" s="2290"/>
      <c r="P140" s="2290"/>
      <c r="Q140" s="2290"/>
      <c r="R140" s="2290"/>
      <c r="S140" s="2290"/>
      <c r="T140" s="2290"/>
      <c r="U140" s="2290"/>
      <c r="V140" s="2290"/>
      <c r="W140" s="2290"/>
      <c r="X140" s="2290"/>
      <c r="Y140" s="2290"/>
      <c r="Z140" s="2290"/>
      <c r="AA140" s="2290"/>
      <c r="AB140" s="2290"/>
      <c r="AC140" s="2290"/>
      <c r="AD140" s="2290"/>
      <c r="AE140" s="2290"/>
      <c r="AF140" s="2290"/>
      <c r="AG140" s="2290"/>
      <c r="AH140" s="2290"/>
      <c r="AI140" s="2290"/>
      <c r="AJ140" s="2290"/>
      <c r="AK140" s="2290"/>
      <c r="AL140" s="2290"/>
      <c r="AM140" s="2290"/>
      <c r="AN140" s="2290"/>
      <c r="AO140" s="2290"/>
      <c r="AP140" s="2290"/>
      <c r="AQ140" s="2290"/>
      <c r="AR140" s="2290"/>
      <c r="AS140" s="2290"/>
      <c r="AT140" s="2290"/>
      <c r="AU140" s="2290"/>
      <c r="AV140" s="2290"/>
      <c r="AW140" s="2290"/>
      <c r="AX140" s="2290"/>
      <c r="AY140" s="2290"/>
      <c r="AZ140" s="2290"/>
      <c r="BA140" s="2290"/>
      <c r="BB140" s="2290"/>
      <c r="BC140" s="2290"/>
      <c r="BD140" s="2290"/>
      <c r="BE140" s="2290"/>
      <c r="BF140" s="2290"/>
      <c r="BG140" s="2290"/>
      <c r="BH140" s="2290"/>
      <c r="BI140" s="2290"/>
      <c r="BJ140" s="2290"/>
      <c r="BK140" s="2290"/>
      <c r="BL140" s="2290"/>
      <c r="BM140" s="2290"/>
      <c r="BN140" s="2290"/>
      <c r="BO140" s="2290"/>
      <c r="BP140" s="2290"/>
      <c r="BQ140" s="2290"/>
      <c r="BR140" s="2290"/>
      <c r="BS140" s="2290"/>
      <c r="BT140" s="2290"/>
      <c r="BU140" s="2290"/>
      <c r="BV140" s="2290"/>
      <c r="BW140" s="2290"/>
      <c r="BX140" s="2290"/>
      <c r="BY140" s="2290"/>
      <c r="BZ140" s="2290"/>
      <c r="CA140" s="2290"/>
    </row>
    <row r="141" spans="1:79">
      <c r="A141" s="2290"/>
      <c r="B141" s="2290"/>
      <c r="C141" s="2290"/>
      <c r="D141" s="2290"/>
      <c r="E141" s="2290"/>
      <c r="F141" s="2290"/>
      <c r="G141" s="2290"/>
      <c r="H141" s="2290"/>
      <c r="I141" s="2290"/>
      <c r="J141" s="2290"/>
      <c r="K141" s="2290"/>
      <c r="L141" s="2290"/>
      <c r="M141" s="2290"/>
      <c r="N141" s="2290"/>
      <c r="O141" s="2290"/>
      <c r="P141" s="2290"/>
      <c r="Q141" s="2290"/>
      <c r="R141" s="2290"/>
      <c r="S141" s="2290"/>
      <c r="T141" s="2290"/>
      <c r="U141" s="2290"/>
      <c r="V141" s="2290"/>
      <c r="W141" s="2290"/>
      <c r="X141" s="2290"/>
      <c r="Y141" s="2290"/>
      <c r="Z141" s="2290"/>
      <c r="AA141" s="2290"/>
      <c r="AB141" s="2290"/>
      <c r="AC141" s="2290"/>
      <c r="AD141" s="2290"/>
      <c r="AE141" s="2290"/>
      <c r="AF141" s="2290"/>
      <c r="AG141" s="2290"/>
      <c r="AH141" s="2290"/>
      <c r="AI141" s="2290"/>
      <c r="AJ141" s="2290"/>
      <c r="AK141" s="2290"/>
      <c r="AL141" s="2290"/>
      <c r="AM141" s="2290"/>
      <c r="AN141" s="2290"/>
      <c r="AO141" s="2290"/>
      <c r="AP141" s="2290"/>
      <c r="AQ141" s="2290"/>
      <c r="AR141" s="2290"/>
      <c r="AS141" s="2290"/>
      <c r="AT141" s="2290"/>
      <c r="AU141" s="2290"/>
      <c r="AV141" s="2290"/>
      <c r="AW141" s="2290"/>
      <c r="AX141" s="2290"/>
      <c r="AY141" s="2290"/>
      <c r="AZ141" s="2290"/>
      <c r="BA141" s="2290"/>
      <c r="BB141" s="2290"/>
      <c r="BC141" s="2290"/>
      <c r="BD141" s="2290"/>
      <c r="BE141" s="2290"/>
      <c r="BF141" s="2290"/>
      <c r="BG141" s="2290"/>
      <c r="BH141" s="2290"/>
      <c r="BI141" s="2290"/>
      <c r="BJ141" s="2290"/>
      <c r="BK141" s="2290"/>
      <c r="BL141" s="2290"/>
      <c r="BM141" s="2290"/>
      <c r="BN141" s="2290"/>
      <c r="BO141" s="2290"/>
      <c r="BP141" s="2290"/>
      <c r="BQ141" s="2290"/>
      <c r="BR141" s="2290"/>
      <c r="BS141" s="2290"/>
      <c r="BT141" s="2290"/>
      <c r="BU141" s="2290"/>
      <c r="BV141" s="2290"/>
      <c r="BW141" s="2290"/>
      <c r="BX141" s="2290"/>
      <c r="BY141" s="2290"/>
      <c r="BZ141" s="2290"/>
      <c r="CA141" s="2290"/>
    </row>
    <row r="142" spans="1:79">
      <c r="A142" s="2290"/>
      <c r="B142" s="2290"/>
      <c r="C142" s="2290"/>
      <c r="D142" s="2290"/>
      <c r="E142" s="2290"/>
      <c r="F142" s="2290"/>
      <c r="G142" s="2290"/>
      <c r="H142" s="2290"/>
      <c r="I142" s="2290"/>
      <c r="J142" s="2290"/>
      <c r="K142" s="2290"/>
      <c r="L142" s="2290"/>
      <c r="M142" s="2290"/>
      <c r="N142" s="2290"/>
      <c r="O142" s="2290"/>
      <c r="P142" s="2290"/>
      <c r="Q142" s="2290"/>
      <c r="R142" s="2290"/>
      <c r="S142" s="2290"/>
      <c r="T142" s="2290"/>
      <c r="U142" s="2290"/>
      <c r="V142" s="2290"/>
      <c r="W142" s="2290"/>
      <c r="X142" s="2290"/>
      <c r="Y142" s="2290"/>
      <c r="Z142" s="2290"/>
      <c r="AA142" s="2290"/>
      <c r="AB142" s="2290"/>
      <c r="AC142" s="2290"/>
      <c r="AD142" s="2290"/>
      <c r="AE142" s="2290"/>
      <c r="AF142" s="2290"/>
      <c r="AG142" s="2290"/>
      <c r="AH142" s="2290"/>
      <c r="AI142" s="2290"/>
      <c r="AJ142" s="2290"/>
      <c r="AK142" s="2290"/>
      <c r="AL142" s="2290"/>
      <c r="AM142" s="2290"/>
      <c r="AN142" s="2290"/>
      <c r="AO142" s="2290"/>
      <c r="AP142" s="2290"/>
      <c r="AQ142" s="2290"/>
      <c r="AR142" s="2290"/>
      <c r="AS142" s="2290"/>
      <c r="AT142" s="2290"/>
      <c r="AU142" s="2290"/>
      <c r="AV142" s="2290"/>
      <c r="AW142" s="2290"/>
      <c r="AX142" s="2290"/>
      <c r="AY142" s="2290"/>
      <c r="AZ142" s="2290"/>
      <c r="BA142" s="2290"/>
      <c r="BB142" s="2290"/>
      <c r="BC142" s="2290"/>
      <c r="BD142" s="2290"/>
      <c r="BE142" s="2290"/>
      <c r="BF142" s="2290"/>
      <c r="BG142" s="2290"/>
      <c r="BH142" s="2290"/>
      <c r="BI142" s="2290"/>
      <c r="BJ142" s="2290"/>
      <c r="BK142" s="2290"/>
      <c r="BL142" s="2290"/>
      <c r="BM142" s="2290"/>
      <c r="BN142" s="2290"/>
      <c r="BO142" s="2290"/>
      <c r="BP142" s="2290"/>
      <c r="BQ142" s="2290"/>
      <c r="BR142" s="2290"/>
      <c r="BS142" s="2290"/>
      <c r="BT142" s="2290"/>
      <c r="BU142" s="2290"/>
      <c r="BV142" s="2290"/>
      <c r="BW142" s="2290"/>
      <c r="BX142" s="2290"/>
      <c r="BY142" s="2290"/>
      <c r="BZ142" s="2290"/>
      <c r="CA142" s="2290"/>
    </row>
    <row r="143" spans="1:79">
      <c r="A143" s="2290"/>
      <c r="B143" s="2290"/>
      <c r="C143" s="2290"/>
      <c r="D143" s="2290"/>
      <c r="E143" s="2290"/>
      <c r="F143" s="2290"/>
      <c r="G143" s="2290"/>
      <c r="H143" s="2290"/>
      <c r="I143" s="2290"/>
      <c r="J143" s="2290"/>
      <c r="K143" s="2290"/>
      <c r="L143" s="2290"/>
      <c r="M143" s="2290"/>
      <c r="N143" s="2290"/>
      <c r="O143" s="2290"/>
      <c r="P143" s="2290"/>
      <c r="Q143" s="2290"/>
      <c r="R143" s="2290"/>
      <c r="S143" s="2290"/>
      <c r="T143" s="2290"/>
      <c r="U143" s="2290"/>
      <c r="V143" s="2290"/>
      <c r="W143" s="2290"/>
      <c r="X143" s="2290"/>
      <c r="Y143" s="2290"/>
      <c r="Z143" s="2290"/>
      <c r="AA143" s="2290"/>
      <c r="AB143" s="2290"/>
      <c r="AC143" s="2290"/>
      <c r="AD143" s="2290"/>
      <c r="AE143" s="2290"/>
      <c r="AF143" s="2290"/>
      <c r="AG143" s="2290"/>
      <c r="AH143" s="2290"/>
      <c r="AI143" s="2290"/>
      <c r="AJ143" s="2290"/>
      <c r="AK143" s="2290"/>
      <c r="AL143" s="2290"/>
      <c r="AM143" s="2290"/>
      <c r="AN143" s="2290"/>
      <c r="AO143" s="2290"/>
      <c r="AP143" s="2290"/>
      <c r="AQ143" s="2290"/>
      <c r="AR143" s="2290"/>
      <c r="AS143" s="2290"/>
      <c r="AT143" s="2290"/>
      <c r="AU143" s="2290"/>
      <c r="AV143" s="2290"/>
      <c r="AW143" s="2290"/>
      <c r="AX143" s="2290"/>
      <c r="AY143" s="2290"/>
      <c r="AZ143" s="2290"/>
      <c r="BA143" s="2290"/>
      <c r="BB143" s="2290"/>
      <c r="BC143" s="2290"/>
      <c r="BD143" s="2290"/>
      <c r="BE143" s="2290"/>
      <c r="BF143" s="2290"/>
      <c r="BG143" s="2290"/>
      <c r="BH143" s="2290"/>
      <c r="BI143" s="2290"/>
      <c r="BJ143" s="2290"/>
      <c r="BK143" s="2290"/>
      <c r="BL143" s="2290"/>
      <c r="BM143" s="2290"/>
      <c r="BN143" s="2290"/>
      <c r="BO143" s="2290"/>
      <c r="BP143" s="2290"/>
      <c r="BQ143" s="2290"/>
      <c r="BR143" s="2290"/>
      <c r="BS143" s="2290"/>
      <c r="BT143" s="2290"/>
      <c r="BU143" s="2290"/>
      <c r="BV143" s="2290"/>
      <c r="BW143" s="2290"/>
      <c r="BX143" s="2290"/>
      <c r="BY143" s="2290"/>
      <c r="BZ143" s="2290"/>
      <c r="CA143" s="2290"/>
    </row>
    <row r="144" spans="1:79">
      <c r="A144" s="2290"/>
      <c r="B144" s="2290"/>
      <c r="C144" s="2290"/>
      <c r="D144" s="2290"/>
      <c r="E144" s="2290"/>
      <c r="F144" s="2290"/>
      <c r="G144" s="2290"/>
      <c r="H144" s="2290"/>
      <c r="I144" s="2290"/>
      <c r="J144" s="2290"/>
      <c r="K144" s="2290"/>
      <c r="L144" s="2290"/>
      <c r="M144" s="2290"/>
      <c r="N144" s="2290"/>
      <c r="O144" s="2290"/>
      <c r="P144" s="2290"/>
      <c r="Q144" s="2290"/>
      <c r="R144" s="2290"/>
      <c r="S144" s="2290"/>
      <c r="T144" s="2290"/>
      <c r="U144" s="2290"/>
      <c r="V144" s="2290"/>
      <c r="W144" s="2290"/>
      <c r="X144" s="2290"/>
      <c r="Y144" s="2290"/>
      <c r="Z144" s="2290"/>
      <c r="AA144" s="2290"/>
      <c r="AB144" s="2290"/>
      <c r="AC144" s="2290"/>
      <c r="AD144" s="2290"/>
      <c r="AE144" s="2290"/>
      <c r="AF144" s="2290"/>
      <c r="AG144" s="2290"/>
      <c r="AH144" s="2290"/>
      <c r="AI144" s="2290"/>
      <c r="AJ144" s="2290"/>
      <c r="AK144" s="2290"/>
      <c r="AL144" s="2290"/>
      <c r="AM144" s="2290"/>
      <c r="AN144" s="2290"/>
      <c r="AO144" s="2290"/>
      <c r="AP144" s="2290"/>
      <c r="AQ144" s="2290"/>
      <c r="AR144" s="2290"/>
      <c r="AS144" s="2290"/>
      <c r="AT144" s="2290"/>
      <c r="AU144" s="2290"/>
      <c r="AV144" s="2290"/>
      <c r="AW144" s="2290"/>
      <c r="AX144" s="2290"/>
      <c r="AY144" s="2290"/>
      <c r="AZ144" s="2290"/>
      <c r="BA144" s="2290"/>
      <c r="BB144" s="2290"/>
      <c r="BC144" s="2290"/>
      <c r="BD144" s="2290"/>
      <c r="BE144" s="2290"/>
      <c r="BF144" s="2290"/>
      <c r="BG144" s="2290"/>
      <c r="BH144" s="2290"/>
      <c r="BI144" s="2290"/>
      <c r="BJ144" s="2290"/>
      <c r="BK144" s="2290"/>
      <c r="BL144" s="2290"/>
      <c r="BM144" s="2290"/>
      <c r="BN144" s="2290"/>
      <c r="BO144" s="2290"/>
      <c r="BP144" s="2290"/>
      <c r="BQ144" s="2290"/>
      <c r="BR144" s="2290"/>
      <c r="BS144" s="2290"/>
      <c r="BT144" s="2290"/>
      <c r="BU144" s="2290"/>
      <c r="BV144" s="2290"/>
      <c r="BW144" s="2290"/>
      <c r="BX144" s="2290"/>
      <c r="BY144" s="2290"/>
      <c r="BZ144" s="2290"/>
      <c r="CA144" s="2290"/>
    </row>
    <row r="145" spans="1:79">
      <c r="A145" s="2290"/>
      <c r="B145" s="2290"/>
      <c r="C145" s="2290"/>
      <c r="D145" s="2290"/>
      <c r="E145" s="2290"/>
      <c r="F145" s="2290"/>
      <c r="G145" s="2290"/>
      <c r="H145" s="2290"/>
      <c r="I145" s="2290"/>
      <c r="J145" s="2290"/>
      <c r="K145" s="2290"/>
      <c r="L145" s="2290"/>
      <c r="M145" s="2290"/>
      <c r="N145" s="2290"/>
      <c r="O145" s="2290"/>
      <c r="P145" s="2290"/>
      <c r="Q145" s="2290"/>
      <c r="R145" s="2290"/>
      <c r="S145" s="2290"/>
      <c r="T145" s="2290"/>
      <c r="U145" s="2290"/>
      <c r="V145" s="2290"/>
      <c r="W145" s="2290"/>
      <c r="X145" s="2290"/>
      <c r="Y145" s="2290"/>
      <c r="Z145" s="2290"/>
      <c r="AA145" s="2290"/>
      <c r="AB145" s="2290"/>
      <c r="AC145" s="2290"/>
      <c r="AD145" s="2290"/>
      <c r="AE145" s="2290"/>
      <c r="AF145" s="2290"/>
      <c r="AG145" s="2290"/>
      <c r="AH145" s="2290"/>
      <c r="AI145" s="2290"/>
      <c r="AJ145" s="2290"/>
      <c r="AK145" s="2290"/>
      <c r="AL145" s="2290"/>
      <c r="AM145" s="2290"/>
      <c r="AN145" s="2290"/>
      <c r="AO145" s="2290"/>
      <c r="AP145" s="2290"/>
      <c r="AQ145" s="2290"/>
      <c r="AR145" s="2290"/>
      <c r="AS145" s="2290"/>
      <c r="AT145" s="2290"/>
      <c r="AU145" s="2290"/>
      <c r="AV145" s="2290"/>
      <c r="AW145" s="2290"/>
      <c r="AX145" s="2290"/>
      <c r="AY145" s="2290"/>
      <c r="AZ145" s="2290"/>
      <c r="BA145" s="2290"/>
      <c r="BB145" s="2290"/>
      <c r="BC145" s="2290"/>
      <c r="BD145" s="2290"/>
      <c r="BE145" s="2290"/>
      <c r="BF145" s="2290"/>
      <c r="BG145" s="2290"/>
      <c r="BH145" s="2290"/>
      <c r="BI145" s="2290"/>
      <c r="BJ145" s="2290"/>
      <c r="BK145" s="2290"/>
      <c r="BL145" s="2290"/>
      <c r="BM145" s="2290"/>
      <c r="BN145" s="2290"/>
      <c r="BO145" s="2290"/>
      <c r="BP145" s="2290"/>
      <c r="BQ145" s="2290"/>
      <c r="BR145" s="2290"/>
      <c r="BS145" s="2290"/>
      <c r="BT145" s="2290"/>
      <c r="BU145" s="2290"/>
      <c r="BV145" s="2290"/>
      <c r="BW145" s="2290"/>
      <c r="BX145" s="2290"/>
      <c r="BY145" s="2290"/>
      <c r="BZ145" s="2290"/>
      <c r="CA145" s="2290"/>
    </row>
    <row r="146" spans="1:79">
      <c r="A146" s="2290"/>
      <c r="B146" s="2290"/>
      <c r="C146" s="2290"/>
      <c r="D146" s="2290"/>
      <c r="E146" s="2290"/>
      <c r="F146" s="2290"/>
      <c r="G146" s="2290"/>
      <c r="H146" s="2290"/>
      <c r="I146" s="2290"/>
      <c r="J146" s="2290"/>
      <c r="K146" s="2290"/>
      <c r="L146" s="2290"/>
      <c r="M146" s="2290"/>
      <c r="N146" s="2290"/>
      <c r="O146" s="2290"/>
      <c r="P146" s="2290"/>
      <c r="Q146" s="2290"/>
      <c r="R146" s="2290"/>
      <c r="S146" s="2290"/>
      <c r="T146" s="2290"/>
      <c r="U146" s="2290"/>
      <c r="V146" s="2290"/>
      <c r="W146" s="2290"/>
      <c r="X146" s="2290"/>
      <c r="Y146" s="2290"/>
      <c r="Z146" s="2290"/>
      <c r="AA146" s="2290"/>
      <c r="AB146" s="2290"/>
      <c r="AC146" s="2290"/>
      <c r="AD146" s="2290"/>
      <c r="AE146" s="2290"/>
      <c r="AF146" s="2290"/>
      <c r="AG146" s="2290"/>
      <c r="AH146" s="2290"/>
      <c r="AI146" s="2290"/>
      <c r="AJ146" s="2290"/>
      <c r="AK146" s="2290"/>
      <c r="AL146" s="2290"/>
      <c r="AM146" s="2290"/>
      <c r="AN146" s="2290"/>
      <c r="AO146" s="2290"/>
      <c r="AP146" s="2290"/>
      <c r="AQ146" s="2290"/>
      <c r="AR146" s="2290"/>
      <c r="AS146" s="2290"/>
      <c r="AT146" s="2290"/>
      <c r="AU146" s="2290"/>
      <c r="AV146" s="2290"/>
      <c r="AW146" s="2290"/>
      <c r="AX146" s="2290"/>
      <c r="AY146" s="2290"/>
      <c r="AZ146" s="2290"/>
      <c r="BA146" s="2290"/>
      <c r="BB146" s="2290"/>
      <c r="BC146" s="2290"/>
      <c r="BD146" s="2290"/>
      <c r="BE146" s="2290"/>
      <c r="BF146" s="2290"/>
      <c r="BG146" s="2290"/>
      <c r="BH146" s="2290"/>
      <c r="BI146" s="2290"/>
      <c r="BJ146" s="2290"/>
      <c r="BK146" s="2290"/>
      <c r="BL146" s="2290"/>
      <c r="BM146" s="2290"/>
      <c r="BN146" s="2290"/>
      <c r="BO146" s="2290"/>
      <c r="BP146" s="2290"/>
      <c r="BQ146" s="2290"/>
      <c r="BR146" s="2290"/>
      <c r="BS146" s="2290"/>
      <c r="BT146" s="2290"/>
      <c r="BU146" s="2290"/>
      <c r="BV146" s="2290"/>
      <c r="BW146" s="2290"/>
      <c r="BX146" s="2290"/>
      <c r="BY146" s="2290"/>
      <c r="BZ146" s="2290"/>
      <c r="CA146" s="2290"/>
    </row>
    <row r="147" spans="1:79">
      <c r="A147" s="2290"/>
      <c r="B147" s="2290"/>
      <c r="C147" s="2290"/>
      <c r="D147" s="2290"/>
      <c r="E147" s="2290"/>
      <c r="F147" s="2290"/>
      <c r="G147" s="2290"/>
      <c r="H147" s="2290"/>
      <c r="I147" s="2290"/>
      <c r="J147" s="2290"/>
      <c r="K147" s="2290"/>
      <c r="L147" s="2290"/>
      <c r="M147" s="2290"/>
      <c r="N147" s="2290"/>
      <c r="O147" s="2290"/>
      <c r="P147" s="2290"/>
      <c r="Q147" s="2290"/>
      <c r="R147" s="2290"/>
      <c r="S147" s="2290"/>
      <c r="T147" s="2290"/>
      <c r="U147" s="2290"/>
      <c r="V147" s="2290"/>
      <c r="W147" s="2290"/>
      <c r="X147" s="2290"/>
      <c r="Y147" s="2290"/>
      <c r="Z147" s="2290"/>
      <c r="AA147" s="2290"/>
      <c r="AB147" s="2290"/>
      <c r="AC147" s="2290"/>
      <c r="AD147" s="2290"/>
      <c r="AE147" s="2290"/>
      <c r="AF147" s="2290"/>
      <c r="AG147" s="2290"/>
      <c r="AH147" s="2290"/>
      <c r="AI147" s="2290"/>
      <c r="AJ147" s="2290"/>
      <c r="AK147" s="2290"/>
      <c r="AL147" s="2290"/>
      <c r="AM147" s="2290"/>
      <c r="AN147" s="2290"/>
      <c r="AO147" s="2290"/>
      <c r="AP147" s="2290"/>
      <c r="AQ147" s="2290"/>
      <c r="AR147" s="2290"/>
      <c r="AS147" s="2290"/>
      <c r="AT147" s="2290"/>
      <c r="AU147" s="2290"/>
      <c r="AV147" s="2290"/>
      <c r="AW147" s="2290"/>
      <c r="AX147" s="2290"/>
      <c r="AY147" s="2290"/>
      <c r="AZ147" s="2290"/>
      <c r="BA147" s="2290"/>
      <c r="BB147" s="2290"/>
      <c r="BC147" s="2290"/>
      <c r="BD147" s="2290"/>
      <c r="BE147" s="2290"/>
      <c r="BF147" s="2290"/>
      <c r="BG147" s="2290"/>
      <c r="BH147" s="2290"/>
      <c r="BI147" s="2290"/>
      <c r="BJ147" s="2290"/>
      <c r="BK147" s="2290"/>
      <c r="BL147" s="2290"/>
      <c r="BM147" s="2290"/>
      <c r="BN147" s="2290"/>
      <c r="BO147" s="2290"/>
      <c r="BP147" s="2290"/>
      <c r="BQ147" s="2290"/>
      <c r="BR147" s="2290"/>
      <c r="BS147" s="2290"/>
      <c r="BT147" s="2290"/>
      <c r="BU147" s="2290"/>
      <c r="BV147" s="2290"/>
      <c r="BW147" s="2290"/>
      <c r="BX147" s="2290"/>
      <c r="BY147" s="2290"/>
      <c r="BZ147" s="2290"/>
      <c r="CA147" s="2290"/>
    </row>
    <row r="148" spans="1:79">
      <c r="A148" s="2290"/>
      <c r="B148" s="2290"/>
      <c r="C148" s="2290"/>
      <c r="D148" s="2290"/>
      <c r="E148" s="2290"/>
      <c r="F148" s="2290"/>
      <c r="G148" s="2290"/>
      <c r="H148" s="2290"/>
      <c r="I148" s="2290"/>
      <c r="J148" s="2290"/>
      <c r="K148" s="2290"/>
      <c r="L148" s="2290"/>
      <c r="M148" s="2290"/>
      <c r="N148" s="2290"/>
      <c r="O148" s="2290"/>
      <c r="P148" s="2290"/>
      <c r="Q148" s="2290"/>
      <c r="R148" s="2290"/>
      <c r="S148" s="2290"/>
      <c r="T148" s="2290"/>
      <c r="U148" s="2290"/>
      <c r="V148" s="2290"/>
      <c r="W148" s="2290"/>
      <c r="X148" s="2290"/>
      <c r="Y148" s="2290"/>
      <c r="Z148" s="2290"/>
      <c r="AA148" s="2290"/>
      <c r="AB148" s="2290"/>
      <c r="AC148" s="2290"/>
      <c r="AD148" s="2290"/>
      <c r="AE148" s="2290"/>
      <c r="AF148" s="2290"/>
      <c r="AG148" s="2290"/>
      <c r="AH148" s="2290"/>
      <c r="AI148" s="2290"/>
      <c r="AJ148" s="2290"/>
      <c r="AK148" s="2290"/>
      <c r="AL148" s="2290"/>
      <c r="AM148" s="2290"/>
      <c r="AN148" s="2290"/>
      <c r="AO148" s="2290"/>
      <c r="AP148" s="2290"/>
      <c r="AQ148" s="2290"/>
      <c r="AR148" s="2290"/>
      <c r="AS148" s="2290"/>
      <c r="AT148" s="2290"/>
      <c r="AU148" s="2290"/>
      <c r="AV148" s="2290"/>
      <c r="AW148" s="2290"/>
      <c r="AX148" s="2290"/>
      <c r="AY148" s="2290"/>
      <c r="AZ148" s="2290"/>
      <c r="BA148" s="2290"/>
      <c r="BB148" s="2290"/>
      <c r="BC148" s="2290"/>
      <c r="BD148" s="2290"/>
      <c r="BE148" s="2290"/>
      <c r="BF148" s="2290"/>
      <c r="BG148" s="2290"/>
      <c r="BH148" s="2290"/>
      <c r="BI148" s="2290"/>
      <c r="BJ148" s="2290"/>
      <c r="BK148" s="2290"/>
      <c r="BL148" s="2290"/>
      <c r="BM148" s="2290"/>
      <c r="BN148" s="2290"/>
      <c r="BO148" s="2290"/>
      <c r="BP148" s="2290"/>
      <c r="BQ148" s="2290"/>
      <c r="BR148" s="2290"/>
      <c r="BS148" s="2290"/>
      <c r="BT148" s="2290"/>
      <c r="BU148" s="2290"/>
      <c r="BV148" s="2290"/>
      <c r="BW148" s="2290"/>
      <c r="BX148" s="2290"/>
      <c r="BY148" s="2290"/>
      <c r="BZ148" s="2290"/>
      <c r="CA148" s="2290"/>
    </row>
    <row r="149" spans="1:79">
      <c r="A149" s="2290"/>
      <c r="B149" s="2290"/>
      <c r="C149" s="2290"/>
      <c r="D149" s="2290"/>
      <c r="E149" s="2290"/>
      <c r="F149" s="2290"/>
      <c r="G149" s="2290"/>
      <c r="H149" s="2290"/>
      <c r="I149" s="2290"/>
      <c r="J149" s="2290"/>
      <c r="K149" s="2290"/>
      <c r="L149" s="2290"/>
      <c r="M149" s="2290"/>
      <c r="N149" s="2290"/>
      <c r="O149" s="2290"/>
      <c r="P149" s="2290"/>
      <c r="Q149" s="2290"/>
      <c r="R149" s="2290"/>
      <c r="S149" s="2290"/>
      <c r="T149" s="2290"/>
      <c r="U149" s="2290"/>
      <c r="V149" s="2290"/>
      <c r="W149" s="2290"/>
      <c r="X149" s="2290"/>
      <c r="Y149" s="2290"/>
      <c r="Z149" s="2290"/>
      <c r="AA149" s="2290"/>
      <c r="AB149" s="2290"/>
      <c r="AC149" s="2290"/>
      <c r="AD149" s="2290"/>
      <c r="AE149" s="2290"/>
      <c r="AF149" s="2290"/>
      <c r="AG149" s="2290"/>
      <c r="AH149" s="2290"/>
      <c r="AI149" s="2290"/>
      <c r="AJ149" s="2290"/>
      <c r="AK149" s="2290"/>
      <c r="AL149" s="2290"/>
      <c r="AM149" s="2290"/>
      <c r="AN149" s="2290"/>
      <c r="AO149" s="2290"/>
      <c r="AP149" s="2290"/>
      <c r="AQ149" s="2290"/>
      <c r="AR149" s="2290"/>
      <c r="AS149" s="2290"/>
      <c r="AT149" s="2290"/>
      <c r="AU149" s="2290"/>
      <c r="AV149" s="2290"/>
      <c r="AW149" s="2290"/>
      <c r="AX149" s="2290"/>
      <c r="AY149" s="2290"/>
      <c r="AZ149" s="2290"/>
      <c r="BA149" s="2290"/>
      <c r="BB149" s="2290"/>
      <c r="BC149" s="2290"/>
      <c r="BD149" s="2290"/>
      <c r="BE149" s="2290"/>
      <c r="BF149" s="2290"/>
      <c r="BG149" s="2290"/>
      <c r="BH149" s="2290"/>
      <c r="BI149" s="2290"/>
      <c r="BJ149" s="2290"/>
      <c r="BK149" s="2290"/>
      <c r="BL149" s="2290"/>
      <c r="BM149" s="2290"/>
      <c r="BN149" s="2290"/>
      <c r="BO149" s="2290"/>
      <c r="BP149" s="2290"/>
      <c r="BQ149" s="2290"/>
      <c r="BR149" s="2290"/>
      <c r="BS149" s="2290"/>
      <c r="BT149" s="2290"/>
      <c r="BU149" s="2290"/>
      <c r="BV149" s="2290"/>
      <c r="BW149" s="2290"/>
      <c r="BX149" s="2290"/>
      <c r="BY149" s="2290"/>
      <c r="BZ149" s="2290"/>
      <c r="CA149" s="2290"/>
    </row>
    <row r="150" spans="1:79">
      <c r="A150" s="2290"/>
      <c r="B150" s="2290"/>
      <c r="C150" s="2290"/>
      <c r="D150" s="2290"/>
      <c r="E150" s="2290"/>
      <c r="F150" s="2290"/>
      <c r="G150" s="2290"/>
      <c r="H150" s="2290"/>
      <c r="I150" s="2290"/>
      <c r="J150" s="2290"/>
      <c r="K150" s="2290"/>
      <c r="L150" s="2290"/>
      <c r="M150" s="2290"/>
      <c r="N150" s="2290"/>
      <c r="O150" s="2290"/>
      <c r="P150" s="2290"/>
      <c r="Q150" s="2290"/>
      <c r="R150" s="2290"/>
      <c r="S150" s="2290"/>
      <c r="T150" s="2290"/>
      <c r="U150" s="2290"/>
      <c r="V150" s="2290"/>
      <c r="W150" s="2290"/>
      <c r="X150" s="2290"/>
      <c r="Y150" s="2290"/>
      <c r="Z150" s="2290"/>
      <c r="AA150" s="2290"/>
      <c r="AB150" s="2290"/>
      <c r="AC150" s="2290"/>
      <c r="AD150" s="2290"/>
      <c r="AE150" s="2290"/>
      <c r="AF150" s="2290"/>
      <c r="AG150" s="2290"/>
      <c r="AH150" s="2290"/>
      <c r="AI150" s="2290"/>
      <c r="AJ150" s="2290"/>
      <c r="AK150" s="2290"/>
      <c r="AL150" s="2290"/>
      <c r="AM150" s="2290"/>
      <c r="AN150" s="2290"/>
      <c r="AO150" s="2290"/>
      <c r="AP150" s="2290"/>
      <c r="AQ150" s="2290"/>
      <c r="AR150" s="2290"/>
      <c r="AS150" s="2290"/>
      <c r="AT150" s="2290"/>
      <c r="AU150" s="2290"/>
      <c r="AV150" s="2290"/>
      <c r="AW150" s="2290"/>
      <c r="AX150" s="2290"/>
      <c r="AY150" s="2290"/>
      <c r="AZ150" s="2290"/>
      <c r="BA150" s="2290"/>
      <c r="BB150" s="2290"/>
      <c r="BC150" s="2290"/>
      <c r="BD150" s="2290"/>
      <c r="BE150" s="2290"/>
      <c r="BF150" s="2290"/>
      <c r="BG150" s="2290"/>
      <c r="BH150" s="2290"/>
      <c r="BI150" s="2290"/>
      <c r="BJ150" s="2290"/>
      <c r="BK150" s="2290"/>
      <c r="BL150" s="2290"/>
      <c r="BM150" s="2290"/>
      <c r="BN150" s="2290"/>
      <c r="BO150" s="2290"/>
      <c r="BP150" s="2290"/>
      <c r="BQ150" s="2290"/>
      <c r="BR150" s="2290"/>
      <c r="BS150" s="2290"/>
      <c r="BT150" s="2290"/>
      <c r="BU150" s="2290"/>
      <c r="BV150" s="2290"/>
      <c r="BW150" s="2290"/>
      <c r="BX150" s="2290"/>
      <c r="BY150" s="2290"/>
      <c r="BZ150" s="2290"/>
      <c r="CA150" s="2290"/>
    </row>
    <row r="151" spans="1:79">
      <c r="A151" s="2290"/>
      <c r="B151" s="2290"/>
      <c r="C151" s="2290"/>
      <c r="D151" s="2290"/>
      <c r="E151" s="2290"/>
      <c r="F151" s="2290"/>
      <c r="G151" s="2290"/>
      <c r="H151" s="2290"/>
      <c r="I151" s="2290"/>
      <c r="J151" s="2290"/>
      <c r="K151" s="2290"/>
      <c r="L151" s="2290"/>
      <c r="M151" s="2290"/>
      <c r="N151" s="2290"/>
      <c r="O151" s="2290"/>
      <c r="P151" s="2290"/>
      <c r="Q151" s="2290"/>
      <c r="R151" s="2290"/>
      <c r="S151" s="2290"/>
      <c r="T151" s="2290"/>
      <c r="U151" s="2290"/>
      <c r="V151" s="2290"/>
      <c r="W151" s="2290"/>
      <c r="X151" s="2290"/>
      <c r="Y151" s="2290"/>
      <c r="Z151" s="2290"/>
      <c r="AA151" s="2290"/>
      <c r="AB151" s="2290"/>
      <c r="AC151" s="2290"/>
      <c r="AD151" s="2290"/>
      <c r="AE151" s="2290"/>
      <c r="AF151" s="2290"/>
      <c r="AG151" s="2290"/>
      <c r="AH151" s="2290"/>
      <c r="AI151" s="2290"/>
      <c r="AJ151" s="2290"/>
      <c r="AK151" s="2290"/>
      <c r="AL151" s="2290"/>
      <c r="AM151" s="2290"/>
      <c r="AN151" s="2290"/>
      <c r="AO151" s="2290"/>
      <c r="AP151" s="2290"/>
      <c r="AQ151" s="2290"/>
      <c r="AR151" s="2290"/>
      <c r="AS151" s="2290"/>
      <c r="AT151" s="2290"/>
      <c r="AU151" s="2290"/>
      <c r="AV151" s="2290"/>
      <c r="AW151" s="2290"/>
      <c r="AX151" s="2290"/>
      <c r="AY151" s="2290"/>
      <c r="AZ151" s="2290"/>
      <c r="BA151" s="2290"/>
      <c r="BB151" s="2290"/>
      <c r="BC151" s="2290"/>
      <c r="BD151" s="2290"/>
      <c r="BE151" s="2290"/>
      <c r="BF151" s="2290"/>
      <c r="BG151" s="2290"/>
      <c r="BH151" s="2290"/>
      <c r="BI151" s="2290"/>
      <c r="BJ151" s="2290"/>
      <c r="BK151" s="2290"/>
      <c r="BL151" s="2290"/>
      <c r="BM151" s="2290"/>
      <c r="BN151" s="2290"/>
      <c r="BO151" s="2290"/>
      <c r="BP151" s="2290"/>
      <c r="BQ151" s="2290"/>
      <c r="BR151" s="2290"/>
      <c r="BS151" s="2290"/>
      <c r="BT151" s="2290"/>
      <c r="BU151" s="2290"/>
      <c r="BV151" s="2290"/>
      <c r="BW151" s="2290"/>
      <c r="BX151" s="2290"/>
      <c r="BY151" s="2290"/>
      <c r="BZ151" s="2290"/>
      <c r="CA151" s="2290"/>
    </row>
    <row r="152" spans="1:79">
      <c r="A152" s="2290"/>
      <c r="B152" s="2290"/>
      <c r="C152" s="2290"/>
      <c r="D152" s="2290"/>
      <c r="E152" s="2290"/>
      <c r="F152" s="2290"/>
      <c r="G152" s="2290"/>
      <c r="H152" s="2290"/>
      <c r="I152" s="2290"/>
      <c r="J152" s="2290"/>
      <c r="K152" s="2290"/>
      <c r="L152" s="2290"/>
      <c r="M152" s="2290"/>
      <c r="N152" s="2290"/>
      <c r="O152" s="2290"/>
      <c r="P152" s="2290"/>
      <c r="Q152" s="2290"/>
      <c r="R152" s="2290"/>
      <c r="S152" s="2290"/>
      <c r="T152" s="2290"/>
      <c r="U152" s="2290"/>
      <c r="V152" s="2290"/>
      <c r="W152" s="2290"/>
      <c r="X152" s="2290"/>
      <c r="Y152" s="2290"/>
      <c r="Z152" s="2290"/>
      <c r="AA152" s="2290"/>
      <c r="AB152" s="2290"/>
      <c r="AC152" s="2290"/>
      <c r="AD152" s="2290"/>
      <c r="AE152" s="2290"/>
      <c r="AF152" s="2290"/>
      <c r="AG152" s="2290"/>
      <c r="AH152" s="2290"/>
      <c r="AI152" s="2290"/>
      <c r="AJ152" s="2290"/>
      <c r="AK152" s="2290"/>
      <c r="AL152" s="2290"/>
      <c r="AM152" s="2290"/>
      <c r="AN152" s="2290"/>
      <c r="AO152" s="2290"/>
      <c r="AP152" s="2290"/>
      <c r="AQ152" s="2290"/>
      <c r="AR152" s="2290"/>
      <c r="AS152" s="2290"/>
      <c r="AT152" s="2290"/>
      <c r="AU152" s="2290"/>
      <c r="AV152" s="2290"/>
      <c r="AW152" s="2290"/>
      <c r="AX152" s="2290"/>
      <c r="AY152" s="2290"/>
      <c r="AZ152" s="2290"/>
      <c r="BA152" s="2290"/>
      <c r="BB152" s="2290"/>
      <c r="BC152" s="2290"/>
      <c r="BD152" s="2290"/>
      <c r="BE152" s="2290"/>
      <c r="BF152" s="2290"/>
      <c r="BG152" s="2290"/>
      <c r="BH152" s="2290"/>
      <c r="BI152" s="2290"/>
      <c r="BJ152" s="2290"/>
      <c r="BK152" s="2290"/>
      <c r="BL152" s="2290"/>
      <c r="BM152" s="2290"/>
      <c r="BN152" s="2290"/>
      <c r="BO152" s="2290"/>
      <c r="BP152" s="2290"/>
      <c r="BQ152" s="2290"/>
      <c r="BR152" s="2290"/>
      <c r="BS152" s="2290"/>
      <c r="BT152" s="2290"/>
      <c r="BU152" s="2290"/>
      <c r="BV152" s="2290"/>
      <c r="BW152" s="2290"/>
      <c r="BX152" s="2290"/>
      <c r="BY152" s="2290"/>
      <c r="BZ152" s="2290"/>
      <c r="CA152" s="2290"/>
    </row>
    <row r="153" spans="1:79">
      <c r="A153" s="2290"/>
      <c r="B153" s="2290"/>
      <c r="C153" s="2290"/>
      <c r="D153" s="2290"/>
      <c r="E153" s="2290"/>
      <c r="F153" s="2290"/>
      <c r="G153" s="2290"/>
      <c r="H153" s="2290"/>
      <c r="I153" s="2290"/>
      <c r="J153" s="2290"/>
      <c r="K153" s="2290"/>
      <c r="L153" s="2290"/>
      <c r="M153" s="2290"/>
      <c r="N153" s="2290"/>
      <c r="O153" s="2290"/>
      <c r="P153" s="2290"/>
      <c r="Q153" s="2290"/>
      <c r="R153" s="2290"/>
      <c r="S153" s="2290"/>
      <c r="T153" s="2290"/>
      <c r="U153" s="2290"/>
      <c r="V153" s="2290"/>
      <c r="W153" s="2290"/>
      <c r="X153" s="2290"/>
      <c r="Y153" s="2290"/>
      <c r="Z153" s="2290"/>
      <c r="AA153" s="2290"/>
      <c r="AB153" s="2290"/>
      <c r="AC153" s="2290"/>
      <c r="AD153" s="2290"/>
      <c r="AE153" s="2290"/>
      <c r="AF153" s="2290"/>
      <c r="AG153" s="2290"/>
      <c r="AH153" s="2290"/>
      <c r="AI153" s="2290"/>
      <c r="AJ153" s="2290"/>
      <c r="AK153" s="2290"/>
      <c r="AL153" s="2290"/>
      <c r="AM153" s="2290"/>
      <c r="AN153" s="2290"/>
      <c r="AO153" s="2290"/>
      <c r="AP153" s="2290"/>
      <c r="AQ153" s="2290"/>
      <c r="AR153" s="2290"/>
      <c r="AS153" s="2290"/>
      <c r="AT153" s="2290"/>
      <c r="AU153" s="2290"/>
      <c r="AV153" s="2290"/>
      <c r="AW153" s="2290"/>
      <c r="AX153" s="2290"/>
      <c r="AY153" s="2290"/>
      <c r="AZ153" s="2290"/>
      <c r="BA153" s="2290"/>
      <c r="BB153" s="2290"/>
      <c r="BC153" s="2290"/>
      <c r="BD153" s="2290"/>
      <c r="BE153" s="2290"/>
      <c r="BF153" s="2290"/>
      <c r="BG153" s="2290"/>
      <c r="BH153" s="2290"/>
      <c r="BI153" s="2290"/>
      <c r="BJ153" s="2290"/>
      <c r="BK153" s="2290"/>
      <c r="BL153" s="2290"/>
      <c r="BM153" s="2290"/>
      <c r="BN153" s="2290"/>
      <c r="BO153" s="2290"/>
      <c r="BP153" s="2290"/>
      <c r="BQ153" s="2290"/>
      <c r="BR153" s="2290"/>
      <c r="BS153" s="2290"/>
      <c r="BT153" s="2290"/>
      <c r="BU153" s="2290"/>
      <c r="BV153" s="2290"/>
      <c r="BW153" s="2290"/>
      <c r="BX153" s="2290"/>
      <c r="BY153" s="2290"/>
      <c r="BZ153" s="2290"/>
      <c r="CA153" s="2290"/>
    </row>
    <row r="154" spans="1:79">
      <c r="A154" s="2290"/>
      <c r="B154" s="2290"/>
      <c r="C154" s="2290"/>
      <c r="D154" s="2290"/>
      <c r="E154" s="2290"/>
      <c r="F154" s="2290"/>
      <c r="G154" s="2290"/>
      <c r="H154" s="2290"/>
      <c r="I154" s="2290"/>
      <c r="J154" s="2290"/>
      <c r="K154" s="2290"/>
      <c r="L154" s="2290"/>
      <c r="M154" s="2290"/>
      <c r="N154" s="2290"/>
      <c r="O154" s="2290"/>
      <c r="P154" s="2290"/>
      <c r="Q154" s="2290"/>
      <c r="R154" s="2290"/>
      <c r="S154" s="2290"/>
      <c r="T154" s="2290"/>
      <c r="U154" s="2290"/>
      <c r="V154" s="2290"/>
      <c r="W154" s="2290"/>
      <c r="X154" s="2290"/>
      <c r="Y154" s="2290"/>
      <c r="Z154" s="2290"/>
      <c r="AA154" s="2290"/>
      <c r="AB154" s="2290"/>
      <c r="AC154" s="2290"/>
      <c r="AD154" s="2290"/>
      <c r="AE154" s="2290"/>
      <c r="AF154" s="2290"/>
      <c r="AG154" s="2290"/>
      <c r="AH154" s="2290"/>
      <c r="AI154" s="2290"/>
      <c r="AJ154" s="2290"/>
      <c r="AK154" s="2290"/>
      <c r="AL154" s="2290"/>
      <c r="AM154" s="2290"/>
      <c r="AN154" s="2290"/>
      <c r="AO154" s="2290"/>
      <c r="AP154" s="2290"/>
      <c r="AQ154" s="2290"/>
      <c r="AR154" s="2290"/>
      <c r="AS154" s="2290"/>
      <c r="AT154" s="2290"/>
      <c r="AU154" s="2290"/>
      <c r="AV154" s="2290"/>
      <c r="AW154" s="2290"/>
      <c r="AX154" s="2290"/>
      <c r="AY154" s="2290"/>
      <c r="AZ154" s="2290"/>
      <c r="BA154" s="2290"/>
      <c r="BB154" s="2290"/>
      <c r="BC154" s="2290"/>
      <c r="BD154" s="2290"/>
      <c r="BE154" s="2290"/>
      <c r="BF154" s="2290"/>
      <c r="BG154" s="2290"/>
      <c r="BH154" s="2290"/>
      <c r="BI154" s="2290"/>
      <c r="BJ154" s="2290"/>
      <c r="BK154" s="2290"/>
      <c r="BL154" s="2290"/>
      <c r="BM154" s="2290"/>
      <c r="BN154" s="2290"/>
      <c r="BO154" s="2290"/>
      <c r="BP154" s="2290"/>
      <c r="BQ154" s="2290"/>
      <c r="BR154" s="2290"/>
      <c r="BS154" s="2290"/>
      <c r="BT154" s="2290"/>
      <c r="BU154" s="2290"/>
      <c r="BV154" s="2290"/>
      <c r="BW154" s="2290"/>
      <c r="BX154" s="2290"/>
      <c r="BY154" s="2290"/>
      <c r="BZ154" s="2290"/>
      <c r="CA154" s="2290"/>
    </row>
    <row r="155" spans="1:79">
      <c r="A155" s="2290"/>
      <c r="B155" s="2290"/>
      <c r="C155" s="2290"/>
      <c r="D155" s="2290"/>
      <c r="E155" s="2290"/>
      <c r="F155" s="2290"/>
      <c r="G155" s="2290"/>
      <c r="H155" s="2290"/>
      <c r="I155" s="2290"/>
      <c r="J155" s="2290"/>
      <c r="K155" s="2290"/>
      <c r="L155" s="2290"/>
      <c r="M155" s="2290"/>
      <c r="N155" s="2290"/>
      <c r="O155" s="2290"/>
      <c r="P155" s="2290"/>
      <c r="Q155" s="2290"/>
      <c r="R155" s="2290"/>
      <c r="S155" s="2290"/>
      <c r="T155" s="2290"/>
      <c r="U155" s="2290"/>
      <c r="V155" s="2290"/>
      <c r="W155" s="2290"/>
      <c r="X155" s="2290"/>
      <c r="Y155" s="2290"/>
      <c r="Z155" s="2290"/>
      <c r="AA155" s="2290"/>
      <c r="AB155" s="2290"/>
      <c r="AC155" s="2290"/>
      <c r="AD155" s="2290"/>
      <c r="AE155" s="2290"/>
      <c r="AF155" s="2290"/>
      <c r="AG155" s="2290"/>
      <c r="AH155" s="2290"/>
      <c r="AI155" s="2290"/>
      <c r="AJ155" s="2290"/>
      <c r="AK155" s="2290"/>
      <c r="AL155" s="2290"/>
      <c r="AM155" s="2290"/>
      <c r="AN155" s="2290"/>
      <c r="AO155" s="2290"/>
      <c r="AP155" s="2290"/>
      <c r="AQ155" s="2290"/>
      <c r="AR155" s="2290"/>
      <c r="AS155" s="2290"/>
      <c r="AT155" s="2290"/>
      <c r="AU155" s="2290"/>
      <c r="AV155" s="2290"/>
      <c r="AW155" s="2290"/>
      <c r="AX155" s="2290"/>
      <c r="AY155" s="2290"/>
      <c r="AZ155" s="2290"/>
      <c r="BA155" s="2290"/>
      <c r="BB155" s="2290"/>
      <c r="BC155" s="2290"/>
      <c r="BD155" s="2290"/>
      <c r="BE155" s="2290"/>
      <c r="BF155" s="2290"/>
      <c r="BG155" s="2290"/>
      <c r="BH155" s="2290"/>
      <c r="BI155" s="2290"/>
      <c r="BJ155" s="2290"/>
      <c r="BK155" s="2290"/>
      <c r="BL155" s="2290"/>
      <c r="BM155" s="2290"/>
      <c r="BN155" s="2290"/>
      <c r="BO155" s="2290"/>
      <c r="BP155" s="2290"/>
      <c r="BQ155" s="2290"/>
      <c r="BR155" s="2290"/>
      <c r="BS155" s="2290"/>
      <c r="BT155" s="2290"/>
      <c r="BU155" s="2290"/>
      <c r="BV155" s="2290"/>
      <c r="BW155" s="2290"/>
      <c r="BX155" s="2290"/>
      <c r="BY155" s="2290"/>
      <c r="BZ155" s="2290"/>
      <c r="CA155" s="2290"/>
    </row>
    <row r="156" spans="1:79">
      <c r="A156" s="2290"/>
      <c r="B156" s="2290"/>
      <c r="C156" s="2290"/>
      <c r="D156" s="2290"/>
      <c r="E156" s="2290"/>
      <c r="F156" s="2290"/>
      <c r="G156" s="2290"/>
      <c r="H156" s="2290"/>
      <c r="I156" s="2290"/>
      <c r="J156" s="2290"/>
      <c r="K156" s="2290"/>
      <c r="L156" s="2290"/>
      <c r="M156" s="2290"/>
      <c r="N156" s="2290"/>
      <c r="O156" s="2290"/>
      <c r="P156" s="2290"/>
      <c r="Q156" s="2290"/>
      <c r="R156" s="2290"/>
      <c r="S156" s="2290"/>
      <c r="T156" s="2290"/>
      <c r="U156" s="2290"/>
      <c r="V156" s="2290"/>
      <c r="W156" s="2290"/>
      <c r="X156" s="2290"/>
      <c r="Y156" s="2290"/>
      <c r="Z156" s="2290"/>
      <c r="AA156" s="2290"/>
      <c r="AB156" s="2290"/>
      <c r="AC156" s="2290"/>
      <c r="AD156" s="2290"/>
      <c r="AE156" s="2290"/>
      <c r="AF156" s="2290"/>
      <c r="AG156" s="2290"/>
      <c r="AH156" s="2290"/>
      <c r="AI156" s="2290"/>
      <c r="AJ156" s="2290"/>
      <c r="AK156" s="2290"/>
      <c r="AL156" s="2290"/>
      <c r="AM156" s="2290"/>
      <c r="AN156" s="2290"/>
      <c r="AO156" s="2290"/>
      <c r="AP156" s="2290"/>
      <c r="AQ156" s="2290"/>
      <c r="AR156" s="2290"/>
      <c r="AS156" s="2290"/>
      <c r="AT156" s="2290"/>
      <c r="AU156" s="2290"/>
      <c r="AV156" s="2290"/>
      <c r="AW156" s="2290"/>
      <c r="AX156" s="2290"/>
      <c r="AY156" s="2290"/>
      <c r="AZ156" s="2290"/>
      <c r="BA156" s="2290"/>
      <c r="BB156" s="2290"/>
      <c r="BC156" s="2290"/>
      <c r="BD156" s="2290"/>
      <c r="BE156" s="2290"/>
      <c r="BF156" s="2290"/>
      <c r="BG156" s="2290"/>
      <c r="BH156" s="2290"/>
      <c r="BI156" s="2290"/>
      <c r="BJ156" s="2290"/>
      <c r="BK156" s="2290"/>
      <c r="BL156" s="2290"/>
      <c r="BM156" s="2290"/>
      <c r="BN156" s="2290"/>
      <c r="BO156" s="2290"/>
      <c r="BP156" s="2290"/>
      <c r="BQ156" s="2290"/>
      <c r="BR156" s="2290"/>
      <c r="BS156" s="2290"/>
      <c r="BT156" s="2290"/>
      <c r="BU156" s="2290"/>
      <c r="BV156" s="2290"/>
      <c r="BW156" s="2290"/>
      <c r="BX156" s="2290"/>
      <c r="BY156" s="2290"/>
      <c r="BZ156" s="2290"/>
      <c r="CA156" s="2290"/>
    </row>
    <row r="157" spans="1:79">
      <c r="A157" s="2290"/>
      <c r="B157" s="2290"/>
      <c r="C157" s="2290"/>
      <c r="D157" s="2290"/>
      <c r="E157" s="2290"/>
      <c r="F157" s="2290"/>
      <c r="G157" s="2290"/>
      <c r="H157" s="2290"/>
      <c r="I157" s="2290"/>
      <c r="J157" s="2290"/>
      <c r="K157" s="2290"/>
      <c r="L157" s="2290"/>
      <c r="M157" s="2290"/>
      <c r="N157" s="2290"/>
      <c r="O157" s="2290"/>
      <c r="P157" s="2290"/>
      <c r="Q157" s="2290"/>
      <c r="R157" s="2290"/>
      <c r="S157" s="2290"/>
      <c r="T157" s="2290"/>
      <c r="U157" s="2290"/>
      <c r="V157" s="2290"/>
      <c r="W157" s="2290"/>
      <c r="X157" s="2290"/>
      <c r="Y157" s="2290"/>
      <c r="Z157" s="2290"/>
      <c r="AA157" s="2290"/>
      <c r="AB157" s="2290"/>
      <c r="AC157" s="2290"/>
      <c r="AD157" s="2290"/>
      <c r="AE157" s="2290"/>
      <c r="AF157" s="2290"/>
      <c r="AG157" s="2290"/>
      <c r="AH157" s="2290"/>
      <c r="AI157" s="2290"/>
      <c r="AJ157" s="2290"/>
      <c r="AK157" s="2290"/>
      <c r="AL157" s="2290"/>
      <c r="AM157" s="2290"/>
      <c r="AN157" s="2290"/>
      <c r="AO157" s="2290"/>
      <c r="AP157" s="2290"/>
      <c r="AQ157" s="2290"/>
      <c r="AR157" s="2290"/>
      <c r="AS157" s="2290"/>
      <c r="AT157" s="2290"/>
      <c r="AU157" s="2290"/>
      <c r="AV157" s="2290"/>
      <c r="AW157" s="2290"/>
      <c r="AX157" s="2290"/>
      <c r="AY157" s="2290"/>
      <c r="AZ157" s="2290"/>
      <c r="BA157" s="2290"/>
      <c r="BB157" s="2290"/>
      <c r="BC157" s="2290"/>
      <c r="BD157" s="2290"/>
      <c r="BE157" s="2290"/>
      <c r="BF157" s="2290"/>
      <c r="BG157" s="2290"/>
      <c r="BH157" s="2290"/>
      <c r="BI157" s="2290"/>
      <c r="BJ157" s="2290"/>
      <c r="BK157" s="2290"/>
      <c r="BL157" s="2290"/>
      <c r="BM157" s="2290"/>
      <c r="BN157" s="2290"/>
      <c r="BO157" s="2290"/>
      <c r="BP157" s="2290"/>
      <c r="BQ157" s="2290"/>
      <c r="BR157" s="2290"/>
      <c r="BS157" s="2290"/>
      <c r="BT157" s="2290"/>
      <c r="BU157" s="2290"/>
      <c r="BV157" s="2290"/>
      <c r="BW157" s="2290"/>
      <c r="BX157" s="2290"/>
      <c r="BY157" s="2290"/>
      <c r="BZ157" s="2290"/>
      <c r="CA157" s="2290"/>
    </row>
    <row r="158" spans="1:79">
      <c r="A158" s="2290"/>
      <c r="B158" s="2290"/>
      <c r="C158" s="2290"/>
      <c r="D158" s="2290"/>
      <c r="E158" s="2290"/>
      <c r="F158" s="2290"/>
      <c r="G158" s="2290"/>
      <c r="H158" s="2290"/>
      <c r="I158" s="2290"/>
      <c r="J158" s="2290"/>
      <c r="K158" s="2290"/>
      <c r="L158" s="2290"/>
      <c r="M158" s="2290"/>
      <c r="N158" s="2290"/>
      <c r="O158" s="2290"/>
      <c r="P158" s="2290"/>
      <c r="Q158" s="2290"/>
      <c r="R158" s="2290"/>
      <c r="S158" s="2290"/>
      <c r="T158" s="2290"/>
      <c r="U158" s="2290"/>
      <c r="V158" s="2290"/>
      <c r="W158" s="2290"/>
      <c r="X158" s="2290"/>
      <c r="Y158" s="2290"/>
      <c r="Z158" s="2290"/>
      <c r="AA158" s="2290"/>
      <c r="AB158" s="2290"/>
      <c r="AC158" s="2290"/>
      <c r="AD158" s="2290"/>
      <c r="AE158" s="2290"/>
      <c r="AF158" s="2290"/>
      <c r="AG158" s="2290"/>
      <c r="AH158" s="2290"/>
      <c r="AI158" s="2290"/>
      <c r="AJ158" s="2290"/>
      <c r="AK158" s="2290"/>
      <c r="AL158" s="2290"/>
      <c r="AM158" s="2290"/>
      <c r="AN158" s="2290"/>
      <c r="AO158" s="2290"/>
      <c r="AP158" s="2290"/>
      <c r="AQ158" s="2290"/>
      <c r="AR158" s="2290"/>
      <c r="AS158" s="2290"/>
      <c r="AT158" s="2290"/>
      <c r="AU158" s="2290"/>
      <c r="AV158" s="2290"/>
      <c r="AW158" s="2290"/>
      <c r="AX158" s="2290"/>
      <c r="AY158" s="2290"/>
      <c r="AZ158" s="2290"/>
      <c r="BA158" s="2290"/>
      <c r="BB158" s="2290"/>
      <c r="BC158" s="2290"/>
      <c r="BD158" s="2290"/>
      <c r="BE158" s="2290"/>
      <c r="BF158" s="2290"/>
      <c r="BG158" s="2290"/>
      <c r="BH158" s="2290"/>
      <c r="BI158" s="2290"/>
      <c r="BJ158" s="2290"/>
      <c r="BK158" s="2290"/>
      <c r="BL158" s="2290"/>
      <c r="BM158" s="2290"/>
      <c r="BN158" s="2290"/>
      <c r="BO158" s="2290"/>
      <c r="BP158" s="2290"/>
      <c r="BQ158" s="2290"/>
      <c r="BR158" s="2290"/>
      <c r="BS158" s="2290"/>
      <c r="BT158" s="2290"/>
      <c r="BU158" s="2290"/>
      <c r="BV158" s="2290"/>
      <c r="BW158" s="2290"/>
      <c r="BX158" s="2290"/>
      <c r="BY158" s="2290"/>
      <c r="BZ158" s="2290"/>
      <c r="CA158" s="2290"/>
    </row>
    <row r="159" spans="1:79">
      <c r="A159" s="2290"/>
      <c r="B159" s="2290"/>
      <c r="C159" s="2290"/>
      <c r="D159" s="2290"/>
      <c r="E159" s="2290"/>
      <c r="F159" s="2290"/>
      <c r="G159" s="2290"/>
      <c r="H159" s="2290"/>
      <c r="I159" s="2290"/>
      <c r="J159" s="2290"/>
      <c r="K159" s="2290"/>
      <c r="L159" s="2290"/>
      <c r="M159" s="2290"/>
      <c r="N159" s="2290"/>
      <c r="O159" s="2290"/>
      <c r="P159" s="2290"/>
      <c r="Q159" s="2290"/>
      <c r="R159" s="2290"/>
      <c r="S159" s="2290"/>
      <c r="T159" s="2290"/>
      <c r="U159" s="2290"/>
      <c r="V159" s="2290"/>
      <c r="W159" s="2290"/>
      <c r="X159" s="2290"/>
      <c r="Y159" s="2290"/>
      <c r="Z159" s="2290"/>
      <c r="AA159" s="2290"/>
      <c r="AB159" s="2290"/>
      <c r="AC159" s="2290"/>
      <c r="AD159" s="2290"/>
      <c r="AE159" s="2290"/>
      <c r="AF159" s="2290"/>
      <c r="AG159" s="2290"/>
      <c r="AH159" s="2290"/>
      <c r="AI159" s="2290"/>
      <c r="AJ159" s="2290"/>
      <c r="AK159" s="2290"/>
      <c r="AL159" s="2290"/>
      <c r="AM159" s="2290"/>
      <c r="AN159" s="2290"/>
      <c r="AO159" s="2290"/>
      <c r="AP159" s="2290"/>
      <c r="AQ159" s="2290"/>
      <c r="AR159" s="2290"/>
      <c r="AS159" s="2290"/>
      <c r="AT159" s="2290"/>
      <c r="AU159" s="2290"/>
      <c r="AV159" s="2290"/>
      <c r="AW159" s="2290"/>
      <c r="AX159" s="2290"/>
      <c r="AY159" s="2290"/>
      <c r="AZ159" s="2290"/>
      <c r="BA159" s="2290"/>
      <c r="BB159" s="2290"/>
      <c r="BC159" s="2290"/>
      <c r="BD159" s="2290"/>
      <c r="BE159" s="2290"/>
      <c r="BF159" s="2290"/>
      <c r="BG159" s="2290"/>
      <c r="BH159" s="2290"/>
      <c r="BI159" s="2290"/>
      <c r="BJ159" s="2290"/>
      <c r="BK159" s="2290"/>
      <c r="BL159" s="2290"/>
      <c r="BM159" s="2290"/>
      <c r="BN159" s="2290"/>
      <c r="BO159" s="2290"/>
      <c r="BP159" s="2290"/>
      <c r="BQ159" s="2290"/>
      <c r="BR159" s="2290"/>
      <c r="BS159" s="2290"/>
      <c r="BT159" s="2290"/>
      <c r="BU159" s="2290"/>
      <c r="BV159" s="2290"/>
      <c r="BW159" s="2290"/>
      <c r="BX159" s="2290"/>
      <c r="BY159" s="2290"/>
      <c r="BZ159" s="2290"/>
      <c r="CA159" s="2290"/>
    </row>
    <row r="160" spans="1:79">
      <c r="A160" s="2290"/>
      <c r="B160" s="2290"/>
      <c r="C160" s="2290"/>
      <c r="D160" s="2290"/>
      <c r="E160" s="2290"/>
      <c r="F160" s="2290"/>
      <c r="G160" s="2290"/>
      <c r="H160" s="2290"/>
      <c r="I160" s="2290"/>
      <c r="J160" s="2290"/>
      <c r="K160" s="2290"/>
      <c r="L160" s="2290"/>
      <c r="M160" s="2290"/>
      <c r="N160" s="2290"/>
      <c r="O160" s="2290"/>
      <c r="P160" s="2290"/>
      <c r="Q160" s="2290"/>
      <c r="R160" s="2290"/>
      <c r="S160" s="2290"/>
      <c r="T160" s="2290"/>
      <c r="U160" s="2290"/>
      <c r="V160" s="2290"/>
      <c r="W160" s="2290"/>
      <c r="X160" s="2290"/>
      <c r="Y160" s="2290"/>
      <c r="Z160" s="2290"/>
      <c r="AA160" s="2290"/>
      <c r="AB160" s="2290"/>
      <c r="AC160" s="2290"/>
      <c r="AD160" s="2290"/>
      <c r="AE160" s="2290"/>
      <c r="AF160" s="2290"/>
      <c r="AG160" s="2290"/>
      <c r="AH160" s="2290"/>
      <c r="AI160" s="2290"/>
      <c r="AJ160" s="2290"/>
      <c r="AK160" s="2290"/>
      <c r="AL160" s="2290"/>
      <c r="AM160" s="2290"/>
      <c r="AN160" s="2290"/>
      <c r="AO160" s="2290"/>
      <c r="AP160" s="2290"/>
      <c r="AQ160" s="2290"/>
      <c r="AR160" s="2290"/>
      <c r="AS160" s="2290"/>
      <c r="AT160" s="2290"/>
      <c r="AU160" s="2290"/>
      <c r="AV160" s="2290"/>
      <c r="AW160" s="2290"/>
      <c r="AX160" s="2290"/>
      <c r="AY160" s="2290"/>
      <c r="AZ160" s="2290"/>
      <c r="BA160" s="2290"/>
      <c r="BB160" s="2290"/>
      <c r="BC160" s="2290"/>
      <c r="BD160" s="2290"/>
      <c r="BE160" s="2290"/>
      <c r="BF160" s="2290"/>
      <c r="BG160" s="2290"/>
      <c r="BH160" s="2290"/>
      <c r="BI160" s="2290"/>
      <c r="BJ160" s="2290"/>
      <c r="BK160" s="2290"/>
      <c r="BL160" s="2290"/>
      <c r="BM160" s="2290"/>
      <c r="BN160" s="2290"/>
      <c r="BO160" s="2290"/>
      <c r="BP160" s="2290"/>
      <c r="BQ160" s="2290"/>
      <c r="BR160" s="2290"/>
      <c r="BS160" s="2290"/>
      <c r="BT160" s="2290"/>
      <c r="BU160" s="2290"/>
      <c r="BV160" s="2290"/>
      <c r="BW160" s="2290"/>
      <c r="BX160" s="2290"/>
      <c r="BY160" s="2290"/>
      <c r="BZ160" s="2290"/>
      <c r="CA160" s="2290"/>
    </row>
    <row r="161" spans="1:79">
      <c r="A161" s="2290"/>
      <c r="B161" s="2290"/>
      <c r="C161" s="2290"/>
      <c r="D161" s="2290"/>
      <c r="E161" s="2290"/>
      <c r="F161" s="2290"/>
      <c r="G161" s="2290"/>
      <c r="H161" s="2290"/>
      <c r="I161" s="2290"/>
      <c r="J161" s="2290"/>
      <c r="K161" s="2290"/>
      <c r="L161" s="2290"/>
      <c r="M161" s="2290"/>
      <c r="N161" s="2290"/>
      <c r="O161" s="2290"/>
      <c r="P161" s="2290"/>
      <c r="Q161" s="2290"/>
      <c r="R161" s="2290"/>
      <c r="S161" s="2290"/>
      <c r="T161" s="2290"/>
      <c r="U161" s="2290"/>
      <c r="V161" s="2290"/>
      <c r="W161" s="2290"/>
      <c r="X161" s="2290"/>
      <c r="Y161" s="2290"/>
      <c r="Z161" s="2290"/>
      <c r="AA161" s="2290"/>
      <c r="AB161" s="2290"/>
      <c r="AC161" s="2290"/>
      <c r="AD161" s="2290"/>
      <c r="AE161" s="2290"/>
      <c r="AF161" s="2290"/>
      <c r="AG161" s="2290"/>
      <c r="AH161" s="2290"/>
      <c r="AI161" s="2290"/>
      <c r="AJ161" s="2290"/>
      <c r="AK161" s="2290"/>
      <c r="AL161" s="2290"/>
      <c r="AM161" s="2290"/>
      <c r="AN161" s="2290"/>
      <c r="AO161" s="2290"/>
      <c r="AP161" s="2290"/>
      <c r="AQ161" s="2290"/>
      <c r="AR161" s="2290"/>
      <c r="AS161" s="2290"/>
      <c r="AT161" s="2290"/>
      <c r="AU161" s="2290"/>
      <c r="AV161" s="2290"/>
      <c r="AW161" s="2290"/>
      <c r="AX161" s="2290"/>
      <c r="AY161" s="2290"/>
      <c r="AZ161" s="2290"/>
      <c r="BA161" s="2290"/>
      <c r="BB161" s="2290"/>
      <c r="BC161" s="2290"/>
      <c r="BD161" s="2290"/>
      <c r="BE161" s="2290"/>
      <c r="BF161" s="2290"/>
      <c r="BG161" s="2290"/>
      <c r="BH161" s="2290"/>
      <c r="BI161" s="2290"/>
      <c r="BJ161" s="2290"/>
      <c r="BK161" s="2290"/>
      <c r="BL161" s="2290"/>
      <c r="BM161" s="2290"/>
      <c r="BN161" s="2290"/>
      <c r="BO161" s="2290"/>
      <c r="BP161" s="2290"/>
      <c r="BQ161" s="2290"/>
      <c r="BR161" s="2290"/>
      <c r="BS161" s="2290"/>
      <c r="BT161" s="2290"/>
      <c r="BU161" s="2290"/>
      <c r="BV161" s="2290"/>
      <c r="BW161" s="2290"/>
      <c r="BX161" s="2290"/>
      <c r="BY161" s="2290"/>
      <c r="BZ161" s="2290"/>
      <c r="CA161" s="2290"/>
    </row>
    <row r="162" spans="1:79">
      <c r="A162" s="2290"/>
      <c r="B162" s="2290"/>
      <c r="C162" s="2290"/>
      <c r="D162" s="2290"/>
      <c r="E162" s="2290"/>
      <c r="F162" s="2290"/>
      <c r="G162" s="2290"/>
      <c r="H162" s="2290"/>
      <c r="I162" s="2290"/>
      <c r="J162" s="2290"/>
      <c r="K162" s="2290"/>
      <c r="L162" s="2290"/>
      <c r="M162" s="2290"/>
      <c r="N162" s="2290"/>
      <c r="O162" s="2290"/>
      <c r="P162" s="2290"/>
      <c r="Q162" s="2290"/>
      <c r="R162" s="2290"/>
      <c r="S162" s="2290"/>
      <c r="T162" s="2290"/>
      <c r="U162" s="2290"/>
      <c r="V162" s="2290"/>
      <c r="W162" s="2290"/>
      <c r="X162" s="2290"/>
      <c r="Y162" s="2290"/>
      <c r="Z162" s="2290"/>
      <c r="AA162" s="2290"/>
      <c r="AB162" s="2290"/>
      <c r="AC162" s="2290"/>
      <c r="AD162" s="2290"/>
      <c r="AE162" s="2290"/>
      <c r="AF162" s="2290"/>
      <c r="AG162" s="2290"/>
      <c r="AH162" s="2290"/>
      <c r="AI162" s="2290"/>
      <c r="AJ162" s="2290"/>
      <c r="AK162" s="2290"/>
      <c r="AL162" s="2290"/>
      <c r="AM162" s="2290"/>
      <c r="AN162" s="2290"/>
      <c r="AO162" s="2290"/>
      <c r="AP162" s="2290"/>
      <c r="AQ162" s="2290"/>
      <c r="AR162" s="2290"/>
      <c r="AS162" s="2290"/>
      <c r="AT162" s="2290"/>
      <c r="AU162" s="2290"/>
      <c r="AV162" s="2290"/>
      <c r="AW162" s="2290"/>
      <c r="AX162" s="2290"/>
      <c r="AY162" s="2290"/>
      <c r="AZ162" s="2290"/>
      <c r="BA162" s="2290"/>
      <c r="BB162" s="2290"/>
      <c r="BC162" s="2290"/>
      <c r="BD162" s="2290"/>
      <c r="BE162" s="2290"/>
      <c r="BF162" s="2290"/>
      <c r="BG162" s="2290"/>
      <c r="BH162" s="2290"/>
      <c r="BI162" s="2290"/>
      <c r="BJ162" s="2290"/>
      <c r="BK162" s="2290"/>
      <c r="BL162" s="2290"/>
      <c r="BM162" s="2290"/>
      <c r="BN162" s="2290"/>
      <c r="BO162" s="2290"/>
      <c r="BP162" s="2290"/>
      <c r="BQ162" s="2290"/>
      <c r="BR162" s="2290"/>
      <c r="BS162" s="2290"/>
      <c r="BT162" s="2290"/>
      <c r="BU162" s="2290"/>
      <c r="BV162" s="2290"/>
      <c r="BW162" s="2290"/>
      <c r="BX162" s="2290"/>
      <c r="BY162" s="2290"/>
      <c r="BZ162" s="2290"/>
      <c r="CA162" s="2290"/>
    </row>
    <row r="163" spans="1:79">
      <c r="A163" s="2290"/>
      <c r="B163" s="2290"/>
      <c r="C163" s="2290"/>
      <c r="D163" s="2290"/>
      <c r="E163" s="2290"/>
      <c r="F163" s="2290"/>
      <c r="G163" s="2290"/>
      <c r="H163" s="2290"/>
      <c r="I163" s="2290"/>
      <c r="J163" s="2290"/>
      <c r="K163" s="2290"/>
      <c r="L163" s="2290"/>
      <c r="M163" s="2290"/>
      <c r="N163" s="2290"/>
      <c r="O163" s="2290"/>
      <c r="P163" s="2290"/>
      <c r="Q163" s="2290"/>
      <c r="R163" s="2290"/>
      <c r="S163" s="2290"/>
      <c r="T163" s="2290"/>
      <c r="U163" s="2290"/>
      <c r="V163" s="2290"/>
      <c r="W163" s="2290"/>
      <c r="X163" s="2290"/>
      <c r="Y163" s="2290"/>
      <c r="Z163" s="2290"/>
      <c r="AA163" s="2290"/>
      <c r="AB163" s="2290"/>
      <c r="AC163" s="2290"/>
      <c r="AD163" s="2290"/>
      <c r="AE163" s="2290"/>
      <c r="AF163" s="2290"/>
      <c r="AG163" s="2290"/>
      <c r="AH163" s="2290"/>
      <c r="AI163" s="2290"/>
      <c r="AJ163" s="2290"/>
      <c r="AK163" s="2290"/>
      <c r="AL163" s="2290"/>
      <c r="AM163" s="2290"/>
      <c r="AN163" s="2290"/>
      <c r="AO163" s="2290"/>
      <c r="AP163" s="2290"/>
      <c r="AQ163" s="2290"/>
      <c r="AR163" s="2290"/>
      <c r="AS163" s="2290"/>
      <c r="AT163" s="2290"/>
      <c r="AU163" s="2290"/>
      <c r="AV163" s="2290"/>
      <c r="AW163" s="2290"/>
      <c r="AX163" s="2290"/>
      <c r="AY163" s="2290"/>
      <c r="AZ163" s="2290"/>
      <c r="BA163" s="2290"/>
      <c r="BB163" s="2290"/>
      <c r="BC163" s="2290"/>
      <c r="BD163" s="2290"/>
      <c r="BE163" s="2290"/>
      <c r="BF163" s="2290"/>
      <c r="BG163" s="2290"/>
      <c r="BH163" s="2290"/>
      <c r="BI163" s="2290"/>
      <c r="BJ163" s="2290"/>
      <c r="BK163" s="2290"/>
      <c r="BL163" s="2290"/>
      <c r="BM163" s="2290"/>
      <c r="BN163" s="2290"/>
      <c r="BO163" s="2290"/>
      <c r="BP163" s="2290"/>
      <c r="BQ163" s="2290"/>
      <c r="BR163" s="2290"/>
      <c r="BS163" s="2290"/>
      <c r="BT163" s="2290"/>
      <c r="BU163" s="2290"/>
      <c r="BV163" s="2290"/>
      <c r="BW163" s="2290"/>
      <c r="BX163" s="2290"/>
      <c r="BY163" s="2290"/>
      <c r="BZ163" s="2290"/>
      <c r="CA163" s="2290"/>
    </row>
    <row r="164" spans="1:79">
      <c r="A164" s="2290"/>
      <c r="B164" s="2290"/>
      <c r="C164" s="2290"/>
      <c r="D164" s="2290"/>
      <c r="E164" s="2290"/>
      <c r="F164" s="2290"/>
      <c r="G164" s="2290"/>
      <c r="H164" s="2290"/>
      <c r="I164" s="2290"/>
      <c r="J164" s="2290"/>
      <c r="K164" s="2290"/>
      <c r="L164" s="2290"/>
      <c r="M164" s="2290"/>
      <c r="N164" s="2290"/>
      <c r="O164" s="2290"/>
      <c r="P164" s="2290"/>
      <c r="Q164" s="2290"/>
      <c r="R164" s="2290"/>
      <c r="S164" s="2290"/>
      <c r="T164" s="2290"/>
      <c r="U164" s="2290"/>
      <c r="V164" s="2290"/>
      <c r="W164" s="2290"/>
      <c r="X164" s="2290"/>
      <c r="Y164" s="2290"/>
      <c r="Z164" s="2290"/>
      <c r="AA164" s="2290"/>
      <c r="AB164" s="2290"/>
      <c r="AC164" s="2290"/>
      <c r="AD164" s="2290"/>
      <c r="AE164" s="2290"/>
      <c r="AF164" s="2290"/>
      <c r="AG164" s="2290"/>
      <c r="AH164" s="2290"/>
      <c r="AI164" s="2290"/>
      <c r="AJ164" s="2290"/>
      <c r="AK164" s="2290"/>
      <c r="AL164" s="2290"/>
      <c r="AM164" s="2290"/>
      <c r="AN164" s="2290"/>
      <c r="AO164" s="2290"/>
      <c r="AP164" s="2290"/>
      <c r="AQ164" s="2290"/>
      <c r="AR164" s="2290"/>
      <c r="AS164" s="2290"/>
      <c r="AT164" s="2290"/>
      <c r="AU164" s="2290"/>
      <c r="AV164" s="2290"/>
      <c r="AW164" s="2290"/>
      <c r="AX164" s="2290"/>
      <c r="AY164" s="2290"/>
      <c r="AZ164" s="2290"/>
      <c r="BA164" s="2290"/>
      <c r="BB164" s="2290"/>
      <c r="BC164" s="2290"/>
      <c r="BD164" s="2290"/>
      <c r="BE164" s="2290"/>
      <c r="BF164" s="2290"/>
      <c r="BG164" s="2290"/>
      <c r="BH164" s="2290"/>
      <c r="BI164" s="2290"/>
      <c r="BJ164" s="2290"/>
      <c r="BK164" s="2290"/>
      <c r="BL164" s="2290"/>
      <c r="BM164" s="2290"/>
      <c r="BN164" s="2290"/>
      <c r="BO164" s="2290"/>
      <c r="BP164" s="2290"/>
      <c r="BQ164" s="2290"/>
      <c r="BR164" s="2290"/>
      <c r="BS164" s="2290"/>
      <c r="BT164" s="2290"/>
      <c r="BU164" s="2290"/>
      <c r="BV164" s="2290"/>
      <c r="BW164" s="2290"/>
      <c r="BX164" s="2290"/>
      <c r="BY164" s="2290"/>
      <c r="BZ164" s="2290"/>
      <c r="CA164" s="2290"/>
    </row>
    <row r="165" spans="1:79">
      <c r="A165" s="2290"/>
      <c r="B165" s="2290"/>
      <c r="C165" s="2290"/>
      <c r="D165" s="2290"/>
      <c r="E165" s="2290"/>
      <c r="F165" s="2290"/>
      <c r="G165" s="2290"/>
      <c r="H165" s="2290"/>
      <c r="I165" s="2290"/>
      <c r="J165" s="2290"/>
      <c r="K165" s="2290"/>
      <c r="L165" s="2290"/>
      <c r="M165" s="2290"/>
      <c r="N165" s="2290"/>
      <c r="O165" s="2290"/>
      <c r="P165" s="2290"/>
      <c r="Q165" s="2290"/>
      <c r="R165" s="2290"/>
      <c r="S165" s="2290"/>
      <c r="T165" s="2290"/>
      <c r="U165" s="2290"/>
      <c r="V165" s="2290"/>
      <c r="W165" s="2290"/>
      <c r="X165" s="2290"/>
      <c r="Y165" s="2290"/>
      <c r="Z165" s="2290"/>
      <c r="AA165" s="2290"/>
      <c r="AB165" s="2290"/>
      <c r="AC165" s="2290"/>
      <c r="AD165" s="2290"/>
      <c r="AE165" s="2290"/>
      <c r="AF165" s="2290"/>
      <c r="AG165" s="2290"/>
      <c r="AH165" s="2290"/>
      <c r="AI165" s="2290"/>
      <c r="AJ165" s="2290"/>
      <c r="AK165" s="2290"/>
      <c r="AL165" s="2290"/>
      <c r="AM165" s="2290"/>
      <c r="AN165" s="2290"/>
      <c r="AO165" s="2290"/>
      <c r="AP165" s="2290"/>
      <c r="AQ165" s="2290"/>
      <c r="AR165" s="2290"/>
      <c r="AS165" s="2290"/>
      <c r="AT165" s="2290"/>
      <c r="AU165" s="2290"/>
      <c r="AV165" s="2290"/>
      <c r="AW165" s="2290"/>
      <c r="AX165" s="2290"/>
      <c r="AY165" s="2290"/>
      <c r="AZ165" s="2290"/>
      <c r="BA165" s="2290"/>
      <c r="BB165" s="2290"/>
      <c r="BC165" s="2290"/>
      <c r="BD165" s="2290"/>
      <c r="BE165" s="2290"/>
      <c r="BF165" s="2290"/>
      <c r="BG165" s="2290"/>
      <c r="BH165" s="2290"/>
      <c r="BI165" s="2290"/>
      <c r="BJ165" s="2290"/>
      <c r="BK165" s="2290"/>
      <c r="BL165" s="2290"/>
      <c r="BM165" s="2290"/>
      <c r="BN165" s="2290"/>
      <c r="BO165" s="2290"/>
      <c r="BP165" s="2290"/>
      <c r="BQ165" s="2290"/>
      <c r="BR165" s="2290"/>
      <c r="BS165" s="2290"/>
      <c r="BT165" s="2290"/>
      <c r="BU165" s="2290"/>
      <c r="BV165" s="2290"/>
      <c r="BW165" s="2290"/>
      <c r="BX165" s="2290"/>
      <c r="BY165" s="2290"/>
      <c r="BZ165" s="2290"/>
      <c r="CA165" s="2290"/>
    </row>
    <row r="166" spans="1:79">
      <c r="A166" s="2290"/>
      <c r="B166" s="2290"/>
      <c r="C166" s="2290"/>
      <c r="D166" s="2290"/>
      <c r="E166" s="2290"/>
      <c r="F166" s="2290"/>
      <c r="G166" s="2290"/>
      <c r="H166" s="2290"/>
      <c r="I166" s="2290"/>
      <c r="J166" s="2290"/>
      <c r="K166" s="2290"/>
      <c r="L166" s="2290"/>
      <c r="M166" s="2290"/>
      <c r="N166" s="2290"/>
      <c r="O166" s="2290"/>
      <c r="P166" s="2290"/>
      <c r="Q166" s="2290"/>
      <c r="R166" s="2290"/>
      <c r="S166" s="2290"/>
      <c r="T166" s="2290"/>
      <c r="U166" s="2290"/>
      <c r="V166" s="2290"/>
      <c r="W166" s="2290"/>
      <c r="X166" s="2290"/>
      <c r="Y166" s="2290"/>
      <c r="Z166" s="2290"/>
      <c r="AA166" s="2290"/>
      <c r="AB166" s="2290"/>
      <c r="AC166" s="2290"/>
      <c r="AD166" s="2290"/>
      <c r="AE166" s="2290"/>
      <c r="AF166" s="2290"/>
      <c r="AG166" s="2290"/>
      <c r="AH166" s="2290"/>
      <c r="AI166" s="2290"/>
      <c r="AJ166" s="2290"/>
      <c r="AK166" s="2290"/>
      <c r="AL166" s="2290"/>
      <c r="AM166" s="2290"/>
      <c r="AN166" s="2290"/>
      <c r="AO166" s="2290"/>
      <c r="AP166" s="2290"/>
      <c r="AQ166" s="2290"/>
      <c r="AR166" s="2290"/>
      <c r="AS166" s="2290"/>
      <c r="AT166" s="2290"/>
      <c r="AU166" s="2290"/>
      <c r="AV166" s="2290"/>
      <c r="AW166" s="2290"/>
      <c r="AX166" s="2290"/>
      <c r="AY166" s="2290"/>
      <c r="AZ166" s="2290"/>
      <c r="BA166" s="2290"/>
      <c r="BB166" s="2290"/>
      <c r="BC166" s="2290"/>
      <c r="BD166" s="2290"/>
      <c r="BE166" s="2290"/>
      <c r="BF166" s="2290"/>
      <c r="BG166" s="2290"/>
      <c r="BH166" s="2290"/>
      <c r="BI166" s="2290"/>
      <c r="BJ166" s="2290"/>
      <c r="BK166" s="2290"/>
      <c r="BL166" s="2290"/>
      <c r="BM166" s="2290"/>
      <c r="BN166" s="2290"/>
      <c r="BO166" s="2290"/>
      <c r="BP166" s="2290"/>
      <c r="BQ166" s="2290"/>
      <c r="BR166" s="2290"/>
      <c r="BS166" s="2290"/>
      <c r="BT166" s="2290"/>
      <c r="BU166" s="2290"/>
      <c r="BV166" s="2290"/>
      <c r="BW166" s="2290"/>
      <c r="BX166" s="2290"/>
      <c r="BY166" s="2290"/>
      <c r="BZ166" s="2290"/>
      <c r="CA166" s="2290"/>
    </row>
    <row r="167" spans="1:79">
      <c r="A167" s="2290"/>
      <c r="B167" s="2290"/>
      <c r="C167" s="2290"/>
      <c r="D167" s="2290"/>
      <c r="E167" s="2290"/>
      <c r="F167" s="2290"/>
      <c r="G167" s="2290"/>
      <c r="H167" s="2290"/>
      <c r="I167" s="2290"/>
      <c r="J167" s="2290"/>
      <c r="K167" s="2290"/>
      <c r="L167" s="2290"/>
      <c r="M167" s="2290"/>
      <c r="N167" s="2290"/>
      <c r="O167" s="2290"/>
      <c r="P167" s="2290"/>
      <c r="Q167" s="2290"/>
      <c r="R167" s="2290"/>
      <c r="S167" s="2290"/>
      <c r="T167" s="2290"/>
      <c r="U167" s="2290"/>
      <c r="V167" s="2290"/>
      <c r="W167" s="2290"/>
      <c r="X167" s="2290"/>
      <c r="Y167" s="2290"/>
      <c r="Z167" s="2290"/>
      <c r="AA167" s="2290"/>
      <c r="AB167" s="2290"/>
      <c r="AC167" s="2290"/>
      <c r="AD167" s="2290"/>
      <c r="AE167" s="2290"/>
      <c r="AF167" s="2290"/>
      <c r="AG167" s="2290"/>
      <c r="AH167" s="2290"/>
      <c r="AI167" s="2290"/>
      <c r="AJ167" s="2290"/>
      <c r="AK167" s="2290"/>
      <c r="AL167" s="2290"/>
      <c r="AM167" s="2290"/>
      <c r="AN167" s="2290"/>
      <c r="AO167" s="2290"/>
      <c r="AP167" s="2290"/>
      <c r="AQ167" s="2290"/>
      <c r="AR167" s="2290"/>
      <c r="AS167" s="2290"/>
      <c r="AT167" s="2290"/>
      <c r="AU167" s="2290"/>
      <c r="AV167" s="2290"/>
      <c r="AW167" s="2290"/>
      <c r="AX167" s="2290"/>
      <c r="AY167" s="2290"/>
      <c r="AZ167" s="2290"/>
      <c r="BA167" s="2290"/>
      <c r="BB167" s="2290"/>
      <c r="BC167" s="2290"/>
      <c r="BD167" s="2290"/>
      <c r="BE167" s="2290"/>
      <c r="BF167" s="2290"/>
      <c r="BG167" s="2290"/>
      <c r="BH167" s="2290"/>
      <c r="BI167" s="2290"/>
      <c r="BJ167" s="2290"/>
      <c r="BK167" s="2290"/>
      <c r="BL167" s="2290"/>
      <c r="BM167" s="2290"/>
      <c r="BN167" s="2290"/>
      <c r="BO167" s="2290"/>
      <c r="BP167" s="2290"/>
      <c r="BQ167" s="2290"/>
      <c r="BR167" s="2290"/>
      <c r="BS167" s="2290"/>
      <c r="BT167" s="2290"/>
      <c r="BU167" s="2290"/>
      <c r="BV167" s="2290"/>
      <c r="BW167" s="2290"/>
      <c r="BX167" s="2290"/>
      <c r="BY167" s="2290"/>
      <c r="BZ167" s="2290"/>
      <c r="CA167" s="2290"/>
    </row>
    <row r="168" spans="1:79">
      <c r="A168" s="2290"/>
      <c r="B168" s="2290"/>
      <c r="C168" s="2290"/>
      <c r="D168" s="2290"/>
      <c r="E168" s="2290"/>
      <c r="F168" s="2290"/>
      <c r="G168" s="2290"/>
      <c r="H168" s="2290"/>
      <c r="I168" s="2290"/>
      <c r="J168" s="2290"/>
      <c r="K168" s="2290"/>
      <c r="L168" s="2290"/>
      <c r="M168" s="2290"/>
      <c r="N168" s="2290"/>
      <c r="O168" s="2290"/>
      <c r="P168" s="2290"/>
      <c r="Q168" s="2290"/>
      <c r="R168" s="2290"/>
      <c r="S168" s="2290"/>
      <c r="T168" s="2290"/>
      <c r="U168" s="2290"/>
      <c r="V168" s="2290"/>
      <c r="W168" s="2290"/>
      <c r="X168" s="2290"/>
      <c r="Y168" s="2290"/>
      <c r="Z168" s="2290"/>
      <c r="AA168" s="2290"/>
      <c r="AB168" s="2290"/>
      <c r="AC168" s="2290"/>
      <c r="AD168" s="2290"/>
      <c r="AE168" s="2290"/>
      <c r="AF168" s="2290"/>
      <c r="AG168" s="2290"/>
      <c r="AH168" s="2290"/>
      <c r="AI168" s="2290"/>
      <c r="AJ168" s="2290"/>
      <c r="AK168" s="2290"/>
      <c r="AL168" s="2290"/>
      <c r="AM168" s="2290"/>
      <c r="AN168" s="2290"/>
      <c r="AO168" s="2290"/>
      <c r="AP168" s="2290"/>
      <c r="AQ168" s="2290"/>
      <c r="AR168" s="2290"/>
      <c r="AS168" s="2290"/>
      <c r="AT168" s="2290"/>
      <c r="AU168" s="2290"/>
      <c r="AV168" s="2290"/>
      <c r="AW168" s="2290"/>
      <c r="AX168" s="2290"/>
      <c r="AY168" s="2290"/>
      <c r="AZ168" s="2290"/>
      <c r="BA168" s="2290"/>
      <c r="BB168" s="2290"/>
      <c r="BC168" s="2290"/>
      <c r="BD168" s="2290"/>
      <c r="BE168" s="2290"/>
      <c r="BF168" s="2290"/>
      <c r="BG168" s="2290"/>
      <c r="BH168" s="2290"/>
      <c r="BI168" s="2290"/>
      <c r="BJ168" s="2290"/>
      <c r="BK168" s="2290"/>
      <c r="BL168" s="2290"/>
      <c r="BM168" s="2290"/>
      <c r="BN168" s="2290"/>
      <c r="BO168" s="2290"/>
      <c r="BP168" s="2290"/>
      <c r="BQ168" s="2290"/>
      <c r="BR168" s="2290"/>
      <c r="BS168" s="2290"/>
      <c r="BT168" s="2290"/>
      <c r="BU168" s="2290"/>
      <c r="BV168" s="2290"/>
      <c r="BW168" s="2290"/>
      <c r="BX168" s="2290"/>
      <c r="BY168" s="2290"/>
      <c r="BZ168" s="2290"/>
      <c r="CA168" s="2290"/>
    </row>
    <row r="169" spans="1:79">
      <c r="A169" s="2290"/>
      <c r="B169" s="2290"/>
      <c r="C169" s="2290"/>
      <c r="D169" s="2290"/>
      <c r="E169" s="2290"/>
      <c r="F169" s="2290"/>
      <c r="G169" s="2290"/>
      <c r="H169" s="2290"/>
      <c r="I169" s="2290"/>
      <c r="J169" s="2290"/>
      <c r="K169" s="2290"/>
      <c r="L169" s="2290"/>
      <c r="M169" s="2290"/>
      <c r="N169" s="2290"/>
      <c r="O169" s="2290"/>
      <c r="P169" s="2290"/>
      <c r="Q169" s="2290"/>
      <c r="R169" s="2290"/>
      <c r="S169" s="2290"/>
      <c r="T169" s="2290"/>
      <c r="U169" s="2290"/>
      <c r="V169" s="2290"/>
      <c r="W169" s="2290"/>
      <c r="X169" s="2290"/>
      <c r="Y169" s="2290"/>
      <c r="Z169" s="2290"/>
      <c r="AA169" s="2290"/>
      <c r="AB169" s="2290"/>
      <c r="AC169" s="2290"/>
      <c r="AD169" s="2290"/>
      <c r="AE169" s="2290"/>
      <c r="AF169" s="2290"/>
      <c r="AG169" s="2290"/>
      <c r="AH169" s="2290"/>
      <c r="AI169" s="2290"/>
      <c r="AJ169" s="2290"/>
      <c r="AK169" s="2290"/>
      <c r="AL169" s="2290"/>
      <c r="AM169" s="2290"/>
      <c r="AN169" s="2290"/>
      <c r="AO169" s="2290"/>
      <c r="AP169" s="2290"/>
      <c r="AQ169" s="2290"/>
      <c r="AR169" s="2290"/>
      <c r="AS169" s="2290"/>
      <c r="AT169" s="2290"/>
      <c r="AU169" s="2290"/>
      <c r="AV169" s="2290"/>
      <c r="AW169" s="2290"/>
      <c r="AX169" s="2290"/>
      <c r="AY169" s="2290"/>
      <c r="AZ169" s="2290"/>
      <c r="BA169" s="2290"/>
      <c r="BB169" s="2290"/>
      <c r="BC169" s="2290"/>
      <c r="BD169" s="2290"/>
      <c r="BE169" s="2290"/>
      <c r="BF169" s="2290"/>
      <c r="BG169" s="2290"/>
      <c r="BH169" s="2290"/>
      <c r="BI169" s="2290"/>
      <c r="BJ169" s="2290"/>
      <c r="BK169" s="2290"/>
      <c r="BL169" s="2290"/>
      <c r="BM169" s="2290"/>
      <c r="BN169" s="2290"/>
      <c r="BO169" s="2290"/>
      <c r="BP169" s="2290"/>
      <c r="BQ169" s="2290"/>
      <c r="BR169" s="2290"/>
      <c r="BS169" s="2290"/>
      <c r="BT169" s="2290"/>
      <c r="BU169" s="2290"/>
      <c r="BV169" s="2290"/>
      <c r="BW169" s="2290"/>
      <c r="BX169" s="2290"/>
      <c r="BY169" s="2290"/>
      <c r="BZ169" s="2290"/>
      <c r="CA169" s="2290"/>
    </row>
    <row r="170" spans="1:79">
      <c r="A170" s="2290"/>
      <c r="B170" s="2290"/>
      <c r="C170" s="2290"/>
      <c r="D170" s="2290"/>
      <c r="E170" s="2290"/>
      <c r="F170" s="2290"/>
      <c r="G170" s="2290"/>
      <c r="H170" s="2290"/>
      <c r="I170" s="2290"/>
      <c r="J170" s="2290"/>
      <c r="K170" s="2290"/>
      <c r="L170" s="2290"/>
      <c r="M170" s="2290"/>
      <c r="N170" s="2290"/>
      <c r="O170" s="2290"/>
      <c r="P170" s="2290"/>
      <c r="Q170" s="2290"/>
      <c r="R170" s="2290"/>
      <c r="S170" s="2290"/>
      <c r="T170" s="2290"/>
      <c r="U170" s="2290"/>
      <c r="V170" s="2290"/>
      <c r="W170" s="2290"/>
      <c r="X170" s="2290"/>
      <c r="Y170" s="2290"/>
      <c r="Z170" s="2290"/>
      <c r="AA170" s="2290"/>
      <c r="AB170" s="2290"/>
      <c r="AC170" s="2290"/>
      <c r="AD170" s="2290"/>
      <c r="AE170" s="2290"/>
      <c r="AF170" s="2290"/>
      <c r="AG170" s="2290"/>
      <c r="AH170" s="2290"/>
      <c r="AI170" s="2290"/>
      <c r="AJ170" s="2290"/>
      <c r="AK170" s="2290"/>
      <c r="AL170" s="2290"/>
      <c r="AM170" s="2290"/>
      <c r="AN170" s="2290"/>
      <c r="AO170" s="2290"/>
      <c r="AP170" s="2290"/>
      <c r="AQ170" s="2290"/>
      <c r="AR170" s="2290"/>
      <c r="AS170" s="2290"/>
      <c r="AT170" s="2290"/>
      <c r="AU170" s="2290"/>
      <c r="AV170" s="2290"/>
      <c r="AW170" s="2290"/>
      <c r="AX170" s="2290"/>
      <c r="AY170" s="2290"/>
      <c r="AZ170" s="2290"/>
      <c r="BA170" s="2290"/>
      <c r="BB170" s="2290"/>
      <c r="BC170" s="2290"/>
      <c r="BD170" s="2290"/>
      <c r="BE170" s="2290"/>
      <c r="BF170" s="2290"/>
      <c r="BG170" s="2290"/>
      <c r="BH170" s="2290"/>
      <c r="BI170" s="2290"/>
      <c r="BJ170" s="2290"/>
      <c r="BK170" s="2290"/>
      <c r="BL170" s="2290"/>
      <c r="BM170" s="2290"/>
      <c r="BN170" s="2290"/>
      <c r="BO170" s="2290"/>
      <c r="BP170" s="2290"/>
      <c r="BQ170" s="2290"/>
      <c r="BR170" s="2290"/>
      <c r="BS170" s="2290"/>
      <c r="BT170" s="2290"/>
      <c r="BU170" s="2290"/>
      <c r="BV170" s="2290"/>
      <c r="BW170" s="2290"/>
      <c r="BX170" s="2290"/>
      <c r="BY170" s="2290"/>
      <c r="BZ170" s="2290"/>
      <c r="CA170" s="2290"/>
    </row>
    <row r="171" spans="1:79">
      <c r="A171" s="2290"/>
      <c r="B171" s="2290"/>
      <c r="C171" s="2290"/>
      <c r="D171" s="2290"/>
      <c r="E171" s="2290"/>
      <c r="F171" s="2290"/>
      <c r="G171" s="2290"/>
      <c r="H171" s="2290"/>
      <c r="I171" s="2290"/>
      <c r="J171" s="2290"/>
      <c r="K171" s="2290"/>
      <c r="L171" s="2290"/>
      <c r="M171" s="2290"/>
      <c r="N171" s="2290"/>
      <c r="O171" s="2290"/>
      <c r="P171" s="2290"/>
      <c r="Q171" s="2290"/>
      <c r="R171" s="2290"/>
      <c r="S171" s="2290"/>
      <c r="T171" s="2290"/>
      <c r="U171" s="2290"/>
      <c r="V171" s="2290"/>
      <c r="W171" s="2290"/>
      <c r="X171" s="2290"/>
      <c r="Y171" s="2290"/>
      <c r="Z171" s="2290"/>
      <c r="AA171" s="2290"/>
      <c r="AB171" s="2290"/>
      <c r="AC171" s="2290"/>
      <c r="AD171" s="2290"/>
      <c r="AE171" s="2290"/>
      <c r="AF171" s="2290"/>
      <c r="AG171" s="2290"/>
      <c r="AH171" s="2290"/>
      <c r="AI171" s="2290"/>
      <c r="AJ171" s="2290"/>
      <c r="AK171" s="2290"/>
      <c r="AL171" s="2290"/>
      <c r="AM171" s="2290"/>
      <c r="AN171" s="2290"/>
      <c r="AO171" s="2290"/>
      <c r="AP171" s="2290"/>
      <c r="AQ171" s="2290"/>
      <c r="AR171" s="2290"/>
      <c r="AS171" s="2290"/>
      <c r="AT171" s="2290"/>
      <c r="AU171" s="2290"/>
      <c r="AV171" s="2290"/>
      <c r="AW171" s="2290"/>
      <c r="AX171" s="2290"/>
      <c r="AY171" s="2290"/>
      <c r="AZ171" s="2290"/>
      <c r="BA171" s="2290"/>
      <c r="BB171" s="2290"/>
      <c r="BC171" s="2290"/>
      <c r="BD171" s="2290"/>
      <c r="BE171" s="2290"/>
      <c r="BF171" s="2290"/>
      <c r="BG171" s="2290"/>
      <c r="BH171" s="2290"/>
      <c r="BI171" s="2290"/>
      <c r="BJ171" s="2290"/>
      <c r="BK171" s="2290"/>
      <c r="BL171" s="2290"/>
      <c r="BM171" s="2290"/>
      <c r="BN171" s="2290"/>
      <c r="BO171" s="2290"/>
      <c r="BP171" s="2290"/>
      <c r="BQ171" s="2290"/>
      <c r="BR171" s="2290"/>
      <c r="BS171" s="2290"/>
      <c r="BT171" s="2290"/>
      <c r="BU171" s="2290"/>
      <c r="BV171" s="2290"/>
      <c r="BW171" s="2290"/>
      <c r="BX171" s="2290"/>
      <c r="BY171" s="2290"/>
      <c r="BZ171" s="2290"/>
      <c r="CA171" s="2290"/>
    </row>
    <row r="172" spans="1:79">
      <c r="A172" s="2290"/>
      <c r="B172" s="2290"/>
      <c r="C172" s="2290"/>
      <c r="D172" s="2290"/>
      <c r="E172" s="2290"/>
      <c r="F172" s="2290"/>
      <c r="G172" s="2290"/>
      <c r="H172" s="2290"/>
      <c r="I172" s="2290"/>
      <c r="J172" s="2290"/>
      <c r="K172" s="2290"/>
      <c r="L172" s="2290"/>
      <c r="M172" s="2290"/>
      <c r="N172" s="2290"/>
      <c r="O172" s="2290"/>
      <c r="P172" s="2290"/>
      <c r="Q172" s="2290"/>
      <c r="R172" s="2290"/>
      <c r="S172" s="2290"/>
      <c r="T172" s="2290"/>
      <c r="U172" s="2290"/>
      <c r="V172" s="2290"/>
      <c r="W172" s="2290"/>
      <c r="X172" s="2290"/>
      <c r="Y172" s="2290"/>
      <c r="Z172" s="2290"/>
      <c r="AA172" s="2290"/>
      <c r="AB172" s="2290"/>
      <c r="AC172" s="2290"/>
      <c r="AD172" s="2290"/>
      <c r="AE172" s="2290"/>
      <c r="AF172" s="2290"/>
      <c r="AG172" s="2290"/>
      <c r="AH172" s="2290"/>
      <c r="AI172" s="2290"/>
      <c r="AJ172" s="2290"/>
      <c r="AK172" s="2290"/>
      <c r="AL172" s="2290"/>
      <c r="AM172" s="2290"/>
      <c r="AN172" s="2290"/>
      <c r="AO172" s="2290"/>
      <c r="AP172" s="2290"/>
      <c r="AQ172" s="2290"/>
      <c r="AR172" s="2290"/>
      <c r="AS172" s="2290"/>
      <c r="AT172" s="2290"/>
      <c r="AU172" s="2290"/>
      <c r="AV172" s="2290"/>
      <c r="AW172" s="2290"/>
      <c r="AX172" s="2290"/>
      <c r="AY172" s="2290"/>
      <c r="AZ172" s="2290"/>
      <c r="BA172" s="2290"/>
      <c r="BB172" s="2290"/>
      <c r="BC172" s="2290"/>
      <c r="BD172" s="2290"/>
      <c r="BE172" s="2290"/>
      <c r="BF172" s="2290"/>
      <c r="BG172" s="2290"/>
      <c r="BH172" s="2290"/>
      <c r="BI172" s="2290"/>
      <c r="BJ172" s="2290"/>
      <c r="BK172" s="2290"/>
      <c r="BL172" s="2290"/>
      <c r="BM172" s="2290"/>
      <c r="BN172" s="2290"/>
      <c r="BO172" s="2290"/>
      <c r="BP172" s="2290"/>
      <c r="BQ172" s="2290"/>
      <c r="BR172" s="2290"/>
      <c r="BS172" s="2290"/>
      <c r="BT172" s="2290"/>
      <c r="BU172" s="2290"/>
      <c r="BV172" s="2290"/>
      <c r="BW172" s="2290"/>
      <c r="BX172" s="2290"/>
      <c r="BY172" s="2290"/>
      <c r="BZ172" s="2290"/>
      <c r="CA172" s="2290"/>
    </row>
    <row r="173" spans="1:79">
      <c r="A173" s="2290"/>
      <c r="B173" s="2290"/>
      <c r="C173" s="2290"/>
      <c r="D173" s="2290"/>
      <c r="E173" s="2290"/>
      <c r="F173" s="2290"/>
      <c r="G173" s="2290"/>
      <c r="H173" s="2290"/>
      <c r="I173" s="2290"/>
      <c r="J173" s="2290"/>
      <c r="K173" s="2290"/>
      <c r="L173" s="2290"/>
      <c r="M173" s="2290"/>
      <c r="N173" s="2290"/>
      <c r="O173" s="2290"/>
      <c r="P173" s="2290"/>
      <c r="Q173" s="2290"/>
      <c r="R173" s="2290"/>
      <c r="S173" s="2290"/>
      <c r="T173" s="2290"/>
      <c r="U173" s="2290"/>
      <c r="V173" s="2290"/>
      <c r="W173" s="2290"/>
      <c r="X173" s="2290"/>
      <c r="Y173" s="2290"/>
      <c r="Z173" s="2290"/>
      <c r="AA173" s="2290"/>
      <c r="AB173" s="2290"/>
      <c r="AC173" s="2290"/>
      <c r="AD173" s="2290"/>
      <c r="AE173" s="2290"/>
      <c r="AF173" s="2290"/>
      <c r="AG173" s="2290"/>
      <c r="AH173" s="2290"/>
      <c r="AI173" s="2290"/>
      <c r="AJ173" s="2290"/>
      <c r="AK173" s="2290"/>
      <c r="AL173" s="2290"/>
      <c r="AM173" s="2290"/>
      <c r="AN173" s="2290"/>
      <c r="AO173" s="2290"/>
      <c r="AP173" s="2290"/>
      <c r="AQ173" s="2290"/>
      <c r="AR173" s="2290"/>
      <c r="AS173" s="2290"/>
      <c r="AT173" s="2290"/>
      <c r="AU173" s="2290"/>
      <c r="AV173" s="2290"/>
      <c r="AW173" s="2290"/>
      <c r="AX173" s="2290"/>
      <c r="AY173" s="2290"/>
      <c r="AZ173" s="2290"/>
      <c r="BA173" s="2290"/>
      <c r="BB173" s="2290"/>
      <c r="BC173" s="2290"/>
      <c r="BD173" s="2290"/>
      <c r="BE173" s="2290"/>
      <c r="BF173" s="2290"/>
      <c r="BG173" s="2290"/>
      <c r="BH173" s="2290"/>
      <c r="BI173" s="2290"/>
      <c r="BJ173" s="2290"/>
      <c r="BK173" s="2290"/>
      <c r="BL173" s="2290"/>
      <c r="BM173" s="2290"/>
      <c r="BN173" s="2290"/>
      <c r="BO173" s="2290"/>
      <c r="BP173" s="2290"/>
      <c r="BQ173" s="2290"/>
      <c r="BR173" s="2290"/>
      <c r="BS173" s="2290"/>
      <c r="BT173" s="2290"/>
      <c r="BU173" s="2290"/>
      <c r="BV173" s="2290"/>
      <c r="BW173" s="2290"/>
      <c r="BX173" s="2290"/>
      <c r="BY173" s="2290"/>
      <c r="BZ173" s="2290"/>
      <c r="CA173" s="2290"/>
    </row>
    <row r="174" spans="1:79">
      <c r="A174" s="2290"/>
      <c r="B174" s="2290"/>
      <c r="C174" s="2290"/>
      <c r="D174" s="2290"/>
      <c r="E174" s="2290"/>
      <c r="F174" s="2290"/>
      <c r="G174" s="2290"/>
      <c r="H174" s="2290"/>
      <c r="I174" s="2290"/>
      <c r="J174" s="2290"/>
      <c r="K174" s="2290"/>
      <c r="L174" s="2290"/>
      <c r="M174" s="2290"/>
      <c r="N174" s="2290"/>
      <c r="O174" s="2290"/>
      <c r="P174" s="2290"/>
      <c r="Q174" s="2290"/>
      <c r="R174" s="2290"/>
      <c r="S174" s="2290"/>
      <c r="T174" s="2290"/>
      <c r="U174" s="2290"/>
      <c r="V174" s="2290"/>
      <c r="W174" s="2290"/>
      <c r="X174" s="2290"/>
      <c r="Y174" s="2290"/>
      <c r="Z174" s="2290"/>
      <c r="AA174" s="2290"/>
      <c r="AB174" s="2290"/>
      <c r="AC174" s="2290"/>
      <c r="AD174" s="2290"/>
      <c r="AE174" s="2290"/>
      <c r="AF174" s="2290"/>
      <c r="AG174" s="2290"/>
      <c r="AH174" s="2290"/>
      <c r="AI174" s="2290"/>
      <c r="AJ174" s="2290"/>
      <c r="AK174" s="2290"/>
      <c r="AL174" s="2290"/>
      <c r="AM174" s="2290"/>
      <c r="AN174" s="2290"/>
      <c r="AO174" s="2290"/>
      <c r="AP174" s="2290"/>
      <c r="AQ174" s="2290"/>
      <c r="AR174" s="2290"/>
      <c r="AS174" s="2290"/>
      <c r="AT174" s="2290"/>
      <c r="AU174" s="2290"/>
      <c r="AV174" s="2290"/>
      <c r="AW174" s="2290"/>
      <c r="AX174" s="2290"/>
      <c r="AY174" s="2290"/>
      <c r="AZ174" s="2290"/>
      <c r="BA174" s="2290"/>
      <c r="BB174" s="2290"/>
      <c r="BC174" s="2290"/>
      <c r="BD174" s="2290"/>
      <c r="BE174" s="2290"/>
      <c r="BF174" s="2290"/>
      <c r="BG174" s="2290"/>
      <c r="BH174" s="2290"/>
      <c r="BI174" s="2290"/>
      <c r="BJ174" s="2290"/>
      <c r="BK174" s="2290"/>
      <c r="BL174" s="2290"/>
      <c r="BM174" s="2290"/>
      <c r="BN174" s="2290"/>
      <c r="BO174" s="2290"/>
      <c r="BP174" s="2290"/>
      <c r="BQ174" s="2290"/>
      <c r="BR174" s="2290"/>
      <c r="BS174" s="2290"/>
      <c r="BT174" s="2290"/>
      <c r="BU174" s="2290"/>
      <c r="BV174" s="2290"/>
      <c r="BW174" s="2290"/>
      <c r="BX174" s="2290"/>
      <c r="BY174" s="2290"/>
      <c r="BZ174" s="2290"/>
      <c r="CA174" s="2290"/>
    </row>
    <row r="175" spans="1:79">
      <c r="A175" s="2290"/>
      <c r="B175" s="2290"/>
      <c r="C175" s="2290"/>
      <c r="D175" s="2290"/>
      <c r="E175" s="2290"/>
      <c r="F175" s="2290"/>
      <c r="G175" s="2290"/>
      <c r="H175" s="2290"/>
      <c r="I175" s="2290"/>
      <c r="J175" s="2290"/>
      <c r="K175" s="2290"/>
      <c r="L175" s="2290"/>
      <c r="M175" s="2290"/>
      <c r="N175" s="2290"/>
      <c r="O175" s="2290"/>
      <c r="P175" s="2290"/>
      <c r="Q175" s="2290"/>
      <c r="R175" s="2290"/>
      <c r="S175" s="2290"/>
      <c r="T175" s="2290"/>
      <c r="U175" s="2290"/>
      <c r="V175" s="2290"/>
      <c r="W175" s="2290"/>
      <c r="X175" s="2290"/>
      <c r="Y175" s="2290"/>
      <c r="Z175" s="2290"/>
      <c r="AA175" s="2290"/>
      <c r="AB175" s="2290"/>
      <c r="AC175" s="2290"/>
      <c r="AD175" s="2290"/>
      <c r="AE175" s="2290"/>
      <c r="AF175" s="2290"/>
      <c r="AG175" s="2290"/>
      <c r="AH175" s="2290"/>
      <c r="AI175" s="2290"/>
      <c r="AJ175" s="2290"/>
      <c r="AK175" s="2290"/>
      <c r="AL175" s="2290"/>
      <c r="AM175" s="2290"/>
      <c r="AN175" s="2290"/>
      <c r="AO175" s="2290"/>
      <c r="AP175" s="2290"/>
      <c r="AQ175" s="2290"/>
      <c r="AR175" s="2290"/>
      <c r="AS175" s="2290"/>
      <c r="AT175" s="2290"/>
      <c r="AU175" s="2290"/>
      <c r="AV175" s="2290"/>
      <c r="AW175" s="2290"/>
      <c r="AX175" s="2290"/>
      <c r="AY175" s="2290"/>
      <c r="AZ175" s="2290"/>
      <c r="BA175" s="2290"/>
      <c r="BB175" s="2290"/>
      <c r="BC175" s="2290"/>
      <c r="BD175" s="2290"/>
      <c r="BE175" s="2290"/>
      <c r="BF175" s="2290"/>
      <c r="BG175" s="2290"/>
      <c r="BH175" s="2290"/>
      <c r="BI175" s="2290"/>
      <c r="BJ175" s="2290"/>
      <c r="BK175" s="2290"/>
      <c r="BL175" s="2290"/>
      <c r="BM175" s="2290"/>
      <c r="BN175" s="2290"/>
      <c r="BO175" s="2290"/>
      <c r="BP175" s="2290"/>
      <c r="BQ175" s="2290"/>
      <c r="BR175" s="2290"/>
      <c r="BS175" s="2290"/>
      <c r="BT175" s="2290"/>
      <c r="BU175" s="2290"/>
      <c r="BV175" s="2290"/>
      <c r="BW175" s="2290"/>
      <c r="BX175" s="2290"/>
      <c r="BY175" s="2290"/>
      <c r="BZ175" s="2290"/>
      <c r="CA175" s="2290"/>
    </row>
    <row r="176" spans="1:79">
      <c r="A176" s="2290"/>
      <c r="B176" s="2290"/>
      <c r="C176" s="2290"/>
      <c r="D176" s="2290"/>
      <c r="E176" s="2290"/>
      <c r="F176" s="2290"/>
      <c r="G176" s="2290"/>
      <c r="H176" s="2290"/>
      <c r="I176" s="2290"/>
      <c r="J176" s="2290"/>
      <c r="K176" s="2290"/>
      <c r="L176" s="2290"/>
      <c r="M176" s="2290"/>
      <c r="N176" s="2290"/>
      <c r="O176" s="2290"/>
      <c r="P176" s="2290"/>
      <c r="Q176" s="2290"/>
      <c r="R176" s="2290"/>
      <c r="S176" s="2290"/>
      <c r="T176" s="2290"/>
      <c r="U176" s="2290"/>
      <c r="V176" s="2290"/>
      <c r="W176" s="2290"/>
      <c r="X176" s="2290"/>
      <c r="Y176" s="2290"/>
      <c r="Z176" s="2290"/>
      <c r="AA176" s="2290"/>
      <c r="AB176" s="2290"/>
      <c r="AC176" s="2290"/>
      <c r="AD176" s="2290"/>
      <c r="AE176" s="2290"/>
      <c r="AF176" s="2290"/>
      <c r="AG176" s="2290"/>
      <c r="AH176" s="2290"/>
      <c r="AI176" s="2290"/>
      <c r="AJ176" s="2290"/>
      <c r="AK176" s="2290"/>
      <c r="AL176" s="2290"/>
      <c r="AM176" s="2290"/>
      <c r="AN176" s="2290"/>
      <c r="AO176" s="2290"/>
      <c r="AP176" s="2290"/>
      <c r="AQ176" s="2290"/>
      <c r="AR176" s="2290"/>
      <c r="AS176" s="2290"/>
      <c r="AT176" s="2290"/>
      <c r="AU176" s="2290"/>
      <c r="AV176" s="2290"/>
      <c r="AW176" s="2290"/>
      <c r="AX176" s="2290"/>
      <c r="AY176" s="2290"/>
      <c r="AZ176" s="2290"/>
      <c r="BA176" s="2290"/>
      <c r="BB176" s="2290"/>
      <c r="BC176" s="2290"/>
      <c r="BD176" s="2290"/>
      <c r="BE176" s="2290"/>
      <c r="BF176" s="2290"/>
      <c r="BG176" s="2290"/>
      <c r="BH176" s="2290"/>
      <c r="BI176" s="2290"/>
      <c r="BJ176" s="2290"/>
      <c r="BK176" s="2290"/>
      <c r="BL176" s="2290"/>
      <c r="BM176" s="2290"/>
      <c r="BN176" s="2290"/>
      <c r="BO176" s="2290"/>
      <c r="BP176" s="2290"/>
      <c r="BQ176" s="2290"/>
      <c r="BR176" s="2290"/>
      <c r="BS176" s="2290"/>
      <c r="BT176" s="2290"/>
      <c r="BU176" s="2290"/>
      <c r="BV176" s="2290"/>
      <c r="BW176" s="2290"/>
      <c r="BX176" s="2290"/>
      <c r="BY176" s="2290"/>
      <c r="BZ176" s="2290"/>
      <c r="CA176" s="2290"/>
    </row>
    <row r="177" spans="1:79">
      <c r="A177" s="2290"/>
      <c r="B177" s="2290"/>
      <c r="C177" s="2290"/>
      <c r="D177" s="2290"/>
      <c r="E177" s="2290"/>
      <c r="F177" s="2290"/>
      <c r="G177" s="2290"/>
      <c r="H177" s="2290"/>
      <c r="I177" s="2290"/>
      <c r="J177" s="2290"/>
      <c r="K177" s="2290"/>
      <c r="L177" s="2290"/>
      <c r="M177" s="2290"/>
      <c r="N177" s="2290"/>
      <c r="O177" s="2290"/>
      <c r="P177" s="2290"/>
      <c r="Q177" s="2290"/>
      <c r="R177" s="2290"/>
      <c r="S177" s="2290"/>
      <c r="T177" s="2290"/>
      <c r="U177" s="2290"/>
      <c r="V177" s="2290"/>
      <c r="W177" s="2290"/>
      <c r="X177" s="2290"/>
      <c r="Y177" s="2290"/>
      <c r="Z177" s="2290"/>
      <c r="AA177" s="2290"/>
      <c r="AB177" s="2290"/>
      <c r="AC177" s="2290"/>
      <c r="AD177" s="2290"/>
      <c r="AE177" s="2290"/>
      <c r="AF177" s="2290"/>
      <c r="AG177" s="2290"/>
      <c r="AH177" s="2290"/>
      <c r="AI177" s="2290"/>
      <c r="AJ177" s="2290"/>
      <c r="AK177" s="2290"/>
      <c r="AL177" s="2290"/>
      <c r="AM177" s="2290"/>
      <c r="AN177" s="2290"/>
      <c r="AO177" s="2290"/>
      <c r="AP177" s="2290"/>
      <c r="AQ177" s="2290"/>
      <c r="AR177" s="2290"/>
      <c r="AS177" s="2290"/>
      <c r="AT177" s="2290"/>
      <c r="AU177" s="2290"/>
      <c r="AV177" s="2290"/>
      <c r="AW177" s="2290"/>
      <c r="AX177" s="2290"/>
      <c r="AY177" s="2290"/>
      <c r="AZ177" s="2290"/>
      <c r="BA177" s="2290"/>
      <c r="BB177" s="2290"/>
      <c r="BC177" s="2290"/>
      <c r="BD177" s="2290"/>
      <c r="BE177" s="2290"/>
      <c r="BF177" s="2290"/>
      <c r="BG177" s="2290"/>
      <c r="BH177" s="2290"/>
      <c r="BI177" s="2290"/>
      <c r="BJ177" s="2290"/>
      <c r="BK177" s="2290"/>
      <c r="BL177" s="2290"/>
      <c r="BM177" s="2290"/>
      <c r="BN177" s="2290"/>
      <c r="BO177" s="2290"/>
      <c r="BP177" s="2290"/>
      <c r="BQ177" s="2290"/>
      <c r="BR177" s="2290"/>
      <c r="BS177" s="2290"/>
      <c r="BT177" s="2290"/>
      <c r="BU177" s="2290"/>
      <c r="BV177" s="2290"/>
      <c r="BW177" s="2290"/>
      <c r="BX177" s="2290"/>
      <c r="BY177" s="2290"/>
      <c r="BZ177" s="2290"/>
      <c r="CA177" s="2290"/>
    </row>
    <row r="178" spans="1:79">
      <c r="A178" s="2290"/>
      <c r="B178" s="2290"/>
      <c r="C178" s="2290"/>
      <c r="D178" s="2290"/>
      <c r="E178" s="2290"/>
      <c r="F178" s="2290"/>
      <c r="G178" s="2290"/>
      <c r="H178" s="2290"/>
      <c r="I178" s="2290"/>
      <c r="J178" s="2290"/>
      <c r="K178" s="2290"/>
      <c r="L178" s="2290"/>
      <c r="M178" s="2290"/>
      <c r="N178" s="2290"/>
      <c r="O178" s="2290"/>
      <c r="P178" s="2290"/>
      <c r="Q178" s="2290"/>
      <c r="R178" s="2290"/>
      <c r="S178" s="2290"/>
      <c r="T178" s="2290"/>
      <c r="U178" s="2290"/>
      <c r="V178" s="2290"/>
      <c r="W178" s="2290"/>
      <c r="X178" s="2290"/>
      <c r="Y178" s="2290"/>
      <c r="Z178" s="2290"/>
      <c r="AA178" s="2290"/>
      <c r="AB178" s="2290"/>
      <c r="AC178" s="2290"/>
      <c r="AD178" s="2290"/>
      <c r="AE178" s="2290"/>
      <c r="AF178" s="2290"/>
      <c r="AG178" s="2290"/>
      <c r="AH178" s="2290"/>
      <c r="AI178" s="2290"/>
      <c r="AJ178" s="2290"/>
      <c r="AK178" s="2290"/>
      <c r="AL178" s="2290"/>
      <c r="AM178" s="2290"/>
      <c r="AN178" s="2290"/>
      <c r="AO178" s="2290"/>
      <c r="AP178" s="2290"/>
      <c r="AQ178" s="2290"/>
      <c r="AR178" s="2290"/>
      <c r="AS178" s="2290"/>
      <c r="AT178" s="2290"/>
      <c r="AU178" s="2290"/>
      <c r="AV178" s="2290"/>
      <c r="AW178" s="2290"/>
      <c r="AX178" s="2290"/>
      <c r="AY178" s="2290"/>
      <c r="AZ178" s="2290"/>
      <c r="BA178" s="2290"/>
      <c r="BB178" s="2290"/>
      <c r="BC178" s="2290"/>
      <c r="BD178" s="2290"/>
      <c r="BE178" s="2290"/>
      <c r="BF178" s="2290"/>
      <c r="BG178" s="2290"/>
      <c r="BH178" s="2290"/>
      <c r="BI178" s="2290"/>
      <c r="BJ178" s="2290"/>
      <c r="BK178" s="2290"/>
      <c r="BL178" s="2290"/>
      <c r="BM178" s="2290"/>
      <c r="BN178" s="2290"/>
      <c r="BO178" s="2290"/>
      <c r="BP178" s="2290"/>
      <c r="BQ178" s="2290"/>
      <c r="BR178" s="2290"/>
      <c r="BS178" s="2290"/>
      <c r="BT178" s="2290"/>
      <c r="BU178" s="2290"/>
      <c r="BV178" s="2290"/>
      <c r="BW178" s="2290"/>
      <c r="BX178" s="2290"/>
      <c r="BY178" s="2290"/>
      <c r="BZ178" s="2290"/>
      <c r="CA178" s="2290"/>
    </row>
    <row r="179" spans="1:79">
      <c r="A179" s="2290"/>
      <c r="B179" s="2290"/>
      <c r="C179" s="2290"/>
      <c r="D179" s="2290"/>
      <c r="E179" s="2290"/>
      <c r="F179" s="2290"/>
      <c r="G179" s="2290"/>
      <c r="H179" s="2290"/>
      <c r="I179" s="2290"/>
      <c r="J179" s="2290"/>
      <c r="K179" s="2290"/>
      <c r="L179" s="2290"/>
      <c r="M179" s="2290"/>
      <c r="N179" s="2290"/>
      <c r="O179" s="2290"/>
      <c r="P179" s="2290"/>
      <c r="Q179" s="2290"/>
      <c r="R179" s="2290"/>
      <c r="S179" s="2290"/>
      <c r="T179" s="2290"/>
      <c r="U179" s="2290"/>
      <c r="V179" s="2290"/>
      <c r="W179" s="2290"/>
      <c r="X179" s="2290"/>
      <c r="Y179" s="2290"/>
      <c r="Z179" s="2290"/>
      <c r="AA179" s="2290"/>
      <c r="AB179" s="2290"/>
      <c r="AC179" s="2290"/>
      <c r="AD179" s="2290"/>
      <c r="AE179" s="2290"/>
      <c r="AF179" s="2290"/>
      <c r="AG179" s="2290"/>
      <c r="AH179" s="2290"/>
      <c r="AI179" s="2290"/>
      <c r="AJ179" s="2290"/>
      <c r="AK179" s="2290"/>
      <c r="AL179" s="2290"/>
      <c r="AM179" s="2290"/>
      <c r="AN179" s="2290"/>
      <c r="AO179" s="2290"/>
      <c r="AP179" s="2290"/>
      <c r="AQ179" s="2290"/>
      <c r="AR179" s="2290"/>
      <c r="AS179" s="2290"/>
      <c r="AT179" s="2290"/>
      <c r="AU179" s="2290"/>
      <c r="AV179" s="2290"/>
      <c r="AW179" s="2290"/>
      <c r="AX179" s="2290"/>
      <c r="AY179" s="2290"/>
      <c r="AZ179" s="2290"/>
      <c r="BA179" s="2290"/>
      <c r="BB179" s="2290"/>
      <c r="BC179" s="2290"/>
      <c r="BD179" s="2290"/>
      <c r="BE179" s="2290"/>
      <c r="BF179" s="2290"/>
      <c r="BG179" s="2290"/>
      <c r="BH179" s="2290"/>
      <c r="BI179" s="2290"/>
      <c r="BJ179" s="2290"/>
      <c r="BK179" s="2290"/>
      <c r="BL179" s="2290"/>
      <c r="BM179" s="2290"/>
      <c r="BN179" s="2290"/>
      <c r="BO179" s="2290"/>
      <c r="BP179" s="2290"/>
      <c r="BQ179" s="2290"/>
      <c r="BR179" s="2290"/>
      <c r="BS179" s="2290"/>
      <c r="BT179" s="2290"/>
      <c r="BU179" s="2290"/>
      <c r="BV179" s="2290"/>
      <c r="BW179" s="2290"/>
      <c r="BX179" s="2290"/>
      <c r="BY179" s="2290"/>
      <c r="BZ179" s="2290"/>
      <c r="CA179" s="2290"/>
    </row>
    <row r="180" spans="1:79">
      <c r="A180" s="2290"/>
      <c r="B180" s="2290"/>
      <c r="C180" s="2290"/>
      <c r="D180" s="2290"/>
      <c r="E180" s="2290"/>
      <c r="F180" s="2290"/>
      <c r="G180" s="2290"/>
      <c r="H180" s="2290"/>
      <c r="I180" s="2290"/>
      <c r="J180" s="2290"/>
      <c r="K180" s="2290"/>
      <c r="L180" s="2290"/>
      <c r="M180" s="2290"/>
      <c r="N180" s="2290"/>
      <c r="O180" s="2290"/>
      <c r="P180" s="2290"/>
      <c r="Q180" s="2290"/>
      <c r="R180" s="2290"/>
      <c r="S180" s="2290"/>
      <c r="T180" s="2290"/>
      <c r="U180" s="2290"/>
      <c r="V180" s="2290"/>
      <c r="W180" s="2290"/>
      <c r="X180" s="2290"/>
      <c r="Y180" s="2290"/>
      <c r="Z180" s="2290"/>
      <c r="AA180" s="2290"/>
      <c r="AB180" s="2290"/>
      <c r="AC180" s="2290"/>
      <c r="AD180" s="2290"/>
      <c r="AE180" s="2290"/>
      <c r="AF180" s="2290"/>
      <c r="AG180" s="2290"/>
      <c r="AH180" s="2290"/>
      <c r="AI180" s="2290"/>
      <c r="AJ180" s="2290"/>
      <c r="AK180" s="2290"/>
      <c r="AL180" s="2290"/>
      <c r="AM180" s="2290"/>
      <c r="AN180" s="2290"/>
      <c r="AO180" s="2290"/>
      <c r="AP180" s="2290"/>
      <c r="AQ180" s="2290"/>
      <c r="AR180" s="2290"/>
      <c r="AS180" s="2290"/>
      <c r="AT180" s="2290"/>
      <c r="AU180" s="2290"/>
      <c r="AV180" s="2290"/>
      <c r="AW180" s="2290"/>
      <c r="AX180" s="2290"/>
      <c r="AY180" s="2290"/>
      <c r="AZ180" s="2290"/>
      <c r="BA180" s="2290"/>
      <c r="BB180" s="2290"/>
      <c r="BC180" s="2290"/>
      <c r="BD180" s="2290"/>
      <c r="BE180" s="2290"/>
      <c r="BF180" s="2290"/>
      <c r="BG180" s="2290"/>
      <c r="BH180" s="2290"/>
      <c r="BI180" s="2290"/>
      <c r="BJ180" s="2290"/>
      <c r="BK180" s="2290"/>
      <c r="BL180" s="2290"/>
      <c r="BM180" s="2290"/>
      <c r="BN180" s="2290"/>
      <c r="BO180" s="2290"/>
      <c r="BP180" s="2290"/>
      <c r="BQ180" s="2290"/>
      <c r="BR180" s="2290"/>
      <c r="BS180" s="2290"/>
      <c r="BT180" s="2290"/>
      <c r="BU180" s="2290"/>
      <c r="BV180" s="2290"/>
      <c r="BW180" s="2290"/>
      <c r="BX180" s="2290"/>
      <c r="BY180" s="2290"/>
      <c r="BZ180" s="2290"/>
      <c r="CA180" s="2290"/>
    </row>
    <row r="181" spans="1:79">
      <c r="A181" s="2290"/>
      <c r="B181" s="2290"/>
      <c r="C181" s="2290"/>
      <c r="D181" s="2290"/>
      <c r="E181" s="2290"/>
      <c r="F181" s="2290"/>
      <c r="G181" s="2290"/>
      <c r="H181" s="2290"/>
      <c r="I181" s="2290"/>
      <c r="J181" s="2290"/>
      <c r="K181" s="2290"/>
      <c r="L181" s="2290"/>
      <c r="M181" s="2290"/>
      <c r="N181" s="2290"/>
      <c r="O181" s="2290"/>
      <c r="P181" s="2290"/>
      <c r="Q181" s="2290"/>
      <c r="R181" s="2290"/>
      <c r="S181" s="2290"/>
      <c r="T181" s="2290"/>
      <c r="U181" s="2290"/>
      <c r="V181" s="2290"/>
      <c r="W181" s="2290"/>
      <c r="X181" s="2290"/>
      <c r="Y181" s="2290"/>
      <c r="Z181" s="2290"/>
      <c r="AA181" s="2290"/>
      <c r="AB181" s="2290"/>
      <c r="AC181" s="2290"/>
      <c r="AD181" s="2290"/>
      <c r="AE181" s="2290"/>
      <c r="AF181" s="2290"/>
      <c r="AG181" s="2290"/>
      <c r="AH181" s="2290"/>
      <c r="AI181" s="2290"/>
      <c r="AJ181" s="2290"/>
      <c r="AK181" s="2290"/>
      <c r="AL181" s="2290"/>
      <c r="AM181" s="2290"/>
      <c r="AN181" s="2290"/>
      <c r="AO181" s="2290"/>
      <c r="AP181" s="2290"/>
      <c r="AQ181" s="2290"/>
      <c r="AR181" s="2290"/>
      <c r="AS181" s="2290"/>
      <c r="AT181" s="2290"/>
      <c r="AU181" s="2290"/>
      <c r="AV181" s="2290"/>
      <c r="AW181" s="2290"/>
      <c r="AX181" s="2290"/>
      <c r="AY181" s="2290"/>
      <c r="AZ181" s="2290"/>
      <c r="BA181" s="2290"/>
      <c r="BB181" s="2290"/>
      <c r="BC181" s="2290"/>
      <c r="BD181" s="2290"/>
      <c r="BE181" s="2290"/>
      <c r="BF181" s="2290"/>
      <c r="BG181" s="2290"/>
      <c r="BH181" s="2290"/>
      <c r="BI181" s="2290"/>
      <c r="BJ181" s="2290"/>
      <c r="BK181" s="2290"/>
      <c r="BL181" s="2290"/>
      <c r="BM181" s="2290"/>
      <c r="BN181" s="2290"/>
      <c r="BO181" s="2290"/>
      <c r="BP181" s="2290"/>
      <c r="BQ181" s="2290"/>
      <c r="BR181" s="2290"/>
      <c r="BS181" s="2290"/>
      <c r="BT181" s="2290"/>
      <c r="BU181" s="2290"/>
      <c r="BV181" s="2290"/>
      <c r="BW181" s="2290"/>
      <c r="BX181" s="2290"/>
      <c r="BY181" s="2290"/>
      <c r="BZ181" s="2290"/>
      <c r="CA181" s="2290"/>
    </row>
    <row r="182" spans="1:79">
      <c r="A182" s="2290"/>
      <c r="B182" s="2290"/>
      <c r="C182" s="2290"/>
      <c r="D182" s="2290"/>
      <c r="E182" s="2290"/>
      <c r="F182" s="2290"/>
      <c r="G182" s="2290"/>
      <c r="H182" s="2290"/>
      <c r="I182" s="2290"/>
      <c r="J182" s="2290"/>
      <c r="K182" s="2290"/>
      <c r="L182" s="2290"/>
      <c r="M182" s="2290"/>
      <c r="N182" s="2290"/>
      <c r="O182" s="2290"/>
      <c r="P182" s="2290"/>
      <c r="Q182" s="2290"/>
      <c r="R182" s="2290"/>
      <c r="S182" s="2290"/>
      <c r="T182" s="2290"/>
      <c r="U182" s="2290"/>
      <c r="V182" s="2290"/>
      <c r="W182" s="2290"/>
      <c r="X182" s="2290"/>
      <c r="Y182" s="2290"/>
      <c r="Z182" s="2290"/>
      <c r="AA182" s="2290"/>
      <c r="AB182" s="2290"/>
      <c r="AC182" s="2290"/>
      <c r="AD182" s="2290"/>
      <c r="AE182" s="2290"/>
      <c r="AF182" s="2290"/>
      <c r="AG182" s="2290"/>
      <c r="AH182" s="2290"/>
      <c r="AI182" s="2290"/>
      <c r="AJ182" s="2290"/>
      <c r="AK182" s="2290"/>
      <c r="AL182" s="2290"/>
      <c r="AM182" s="2290"/>
      <c r="AN182" s="2290"/>
      <c r="AO182" s="2290"/>
      <c r="AP182" s="2290"/>
      <c r="AQ182" s="2290"/>
      <c r="AR182" s="2290"/>
      <c r="AS182" s="2290"/>
      <c r="AT182" s="2290"/>
      <c r="AU182" s="2290"/>
      <c r="AV182" s="2290"/>
      <c r="AW182" s="2290"/>
      <c r="AX182" s="2290"/>
      <c r="AY182" s="2290"/>
      <c r="AZ182" s="2290"/>
      <c r="BA182" s="2290"/>
      <c r="BB182" s="2290"/>
      <c r="BC182" s="2290"/>
      <c r="BD182" s="2290"/>
      <c r="BE182" s="2290"/>
      <c r="BF182" s="2290"/>
      <c r="BG182" s="2290"/>
      <c r="BH182" s="2290"/>
      <c r="BI182" s="2290"/>
      <c r="BJ182" s="2290"/>
      <c r="BK182" s="2290"/>
      <c r="BL182" s="2290"/>
      <c r="BM182" s="2290"/>
      <c r="BN182" s="2290"/>
      <c r="BO182" s="2290"/>
      <c r="BP182" s="2290"/>
      <c r="BQ182" s="2290"/>
      <c r="BR182" s="2290"/>
      <c r="BS182" s="2290"/>
      <c r="BT182" s="2290"/>
      <c r="BU182" s="2290"/>
      <c r="BV182" s="2290"/>
      <c r="BW182" s="2290"/>
      <c r="BX182" s="2290"/>
      <c r="BY182" s="2290"/>
      <c r="BZ182" s="2290"/>
      <c r="CA182" s="2290"/>
    </row>
    <row r="183" spans="1:79">
      <c r="A183" s="2290"/>
      <c r="B183" s="2290"/>
      <c r="C183" s="2290"/>
      <c r="D183" s="2290"/>
      <c r="E183" s="2290"/>
      <c r="F183" s="2290"/>
      <c r="G183" s="2290"/>
      <c r="H183" s="2290"/>
      <c r="I183" s="2290"/>
      <c r="J183" s="2290"/>
      <c r="K183" s="2290"/>
      <c r="L183" s="2290"/>
      <c r="M183" s="2290"/>
      <c r="N183" s="2290"/>
      <c r="O183" s="2290"/>
      <c r="P183" s="2290"/>
      <c r="Q183" s="2290"/>
      <c r="R183" s="2290"/>
      <c r="S183" s="2290"/>
      <c r="T183" s="2290"/>
      <c r="U183" s="2290"/>
      <c r="V183" s="2290"/>
      <c r="W183" s="2290"/>
      <c r="X183" s="2290"/>
      <c r="Y183" s="2290"/>
      <c r="Z183" s="2290"/>
      <c r="AA183" s="2290"/>
      <c r="AB183" s="2290"/>
      <c r="AC183" s="2290"/>
      <c r="AD183" s="2290"/>
      <c r="AE183" s="2290"/>
      <c r="AF183" s="2290"/>
      <c r="AG183" s="2290"/>
      <c r="AH183" s="2290"/>
      <c r="AI183" s="2290"/>
      <c r="AJ183" s="2290"/>
      <c r="AK183" s="2290"/>
      <c r="AL183" s="2290"/>
      <c r="AM183" s="2290"/>
      <c r="AN183" s="2290"/>
      <c r="AO183" s="2290"/>
      <c r="AP183" s="2290"/>
      <c r="AQ183" s="2290"/>
      <c r="AR183" s="2290"/>
      <c r="AS183" s="2290"/>
      <c r="AT183" s="2290"/>
      <c r="AU183" s="2290"/>
      <c r="AV183" s="2290"/>
      <c r="AW183" s="2290"/>
      <c r="AX183" s="2290"/>
      <c r="AY183" s="2290"/>
      <c r="AZ183" s="2290"/>
      <c r="BA183" s="2290"/>
      <c r="BB183" s="2290"/>
      <c r="BC183" s="2290"/>
      <c r="BD183" s="2290"/>
      <c r="BE183" s="2290"/>
      <c r="BF183" s="2290"/>
      <c r="BG183" s="2290"/>
      <c r="BH183" s="2290"/>
      <c r="BI183" s="2290"/>
      <c r="BJ183" s="2290"/>
      <c r="BK183" s="2290"/>
      <c r="BL183" s="2290"/>
      <c r="BM183" s="2290"/>
      <c r="BN183" s="2290"/>
      <c r="BO183" s="2290"/>
      <c r="BP183" s="2290"/>
      <c r="BQ183" s="2290"/>
      <c r="BR183" s="2290"/>
      <c r="BS183" s="2290"/>
      <c r="BT183" s="2290"/>
      <c r="BU183" s="2290"/>
      <c r="BV183" s="2290"/>
      <c r="BW183" s="2290"/>
      <c r="BX183" s="2290"/>
      <c r="BY183" s="2290"/>
      <c r="BZ183" s="2290"/>
      <c r="CA183" s="2290"/>
    </row>
    <row r="184" spans="1:79">
      <c r="A184" s="2290"/>
      <c r="B184" s="2290"/>
      <c r="C184" s="2290"/>
      <c r="D184" s="2290"/>
      <c r="E184" s="2290"/>
      <c r="F184" s="2290"/>
      <c r="G184" s="2290"/>
      <c r="H184" s="2290"/>
      <c r="I184" s="2290"/>
      <c r="J184" s="2290"/>
      <c r="K184" s="2290"/>
      <c r="L184" s="2290"/>
      <c r="M184" s="2290"/>
      <c r="N184" s="2290"/>
      <c r="O184" s="2290"/>
      <c r="P184" s="2290"/>
      <c r="Q184" s="2290"/>
      <c r="R184" s="2290"/>
      <c r="S184" s="2290"/>
      <c r="T184" s="2290"/>
      <c r="U184" s="2290"/>
      <c r="V184" s="2290"/>
      <c r="W184" s="2290"/>
      <c r="X184" s="2290"/>
      <c r="Y184" s="2290"/>
      <c r="Z184" s="2290"/>
      <c r="AA184" s="2290"/>
      <c r="AB184" s="2290"/>
      <c r="AC184" s="2290"/>
      <c r="AD184" s="2290"/>
      <c r="AE184" s="2290"/>
      <c r="AF184" s="2290"/>
      <c r="AG184" s="2290"/>
      <c r="AH184" s="2290"/>
      <c r="AI184" s="2290"/>
      <c r="AJ184" s="2290"/>
      <c r="AK184" s="2290"/>
      <c r="AL184" s="2290"/>
      <c r="AM184" s="2290"/>
      <c r="AN184" s="2290"/>
      <c r="AO184" s="2290"/>
      <c r="AP184" s="2290"/>
      <c r="AQ184" s="2290"/>
      <c r="AR184" s="2290"/>
      <c r="AS184" s="2290"/>
      <c r="AT184" s="2290"/>
      <c r="AU184" s="2290"/>
      <c r="AV184" s="2290"/>
      <c r="AW184" s="2290"/>
      <c r="AX184" s="2290"/>
      <c r="AY184" s="2290"/>
      <c r="AZ184" s="2290"/>
      <c r="BA184" s="2290"/>
      <c r="BB184" s="2290"/>
      <c r="BC184" s="2290"/>
      <c r="BD184" s="2290"/>
      <c r="BE184" s="2290"/>
      <c r="BF184" s="2290"/>
      <c r="BG184" s="2290"/>
      <c r="BH184" s="2290"/>
      <c r="BI184" s="2290"/>
      <c r="BJ184" s="2290"/>
      <c r="BK184" s="2290"/>
      <c r="BL184" s="2290"/>
      <c r="BM184" s="2290"/>
      <c r="BN184" s="2290"/>
      <c r="BO184" s="2290"/>
      <c r="BP184" s="2290"/>
      <c r="BQ184" s="2290"/>
      <c r="BR184" s="2290"/>
      <c r="BS184" s="2290"/>
      <c r="BT184" s="2290"/>
      <c r="BU184" s="2290"/>
      <c r="BV184" s="2290"/>
      <c r="BW184" s="2290"/>
      <c r="BX184" s="2290"/>
      <c r="BY184" s="2290"/>
      <c r="BZ184" s="2290"/>
      <c r="CA184" s="2290"/>
    </row>
    <row r="185" spans="1:79">
      <c r="A185" s="2290"/>
      <c r="B185" s="2290"/>
      <c r="C185" s="2290"/>
      <c r="D185" s="2290"/>
      <c r="E185" s="2290"/>
      <c r="F185" s="2290"/>
      <c r="G185" s="2290"/>
      <c r="H185" s="2290"/>
      <c r="I185" s="2290"/>
      <c r="J185" s="2290"/>
      <c r="K185" s="2290"/>
      <c r="L185" s="2290"/>
      <c r="M185" s="2290"/>
      <c r="N185" s="2290"/>
      <c r="O185" s="2290"/>
      <c r="P185" s="2290"/>
      <c r="Q185" s="2290"/>
      <c r="R185" s="2290"/>
      <c r="S185" s="2290"/>
      <c r="T185" s="2290"/>
      <c r="U185" s="2290"/>
      <c r="V185" s="2290"/>
      <c r="W185" s="2290"/>
      <c r="X185" s="2290"/>
      <c r="Y185" s="2290"/>
      <c r="Z185" s="2290"/>
      <c r="AA185" s="2290"/>
      <c r="AB185" s="2290"/>
      <c r="AC185" s="2290"/>
      <c r="AD185" s="2290"/>
      <c r="AE185" s="2290"/>
      <c r="AF185" s="2290"/>
      <c r="AG185" s="2290"/>
      <c r="AH185" s="2290"/>
      <c r="AI185" s="2290"/>
      <c r="AJ185" s="2290"/>
      <c r="AK185" s="2290"/>
      <c r="AL185" s="2290"/>
      <c r="AM185" s="2290"/>
      <c r="AN185" s="2290"/>
      <c r="AO185" s="2290"/>
      <c r="AP185" s="2290"/>
      <c r="AQ185" s="2290"/>
      <c r="AR185" s="2290"/>
      <c r="AS185" s="2290"/>
      <c r="AT185" s="2290"/>
      <c r="AU185" s="2290"/>
      <c r="AV185" s="2290"/>
      <c r="AW185" s="2290"/>
      <c r="AX185" s="2290"/>
      <c r="AY185" s="2290"/>
      <c r="AZ185" s="2290"/>
      <c r="BA185" s="2290"/>
      <c r="BB185" s="2290"/>
      <c r="BC185" s="2290"/>
      <c r="BD185" s="2290"/>
      <c r="BE185" s="2290"/>
      <c r="BF185" s="2290"/>
      <c r="BG185" s="2290"/>
      <c r="BH185" s="2290"/>
      <c r="BI185" s="2290"/>
      <c r="BJ185" s="2290"/>
      <c r="BK185" s="2290"/>
      <c r="BL185" s="2290"/>
      <c r="BM185" s="2290"/>
      <c r="BN185" s="2290"/>
      <c r="BO185" s="2290"/>
      <c r="BP185" s="2290"/>
      <c r="BQ185" s="2290"/>
      <c r="BR185" s="2290"/>
      <c r="BS185" s="2290"/>
      <c r="BT185" s="2290"/>
      <c r="BU185" s="2290"/>
      <c r="BV185" s="2290"/>
      <c r="BW185" s="2290"/>
      <c r="BX185" s="2290"/>
      <c r="BY185" s="2290"/>
      <c r="BZ185" s="2290"/>
      <c r="CA185" s="2290"/>
    </row>
    <row r="186" spans="1:79">
      <c r="A186" s="2290"/>
      <c r="B186" s="2290"/>
      <c r="C186" s="2290"/>
      <c r="D186" s="2290"/>
      <c r="E186" s="2290"/>
      <c r="F186" s="2290"/>
      <c r="G186" s="2290"/>
      <c r="H186" s="2290"/>
      <c r="I186" s="2290"/>
      <c r="J186" s="2290"/>
      <c r="K186" s="2290"/>
      <c r="L186" s="2290"/>
      <c r="M186" s="2290"/>
      <c r="N186" s="2290"/>
      <c r="O186" s="2290"/>
      <c r="P186" s="2290"/>
      <c r="Q186" s="2290"/>
      <c r="R186" s="2290"/>
      <c r="S186" s="2290"/>
      <c r="T186" s="2290"/>
      <c r="U186" s="2290"/>
      <c r="V186" s="2290"/>
      <c r="W186" s="2290"/>
      <c r="X186" s="2290"/>
      <c r="Y186" s="2290"/>
      <c r="Z186" s="2290"/>
      <c r="AA186" s="2290"/>
      <c r="AB186" s="2290"/>
      <c r="AC186" s="2290"/>
      <c r="AD186" s="2290"/>
      <c r="AE186" s="2290"/>
      <c r="AF186" s="2290"/>
      <c r="AG186" s="2290"/>
      <c r="AH186" s="2290"/>
      <c r="AI186" s="2290"/>
      <c r="AJ186" s="2290"/>
      <c r="AK186" s="2290"/>
      <c r="AL186" s="2290"/>
      <c r="AM186" s="2290"/>
      <c r="AN186" s="2290"/>
      <c r="AO186" s="2290"/>
      <c r="AP186" s="2290"/>
      <c r="AQ186" s="2290"/>
      <c r="AR186" s="2290"/>
      <c r="AS186" s="2290"/>
      <c r="AT186" s="2290"/>
      <c r="AU186" s="2290"/>
      <c r="AV186" s="2290"/>
      <c r="AW186" s="2290"/>
      <c r="AX186" s="2290"/>
      <c r="AY186" s="2290"/>
      <c r="AZ186" s="2290"/>
      <c r="BA186" s="2290"/>
      <c r="BB186" s="2290"/>
      <c r="BC186" s="2290"/>
      <c r="BD186" s="2290"/>
      <c r="BE186" s="2290"/>
      <c r="BF186" s="2290"/>
      <c r="BG186" s="2290"/>
      <c r="BH186" s="2290"/>
      <c r="BI186" s="2290"/>
      <c r="BJ186" s="2290"/>
      <c r="BK186" s="2290"/>
      <c r="BL186" s="2290"/>
      <c r="BM186" s="2290"/>
      <c r="BN186" s="2290"/>
      <c r="BO186" s="2290"/>
      <c r="BP186" s="2290"/>
      <c r="BQ186" s="2290"/>
      <c r="BR186" s="2290"/>
      <c r="BS186" s="2290"/>
      <c r="BT186" s="2290"/>
      <c r="BU186" s="2290"/>
      <c r="BV186" s="2290"/>
      <c r="BW186" s="2290"/>
      <c r="BX186" s="2290"/>
      <c r="BY186" s="2290"/>
      <c r="BZ186" s="2290"/>
      <c r="CA186" s="2290"/>
    </row>
    <row r="187" spans="1:79">
      <c r="A187" s="2290"/>
      <c r="B187" s="2290"/>
      <c r="C187" s="2290"/>
      <c r="D187" s="2290"/>
      <c r="E187" s="2290"/>
      <c r="F187" s="2290"/>
      <c r="G187" s="2290"/>
      <c r="H187" s="2290"/>
      <c r="I187" s="2290"/>
      <c r="J187" s="2290"/>
      <c r="K187" s="2290"/>
      <c r="L187" s="2290"/>
      <c r="M187" s="2290"/>
      <c r="N187" s="2290"/>
      <c r="O187" s="2290"/>
      <c r="P187" s="2290"/>
      <c r="Q187" s="2290"/>
      <c r="R187" s="2290"/>
      <c r="S187" s="2290"/>
      <c r="T187" s="2290"/>
      <c r="U187" s="2290"/>
      <c r="V187" s="2290"/>
      <c r="W187" s="2290"/>
      <c r="X187" s="2290"/>
      <c r="Y187" s="2290"/>
      <c r="Z187" s="2290"/>
      <c r="AA187" s="2290"/>
      <c r="AB187" s="2290"/>
      <c r="AC187" s="2290"/>
      <c r="AD187" s="2290"/>
      <c r="AE187" s="2290"/>
      <c r="AF187" s="2290"/>
      <c r="AG187" s="2290"/>
      <c r="AH187" s="2290"/>
      <c r="AI187" s="2290"/>
      <c r="AJ187" s="2290"/>
      <c r="AK187" s="2290"/>
      <c r="AL187" s="2290"/>
      <c r="AM187" s="2290"/>
      <c r="AN187" s="2290"/>
      <c r="AO187" s="2290"/>
      <c r="AP187" s="2290"/>
      <c r="AQ187" s="2290"/>
      <c r="AR187" s="2290"/>
      <c r="AS187" s="2290"/>
      <c r="AT187" s="2290"/>
      <c r="AU187" s="2290"/>
      <c r="AV187" s="2290"/>
      <c r="AW187" s="2290"/>
      <c r="AX187" s="2290"/>
      <c r="AY187" s="2290"/>
      <c r="AZ187" s="2290"/>
      <c r="BA187" s="2290"/>
      <c r="BB187" s="2290"/>
      <c r="BC187" s="2290"/>
      <c r="BD187" s="2290"/>
      <c r="BE187" s="2290"/>
      <c r="BF187" s="2290"/>
      <c r="BG187" s="2290"/>
      <c r="BH187" s="2290"/>
      <c r="BI187" s="2290"/>
      <c r="BJ187" s="2290"/>
      <c r="BK187" s="2290"/>
      <c r="BL187" s="2290"/>
      <c r="BM187" s="2290"/>
      <c r="BN187" s="2290"/>
      <c r="BO187" s="2290"/>
      <c r="BP187" s="2290"/>
      <c r="BQ187" s="2290"/>
      <c r="BR187" s="2290"/>
      <c r="BS187" s="2290"/>
      <c r="BT187" s="2290"/>
      <c r="BU187" s="2290"/>
      <c r="BV187" s="2290"/>
      <c r="BW187" s="2290"/>
      <c r="BX187" s="2290"/>
      <c r="BY187" s="2290"/>
      <c r="BZ187" s="2290"/>
      <c r="CA187" s="2290"/>
    </row>
    <row r="188" spans="1:79">
      <c r="A188" s="2290"/>
      <c r="B188" s="2290"/>
      <c r="C188" s="2290"/>
      <c r="D188" s="2290"/>
      <c r="E188" s="2290"/>
      <c r="F188" s="2290"/>
      <c r="G188" s="2290"/>
      <c r="H188" s="2290"/>
      <c r="I188" s="2290"/>
      <c r="J188" s="2290"/>
      <c r="K188" s="2290"/>
      <c r="L188" s="2290"/>
      <c r="M188" s="2290"/>
      <c r="N188" s="2290"/>
      <c r="O188" s="2290"/>
      <c r="P188" s="2290"/>
      <c r="Q188" s="2290"/>
      <c r="R188" s="2290"/>
      <c r="S188" s="2290"/>
      <c r="T188" s="2290"/>
      <c r="U188" s="2290"/>
      <c r="V188" s="2290"/>
      <c r="W188" s="2290"/>
      <c r="X188" s="2290"/>
      <c r="Y188" s="2290"/>
      <c r="Z188" s="2290"/>
      <c r="AA188" s="2290"/>
      <c r="AB188" s="2290"/>
      <c r="AC188" s="2290"/>
      <c r="AD188" s="2290"/>
      <c r="AE188" s="2290"/>
      <c r="AF188" s="2290"/>
      <c r="AG188" s="2290"/>
      <c r="AH188" s="2290"/>
      <c r="AI188" s="2290"/>
      <c r="AJ188" s="2290"/>
      <c r="AK188" s="2290"/>
      <c r="AL188" s="2290"/>
      <c r="AM188" s="2290"/>
      <c r="AN188" s="2290"/>
      <c r="AO188" s="2290"/>
      <c r="AP188" s="2290"/>
      <c r="AQ188" s="2290"/>
      <c r="AR188" s="2290"/>
      <c r="AS188" s="2290"/>
      <c r="AT188" s="2290"/>
      <c r="AU188" s="2290"/>
      <c r="AV188" s="2290"/>
      <c r="AW188" s="2290"/>
      <c r="AX188" s="2290"/>
      <c r="AY188" s="2290"/>
      <c r="AZ188" s="2290"/>
      <c r="BA188" s="2290"/>
      <c r="BB188" s="2290"/>
      <c r="BC188" s="2290"/>
      <c r="BD188" s="2290"/>
      <c r="BE188" s="2290"/>
      <c r="BF188" s="2290"/>
      <c r="BG188" s="2290"/>
      <c r="BH188" s="2290"/>
      <c r="BI188" s="2290"/>
      <c r="BJ188" s="2290"/>
      <c r="BK188" s="2290"/>
      <c r="BL188" s="2290"/>
      <c r="BM188" s="2290"/>
      <c r="BN188" s="2290"/>
      <c r="BO188" s="2290"/>
      <c r="BP188" s="2290"/>
      <c r="BQ188" s="2290"/>
      <c r="BR188" s="2290"/>
      <c r="BS188" s="2290"/>
      <c r="BT188" s="2290"/>
      <c r="BU188" s="2290"/>
      <c r="BV188" s="2290"/>
      <c r="BW188" s="2290"/>
      <c r="BX188" s="2290"/>
      <c r="BY188" s="2290"/>
      <c r="BZ188" s="2290"/>
      <c r="CA188" s="2290"/>
    </row>
    <row r="189" spans="1:79">
      <c r="A189" s="2290"/>
      <c r="B189" s="2290"/>
      <c r="C189" s="2290"/>
      <c r="D189" s="2290"/>
      <c r="E189" s="2290"/>
      <c r="F189" s="2290"/>
      <c r="G189" s="2290"/>
      <c r="H189" s="2290"/>
      <c r="I189" s="2290"/>
      <c r="J189" s="2290"/>
      <c r="K189" s="2290"/>
      <c r="L189" s="2290"/>
      <c r="M189" s="2290"/>
      <c r="N189" s="2290"/>
      <c r="O189" s="2290"/>
      <c r="P189" s="2290"/>
      <c r="Q189" s="2290"/>
      <c r="R189" s="2290"/>
      <c r="S189" s="2290"/>
      <c r="T189" s="2290"/>
      <c r="U189" s="2290"/>
      <c r="V189" s="2290"/>
      <c r="W189" s="2290"/>
      <c r="X189" s="2290"/>
      <c r="Y189" s="2290"/>
      <c r="Z189" s="2290"/>
      <c r="AA189" s="2290"/>
      <c r="AB189" s="2290"/>
      <c r="AC189" s="2290"/>
      <c r="AD189" s="2290"/>
      <c r="AE189" s="2290"/>
      <c r="AF189" s="2290"/>
      <c r="AG189" s="2290"/>
      <c r="AH189" s="2290"/>
      <c r="AI189" s="2290"/>
      <c r="AJ189" s="2290"/>
      <c r="AK189" s="2290"/>
      <c r="AL189" s="2290"/>
      <c r="AM189" s="2290"/>
      <c r="AN189" s="2290"/>
      <c r="AO189" s="2290"/>
      <c r="AP189" s="2290"/>
      <c r="AQ189" s="2290"/>
      <c r="AR189" s="2290"/>
      <c r="AS189" s="2290"/>
      <c r="AT189" s="2290"/>
      <c r="AU189" s="2290"/>
      <c r="AV189" s="2290"/>
      <c r="AW189" s="2290"/>
      <c r="AX189" s="2290"/>
      <c r="AY189" s="2290"/>
      <c r="AZ189" s="2290"/>
      <c r="BA189" s="2290"/>
      <c r="BB189" s="2290"/>
      <c r="BC189" s="2290"/>
      <c r="BD189" s="2290"/>
      <c r="BE189" s="2290"/>
      <c r="BF189" s="2290"/>
      <c r="BG189" s="2290"/>
      <c r="BH189" s="2290"/>
      <c r="BI189" s="2290"/>
      <c r="BJ189" s="2290"/>
      <c r="BK189" s="2290"/>
      <c r="BL189" s="2290"/>
      <c r="BM189" s="2290"/>
      <c r="BN189" s="2290"/>
      <c r="BO189" s="2290"/>
      <c r="BP189" s="2290"/>
      <c r="BQ189" s="2290"/>
      <c r="BR189" s="2290"/>
      <c r="BS189" s="2290"/>
      <c r="BT189" s="2290"/>
      <c r="BU189" s="2290"/>
      <c r="BV189" s="2290"/>
      <c r="BW189" s="2290"/>
      <c r="BX189" s="2290"/>
      <c r="BY189" s="2290"/>
      <c r="BZ189" s="2290"/>
      <c r="CA189" s="2290"/>
    </row>
    <row r="190" spans="1:79">
      <c r="A190" s="2290"/>
      <c r="B190" s="2290"/>
      <c r="C190" s="2290"/>
      <c r="D190" s="2290"/>
      <c r="E190" s="2290"/>
      <c r="F190" s="2290"/>
      <c r="G190" s="2290"/>
      <c r="H190" s="2290"/>
      <c r="I190" s="2290"/>
      <c r="J190" s="2290"/>
      <c r="K190" s="2290"/>
      <c r="L190" s="2290"/>
      <c r="M190" s="2290"/>
      <c r="N190" s="2290"/>
      <c r="O190" s="2290"/>
      <c r="P190" s="2290"/>
      <c r="Q190" s="2290"/>
      <c r="R190" s="2290"/>
      <c r="S190" s="2290"/>
      <c r="T190" s="2290"/>
      <c r="U190" s="2290"/>
      <c r="V190" s="2290"/>
      <c r="W190" s="2290"/>
      <c r="X190" s="2290"/>
      <c r="Y190" s="2290"/>
      <c r="Z190" s="2290"/>
      <c r="AA190" s="2290"/>
      <c r="AB190" s="2290"/>
      <c r="AC190" s="2290"/>
      <c r="AD190" s="2290"/>
      <c r="AE190" s="2290"/>
      <c r="AF190" s="2290"/>
      <c r="AG190" s="2290"/>
      <c r="AH190" s="2290"/>
      <c r="AI190" s="2290"/>
      <c r="AJ190" s="2290"/>
      <c r="AK190" s="2290"/>
      <c r="AL190" s="2290"/>
      <c r="AM190" s="2290"/>
      <c r="AN190" s="2290"/>
      <c r="AO190" s="2290"/>
      <c r="AP190" s="2290"/>
      <c r="AQ190" s="2290"/>
      <c r="AR190" s="2290"/>
      <c r="AS190" s="2290"/>
      <c r="AT190" s="2290"/>
      <c r="AU190" s="2290"/>
      <c r="AV190" s="2290"/>
      <c r="AW190" s="2290"/>
      <c r="AX190" s="2290"/>
      <c r="AY190" s="2290"/>
      <c r="AZ190" s="2290"/>
      <c r="BA190" s="2290"/>
      <c r="BB190" s="2290"/>
      <c r="BC190" s="2290"/>
      <c r="BD190" s="2290"/>
      <c r="BE190" s="2290"/>
      <c r="BF190" s="2290"/>
      <c r="BG190" s="2290"/>
      <c r="BH190" s="2290"/>
      <c r="BI190" s="2290"/>
      <c r="BJ190" s="2290"/>
      <c r="BK190" s="2290"/>
      <c r="BL190" s="2290"/>
      <c r="BM190" s="2290"/>
      <c r="BN190" s="2290"/>
      <c r="BO190" s="2290"/>
      <c r="BP190" s="2290"/>
      <c r="BQ190" s="2290"/>
      <c r="BR190" s="2290"/>
      <c r="BS190" s="2290"/>
      <c r="BT190" s="2290"/>
      <c r="BU190" s="2290"/>
      <c r="BV190" s="2290"/>
      <c r="BW190" s="2290"/>
      <c r="BX190" s="2290"/>
      <c r="BY190" s="2290"/>
      <c r="BZ190" s="2290"/>
      <c r="CA190" s="2290"/>
    </row>
    <row r="191" spans="1:79">
      <c r="A191" s="2290"/>
      <c r="B191" s="2290"/>
      <c r="C191" s="2290"/>
      <c r="D191" s="2290"/>
      <c r="E191" s="2290"/>
      <c r="F191" s="2290"/>
      <c r="G191" s="2290"/>
      <c r="H191" s="2290"/>
      <c r="I191" s="2290"/>
      <c r="J191" s="2290"/>
      <c r="K191" s="2290"/>
      <c r="L191" s="2290"/>
      <c r="M191" s="2290"/>
      <c r="N191" s="2290"/>
      <c r="O191" s="2290"/>
      <c r="P191" s="2290"/>
      <c r="Q191" s="2290"/>
      <c r="R191" s="2290"/>
      <c r="S191" s="2290"/>
      <c r="T191" s="2290"/>
      <c r="U191" s="2290"/>
      <c r="V191" s="2290"/>
      <c r="W191" s="2290"/>
      <c r="X191" s="2290"/>
      <c r="Y191" s="2290"/>
      <c r="Z191" s="2290"/>
      <c r="AA191" s="2290"/>
      <c r="AB191" s="2290"/>
      <c r="AC191" s="2290"/>
      <c r="AD191" s="2290"/>
      <c r="AE191" s="2290"/>
      <c r="AF191" s="2290"/>
      <c r="AG191" s="2290"/>
      <c r="AH191" s="2290"/>
      <c r="AI191" s="2290"/>
      <c r="AJ191" s="2290"/>
      <c r="AK191" s="2290"/>
      <c r="AL191" s="2290"/>
      <c r="AM191" s="2290"/>
      <c r="AN191" s="2290"/>
      <c r="AO191" s="2290"/>
      <c r="AP191" s="2290"/>
      <c r="AQ191" s="2290"/>
      <c r="AR191" s="2290"/>
      <c r="AS191" s="2290"/>
      <c r="AT191" s="2290"/>
      <c r="AU191" s="2290"/>
      <c r="AV191" s="2290"/>
      <c r="AW191" s="2290"/>
      <c r="AX191" s="2290"/>
      <c r="AY191" s="2290"/>
      <c r="AZ191" s="2290"/>
      <c r="BA191" s="2290"/>
      <c r="BB191" s="2290"/>
      <c r="BC191" s="2290"/>
      <c r="BD191" s="2290"/>
      <c r="BE191" s="2290"/>
      <c r="BF191" s="2290"/>
      <c r="BG191" s="2290"/>
      <c r="BH191" s="2290"/>
      <c r="BI191" s="2290"/>
      <c r="BJ191" s="2290"/>
      <c r="BK191" s="2290"/>
      <c r="BL191" s="2290"/>
      <c r="BM191" s="2290"/>
      <c r="BN191" s="2290"/>
      <c r="BO191" s="2290"/>
      <c r="BP191" s="2290"/>
      <c r="BQ191" s="2290"/>
      <c r="BR191" s="2290"/>
      <c r="BS191" s="2290"/>
      <c r="BT191" s="2290"/>
      <c r="BU191" s="2290"/>
      <c r="BV191" s="2290"/>
      <c r="BW191" s="2290"/>
      <c r="BX191" s="2290"/>
      <c r="BY191" s="2290"/>
      <c r="BZ191" s="2290"/>
      <c r="CA191" s="2290"/>
    </row>
    <row r="192" spans="1:79">
      <c r="A192" s="2290"/>
      <c r="B192" s="2290"/>
      <c r="C192" s="2290"/>
      <c r="D192" s="2290"/>
      <c r="E192" s="2290"/>
      <c r="F192" s="2290"/>
      <c r="G192" s="2290"/>
      <c r="H192" s="2290"/>
      <c r="I192" s="2290"/>
      <c r="J192" s="2290"/>
      <c r="K192" s="2290"/>
      <c r="L192" s="2290"/>
      <c r="M192" s="2290"/>
      <c r="N192" s="2290"/>
      <c r="O192" s="2290"/>
      <c r="P192" s="2290"/>
      <c r="Q192" s="2290"/>
      <c r="R192" s="2290"/>
      <c r="S192" s="2290"/>
      <c r="T192" s="2290"/>
      <c r="U192" s="2290"/>
      <c r="V192" s="2290"/>
      <c r="W192" s="2290"/>
      <c r="X192" s="2290"/>
      <c r="Y192" s="2290"/>
      <c r="Z192" s="2290"/>
      <c r="AA192" s="2290"/>
      <c r="AB192" s="2290"/>
      <c r="AC192" s="2290"/>
      <c r="AD192" s="2290"/>
      <c r="AE192" s="2290"/>
      <c r="AF192" s="2290"/>
      <c r="AG192" s="2290"/>
      <c r="AH192" s="2290"/>
      <c r="AI192" s="2290"/>
      <c r="AJ192" s="2290"/>
      <c r="AK192" s="2290"/>
      <c r="AL192" s="2290"/>
      <c r="AM192" s="2290"/>
      <c r="AN192" s="2290"/>
      <c r="AO192" s="2290"/>
      <c r="AP192" s="2290"/>
      <c r="AQ192" s="2290"/>
      <c r="AR192" s="2290"/>
      <c r="AS192" s="2290"/>
      <c r="AT192" s="2290"/>
      <c r="AU192" s="2290"/>
      <c r="AV192" s="2290"/>
      <c r="AW192" s="2290"/>
      <c r="AX192" s="2290"/>
      <c r="AY192" s="2290"/>
      <c r="AZ192" s="2290"/>
      <c r="BA192" s="2290"/>
      <c r="BB192" s="2290"/>
      <c r="BC192" s="2290"/>
      <c r="BD192" s="2290"/>
      <c r="BE192" s="2290"/>
      <c r="BF192" s="2290"/>
      <c r="BG192" s="2290"/>
      <c r="BH192" s="2290"/>
      <c r="BI192" s="2290"/>
      <c r="BJ192" s="2290"/>
      <c r="BK192" s="2290"/>
      <c r="BL192" s="2290"/>
      <c r="BM192" s="2290"/>
      <c r="BN192" s="2290"/>
      <c r="BO192" s="2290"/>
      <c r="BP192" s="2290"/>
      <c r="BQ192" s="2290"/>
      <c r="BR192" s="2290"/>
      <c r="BS192" s="2290"/>
      <c r="BT192" s="2290"/>
      <c r="BU192" s="2290"/>
      <c r="BV192" s="2290"/>
      <c r="BW192" s="2290"/>
      <c r="BX192" s="2290"/>
      <c r="BY192" s="2290"/>
      <c r="BZ192" s="2290"/>
      <c r="CA192" s="2290"/>
    </row>
    <row r="193" spans="1:79">
      <c r="A193" s="2290"/>
      <c r="B193" s="2290"/>
      <c r="C193" s="2290"/>
      <c r="D193" s="2290"/>
      <c r="E193" s="2290"/>
      <c r="F193" s="2290"/>
      <c r="G193" s="2290"/>
      <c r="H193" s="2290"/>
      <c r="I193" s="2290"/>
      <c r="J193" s="2290"/>
      <c r="K193" s="2290"/>
      <c r="L193" s="2290"/>
      <c r="M193" s="2290"/>
      <c r="N193" s="2290"/>
      <c r="O193" s="2290"/>
      <c r="P193" s="2290"/>
      <c r="Q193" s="2290"/>
      <c r="R193" s="2290"/>
      <c r="S193" s="2290"/>
      <c r="T193" s="2290"/>
      <c r="U193" s="2290"/>
      <c r="V193" s="2290"/>
      <c r="W193" s="2290"/>
      <c r="X193" s="2290"/>
      <c r="Y193" s="2290"/>
      <c r="Z193" s="2290"/>
      <c r="AA193" s="2290"/>
      <c r="AB193" s="2290"/>
      <c r="AC193" s="2290"/>
      <c r="AD193" s="2290"/>
      <c r="AE193" s="2290"/>
      <c r="AF193" s="2290"/>
      <c r="AG193" s="2290"/>
      <c r="AH193" s="2290"/>
      <c r="AI193" s="2290"/>
      <c r="AJ193" s="2290"/>
      <c r="AK193" s="2290"/>
      <c r="AL193" s="2290"/>
      <c r="AM193" s="2290"/>
      <c r="AN193" s="2290"/>
      <c r="AO193" s="2290"/>
      <c r="AP193" s="2290"/>
      <c r="AQ193" s="2290"/>
      <c r="AR193" s="2290"/>
      <c r="AS193" s="2290"/>
      <c r="AT193" s="2290"/>
      <c r="AU193" s="2290"/>
      <c r="AV193" s="2290"/>
      <c r="AW193" s="2290"/>
      <c r="AX193" s="2290"/>
      <c r="AY193" s="2290"/>
      <c r="AZ193" s="2290"/>
      <c r="BA193" s="2290"/>
      <c r="BB193" s="2290"/>
      <c r="BC193" s="2290"/>
      <c r="BD193" s="2290"/>
      <c r="BE193" s="2290"/>
      <c r="BF193" s="2290"/>
      <c r="BG193" s="2290"/>
      <c r="BH193" s="2290"/>
      <c r="BI193" s="2290"/>
      <c r="BJ193" s="2290"/>
      <c r="BK193" s="2290"/>
      <c r="BL193" s="2290"/>
      <c r="BM193" s="2290"/>
      <c r="BN193" s="2290"/>
      <c r="BO193" s="2290"/>
      <c r="BP193" s="2290"/>
      <c r="BQ193" s="2290"/>
      <c r="BR193" s="2290"/>
      <c r="BS193" s="2290"/>
      <c r="BT193" s="2290"/>
      <c r="BU193" s="2290"/>
      <c r="BV193" s="2290"/>
      <c r="BW193" s="2290"/>
      <c r="BX193" s="2290"/>
      <c r="BY193" s="2290"/>
      <c r="BZ193" s="2290"/>
      <c r="CA193" s="2290"/>
    </row>
    <row r="194" spans="1:79">
      <c r="A194" s="2290"/>
      <c r="B194" s="2290"/>
      <c r="C194" s="2290"/>
      <c r="D194" s="2290"/>
      <c r="E194" s="2290"/>
      <c r="F194" s="2290"/>
      <c r="G194" s="2290"/>
      <c r="H194" s="2290"/>
      <c r="I194" s="2290"/>
      <c r="J194" s="2290"/>
      <c r="K194" s="2290"/>
      <c r="L194" s="2290"/>
      <c r="M194" s="2290"/>
      <c r="N194" s="2290"/>
      <c r="O194" s="2290"/>
      <c r="P194" s="2290"/>
      <c r="Q194" s="2290"/>
      <c r="R194" s="2290"/>
      <c r="S194" s="2290"/>
      <c r="T194" s="2290"/>
      <c r="U194" s="2290"/>
      <c r="V194" s="2290"/>
      <c r="W194" s="2290"/>
      <c r="X194" s="2290"/>
      <c r="Y194" s="2290"/>
      <c r="Z194" s="2290"/>
      <c r="AA194" s="2290"/>
      <c r="AB194" s="2290"/>
      <c r="AC194" s="2290"/>
      <c r="AD194" s="2290"/>
      <c r="AE194" s="2290"/>
      <c r="AF194" s="2290"/>
      <c r="AG194" s="2290"/>
      <c r="AH194" s="2290"/>
      <c r="AI194" s="2290"/>
      <c r="AJ194" s="2290"/>
      <c r="AK194" s="2290"/>
      <c r="AL194" s="2290"/>
      <c r="AM194" s="2290"/>
      <c r="AN194" s="2290"/>
      <c r="AO194" s="2290"/>
      <c r="AP194" s="2290"/>
      <c r="AQ194" s="2290"/>
      <c r="AR194" s="2290"/>
      <c r="AS194" s="2290"/>
      <c r="AT194" s="2290"/>
      <c r="AU194" s="2290"/>
      <c r="AV194" s="2290"/>
      <c r="AW194" s="2290"/>
      <c r="AX194" s="2290"/>
      <c r="AY194" s="2290"/>
      <c r="AZ194" s="2290"/>
      <c r="BA194" s="2290"/>
      <c r="BB194" s="2290"/>
      <c r="BC194" s="2290"/>
      <c r="BD194" s="2290"/>
      <c r="BE194" s="2290"/>
      <c r="BF194" s="2290"/>
      <c r="BG194" s="2290"/>
      <c r="BH194" s="2290"/>
      <c r="BI194" s="2290"/>
      <c r="BJ194" s="2290"/>
      <c r="BK194" s="2290"/>
      <c r="BL194" s="2290"/>
      <c r="BM194" s="2290"/>
      <c r="BN194" s="2290"/>
      <c r="BO194" s="2290"/>
      <c r="BP194" s="2290"/>
      <c r="BQ194" s="2290"/>
      <c r="BR194" s="2290"/>
      <c r="BS194" s="2290"/>
      <c r="BT194" s="2290"/>
      <c r="BU194" s="2290"/>
      <c r="BV194" s="2290"/>
      <c r="BW194" s="2290"/>
      <c r="BX194" s="2290"/>
      <c r="BY194" s="2290"/>
      <c r="BZ194" s="2290"/>
      <c r="CA194" s="2290"/>
    </row>
    <row r="195" spans="1:79">
      <c r="A195" s="2290"/>
      <c r="B195" s="2290"/>
      <c r="C195" s="2290"/>
      <c r="D195" s="2290"/>
      <c r="E195" s="2290"/>
      <c r="F195" s="2290"/>
      <c r="G195" s="2290"/>
      <c r="H195" s="2290"/>
      <c r="I195" s="2290"/>
      <c r="J195" s="2290"/>
      <c r="K195" s="2290"/>
      <c r="L195" s="2290"/>
      <c r="M195" s="2290"/>
      <c r="N195" s="2290"/>
      <c r="O195" s="2290"/>
      <c r="P195" s="2290"/>
      <c r="Q195" s="2290"/>
      <c r="R195" s="2290"/>
      <c r="S195" s="2290"/>
      <c r="T195" s="2290"/>
      <c r="U195" s="2290"/>
      <c r="V195" s="2290"/>
      <c r="W195" s="2290"/>
      <c r="X195" s="2290"/>
      <c r="Y195" s="2290"/>
      <c r="Z195" s="2290"/>
      <c r="AA195" s="2290"/>
      <c r="AB195" s="2290"/>
      <c r="AC195" s="2290"/>
      <c r="AD195" s="2290"/>
      <c r="AE195" s="2290"/>
      <c r="AF195" s="2290"/>
      <c r="AG195" s="2290"/>
      <c r="AH195" s="2290"/>
      <c r="AI195" s="2290"/>
      <c r="AJ195" s="2290"/>
      <c r="AK195" s="2290"/>
      <c r="AL195" s="2290"/>
      <c r="AM195" s="2290"/>
      <c r="AN195" s="2290"/>
      <c r="AO195" s="2290"/>
      <c r="AP195" s="2290"/>
      <c r="AQ195" s="2290"/>
      <c r="AR195" s="2290"/>
      <c r="AS195" s="2290"/>
      <c r="AT195" s="2290"/>
      <c r="AU195" s="2290"/>
      <c r="AV195" s="2290"/>
      <c r="AW195" s="2290"/>
      <c r="AX195" s="2290"/>
      <c r="AY195" s="2290"/>
      <c r="AZ195" s="2290"/>
      <c r="BA195" s="2290"/>
      <c r="BB195" s="2290"/>
      <c r="BC195" s="2290"/>
      <c r="BD195" s="2290"/>
      <c r="BE195" s="2290"/>
      <c r="BF195" s="2290"/>
      <c r="BG195" s="2290"/>
      <c r="BH195" s="2290"/>
      <c r="BI195" s="2290"/>
      <c r="BJ195" s="2290"/>
      <c r="BK195" s="2290"/>
      <c r="BL195" s="2290"/>
      <c r="BM195" s="2290"/>
      <c r="BN195" s="2290"/>
      <c r="BO195" s="2290"/>
      <c r="BP195" s="2290"/>
      <c r="BQ195" s="2290"/>
      <c r="BR195" s="2290"/>
      <c r="BS195" s="2290"/>
      <c r="BT195" s="2290"/>
      <c r="BU195" s="2290"/>
      <c r="BV195" s="2290"/>
      <c r="BW195" s="2290"/>
      <c r="BX195" s="2290"/>
      <c r="BY195" s="2290"/>
      <c r="BZ195" s="2290"/>
      <c r="CA195" s="2290"/>
    </row>
    <row r="196" spans="1:79">
      <c r="A196" s="2290"/>
      <c r="B196" s="2290"/>
      <c r="C196" s="2290"/>
      <c r="D196" s="2290"/>
      <c r="E196" s="2290"/>
      <c r="F196" s="2290"/>
      <c r="G196" s="2290"/>
      <c r="H196" s="2290"/>
      <c r="I196" s="2290"/>
      <c r="J196" s="2290"/>
      <c r="K196" s="2290"/>
      <c r="L196" s="2290"/>
      <c r="M196" s="2290"/>
      <c r="N196" s="2290"/>
      <c r="O196" s="2290"/>
      <c r="P196" s="2290"/>
      <c r="Q196" s="2290"/>
      <c r="R196" s="2290"/>
      <c r="S196" s="2290"/>
      <c r="T196" s="2290"/>
      <c r="U196" s="2290"/>
      <c r="V196" s="2290"/>
      <c r="W196" s="2290"/>
      <c r="X196" s="2290"/>
      <c r="Y196" s="2290"/>
      <c r="Z196" s="2290"/>
      <c r="AA196" s="2290"/>
      <c r="AB196" s="2290"/>
      <c r="AC196" s="2290"/>
      <c r="AD196" s="2290"/>
      <c r="AE196" s="2290"/>
      <c r="AF196" s="2290"/>
      <c r="AG196" s="2290"/>
      <c r="AH196" s="2290"/>
      <c r="AI196" s="2290"/>
      <c r="AJ196" s="2290"/>
      <c r="AK196" s="2290"/>
      <c r="AL196" s="2290"/>
      <c r="AM196" s="2290"/>
      <c r="AN196" s="2290"/>
      <c r="AO196" s="2290"/>
      <c r="AP196" s="2290"/>
      <c r="AQ196" s="2290"/>
      <c r="AR196" s="2290"/>
      <c r="AS196" s="2290"/>
      <c r="AT196" s="2290"/>
      <c r="AU196" s="2290"/>
      <c r="AV196" s="2290"/>
      <c r="AW196" s="2290"/>
      <c r="AX196" s="2290"/>
      <c r="AY196" s="2290"/>
      <c r="AZ196" s="2290"/>
      <c r="BA196" s="2290"/>
      <c r="BB196" s="2290"/>
      <c r="BC196" s="2290"/>
      <c r="BD196" s="2290"/>
      <c r="BE196" s="2290"/>
      <c r="BF196" s="2290"/>
      <c r="BG196" s="2290"/>
      <c r="BH196" s="2290"/>
      <c r="BI196" s="2290"/>
      <c r="BJ196" s="2290"/>
      <c r="BK196" s="2290"/>
      <c r="BL196" s="2290"/>
      <c r="BM196" s="2290"/>
      <c r="BN196" s="2290"/>
      <c r="BO196" s="2290"/>
      <c r="BP196" s="2290"/>
      <c r="BQ196" s="2290"/>
      <c r="BR196" s="2290"/>
      <c r="BS196" s="2290"/>
      <c r="BT196" s="2290"/>
      <c r="BU196" s="2290"/>
      <c r="BV196" s="2290"/>
      <c r="BW196" s="2290"/>
      <c r="BX196" s="2290"/>
      <c r="BY196" s="2290"/>
      <c r="BZ196" s="2290"/>
      <c r="CA196" s="2290"/>
    </row>
    <row r="197" spans="1:79">
      <c r="A197" s="2290"/>
      <c r="B197" s="2290"/>
      <c r="C197" s="2290"/>
      <c r="D197" s="2290"/>
      <c r="E197" s="2290"/>
      <c r="F197" s="2290"/>
      <c r="G197" s="2290"/>
      <c r="H197" s="2290"/>
      <c r="I197" s="2290"/>
      <c r="J197" s="2290"/>
      <c r="K197" s="2290"/>
      <c r="L197" s="2290"/>
      <c r="M197" s="2290"/>
      <c r="N197" s="2290"/>
      <c r="O197" s="2290"/>
      <c r="P197" s="2290"/>
      <c r="Q197" s="2290"/>
      <c r="R197" s="2290"/>
      <c r="S197" s="2290"/>
      <c r="T197" s="2290"/>
      <c r="U197" s="2290"/>
      <c r="V197" s="2290"/>
      <c r="W197" s="2290"/>
      <c r="X197" s="2290"/>
      <c r="Y197" s="2290"/>
      <c r="Z197" s="2290"/>
      <c r="AA197" s="2290"/>
      <c r="AB197" s="2290"/>
      <c r="AC197" s="2290"/>
      <c r="AD197" s="2290"/>
      <c r="AE197" s="2290"/>
      <c r="AF197" s="2290"/>
      <c r="AG197" s="2290"/>
      <c r="AH197" s="2290"/>
      <c r="AI197" s="2290"/>
      <c r="AJ197" s="2290"/>
      <c r="AK197" s="2290"/>
      <c r="AL197" s="2290"/>
      <c r="AM197" s="2290"/>
      <c r="AN197" s="2290"/>
      <c r="AO197" s="2290"/>
      <c r="AP197" s="2290"/>
      <c r="AQ197" s="2290"/>
      <c r="AR197" s="2290"/>
      <c r="AS197" s="2290"/>
      <c r="AT197" s="2290"/>
      <c r="AU197" s="2290"/>
      <c r="AV197" s="2290"/>
      <c r="AW197" s="2290"/>
      <c r="AX197" s="2290"/>
      <c r="AY197" s="2290"/>
      <c r="AZ197" s="2290"/>
      <c r="BA197" s="2290"/>
      <c r="BB197" s="2290"/>
      <c r="BC197" s="2290"/>
      <c r="BD197" s="2290"/>
      <c r="BE197" s="2290"/>
      <c r="BF197" s="2290"/>
      <c r="BG197" s="2290"/>
      <c r="BH197" s="2290"/>
      <c r="BI197" s="2290"/>
      <c r="BJ197" s="2290"/>
      <c r="BK197" s="2290"/>
      <c r="BL197" s="2290"/>
      <c r="BM197" s="2290"/>
      <c r="BN197" s="2290"/>
      <c r="BO197" s="2290"/>
      <c r="BP197" s="2290"/>
      <c r="BQ197" s="2290"/>
      <c r="BR197" s="2290"/>
      <c r="BS197" s="2290"/>
      <c r="BT197" s="2290"/>
      <c r="BU197" s="2290"/>
      <c r="BV197" s="2290"/>
      <c r="BW197" s="2290"/>
      <c r="BX197" s="2290"/>
      <c r="BY197" s="2290"/>
      <c r="BZ197" s="2290"/>
      <c r="CA197" s="2290"/>
    </row>
    <row r="198" spans="1:79">
      <c r="A198" s="2290"/>
      <c r="B198" s="2290"/>
      <c r="C198" s="2290"/>
      <c r="D198" s="2290"/>
      <c r="E198" s="2290"/>
      <c r="F198" s="2290"/>
      <c r="G198" s="2290"/>
      <c r="H198" s="2290"/>
      <c r="I198" s="2290"/>
      <c r="J198" s="2290"/>
      <c r="K198" s="2290"/>
      <c r="L198" s="2290"/>
      <c r="M198" s="2290"/>
      <c r="N198" s="2290"/>
      <c r="O198" s="2290"/>
      <c r="P198" s="2290"/>
      <c r="Q198" s="2290"/>
      <c r="R198" s="2290"/>
      <c r="S198" s="2290"/>
      <c r="T198" s="2290"/>
      <c r="U198" s="2290"/>
      <c r="V198" s="2290"/>
      <c r="W198" s="2290"/>
      <c r="X198" s="2290"/>
      <c r="Y198" s="2290"/>
      <c r="Z198" s="2290"/>
      <c r="AA198" s="2290"/>
      <c r="AB198" s="2290"/>
      <c r="AC198" s="2290"/>
      <c r="AD198" s="2290"/>
      <c r="AE198" s="2290"/>
      <c r="AF198" s="2290"/>
      <c r="AG198" s="2290"/>
      <c r="AH198" s="2290"/>
      <c r="AI198" s="2290"/>
      <c r="AJ198" s="2290"/>
      <c r="AK198" s="2290"/>
      <c r="AL198" s="2290"/>
      <c r="AM198" s="2290"/>
      <c r="AN198" s="2290"/>
      <c r="AO198" s="2290"/>
      <c r="AP198" s="2290"/>
      <c r="AQ198" s="2290"/>
      <c r="AR198" s="2290"/>
      <c r="AS198" s="2290"/>
      <c r="AT198" s="2290"/>
      <c r="AU198" s="2290"/>
      <c r="AV198" s="2290"/>
      <c r="AW198" s="2290"/>
      <c r="AX198" s="2290"/>
      <c r="AY198" s="2290"/>
      <c r="AZ198" s="2290"/>
      <c r="BA198" s="2290"/>
      <c r="BB198" s="2290"/>
      <c r="BC198" s="2290"/>
      <c r="BD198" s="2290"/>
      <c r="BE198" s="2290"/>
      <c r="BF198" s="2290"/>
      <c r="BG198" s="2290"/>
      <c r="BH198" s="2290"/>
      <c r="BI198" s="2290"/>
      <c r="BJ198" s="2290"/>
      <c r="BK198" s="2290"/>
      <c r="BL198" s="2290"/>
      <c r="BM198" s="2290"/>
      <c r="BN198" s="2290"/>
      <c r="BO198" s="2290"/>
      <c r="BP198" s="2290"/>
      <c r="BQ198" s="2290"/>
      <c r="BR198" s="2290"/>
      <c r="BS198" s="2290"/>
      <c r="BT198" s="2290"/>
      <c r="BU198" s="2290"/>
      <c r="BV198" s="2290"/>
      <c r="BW198" s="2290"/>
      <c r="BX198" s="2290"/>
      <c r="BY198" s="2290"/>
      <c r="BZ198" s="2290"/>
      <c r="CA198" s="2290"/>
    </row>
    <row r="199" spans="1:79">
      <c r="A199" s="2290"/>
      <c r="B199" s="2290"/>
      <c r="C199" s="2290"/>
      <c r="D199" s="2290"/>
      <c r="E199" s="2290"/>
      <c r="F199" s="2290"/>
      <c r="G199" s="2290"/>
      <c r="H199" s="2290"/>
      <c r="I199" s="2290"/>
      <c r="J199" s="2290"/>
      <c r="K199" s="2290"/>
      <c r="L199" s="2290"/>
      <c r="M199" s="2290"/>
      <c r="N199" s="2290"/>
      <c r="O199" s="2290"/>
      <c r="P199" s="2290"/>
      <c r="Q199" s="2290"/>
      <c r="R199" s="2290"/>
      <c r="S199" s="2290"/>
      <c r="T199" s="2290"/>
      <c r="U199" s="2290"/>
      <c r="V199" s="2290"/>
      <c r="W199" s="2290"/>
      <c r="X199" s="2290"/>
      <c r="Y199" s="2290"/>
      <c r="Z199" s="2290"/>
      <c r="AA199" s="2290"/>
      <c r="AB199" s="2290"/>
      <c r="AC199" s="2290"/>
      <c r="AD199" s="2290"/>
      <c r="AE199" s="2290"/>
      <c r="AF199" s="2290"/>
      <c r="AG199" s="2290"/>
      <c r="AH199" s="2290"/>
      <c r="AI199" s="2290"/>
      <c r="AJ199" s="2290"/>
      <c r="AK199" s="2290"/>
      <c r="AL199" s="2290"/>
      <c r="AM199" s="2290"/>
      <c r="AN199" s="2290"/>
      <c r="AO199" s="2290"/>
      <c r="AP199" s="2290"/>
      <c r="AQ199" s="2290"/>
      <c r="AR199" s="2290"/>
      <c r="AS199" s="2290"/>
      <c r="AT199" s="2290"/>
      <c r="AU199" s="2290"/>
      <c r="AV199" s="2290"/>
      <c r="AW199" s="2290"/>
      <c r="AX199" s="2290"/>
      <c r="AY199" s="2290"/>
      <c r="AZ199" s="2290"/>
      <c r="BA199" s="2290"/>
      <c r="BB199" s="2290"/>
      <c r="BC199" s="2290"/>
      <c r="BD199" s="2290"/>
      <c r="BE199" s="2290"/>
      <c r="BF199" s="2290"/>
      <c r="BG199" s="2290"/>
      <c r="BH199" s="2290"/>
      <c r="BI199" s="2290"/>
      <c r="BJ199" s="2290"/>
      <c r="BK199" s="2290"/>
      <c r="BL199" s="2290"/>
      <c r="BM199" s="2290"/>
      <c r="BN199" s="2290"/>
      <c r="BO199" s="2290"/>
      <c r="BP199" s="2290"/>
      <c r="BQ199" s="2290"/>
      <c r="BR199" s="2290"/>
      <c r="BS199" s="2290"/>
      <c r="BT199" s="2290"/>
      <c r="BU199" s="2290"/>
      <c r="BV199" s="2290"/>
      <c r="BW199" s="2290"/>
      <c r="BX199" s="2290"/>
      <c r="BY199" s="2290"/>
      <c r="BZ199" s="2290"/>
      <c r="CA199" s="2290"/>
    </row>
    <row r="200" spans="1:79">
      <c r="A200" s="2290"/>
      <c r="B200" s="2290"/>
      <c r="C200" s="2290"/>
      <c r="D200" s="2290"/>
      <c r="E200" s="2290"/>
      <c r="F200" s="2290"/>
      <c r="G200" s="2290"/>
      <c r="H200" s="2290"/>
      <c r="I200" s="2290"/>
      <c r="J200" s="2290"/>
      <c r="K200" s="2290"/>
      <c r="L200" s="2290"/>
      <c r="M200" s="2290"/>
      <c r="N200" s="2290"/>
      <c r="O200" s="2290"/>
      <c r="P200" s="2290"/>
      <c r="Q200" s="2290"/>
      <c r="R200" s="2290"/>
      <c r="S200" s="2290"/>
      <c r="T200" s="2290"/>
      <c r="U200" s="2290"/>
      <c r="V200" s="2290"/>
      <c r="W200" s="2290"/>
      <c r="X200" s="2290"/>
      <c r="Y200" s="2290"/>
      <c r="Z200" s="2290"/>
      <c r="AA200" s="2290"/>
      <c r="AB200" s="2290"/>
      <c r="AC200" s="2290"/>
      <c r="AD200" s="2290"/>
      <c r="AE200" s="2290"/>
      <c r="AF200" s="2290"/>
      <c r="AG200" s="2290"/>
      <c r="AH200" s="2290"/>
      <c r="AI200" s="2290"/>
      <c r="AJ200" s="2290"/>
      <c r="AK200" s="2290"/>
      <c r="AL200" s="2290"/>
      <c r="AM200" s="2290"/>
      <c r="AN200" s="2290"/>
      <c r="AO200" s="2290"/>
      <c r="AP200" s="2290"/>
      <c r="AQ200" s="2290"/>
      <c r="AR200" s="2290"/>
      <c r="AS200" s="2290"/>
      <c r="AT200" s="2290"/>
      <c r="AU200" s="2290"/>
      <c r="AV200" s="2290"/>
      <c r="AW200" s="2290"/>
      <c r="AX200" s="2290"/>
      <c r="AY200" s="2290"/>
      <c r="AZ200" s="2290"/>
      <c r="BA200" s="2290"/>
      <c r="BB200" s="2290"/>
      <c r="BC200" s="2290"/>
      <c r="BD200" s="2290"/>
      <c r="BE200" s="2290"/>
      <c r="BF200" s="2290"/>
      <c r="BG200" s="2290"/>
      <c r="BH200" s="2290"/>
      <c r="BI200" s="2290"/>
      <c r="BJ200" s="2290"/>
      <c r="BK200" s="2290"/>
      <c r="BL200" s="2290"/>
      <c r="BM200" s="2290"/>
      <c r="BN200" s="2290"/>
      <c r="BO200" s="2290"/>
      <c r="BP200" s="2290"/>
      <c r="BQ200" s="2290"/>
      <c r="BR200" s="2290"/>
      <c r="BS200" s="2290"/>
      <c r="BT200" s="2290"/>
      <c r="BU200" s="2290"/>
      <c r="BV200" s="2290"/>
      <c r="BW200" s="2290"/>
      <c r="BX200" s="2290"/>
      <c r="BY200" s="2290"/>
      <c r="BZ200" s="2290"/>
      <c r="CA200" s="2290"/>
    </row>
    <row r="201" spans="1:79">
      <c r="A201" s="2290"/>
      <c r="B201" s="2290"/>
      <c r="C201" s="2290"/>
      <c r="D201" s="2290"/>
      <c r="E201" s="2290"/>
      <c r="F201" s="2290"/>
      <c r="G201" s="2290"/>
      <c r="H201" s="2290"/>
      <c r="I201" s="2290"/>
      <c r="J201" s="2290"/>
      <c r="K201" s="2290"/>
      <c r="L201" s="2290"/>
      <c r="M201" s="2290"/>
      <c r="N201" s="2290"/>
      <c r="O201" s="2290"/>
      <c r="P201" s="2290"/>
      <c r="Q201" s="2290"/>
      <c r="R201" s="2290"/>
      <c r="S201" s="2290"/>
      <c r="T201" s="2290"/>
      <c r="U201" s="2290"/>
      <c r="V201" s="2290"/>
      <c r="W201" s="2290"/>
      <c r="X201" s="2290"/>
      <c r="Y201" s="2290"/>
      <c r="Z201" s="2290"/>
      <c r="AA201" s="2290"/>
      <c r="AB201" s="2290"/>
      <c r="AC201" s="2290"/>
      <c r="AD201" s="2290"/>
      <c r="AE201" s="2290"/>
      <c r="AF201" s="2290"/>
      <c r="AG201" s="2290"/>
      <c r="AH201" s="2290"/>
      <c r="AI201" s="2290"/>
      <c r="AJ201" s="2290"/>
      <c r="AK201" s="2290"/>
      <c r="AL201" s="2290"/>
      <c r="AM201" s="2290"/>
      <c r="AN201" s="2290"/>
      <c r="AO201" s="2290"/>
      <c r="AP201" s="2290"/>
      <c r="AQ201" s="2290"/>
      <c r="AR201" s="2290"/>
      <c r="AS201" s="2290"/>
      <c r="AT201" s="2290"/>
      <c r="AU201" s="2290"/>
      <c r="AV201" s="2290"/>
      <c r="AW201" s="2290"/>
      <c r="AX201" s="2290"/>
      <c r="AY201" s="2290"/>
      <c r="AZ201" s="2290"/>
      <c r="BA201" s="2290"/>
      <c r="BB201" s="2290"/>
      <c r="BC201" s="2290"/>
      <c r="BD201" s="2290"/>
      <c r="BE201" s="2290"/>
      <c r="BF201" s="2290"/>
      <c r="BG201" s="2290"/>
      <c r="BH201" s="2290"/>
      <c r="BI201" s="2290"/>
      <c r="BJ201" s="2290"/>
      <c r="BK201" s="2290"/>
      <c r="BL201" s="2290"/>
      <c r="BM201" s="2290"/>
      <c r="BN201" s="2290"/>
      <c r="BO201" s="2290"/>
      <c r="BP201" s="2290"/>
      <c r="BQ201" s="2290"/>
      <c r="BR201" s="2290"/>
      <c r="BS201" s="2290"/>
      <c r="BT201" s="2290"/>
      <c r="BU201" s="2290"/>
      <c r="BV201" s="2290"/>
      <c r="BW201" s="2290"/>
      <c r="BX201" s="2290"/>
      <c r="BY201" s="2290"/>
      <c r="BZ201" s="2290"/>
      <c r="CA201" s="2290"/>
    </row>
    <row r="202" spans="1:79">
      <c r="A202" s="2290"/>
      <c r="B202" s="2290"/>
      <c r="C202" s="2290"/>
      <c r="D202" s="2290"/>
      <c r="E202" s="2290"/>
      <c r="F202" s="2290"/>
      <c r="G202" s="2290"/>
      <c r="H202" s="2290"/>
      <c r="I202" s="2290"/>
      <c r="J202" s="2290"/>
      <c r="K202" s="2290"/>
      <c r="L202" s="2290"/>
      <c r="M202" s="2290"/>
      <c r="N202" s="2290"/>
      <c r="O202" s="2290"/>
      <c r="P202" s="2290"/>
      <c r="Q202" s="2290"/>
      <c r="R202" s="2290"/>
      <c r="S202" s="2290"/>
      <c r="T202" s="2290"/>
      <c r="U202" s="2290"/>
      <c r="V202" s="2290"/>
      <c r="W202" s="2290"/>
      <c r="X202" s="2290"/>
      <c r="Y202" s="2290"/>
      <c r="Z202" s="2290"/>
      <c r="AA202" s="2290"/>
      <c r="AB202" s="2290"/>
      <c r="AC202" s="2290"/>
      <c r="AD202" s="2290"/>
      <c r="AE202" s="2290"/>
      <c r="AF202" s="2290"/>
      <c r="AG202" s="2290"/>
      <c r="AH202" s="2290"/>
      <c r="AI202" s="2290"/>
      <c r="AJ202" s="2290"/>
      <c r="AK202" s="2290"/>
      <c r="AL202" s="2290"/>
      <c r="AM202" s="2290"/>
      <c r="AN202" s="2290"/>
      <c r="AO202" s="2290"/>
      <c r="AP202" s="2290"/>
      <c r="AQ202" s="2290"/>
      <c r="AR202" s="2290"/>
      <c r="AS202" s="2290"/>
      <c r="AT202" s="2290"/>
      <c r="AU202" s="2290"/>
      <c r="AV202" s="2290"/>
      <c r="AW202" s="2290"/>
      <c r="AX202" s="2290"/>
      <c r="AY202" s="2290"/>
      <c r="AZ202" s="2290"/>
      <c r="BA202" s="2290"/>
      <c r="BB202" s="2290"/>
      <c r="BC202" s="2290"/>
      <c r="BD202" s="2290"/>
      <c r="BE202" s="2290"/>
      <c r="BF202" s="2290"/>
      <c r="BG202" s="2290"/>
      <c r="BH202" s="2290"/>
      <c r="BI202" s="2290"/>
      <c r="BJ202" s="2290"/>
      <c r="BK202" s="2290"/>
      <c r="BL202" s="2290"/>
      <c r="BM202" s="2290"/>
      <c r="BN202" s="2290"/>
      <c r="BO202" s="2290"/>
      <c r="BP202" s="2290"/>
      <c r="BQ202" s="2290"/>
      <c r="BR202" s="2290"/>
      <c r="BS202" s="2290"/>
      <c r="BT202" s="2290"/>
      <c r="BU202" s="2290"/>
      <c r="BV202" s="2290"/>
      <c r="BW202" s="2290"/>
      <c r="BX202" s="2290"/>
      <c r="BY202" s="2290"/>
      <c r="BZ202" s="2290"/>
      <c r="CA202" s="2290"/>
    </row>
    <row r="203" spans="1:79">
      <c r="A203" s="2290"/>
      <c r="B203" s="2290"/>
      <c r="C203" s="2290"/>
      <c r="D203" s="2290"/>
      <c r="E203" s="2290"/>
      <c r="F203" s="2290"/>
      <c r="G203" s="2290"/>
      <c r="H203" s="2290"/>
      <c r="I203" s="2290"/>
      <c r="J203" s="2290"/>
      <c r="K203" s="2290"/>
      <c r="L203" s="2290"/>
      <c r="M203" s="2290"/>
      <c r="N203" s="2290"/>
      <c r="O203" s="2290"/>
      <c r="P203" s="2290"/>
      <c r="Q203" s="2290"/>
      <c r="R203" s="2290"/>
      <c r="S203" s="2290"/>
      <c r="T203" s="2290"/>
      <c r="U203" s="2290"/>
      <c r="V203" s="2290"/>
      <c r="W203" s="2290"/>
      <c r="X203" s="2290"/>
      <c r="Y203" s="2290"/>
      <c r="Z203" s="2290"/>
      <c r="AA203" s="2290"/>
      <c r="AB203" s="2290"/>
      <c r="AC203" s="2290"/>
      <c r="AD203" s="2290"/>
      <c r="AE203" s="2290"/>
      <c r="AF203" s="2290"/>
      <c r="AG203" s="2290"/>
      <c r="AH203" s="2290"/>
      <c r="AI203" s="2290"/>
      <c r="AJ203" s="2290"/>
      <c r="AK203" s="2290"/>
      <c r="AL203" s="2290"/>
      <c r="AM203" s="2290"/>
      <c r="AN203" s="2290"/>
      <c r="AO203" s="2290"/>
      <c r="AP203" s="2290"/>
      <c r="AQ203" s="2290"/>
      <c r="AR203" s="2290"/>
      <c r="AS203" s="2290"/>
      <c r="AT203" s="2290"/>
      <c r="AU203" s="2290"/>
      <c r="AV203" s="2290"/>
      <c r="AW203" s="2290"/>
      <c r="AX203" s="2290"/>
      <c r="AY203" s="2290"/>
      <c r="AZ203" s="2290"/>
      <c r="BA203" s="2290"/>
      <c r="BB203" s="2290"/>
      <c r="BC203" s="2290"/>
      <c r="BD203" s="2290"/>
      <c r="BE203" s="2290"/>
      <c r="BF203" s="2290"/>
      <c r="BG203" s="2290"/>
      <c r="BH203" s="2290"/>
      <c r="BI203" s="2290"/>
      <c r="BJ203" s="2290"/>
      <c r="BK203" s="2290"/>
      <c r="BL203" s="2290"/>
      <c r="BM203" s="2290"/>
      <c r="BN203" s="2290"/>
      <c r="BO203" s="2290"/>
      <c r="BP203" s="2290"/>
      <c r="BQ203" s="2290"/>
      <c r="BR203" s="2290"/>
      <c r="BS203" s="2290"/>
      <c r="BT203" s="2290"/>
      <c r="BU203" s="2290"/>
      <c r="BV203" s="2290"/>
      <c r="BW203" s="2290"/>
      <c r="BX203" s="2290"/>
      <c r="BY203" s="2290"/>
      <c r="BZ203" s="2290"/>
      <c r="CA203" s="2290"/>
    </row>
    <row r="204" spans="1:79">
      <c r="A204" s="2290"/>
      <c r="B204" s="2290"/>
      <c r="C204" s="2290"/>
      <c r="D204" s="2290"/>
      <c r="E204" s="2290"/>
      <c r="F204" s="2290"/>
      <c r="G204" s="2290"/>
      <c r="H204" s="2290"/>
      <c r="I204" s="2290"/>
      <c r="J204" s="2290"/>
      <c r="K204" s="2290"/>
      <c r="L204" s="2290"/>
      <c r="M204" s="2290"/>
      <c r="N204" s="2290"/>
      <c r="O204" s="2290"/>
      <c r="P204" s="2290"/>
      <c r="Q204" s="2290"/>
      <c r="R204" s="2290"/>
      <c r="S204" s="2290"/>
      <c r="T204" s="2290"/>
      <c r="U204" s="2290"/>
      <c r="V204" s="2290"/>
      <c r="W204" s="2290"/>
      <c r="X204" s="2290"/>
      <c r="Y204" s="2290"/>
      <c r="Z204" s="2290"/>
      <c r="AA204" s="2290"/>
      <c r="AB204" s="2290"/>
      <c r="AC204" s="2290"/>
      <c r="AD204" s="2290"/>
      <c r="AE204" s="2290"/>
      <c r="AF204" s="2290"/>
      <c r="AG204" s="2290"/>
      <c r="AH204" s="2290"/>
      <c r="AI204" s="2290"/>
      <c r="AJ204" s="2290"/>
      <c r="AK204" s="2290"/>
      <c r="AL204" s="2290"/>
      <c r="AM204" s="2290"/>
      <c r="AN204" s="2290"/>
      <c r="AO204" s="2290"/>
      <c r="AP204" s="2290"/>
      <c r="AQ204" s="2290"/>
      <c r="AR204" s="2290"/>
      <c r="AS204" s="2290"/>
      <c r="AT204" s="2290"/>
      <c r="AU204" s="2290"/>
      <c r="AV204" s="2290"/>
      <c r="AW204" s="2290"/>
      <c r="AX204" s="2290"/>
      <c r="AY204" s="2290"/>
      <c r="AZ204" s="2290"/>
      <c r="BA204" s="2290"/>
      <c r="BB204" s="2290"/>
      <c r="BC204" s="2290"/>
      <c r="BD204" s="2290"/>
      <c r="BE204" s="2290"/>
      <c r="BF204" s="2290"/>
      <c r="BG204" s="2290"/>
      <c r="BH204" s="2290"/>
      <c r="BI204" s="2290"/>
      <c r="BJ204" s="2290"/>
      <c r="BK204" s="2290"/>
      <c r="BL204" s="2290"/>
      <c r="BM204" s="2290"/>
      <c r="BN204" s="2290"/>
      <c r="BO204" s="2290"/>
      <c r="BP204" s="2290"/>
      <c r="BQ204" s="2290"/>
      <c r="BR204" s="2290"/>
      <c r="BS204" s="2290"/>
      <c r="BT204" s="2290"/>
      <c r="BU204" s="2290"/>
      <c r="BV204" s="2290"/>
      <c r="BW204" s="2290"/>
      <c r="BX204" s="2290"/>
      <c r="BY204" s="2290"/>
      <c r="BZ204" s="2290"/>
      <c r="CA204" s="2290"/>
    </row>
    <row r="205" spans="1:79">
      <c r="A205" s="2290"/>
      <c r="B205" s="2290"/>
      <c r="C205" s="2290"/>
      <c r="D205" s="2290"/>
      <c r="E205" s="2290"/>
      <c r="F205" s="2290"/>
      <c r="G205" s="2290"/>
      <c r="H205" s="2290"/>
      <c r="I205" s="2290"/>
      <c r="J205" s="2290"/>
      <c r="K205" s="2290"/>
      <c r="L205" s="2290"/>
      <c r="M205" s="2290"/>
      <c r="N205" s="2290"/>
      <c r="O205" s="2290"/>
      <c r="P205" s="2290"/>
      <c r="Q205" s="2290"/>
      <c r="R205" s="2290"/>
      <c r="S205" s="2290"/>
      <c r="T205" s="2290"/>
      <c r="U205" s="2290"/>
      <c r="V205" s="2290"/>
      <c r="W205" s="2290"/>
      <c r="X205" s="2290"/>
      <c r="Y205" s="2290"/>
      <c r="Z205" s="2290"/>
      <c r="AA205" s="2290"/>
      <c r="AB205" s="2290"/>
      <c r="AC205" s="2290"/>
      <c r="AD205" s="2290"/>
      <c r="AE205" s="2290"/>
      <c r="AF205" s="2290"/>
      <c r="AG205" s="2290"/>
      <c r="AH205" s="2290"/>
      <c r="AI205" s="2290"/>
      <c r="AJ205" s="2290"/>
      <c r="AK205" s="2290"/>
      <c r="AL205" s="2290"/>
      <c r="AM205" s="2290"/>
      <c r="AN205" s="2290"/>
      <c r="AO205" s="2290"/>
      <c r="AP205" s="2290"/>
      <c r="AQ205" s="2290"/>
      <c r="AR205" s="2290"/>
      <c r="AS205" s="2290"/>
      <c r="AT205" s="2290"/>
      <c r="AU205" s="2290"/>
      <c r="AV205" s="2290"/>
      <c r="AW205" s="2290"/>
      <c r="AX205" s="2290"/>
      <c r="AY205" s="2290"/>
      <c r="AZ205" s="2290"/>
      <c r="BA205" s="2290"/>
      <c r="BB205" s="2290"/>
      <c r="BC205" s="2290"/>
      <c r="BD205" s="2290"/>
      <c r="BE205" s="2290"/>
      <c r="BF205" s="2290"/>
      <c r="BG205" s="2290"/>
      <c r="BH205" s="2290"/>
      <c r="BI205" s="2290"/>
      <c r="BJ205" s="2290"/>
      <c r="BK205" s="2290"/>
      <c r="BL205" s="2290"/>
      <c r="BM205" s="2290"/>
      <c r="BN205" s="2290"/>
      <c r="BO205" s="2290"/>
      <c r="BP205" s="2290"/>
      <c r="BQ205" s="2290"/>
      <c r="BR205" s="2290"/>
      <c r="BS205" s="2290"/>
      <c r="BT205" s="2290"/>
      <c r="BU205" s="2290"/>
      <c r="BV205" s="2290"/>
      <c r="BW205" s="2290"/>
      <c r="BX205" s="2290"/>
      <c r="BY205" s="2290"/>
      <c r="BZ205" s="2290"/>
      <c r="CA205" s="2290"/>
    </row>
    <row r="206" spans="1:79">
      <c r="A206" s="2290"/>
      <c r="B206" s="2290"/>
      <c r="C206" s="2290"/>
      <c r="D206" s="2290"/>
      <c r="E206" s="2290"/>
      <c r="F206" s="2290"/>
      <c r="G206" s="2290"/>
      <c r="H206" s="2290"/>
      <c r="I206" s="2290"/>
      <c r="J206" s="2290"/>
      <c r="K206" s="2290"/>
      <c r="L206" s="2290"/>
      <c r="M206" s="2290"/>
      <c r="N206" s="2290"/>
      <c r="O206" s="2290"/>
      <c r="P206" s="2290"/>
      <c r="Q206" s="2290"/>
      <c r="R206" s="2290"/>
      <c r="S206" s="2290"/>
      <c r="T206" s="2290"/>
      <c r="U206" s="2290"/>
      <c r="V206" s="2290"/>
      <c r="W206" s="2290"/>
      <c r="X206" s="2290"/>
      <c r="Y206" s="2290"/>
      <c r="Z206" s="2290"/>
      <c r="AA206" s="2290"/>
      <c r="AB206" s="2290"/>
      <c r="AC206" s="2290"/>
      <c r="AD206" s="2290"/>
      <c r="AE206" s="2290"/>
      <c r="AF206" s="2290"/>
      <c r="AG206" s="2290"/>
      <c r="AH206" s="2290"/>
      <c r="AI206" s="2290"/>
      <c r="AJ206" s="2290"/>
      <c r="AK206" s="2290"/>
      <c r="AL206" s="2290"/>
      <c r="AM206" s="2290"/>
      <c r="AN206" s="2290"/>
      <c r="AO206" s="2290"/>
      <c r="AP206" s="2290"/>
      <c r="AQ206" s="2290"/>
      <c r="AR206" s="2290"/>
      <c r="AS206" s="2290"/>
      <c r="AT206" s="2290"/>
      <c r="AU206" s="2290"/>
      <c r="AV206" s="2290"/>
      <c r="AW206" s="2290"/>
      <c r="AX206" s="2290"/>
      <c r="AY206" s="2290"/>
      <c r="AZ206" s="2290"/>
      <c r="BA206" s="2290"/>
      <c r="BB206" s="2290"/>
      <c r="BC206" s="2290"/>
      <c r="BD206" s="2290"/>
      <c r="BE206" s="2290"/>
      <c r="BF206" s="2290"/>
      <c r="BG206" s="2290"/>
      <c r="BH206" s="2290"/>
      <c r="BI206" s="2290"/>
      <c r="BJ206" s="2290"/>
      <c r="BK206" s="2290"/>
      <c r="BL206" s="2290"/>
      <c r="BM206" s="2290"/>
      <c r="BN206" s="2290"/>
      <c r="BO206" s="2290"/>
      <c r="BP206" s="2290"/>
      <c r="BQ206" s="2290"/>
      <c r="BR206" s="2290"/>
      <c r="BS206" s="2290"/>
      <c r="BT206" s="2290"/>
      <c r="BU206" s="2290"/>
      <c r="BV206" s="2290"/>
      <c r="BW206" s="2290"/>
      <c r="BX206" s="2290"/>
      <c r="BY206" s="2290"/>
      <c r="BZ206" s="2290"/>
      <c r="CA206" s="2290"/>
    </row>
    <row r="207" spans="1:79">
      <c r="A207" s="2290"/>
      <c r="B207" s="2290"/>
      <c r="C207" s="2290"/>
      <c r="D207" s="2290"/>
      <c r="E207" s="2290"/>
      <c r="F207" s="2290"/>
      <c r="G207" s="2290"/>
      <c r="H207" s="2290"/>
      <c r="I207" s="2290"/>
      <c r="J207" s="2290"/>
      <c r="K207" s="2290"/>
      <c r="L207" s="2290"/>
      <c r="M207" s="2290"/>
      <c r="N207" s="2290"/>
      <c r="O207" s="2290"/>
      <c r="P207" s="2290"/>
      <c r="Q207" s="2290"/>
      <c r="R207" s="2290"/>
      <c r="S207" s="2290"/>
      <c r="T207" s="2290"/>
      <c r="U207" s="2290"/>
      <c r="V207" s="2290"/>
      <c r="W207" s="2290"/>
      <c r="X207" s="2290"/>
      <c r="Y207" s="2290"/>
      <c r="Z207" s="2290"/>
      <c r="AA207" s="2290"/>
      <c r="AB207" s="2290"/>
      <c r="AC207" s="2290"/>
      <c r="AD207" s="2290"/>
      <c r="AE207" s="2290"/>
      <c r="AF207" s="2290"/>
      <c r="AG207" s="2290"/>
      <c r="AH207" s="2290"/>
      <c r="AI207" s="2290"/>
      <c r="AJ207" s="2290"/>
      <c r="AK207" s="2290"/>
      <c r="AL207" s="2290"/>
      <c r="AM207" s="2290"/>
      <c r="AN207" s="2290"/>
      <c r="AO207" s="2290"/>
      <c r="AP207" s="2290"/>
      <c r="AQ207" s="2290"/>
      <c r="AR207" s="2290"/>
      <c r="AS207" s="2290"/>
      <c r="AT207" s="2290"/>
      <c r="AU207" s="2290"/>
      <c r="AV207" s="2290"/>
      <c r="AW207" s="2290"/>
      <c r="AX207" s="2290"/>
      <c r="AY207" s="2290"/>
      <c r="AZ207" s="2290"/>
      <c r="BA207" s="2290"/>
      <c r="BB207" s="2290"/>
      <c r="BC207" s="2290"/>
      <c r="BD207" s="2290"/>
      <c r="BE207" s="2290"/>
      <c r="BF207" s="2290"/>
      <c r="BG207" s="2290"/>
      <c r="BH207" s="2290"/>
      <c r="BI207" s="2290"/>
      <c r="BJ207" s="2290"/>
      <c r="BK207" s="2290"/>
      <c r="BL207" s="2290"/>
      <c r="BM207" s="2290"/>
      <c r="BN207" s="2290"/>
      <c r="BO207" s="2290"/>
      <c r="BP207" s="2290"/>
      <c r="BQ207" s="2290"/>
      <c r="BR207" s="2290"/>
      <c r="BS207" s="2290"/>
      <c r="BT207" s="2290"/>
      <c r="BU207" s="2290"/>
      <c r="BV207" s="2290"/>
      <c r="BW207" s="2290"/>
      <c r="BX207" s="2290"/>
      <c r="BY207" s="2290"/>
      <c r="BZ207" s="2290"/>
      <c r="CA207" s="2290"/>
    </row>
    <row r="208" spans="1:79">
      <c r="A208" s="2290"/>
      <c r="B208" s="2290"/>
      <c r="C208" s="2290"/>
      <c r="D208" s="2290"/>
      <c r="E208" s="2290"/>
      <c r="F208" s="2290"/>
      <c r="G208" s="2290"/>
      <c r="H208" s="2290"/>
      <c r="I208" s="2290"/>
      <c r="J208" s="2290"/>
      <c r="K208" s="2290"/>
      <c r="L208" s="2290"/>
      <c r="M208" s="2290"/>
      <c r="N208" s="2290"/>
      <c r="O208" s="2290"/>
      <c r="P208" s="2290"/>
      <c r="Q208" s="2290"/>
      <c r="R208" s="2290"/>
      <c r="S208" s="2290"/>
      <c r="T208" s="2290"/>
      <c r="U208" s="2290"/>
      <c r="V208" s="2290"/>
      <c r="W208" s="2290"/>
      <c r="X208" s="2290"/>
      <c r="Y208" s="2290"/>
      <c r="Z208" s="2290"/>
      <c r="AA208" s="2290"/>
      <c r="AB208" s="2290"/>
      <c r="AC208" s="2290"/>
      <c r="AD208" s="2290"/>
      <c r="AE208" s="2290"/>
      <c r="AF208" s="2290"/>
      <c r="AG208" s="2290"/>
      <c r="AH208" s="2290"/>
      <c r="AI208" s="2290"/>
      <c r="AJ208" s="2290"/>
      <c r="AK208" s="2290"/>
      <c r="AL208" s="2290"/>
      <c r="AM208" s="2290"/>
      <c r="AN208" s="2290"/>
      <c r="AO208" s="2290"/>
      <c r="AP208" s="2290"/>
      <c r="AQ208" s="2290"/>
      <c r="AR208" s="2290"/>
      <c r="AS208" s="2290"/>
      <c r="AT208" s="2290"/>
      <c r="AU208" s="2290"/>
      <c r="AV208" s="2290"/>
      <c r="AW208" s="2290"/>
      <c r="AX208" s="2290"/>
      <c r="AY208" s="2290"/>
      <c r="AZ208" s="2290"/>
      <c r="BA208" s="2290"/>
      <c r="BB208" s="2290"/>
      <c r="BC208" s="2290"/>
      <c r="BD208" s="2290"/>
      <c r="BE208" s="2290"/>
      <c r="BF208" s="2290"/>
      <c r="BG208" s="2290"/>
      <c r="BH208" s="2290"/>
      <c r="BI208" s="2290"/>
      <c r="BJ208" s="2290"/>
      <c r="BK208" s="2290"/>
      <c r="BL208" s="2290"/>
      <c r="BM208" s="2290"/>
      <c r="BN208" s="2290"/>
      <c r="BO208" s="2290"/>
      <c r="BP208" s="2290"/>
      <c r="BQ208" s="2290"/>
      <c r="BR208" s="2290"/>
      <c r="BS208" s="2290"/>
      <c r="BT208" s="2290"/>
      <c r="BU208" s="2290"/>
      <c r="BV208" s="2290"/>
      <c r="BW208" s="2290"/>
      <c r="BX208" s="2290"/>
      <c r="BY208" s="2290"/>
      <c r="BZ208" s="2290"/>
      <c r="CA208" s="2290"/>
    </row>
    <row r="209" spans="1:79">
      <c r="A209" s="2290"/>
      <c r="B209" s="2290"/>
      <c r="C209" s="2290"/>
      <c r="D209" s="2290"/>
      <c r="E209" s="2290"/>
      <c r="F209" s="2290"/>
      <c r="G209" s="2290"/>
      <c r="H209" s="2290"/>
      <c r="I209" s="2290"/>
      <c r="J209" s="2290"/>
      <c r="K209" s="2290"/>
      <c r="L209" s="2290"/>
      <c r="M209" s="2290"/>
      <c r="N209" s="2290"/>
      <c r="O209" s="2290"/>
      <c r="P209" s="2290"/>
      <c r="Q209" s="2290"/>
      <c r="R209" s="2290"/>
      <c r="S209" s="2290"/>
      <c r="T209" s="2290"/>
      <c r="U209" s="2290"/>
      <c r="V209" s="2290"/>
      <c r="W209" s="2290"/>
      <c r="X209" s="2290"/>
      <c r="Y209" s="2290"/>
      <c r="Z209" s="2290"/>
      <c r="AA209" s="2290"/>
      <c r="AB209" s="2290"/>
      <c r="AC209" s="2290"/>
      <c r="AD209" s="2290"/>
      <c r="AE209" s="2290"/>
      <c r="AF209" s="2290"/>
      <c r="AG209" s="2290"/>
      <c r="AH209" s="2290"/>
      <c r="AI209" s="2290"/>
      <c r="AJ209" s="2290"/>
      <c r="AK209" s="2290"/>
      <c r="AL209" s="2290"/>
      <c r="AM209" s="2290"/>
      <c r="AN209" s="2290"/>
      <c r="AO209" s="2290"/>
      <c r="AP209" s="2290"/>
      <c r="AQ209" s="2290"/>
      <c r="AR209" s="2290"/>
      <c r="AS209" s="2290"/>
      <c r="AT209" s="2290"/>
      <c r="AU209" s="2290"/>
      <c r="AV209" s="2290"/>
      <c r="AW209" s="2290"/>
      <c r="AX209" s="2290"/>
      <c r="AY209" s="2290"/>
      <c r="AZ209" s="2290"/>
      <c r="BA209" s="2290"/>
      <c r="BB209" s="2290"/>
      <c r="BC209" s="2290"/>
      <c r="BD209" s="2290"/>
      <c r="BE209" s="2290"/>
      <c r="BF209" s="2290"/>
      <c r="BG209" s="2290"/>
      <c r="BH209" s="2290"/>
      <c r="BI209" s="2290"/>
      <c r="BJ209" s="2290"/>
      <c r="BK209" s="2290"/>
      <c r="BL209" s="2290"/>
      <c r="BM209" s="2290"/>
      <c r="BN209" s="2290"/>
      <c r="BO209" s="2290"/>
      <c r="BP209" s="2290"/>
      <c r="BQ209" s="2290"/>
      <c r="BR209" s="2290"/>
      <c r="BS209" s="2290"/>
      <c r="BT209" s="2290"/>
      <c r="BU209" s="2290"/>
      <c r="BV209" s="2290"/>
      <c r="BW209" s="2290"/>
      <c r="BX209" s="2290"/>
      <c r="BY209" s="2290"/>
      <c r="BZ209" s="2290"/>
      <c r="CA209" s="2290"/>
    </row>
    <row r="210" spans="1:79">
      <c r="A210" s="2290"/>
      <c r="B210" s="2290"/>
      <c r="C210" s="2290"/>
      <c r="D210" s="2290"/>
      <c r="E210" s="2290"/>
      <c r="F210" s="2290"/>
      <c r="G210" s="2290"/>
      <c r="H210" s="2290"/>
      <c r="I210" s="2290"/>
      <c r="J210" s="2290"/>
      <c r="K210" s="2290"/>
      <c r="L210" s="2290"/>
      <c r="M210" s="2290"/>
      <c r="N210" s="2290"/>
      <c r="O210" s="2290"/>
      <c r="P210" s="2290"/>
      <c r="Q210" s="2290"/>
      <c r="R210" s="2290"/>
      <c r="S210" s="2290"/>
      <c r="T210" s="2290"/>
      <c r="U210" s="2290"/>
      <c r="V210" s="2290"/>
      <c r="W210" s="2290"/>
      <c r="X210" s="2290"/>
      <c r="Y210" s="2290"/>
      <c r="Z210" s="2290"/>
      <c r="AA210" s="2290"/>
      <c r="AB210" s="2290"/>
      <c r="AC210" s="2290"/>
      <c r="AD210" s="2290"/>
      <c r="AE210" s="2290"/>
      <c r="AF210" s="2290"/>
      <c r="AG210" s="2290"/>
      <c r="AH210" s="2290"/>
      <c r="AI210" s="2290"/>
      <c r="AJ210" s="2290"/>
      <c r="AK210" s="2290"/>
      <c r="AL210" s="2290"/>
      <c r="AM210" s="2290"/>
      <c r="AN210" s="2290"/>
      <c r="AO210" s="2290"/>
      <c r="AP210" s="2290"/>
      <c r="AQ210" s="2290"/>
      <c r="AR210" s="2290"/>
      <c r="AS210" s="2290"/>
      <c r="AT210" s="2290"/>
      <c r="AU210" s="2290"/>
      <c r="AV210" s="2290"/>
      <c r="AW210" s="2290"/>
      <c r="AX210" s="2290"/>
      <c r="AY210" s="2290"/>
      <c r="AZ210" s="2290"/>
      <c r="BA210" s="2290"/>
      <c r="BB210" s="2290"/>
      <c r="BC210" s="2290"/>
      <c r="BD210" s="2290"/>
      <c r="BE210" s="2290"/>
      <c r="BF210" s="2290"/>
      <c r="BG210" s="2290"/>
      <c r="BH210" s="2290"/>
      <c r="BI210" s="2290"/>
      <c r="BJ210" s="2290"/>
      <c r="BK210" s="2290"/>
      <c r="BL210" s="2290"/>
      <c r="BM210" s="2290"/>
      <c r="BN210" s="2290"/>
      <c r="BO210" s="2290"/>
      <c r="BP210" s="2290"/>
      <c r="BQ210" s="2290"/>
      <c r="BR210" s="2290"/>
      <c r="BS210" s="2290"/>
      <c r="BT210" s="2290"/>
      <c r="BU210" s="2290"/>
      <c r="BV210" s="2290"/>
      <c r="BW210" s="2290"/>
      <c r="BX210" s="2290"/>
      <c r="BY210" s="2290"/>
      <c r="BZ210" s="2290"/>
      <c r="CA210" s="2290"/>
    </row>
    <row r="211" spans="1:79">
      <c r="A211" s="2290"/>
      <c r="B211" s="2290"/>
      <c r="C211" s="2290"/>
      <c r="D211" s="2290"/>
      <c r="E211" s="2290"/>
      <c r="F211" s="2290"/>
      <c r="G211" s="2290"/>
      <c r="H211" s="2290"/>
      <c r="I211" s="2290"/>
      <c r="J211" s="2290"/>
      <c r="K211" s="2290"/>
      <c r="L211" s="2290"/>
      <c r="M211" s="2290"/>
      <c r="N211" s="2290"/>
      <c r="O211" s="2290"/>
      <c r="P211" s="2290"/>
      <c r="Q211" s="2290"/>
      <c r="R211" s="2290"/>
      <c r="S211" s="2290"/>
      <c r="T211" s="2290"/>
      <c r="U211" s="2290"/>
      <c r="V211" s="2290"/>
      <c r="W211" s="2290"/>
      <c r="X211" s="2290"/>
      <c r="Y211" s="2290"/>
      <c r="Z211" s="2290"/>
      <c r="AA211" s="2290"/>
      <c r="AB211" s="2290"/>
      <c r="AC211" s="2290"/>
      <c r="AD211" s="2290"/>
      <c r="AE211" s="2290"/>
      <c r="AF211" s="2290"/>
      <c r="AG211" s="2290"/>
      <c r="AH211" s="2290"/>
      <c r="AI211" s="2290"/>
      <c r="AJ211" s="2290"/>
      <c r="AK211" s="2290"/>
      <c r="AL211" s="2290"/>
      <c r="AM211" s="2290"/>
      <c r="AN211" s="2290"/>
      <c r="AO211" s="2290"/>
      <c r="AP211" s="2290"/>
      <c r="AQ211" s="2290"/>
      <c r="AR211" s="2290"/>
      <c r="AS211" s="2290"/>
      <c r="AT211" s="2290"/>
      <c r="AU211" s="2290"/>
      <c r="AV211" s="2290"/>
      <c r="AW211" s="2290"/>
      <c r="AX211" s="2290"/>
      <c r="AY211" s="2290"/>
      <c r="AZ211" s="2290"/>
      <c r="BA211" s="2290"/>
      <c r="BB211" s="2290"/>
      <c r="BC211" s="2290"/>
      <c r="BD211" s="2290"/>
      <c r="BE211" s="2290"/>
      <c r="BF211" s="2290"/>
      <c r="BG211" s="2290"/>
      <c r="BH211" s="2290"/>
      <c r="BI211" s="2290"/>
      <c r="BJ211" s="2290"/>
      <c r="BK211" s="2290"/>
      <c r="BL211" s="2290"/>
      <c r="BM211" s="2290"/>
      <c r="BN211" s="2290"/>
      <c r="BO211" s="2290"/>
      <c r="BP211" s="2290"/>
      <c r="BQ211" s="2290"/>
      <c r="BR211" s="2290"/>
      <c r="BS211" s="2290"/>
      <c r="BT211" s="2290"/>
      <c r="BU211" s="2290"/>
      <c r="BV211" s="2290"/>
      <c r="BW211" s="2290"/>
      <c r="BX211" s="2290"/>
      <c r="BY211" s="2290"/>
      <c r="BZ211" s="2290"/>
      <c r="CA211" s="2290"/>
    </row>
    <row r="212" spans="1:79">
      <c r="A212" s="2290"/>
      <c r="B212" s="2290"/>
      <c r="C212" s="2290"/>
      <c r="D212" s="2290"/>
      <c r="E212" s="2290"/>
      <c r="F212" s="2290"/>
      <c r="G212" s="2290"/>
      <c r="H212" s="2290"/>
      <c r="I212" s="2290"/>
      <c r="J212" s="2290"/>
      <c r="K212" s="2290"/>
      <c r="L212" s="2290"/>
      <c r="M212" s="2290"/>
      <c r="N212" s="2290"/>
      <c r="O212" s="2290"/>
      <c r="P212" s="2290"/>
      <c r="Q212" s="2290"/>
      <c r="R212" s="2290"/>
      <c r="S212" s="2290"/>
      <c r="T212" s="2290"/>
      <c r="U212" s="2290"/>
      <c r="V212" s="2290"/>
      <c r="W212" s="2290"/>
      <c r="X212" s="2290"/>
      <c r="Y212" s="2290"/>
      <c r="Z212" s="2290"/>
      <c r="AA212" s="2290"/>
      <c r="AB212" s="2290"/>
      <c r="AC212" s="2290"/>
      <c r="AD212" s="2290"/>
      <c r="AE212" s="2290"/>
      <c r="AF212" s="2290"/>
      <c r="AG212" s="2290"/>
      <c r="AH212" s="2290"/>
      <c r="AI212" s="2290"/>
      <c r="AJ212" s="2290"/>
      <c r="AK212" s="2290"/>
      <c r="AL212" s="2290"/>
      <c r="AM212" s="2290"/>
      <c r="AN212" s="2290"/>
      <c r="AO212" s="2290"/>
      <c r="AP212" s="2290"/>
      <c r="AQ212" s="2290"/>
      <c r="AR212" s="2290"/>
      <c r="AS212" s="2290"/>
      <c r="AT212" s="2290"/>
      <c r="AU212" s="2290"/>
      <c r="AV212" s="2290"/>
      <c r="AW212" s="2290"/>
      <c r="AX212" s="2290"/>
      <c r="AY212" s="2290"/>
      <c r="AZ212" s="2290"/>
      <c r="BA212" s="2290"/>
      <c r="BB212" s="2290"/>
      <c r="BC212" s="2290"/>
      <c r="BD212" s="2290"/>
      <c r="BE212" s="2290"/>
      <c r="BF212" s="2290"/>
      <c r="BG212" s="2290"/>
      <c r="BH212" s="2290"/>
      <c r="BI212" s="2290"/>
      <c r="BJ212" s="2290"/>
      <c r="BK212" s="2290"/>
      <c r="BL212" s="2290"/>
      <c r="BM212" s="2290"/>
      <c r="BN212" s="2290"/>
      <c r="BO212" s="2290"/>
      <c r="BP212" s="2290"/>
      <c r="BQ212" s="2290"/>
      <c r="BR212" s="2290"/>
      <c r="BS212" s="2290"/>
      <c r="BT212" s="2290"/>
      <c r="BU212" s="2290"/>
      <c r="BV212" s="2290"/>
      <c r="BW212" s="2290"/>
      <c r="BX212" s="2290"/>
      <c r="BY212" s="2290"/>
      <c r="BZ212" s="2290"/>
      <c r="CA212" s="2290"/>
    </row>
    <row r="213" spans="1:79">
      <c r="A213" s="2290"/>
      <c r="B213" s="2290"/>
      <c r="C213" s="2290"/>
      <c r="D213" s="2290"/>
      <c r="E213" s="2290"/>
      <c r="F213" s="2290"/>
      <c r="G213" s="2290"/>
      <c r="H213" s="2290"/>
      <c r="I213" s="2290"/>
      <c r="J213" s="2290"/>
      <c r="K213" s="2290"/>
      <c r="L213" s="2290"/>
      <c r="M213" s="2290"/>
      <c r="N213" s="2290"/>
      <c r="O213" s="2290"/>
      <c r="P213" s="2290"/>
      <c r="Q213" s="2290"/>
      <c r="R213" s="2290"/>
      <c r="S213" s="2290"/>
      <c r="T213" s="2290"/>
      <c r="U213" s="2290"/>
      <c r="V213" s="2290"/>
      <c r="W213" s="2290"/>
      <c r="X213" s="2290"/>
      <c r="Y213" s="2290"/>
      <c r="Z213" s="2290"/>
      <c r="AA213" s="2290"/>
      <c r="AB213" s="2290"/>
      <c r="AC213" s="2290"/>
      <c r="AD213" s="2290"/>
      <c r="AE213" s="2290"/>
      <c r="AF213" s="2290"/>
      <c r="AG213" s="2290"/>
      <c r="AH213" s="2290"/>
      <c r="AI213" s="2290"/>
      <c r="AJ213" s="2290"/>
      <c r="AK213" s="2290"/>
      <c r="AL213" s="2290"/>
      <c r="AM213" s="2290"/>
      <c r="AN213" s="2290"/>
      <c r="AO213" s="2290"/>
      <c r="AP213" s="2290"/>
      <c r="AQ213" s="2290"/>
      <c r="AR213" s="2290"/>
      <c r="AS213" s="2290"/>
      <c r="AT213" s="2290"/>
      <c r="AU213" s="2290"/>
      <c r="AV213" s="2290"/>
      <c r="AW213" s="2290"/>
      <c r="AX213" s="2290"/>
      <c r="AY213" s="2290"/>
      <c r="AZ213" s="2290"/>
      <c r="BA213" s="2290"/>
      <c r="BB213" s="2290"/>
      <c r="BC213" s="2290"/>
      <c r="BD213" s="2290"/>
      <c r="BE213" s="2290"/>
      <c r="BF213" s="2290"/>
      <c r="BG213" s="2290"/>
      <c r="BH213" s="2290"/>
      <c r="BI213" s="2290"/>
      <c r="BJ213" s="2290"/>
      <c r="BK213" s="2290"/>
      <c r="BL213" s="2290"/>
      <c r="BM213" s="2290"/>
      <c r="BN213" s="2290"/>
      <c r="BO213" s="2290"/>
      <c r="BP213" s="2290"/>
      <c r="BQ213" s="2290"/>
      <c r="BR213" s="2290"/>
      <c r="BS213" s="2290"/>
      <c r="BT213" s="2290"/>
      <c r="BU213" s="2290"/>
      <c r="BV213" s="2290"/>
      <c r="BW213" s="2290"/>
      <c r="BX213" s="2290"/>
      <c r="BY213" s="2290"/>
      <c r="BZ213" s="2290"/>
      <c r="CA213" s="2290"/>
    </row>
    <row r="214" spans="1:79">
      <c r="A214" s="2290"/>
      <c r="B214" s="2290"/>
      <c r="C214" s="2290"/>
      <c r="D214" s="2290"/>
      <c r="E214" s="2290"/>
      <c r="F214" s="2290"/>
      <c r="G214" s="2290"/>
      <c r="H214" s="2290"/>
      <c r="I214" s="2290"/>
      <c r="J214" s="2290"/>
      <c r="K214" s="2290"/>
      <c r="L214" s="2290"/>
      <c r="M214" s="2290"/>
      <c r="N214" s="2290"/>
      <c r="O214" s="2290"/>
      <c r="P214" s="2290"/>
      <c r="Q214" s="2290"/>
      <c r="R214" s="2290"/>
      <c r="S214" s="2290"/>
      <c r="T214" s="2290"/>
      <c r="U214" s="2290"/>
      <c r="V214" s="2290"/>
      <c r="W214" s="2290"/>
      <c r="X214" s="2290"/>
      <c r="Y214" s="2290"/>
      <c r="Z214" s="2290"/>
      <c r="AA214" s="2290"/>
      <c r="AB214" s="2290"/>
      <c r="AC214" s="2290"/>
      <c r="AD214" s="2290"/>
      <c r="AE214" s="2290"/>
      <c r="AF214" s="2290"/>
      <c r="AG214" s="2290"/>
      <c r="AH214" s="2290"/>
      <c r="AI214" s="2290"/>
      <c r="AJ214" s="2290"/>
      <c r="AK214" s="2290"/>
      <c r="AL214" s="2290"/>
      <c r="AM214" s="2290"/>
      <c r="AN214" s="2290"/>
      <c r="AO214" s="2290"/>
      <c r="AP214" s="2290"/>
      <c r="AQ214" s="2290"/>
      <c r="AR214" s="2290"/>
      <c r="AS214" s="2290"/>
      <c r="AT214" s="2290"/>
      <c r="AU214" s="2290"/>
      <c r="AV214" s="2290"/>
      <c r="AW214" s="2290"/>
      <c r="AX214" s="2290"/>
      <c r="AY214" s="2290"/>
      <c r="AZ214" s="2290"/>
      <c r="BA214" s="2290"/>
      <c r="BB214" s="2290"/>
      <c r="BC214" s="2290"/>
      <c r="BD214" s="2290"/>
      <c r="BE214" s="2290"/>
      <c r="BF214" s="2290"/>
      <c r="BG214" s="2290"/>
      <c r="BH214" s="2290"/>
      <c r="BI214" s="2290"/>
      <c r="BJ214" s="2290"/>
      <c r="BK214" s="2290"/>
      <c r="BL214" s="2290"/>
      <c r="BM214" s="2290"/>
      <c r="BN214" s="2290"/>
      <c r="BO214" s="2290"/>
      <c r="BP214" s="2290"/>
      <c r="BQ214" s="2290"/>
      <c r="BR214" s="2290"/>
      <c r="BS214" s="2290"/>
      <c r="BT214" s="2290"/>
      <c r="BU214" s="2290"/>
      <c r="BV214" s="2290"/>
      <c r="BW214" s="2290"/>
      <c r="BX214" s="2290"/>
      <c r="BY214" s="2290"/>
      <c r="BZ214" s="2290"/>
      <c r="CA214" s="2290"/>
    </row>
    <row r="215" spans="1:79">
      <c r="A215" s="2290"/>
      <c r="B215" s="2290"/>
      <c r="C215" s="2290"/>
      <c r="D215" s="2290"/>
      <c r="E215" s="2290"/>
      <c r="F215" s="2290"/>
      <c r="G215" s="2290"/>
      <c r="H215" s="2290"/>
      <c r="I215" s="2290"/>
      <c r="J215" s="2290"/>
      <c r="K215" s="2290"/>
      <c r="L215" s="2290"/>
      <c r="M215" s="2290"/>
      <c r="N215" s="2290"/>
      <c r="O215" s="2290"/>
      <c r="P215" s="2290"/>
      <c r="Q215" s="2290"/>
      <c r="R215" s="2290"/>
      <c r="S215" s="2290"/>
      <c r="T215" s="2290"/>
      <c r="U215" s="2290"/>
      <c r="V215" s="2290"/>
      <c r="W215" s="2290"/>
      <c r="X215" s="2290"/>
      <c r="Y215" s="2290"/>
      <c r="Z215" s="2290"/>
      <c r="AA215" s="2290"/>
      <c r="AB215" s="2290"/>
      <c r="AC215" s="2290"/>
      <c r="AD215" s="2290"/>
      <c r="AE215" s="2290"/>
      <c r="AF215" s="2290"/>
      <c r="AG215" s="2290"/>
      <c r="AH215" s="2290"/>
      <c r="AI215" s="2290"/>
      <c r="AJ215" s="2290"/>
      <c r="AK215" s="2290"/>
      <c r="AL215" s="2290"/>
      <c r="AM215" s="2290"/>
      <c r="AN215" s="2290"/>
      <c r="AO215" s="2290"/>
      <c r="AP215" s="2290"/>
      <c r="AQ215" s="2290"/>
      <c r="AR215" s="2290"/>
      <c r="AS215" s="2290"/>
      <c r="AT215" s="2290"/>
      <c r="AU215" s="2290"/>
      <c r="AV215" s="2290"/>
      <c r="AW215" s="2290"/>
      <c r="AX215" s="2290"/>
      <c r="AY215" s="2290"/>
      <c r="AZ215" s="2290"/>
      <c r="BA215" s="2290"/>
      <c r="BB215" s="2290"/>
      <c r="BC215" s="2290"/>
      <c r="BD215" s="2290"/>
      <c r="BE215" s="2290"/>
      <c r="BF215" s="2290"/>
      <c r="BG215" s="2290"/>
      <c r="BH215" s="2290"/>
      <c r="BI215" s="2290"/>
      <c r="BJ215" s="2290"/>
      <c r="BK215" s="2290"/>
      <c r="BL215" s="2290"/>
      <c r="BM215" s="2290"/>
      <c r="BN215" s="2290"/>
      <c r="BO215" s="2290"/>
      <c r="BP215" s="2290"/>
      <c r="BQ215" s="2290"/>
      <c r="BR215" s="2290"/>
      <c r="BS215" s="2290"/>
      <c r="BT215" s="2290"/>
      <c r="BU215" s="2290"/>
      <c r="BV215" s="2290"/>
      <c r="BW215" s="2290"/>
      <c r="BX215" s="2290"/>
      <c r="BY215" s="2290"/>
      <c r="BZ215" s="2290"/>
      <c r="CA215" s="2290"/>
    </row>
    <row r="216" spans="1:79">
      <c r="A216" s="2290"/>
      <c r="B216" s="2290"/>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0"/>
      <c r="BE216" s="2290"/>
      <c r="BF216" s="2290"/>
      <c r="BG216" s="2290"/>
      <c r="BH216" s="2290"/>
      <c r="BI216" s="2290"/>
      <c r="BJ216" s="2290"/>
      <c r="BK216" s="2290"/>
      <c r="BL216" s="2290"/>
      <c r="BM216" s="2290"/>
      <c r="BN216" s="2290"/>
      <c r="BO216" s="2290"/>
      <c r="BP216" s="2290"/>
      <c r="BQ216" s="2290"/>
      <c r="BR216" s="2290"/>
      <c r="BS216" s="2290"/>
      <c r="BT216" s="2290"/>
      <c r="BU216" s="2290"/>
      <c r="BV216" s="2290"/>
      <c r="BW216" s="2290"/>
      <c r="BX216" s="2290"/>
      <c r="BY216" s="2290"/>
      <c r="BZ216" s="2290"/>
      <c r="CA216" s="2290"/>
    </row>
    <row r="217" spans="1:79">
      <c r="A217" s="2290"/>
      <c r="B217" s="2290"/>
      <c r="C217" s="2290"/>
      <c r="D217" s="2290"/>
      <c r="E217" s="2290"/>
      <c r="F217" s="2290"/>
      <c r="G217" s="2290"/>
      <c r="H217" s="2290"/>
      <c r="I217" s="2290"/>
      <c r="J217" s="2290"/>
      <c r="K217" s="2290"/>
      <c r="L217" s="2290"/>
      <c r="M217" s="2290"/>
      <c r="N217" s="2290"/>
      <c r="O217" s="2290"/>
      <c r="P217" s="2290"/>
      <c r="Q217" s="2290"/>
      <c r="R217" s="2290"/>
      <c r="S217" s="2290"/>
      <c r="T217" s="2290"/>
      <c r="U217" s="2290"/>
      <c r="V217" s="2290"/>
      <c r="W217" s="2290"/>
      <c r="X217" s="2290"/>
      <c r="Y217" s="2290"/>
      <c r="Z217" s="2290"/>
      <c r="AA217" s="2290"/>
      <c r="AB217" s="2290"/>
      <c r="AC217" s="2290"/>
      <c r="AD217" s="2290"/>
      <c r="AE217" s="2290"/>
      <c r="AF217" s="2290"/>
      <c r="AG217" s="2290"/>
      <c r="AH217" s="2290"/>
      <c r="AI217" s="2290"/>
      <c r="AJ217" s="2290"/>
      <c r="AK217" s="2290"/>
      <c r="AL217" s="2290"/>
      <c r="AM217" s="2290"/>
      <c r="AN217" s="2290"/>
      <c r="AO217" s="2290"/>
      <c r="AP217" s="2290"/>
      <c r="AQ217" s="2290"/>
      <c r="AR217" s="2290"/>
      <c r="AS217" s="2290"/>
      <c r="AT217" s="2290"/>
      <c r="AU217" s="2290"/>
      <c r="AV217" s="2290"/>
      <c r="AW217" s="2290"/>
      <c r="AX217" s="2290"/>
      <c r="AY217" s="2290"/>
      <c r="AZ217" s="2290"/>
      <c r="BA217" s="2290"/>
      <c r="BB217" s="2290"/>
      <c r="BC217" s="2290"/>
      <c r="BD217" s="2290"/>
      <c r="BE217" s="2290"/>
      <c r="BF217" s="2290"/>
      <c r="BG217" s="2290"/>
      <c r="BH217" s="2290"/>
      <c r="BI217" s="2290"/>
      <c r="BJ217" s="2290"/>
      <c r="BK217" s="2290"/>
      <c r="BL217" s="2290"/>
      <c r="BM217" s="2290"/>
      <c r="BN217" s="2290"/>
      <c r="BO217" s="2290"/>
      <c r="BP217" s="2290"/>
      <c r="BQ217" s="2290"/>
      <c r="BR217" s="2290"/>
      <c r="BS217" s="2290"/>
      <c r="BT217" s="2290"/>
      <c r="BU217" s="2290"/>
      <c r="BV217" s="2290"/>
      <c r="BW217" s="2290"/>
      <c r="BX217" s="2290"/>
      <c r="BY217" s="2290"/>
      <c r="BZ217" s="2290"/>
      <c r="CA217" s="2290"/>
    </row>
    <row r="218" spans="1:79">
      <c r="A218" s="2290"/>
      <c r="B218" s="2290"/>
      <c r="C218" s="2290"/>
      <c r="D218" s="2290"/>
      <c r="E218" s="2290"/>
      <c r="F218" s="2290"/>
      <c r="G218" s="2290"/>
      <c r="H218" s="2290"/>
      <c r="I218" s="2290"/>
      <c r="J218" s="2290"/>
      <c r="K218" s="2290"/>
      <c r="L218" s="2290"/>
      <c r="M218" s="2290"/>
      <c r="N218" s="2290"/>
      <c r="O218" s="2290"/>
      <c r="P218" s="2290"/>
      <c r="Q218" s="2290"/>
      <c r="R218" s="2290"/>
      <c r="S218" s="2290"/>
      <c r="T218" s="2290"/>
      <c r="U218" s="2290"/>
      <c r="V218" s="2290"/>
      <c r="W218" s="2290"/>
      <c r="X218" s="2290"/>
      <c r="Y218" s="2290"/>
      <c r="Z218" s="2290"/>
      <c r="AA218" s="2290"/>
      <c r="AB218" s="2290"/>
      <c r="AC218" s="2290"/>
      <c r="AD218" s="2290"/>
      <c r="AE218" s="2290"/>
      <c r="AF218" s="2290"/>
      <c r="AG218" s="2290"/>
      <c r="AH218" s="2290"/>
      <c r="AI218" s="2290"/>
      <c r="AJ218" s="2290"/>
      <c r="AK218" s="2290"/>
      <c r="AL218" s="2290"/>
      <c r="AM218" s="2290"/>
      <c r="AN218" s="2290"/>
      <c r="AO218" s="2290"/>
      <c r="AP218" s="2290"/>
      <c r="AQ218" s="2290"/>
      <c r="AR218" s="2290"/>
      <c r="AS218" s="2290"/>
      <c r="AT218" s="2290"/>
      <c r="AU218" s="2290"/>
      <c r="AV218" s="2290"/>
      <c r="AW218" s="2290"/>
      <c r="AX218" s="2290"/>
      <c r="AY218" s="2290"/>
      <c r="AZ218" s="2290"/>
      <c r="BA218" s="2290"/>
      <c r="BB218" s="2290"/>
      <c r="BC218" s="2290"/>
      <c r="BD218" s="2290"/>
      <c r="BE218" s="2290"/>
      <c r="BF218" s="2290"/>
      <c r="BG218" s="2290"/>
      <c r="BH218" s="2290"/>
      <c r="BI218" s="2290"/>
      <c r="BJ218" s="2290"/>
      <c r="BK218" s="2290"/>
      <c r="BL218" s="2290"/>
      <c r="BM218" s="2290"/>
      <c r="BN218" s="2290"/>
      <c r="BO218" s="2290"/>
      <c r="BP218" s="2290"/>
      <c r="BQ218" s="2290"/>
      <c r="BR218" s="2290"/>
      <c r="BS218" s="2290"/>
      <c r="BT218" s="2290"/>
      <c r="BU218" s="2290"/>
      <c r="BV218" s="2290"/>
      <c r="BW218" s="2290"/>
      <c r="BX218" s="2290"/>
      <c r="BY218" s="2290"/>
      <c r="BZ218" s="2290"/>
      <c r="CA218" s="2290"/>
    </row>
    <row r="219" spans="1:79">
      <c r="A219" s="2290"/>
      <c r="B219" s="2290"/>
      <c r="C219" s="2290"/>
      <c r="D219" s="2290"/>
      <c r="E219" s="2290"/>
      <c r="F219" s="2290"/>
      <c r="G219" s="2290"/>
      <c r="H219" s="2290"/>
      <c r="I219" s="2290"/>
      <c r="J219" s="2290"/>
      <c r="K219" s="2290"/>
      <c r="L219" s="2290"/>
      <c r="M219" s="2290"/>
      <c r="N219" s="2290"/>
      <c r="O219" s="2290"/>
      <c r="P219" s="2290"/>
      <c r="Q219" s="2290"/>
      <c r="R219" s="2290"/>
      <c r="S219" s="2290"/>
      <c r="T219" s="2290"/>
      <c r="U219" s="2290"/>
      <c r="V219" s="2290"/>
      <c r="W219" s="2290"/>
      <c r="X219" s="2290"/>
      <c r="Y219" s="2290"/>
      <c r="Z219" s="2290"/>
      <c r="AA219" s="2290"/>
      <c r="AB219" s="2290"/>
      <c r="AC219" s="2290"/>
      <c r="AD219" s="2290"/>
      <c r="AE219" s="2290"/>
      <c r="AF219" s="2290"/>
      <c r="AG219" s="2290"/>
      <c r="AH219" s="2290"/>
      <c r="AI219" s="2290"/>
      <c r="AJ219" s="2290"/>
      <c r="AK219" s="2290"/>
      <c r="AL219" s="2290"/>
      <c r="AM219" s="2290"/>
      <c r="AN219" s="2290"/>
      <c r="AO219" s="2290"/>
      <c r="AP219" s="2290"/>
      <c r="AQ219" s="2290"/>
      <c r="AR219" s="2290"/>
      <c r="AS219" s="2290"/>
      <c r="AT219" s="2290"/>
      <c r="AU219" s="2290"/>
      <c r="AV219" s="2290"/>
      <c r="AW219" s="2290"/>
      <c r="AX219" s="2290"/>
      <c r="AY219" s="2290"/>
      <c r="AZ219" s="2290"/>
      <c r="BA219" s="2290"/>
      <c r="BB219" s="2290"/>
      <c r="BC219" s="2290"/>
      <c r="BD219" s="2290"/>
      <c r="BE219" s="2290"/>
      <c r="BF219" s="2290"/>
      <c r="BG219" s="2290"/>
      <c r="BH219" s="2290"/>
      <c r="BI219" s="2290"/>
      <c r="BJ219" s="2290"/>
      <c r="BK219" s="2290"/>
      <c r="BL219" s="2290"/>
      <c r="BM219" s="2290"/>
      <c r="BN219" s="2290"/>
      <c r="BO219" s="2290"/>
      <c r="BP219" s="2290"/>
      <c r="BQ219" s="2290"/>
      <c r="BR219" s="2290"/>
      <c r="BS219" s="2290"/>
      <c r="BT219" s="2290"/>
      <c r="BU219" s="2290"/>
      <c r="BV219" s="2290"/>
      <c r="BW219" s="2290"/>
      <c r="BX219" s="2290"/>
      <c r="BY219" s="2290"/>
      <c r="BZ219" s="2290"/>
      <c r="CA219" s="2290"/>
    </row>
    <row r="220" spans="1:79">
      <c r="A220" s="2290"/>
      <c r="B220" s="2290"/>
      <c r="C220" s="2290"/>
      <c r="D220" s="2290"/>
      <c r="E220" s="2290"/>
      <c r="F220" s="2290"/>
      <c r="G220" s="2290"/>
      <c r="H220" s="2290"/>
      <c r="I220" s="2290"/>
      <c r="J220" s="2290"/>
      <c r="K220" s="2290"/>
      <c r="L220" s="2290"/>
      <c r="M220" s="2290"/>
      <c r="N220" s="2290"/>
      <c r="O220" s="2290"/>
      <c r="P220" s="2290"/>
      <c r="Q220" s="2290"/>
      <c r="R220" s="2290"/>
      <c r="S220" s="2290"/>
      <c r="T220" s="2290"/>
      <c r="U220" s="2290"/>
      <c r="V220" s="2290"/>
      <c r="W220" s="2290"/>
      <c r="X220" s="2290"/>
      <c r="Y220" s="2290"/>
      <c r="Z220" s="2290"/>
      <c r="AA220" s="2290"/>
      <c r="AB220" s="2290"/>
      <c r="AC220" s="2290"/>
      <c r="AD220" s="2290"/>
      <c r="AE220" s="2290"/>
      <c r="AF220" s="2290"/>
      <c r="AG220" s="2290"/>
      <c r="AH220" s="2290"/>
      <c r="AI220" s="2290"/>
      <c r="AJ220" s="2290"/>
      <c r="AK220" s="2290"/>
      <c r="AL220" s="2290"/>
      <c r="AM220" s="2290"/>
      <c r="AN220" s="2290"/>
      <c r="AO220" s="2290"/>
      <c r="AP220" s="2290"/>
      <c r="AQ220" s="2290"/>
      <c r="AR220" s="2290"/>
      <c r="AS220" s="2290"/>
      <c r="AT220" s="2290"/>
      <c r="AU220" s="2290"/>
      <c r="AV220" s="2290"/>
      <c r="AW220" s="2290"/>
      <c r="AX220" s="2290"/>
      <c r="AY220" s="2290"/>
      <c r="AZ220" s="2290"/>
      <c r="BA220" s="2290"/>
      <c r="BB220" s="2290"/>
      <c r="BC220" s="2290"/>
      <c r="BD220" s="2290"/>
      <c r="BE220" s="2290"/>
      <c r="BF220" s="2290"/>
      <c r="BG220" s="2290"/>
      <c r="BH220" s="2290"/>
      <c r="BI220" s="2290"/>
      <c r="BJ220" s="2290"/>
      <c r="BK220" s="2290"/>
      <c r="BL220" s="2290"/>
      <c r="BM220" s="2290"/>
      <c r="BN220" s="2290"/>
      <c r="BO220" s="2290"/>
      <c r="BP220" s="2290"/>
      <c r="BQ220" s="2290"/>
      <c r="BR220" s="2290"/>
      <c r="BS220" s="2290"/>
      <c r="BT220" s="2290"/>
      <c r="BU220" s="2290"/>
      <c r="BV220" s="2290"/>
      <c r="BW220" s="2290"/>
      <c r="BX220" s="2290"/>
      <c r="BY220" s="2290"/>
      <c r="BZ220" s="2290"/>
      <c r="CA220" s="2290"/>
    </row>
    <row r="221" spans="1:79">
      <c r="A221" s="2290"/>
      <c r="B221" s="2290"/>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0"/>
      <c r="BE221" s="2290"/>
      <c r="BF221" s="2290"/>
      <c r="BG221" s="2290"/>
      <c r="BH221" s="2290"/>
      <c r="BI221" s="2290"/>
      <c r="BJ221" s="2290"/>
      <c r="BK221" s="2290"/>
      <c r="BL221" s="2290"/>
      <c r="BM221" s="2290"/>
      <c r="BN221" s="2290"/>
      <c r="BO221" s="2290"/>
      <c r="BP221" s="2290"/>
      <c r="BQ221" s="2290"/>
      <c r="BR221" s="2290"/>
      <c r="BS221" s="2290"/>
      <c r="BT221" s="2290"/>
      <c r="BU221" s="2290"/>
      <c r="BV221" s="2290"/>
      <c r="BW221" s="2290"/>
      <c r="BX221" s="2290"/>
      <c r="BY221" s="2290"/>
      <c r="BZ221" s="2290"/>
      <c r="CA221" s="2290"/>
    </row>
    <row r="222" spans="1:79">
      <c r="A222" s="2290"/>
      <c r="B222" s="2290"/>
      <c r="C222" s="2290"/>
      <c r="D222" s="2290"/>
      <c r="E222" s="2290"/>
      <c r="F222" s="2290"/>
      <c r="G222" s="2290"/>
      <c r="H222" s="2290"/>
      <c r="I222" s="2290"/>
      <c r="J222" s="2290"/>
      <c r="K222" s="2290"/>
      <c r="L222" s="2290"/>
      <c r="M222" s="2290"/>
      <c r="N222" s="2290"/>
      <c r="O222" s="2290"/>
      <c r="P222" s="2290"/>
      <c r="Q222" s="2290"/>
      <c r="R222" s="2290"/>
      <c r="S222" s="2290"/>
      <c r="T222" s="2290"/>
      <c r="U222" s="2290"/>
      <c r="V222" s="2290"/>
      <c r="W222" s="2290"/>
      <c r="X222" s="2290"/>
      <c r="Y222" s="2290"/>
      <c r="Z222" s="2290"/>
      <c r="AA222" s="2290"/>
      <c r="AB222" s="2290"/>
      <c r="AC222" s="2290"/>
      <c r="AD222" s="2290"/>
      <c r="AE222" s="2290"/>
      <c r="AF222" s="2290"/>
      <c r="AG222" s="2290"/>
      <c r="AH222" s="2290"/>
      <c r="AI222" s="2290"/>
      <c r="AJ222" s="2290"/>
      <c r="AK222" s="2290"/>
      <c r="AL222" s="2290"/>
      <c r="AM222" s="2290"/>
      <c r="AN222" s="2290"/>
      <c r="AO222" s="2290"/>
      <c r="AP222" s="2290"/>
      <c r="AQ222" s="2290"/>
      <c r="AR222" s="2290"/>
      <c r="AS222" s="2290"/>
      <c r="AT222" s="2290"/>
      <c r="AU222" s="2290"/>
      <c r="AV222" s="2290"/>
      <c r="AW222" s="2290"/>
      <c r="AX222" s="2290"/>
      <c r="AY222" s="2290"/>
      <c r="AZ222" s="2290"/>
      <c r="BA222" s="2290"/>
      <c r="BB222" s="2290"/>
      <c r="BC222" s="2290"/>
      <c r="BD222" s="2290"/>
      <c r="BE222" s="2290"/>
      <c r="BF222" s="2290"/>
      <c r="BG222" s="2290"/>
      <c r="BH222" s="2290"/>
      <c r="BI222" s="2290"/>
      <c r="BJ222" s="2290"/>
      <c r="BK222" s="2290"/>
      <c r="BL222" s="2290"/>
      <c r="BM222" s="2290"/>
      <c r="BN222" s="2290"/>
      <c r="BO222" s="2290"/>
      <c r="BP222" s="2290"/>
      <c r="BQ222" s="2290"/>
      <c r="BR222" s="2290"/>
      <c r="BS222" s="2290"/>
      <c r="BT222" s="2290"/>
      <c r="BU222" s="2290"/>
      <c r="BV222" s="2290"/>
      <c r="BW222" s="2290"/>
      <c r="BX222" s="2290"/>
      <c r="BY222" s="2290"/>
      <c r="BZ222" s="2290"/>
      <c r="CA222" s="2290"/>
    </row>
    <row r="223" spans="1:79">
      <c r="A223" s="2290"/>
      <c r="B223" s="2290"/>
      <c r="C223" s="2290"/>
      <c r="D223" s="2290"/>
      <c r="E223" s="2290"/>
      <c r="F223" s="2290"/>
      <c r="G223" s="2290"/>
      <c r="H223" s="2290"/>
      <c r="I223" s="2290"/>
      <c r="J223" s="2290"/>
      <c r="K223" s="2290"/>
      <c r="L223" s="2290"/>
      <c r="M223" s="2290"/>
      <c r="N223" s="2290"/>
      <c r="O223" s="2290"/>
      <c r="P223" s="2290"/>
      <c r="Q223" s="2290"/>
      <c r="R223" s="2290"/>
      <c r="S223" s="2290"/>
      <c r="T223" s="2290"/>
      <c r="U223" s="2290"/>
      <c r="V223" s="2290"/>
      <c r="W223" s="2290"/>
      <c r="X223" s="2290"/>
      <c r="Y223" s="2290"/>
      <c r="Z223" s="2290"/>
      <c r="AA223" s="2290"/>
      <c r="AB223" s="2290"/>
      <c r="AC223" s="2290"/>
      <c r="AD223" s="2290"/>
      <c r="AE223" s="2290"/>
      <c r="AF223" s="2290"/>
      <c r="AG223" s="2290"/>
      <c r="AH223" s="2290"/>
      <c r="AI223" s="2290"/>
      <c r="AJ223" s="2290"/>
      <c r="AK223" s="2290"/>
      <c r="AL223" s="2290"/>
      <c r="AM223" s="2290"/>
      <c r="AN223" s="2290"/>
      <c r="AO223" s="2290"/>
      <c r="AP223" s="2290"/>
      <c r="AQ223" s="2290"/>
      <c r="AR223" s="2290"/>
      <c r="AS223" s="2290"/>
      <c r="AT223" s="2290"/>
      <c r="AU223" s="2290"/>
      <c r="AV223" s="2290"/>
      <c r="AW223" s="2290"/>
      <c r="AX223" s="2290"/>
      <c r="AY223" s="2290"/>
      <c r="AZ223" s="2290"/>
      <c r="BA223" s="2290"/>
      <c r="BB223" s="2290"/>
      <c r="BC223" s="2290"/>
      <c r="BD223" s="2290"/>
      <c r="BE223" s="2290"/>
      <c r="BF223" s="2290"/>
      <c r="BG223" s="2290"/>
      <c r="BH223" s="2290"/>
      <c r="BI223" s="2290"/>
      <c r="BJ223" s="2290"/>
      <c r="BK223" s="2290"/>
      <c r="BL223" s="2290"/>
      <c r="BM223" s="2290"/>
      <c r="BN223" s="2290"/>
      <c r="BO223" s="2290"/>
      <c r="BP223" s="2290"/>
      <c r="BQ223" s="2290"/>
      <c r="BR223" s="2290"/>
      <c r="BS223" s="2290"/>
      <c r="BT223" s="2290"/>
      <c r="BU223" s="2290"/>
      <c r="BV223" s="2290"/>
      <c r="BW223" s="2290"/>
      <c r="BX223" s="2290"/>
      <c r="BY223" s="2290"/>
      <c r="BZ223" s="2290"/>
      <c r="CA223" s="2290"/>
    </row>
    <row r="224" spans="1:79">
      <c r="A224" s="2290"/>
      <c r="B224" s="2290"/>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0"/>
      <c r="BE224" s="2290"/>
      <c r="BF224" s="2290"/>
      <c r="BG224" s="2290"/>
      <c r="BH224" s="2290"/>
      <c r="BI224" s="2290"/>
      <c r="BJ224" s="2290"/>
      <c r="BK224" s="2290"/>
      <c r="BL224" s="2290"/>
      <c r="BM224" s="2290"/>
      <c r="BN224" s="2290"/>
      <c r="BO224" s="2290"/>
      <c r="BP224" s="2290"/>
      <c r="BQ224" s="2290"/>
      <c r="BR224" s="2290"/>
      <c r="BS224" s="2290"/>
      <c r="BT224" s="2290"/>
      <c r="BU224" s="2290"/>
      <c r="BV224" s="2290"/>
      <c r="BW224" s="2290"/>
      <c r="BX224" s="2290"/>
      <c r="BY224" s="2290"/>
      <c r="BZ224" s="2290"/>
      <c r="CA224" s="2290"/>
    </row>
    <row r="225" spans="1:79">
      <c r="A225" s="2290"/>
      <c r="B225" s="2290"/>
      <c r="C225" s="2290"/>
      <c r="D225" s="2290"/>
      <c r="E225" s="2290"/>
      <c r="F225" s="2290"/>
      <c r="G225" s="2290"/>
      <c r="H225" s="2290"/>
      <c r="I225" s="2290"/>
      <c r="J225" s="2290"/>
      <c r="K225" s="2290"/>
      <c r="L225" s="2290"/>
      <c r="M225" s="2290"/>
      <c r="N225" s="2290"/>
      <c r="O225" s="2290"/>
      <c r="P225" s="2290"/>
      <c r="Q225" s="2290"/>
      <c r="R225" s="2290"/>
      <c r="S225" s="2290"/>
      <c r="T225" s="2290"/>
      <c r="U225" s="2290"/>
      <c r="V225" s="2290"/>
      <c r="W225" s="2290"/>
      <c r="X225" s="2290"/>
      <c r="Y225" s="2290"/>
      <c r="Z225" s="2290"/>
      <c r="AA225" s="2290"/>
      <c r="AB225" s="2290"/>
      <c r="AC225" s="2290"/>
      <c r="AD225" s="2290"/>
      <c r="AE225" s="2290"/>
      <c r="AF225" s="2290"/>
      <c r="AG225" s="2290"/>
      <c r="AH225" s="2290"/>
      <c r="AI225" s="2290"/>
      <c r="AJ225" s="2290"/>
      <c r="AK225" s="2290"/>
      <c r="AL225" s="2290"/>
      <c r="AM225" s="2290"/>
      <c r="AN225" s="2290"/>
      <c r="AO225" s="2290"/>
      <c r="AP225" s="2290"/>
      <c r="AQ225" s="2290"/>
      <c r="AR225" s="2290"/>
      <c r="AS225" s="2290"/>
      <c r="AT225" s="2290"/>
      <c r="AU225" s="2290"/>
      <c r="AV225" s="2290"/>
      <c r="AW225" s="2290"/>
      <c r="AX225" s="2290"/>
      <c r="AY225" s="2290"/>
      <c r="AZ225" s="2290"/>
      <c r="BA225" s="2290"/>
      <c r="BB225" s="2290"/>
      <c r="BC225" s="2290"/>
      <c r="BD225" s="2290"/>
      <c r="BE225" s="2290"/>
      <c r="BF225" s="2290"/>
      <c r="BG225" s="2290"/>
      <c r="BH225" s="2290"/>
      <c r="BI225" s="2290"/>
      <c r="BJ225" s="2290"/>
      <c r="BK225" s="2290"/>
      <c r="BL225" s="2290"/>
      <c r="BM225" s="2290"/>
      <c r="BN225" s="2290"/>
      <c r="BO225" s="2290"/>
      <c r="BP225" s="2290"/>
      <c r="BQ225" s="2290"/>
      <c r="BR225" s="2290"/>
      <c r="BS225" s="2290"/>
      <c r="BT225" s="2290"/>
      <c r="BU225" s="2290"/>
      <c r="BV225" s="2290"/>
      <c r="BW225" s="2290"/>
      <c r="BX225" s="2290"/>
      <c r="BY225" s="2290"/>
      <c r="BZ225" s="2290"/>
      <c r="CA225" s="2290"/>
    </row>
    <row r="226" spans="1:79">
      <c r="A226" s="2290"/>
      <c r="B226" s="2290"/>
      <c r="C226" s="2290"/>
      <c r="D226" s="2290"/>
      <c r="E226" s="2290"/>
      <c r="F226" s="2290"/>
      <c r="G226" s="2290"/>
      <c r="H226" s="2290"/>
      <c r="I226" s="2290"/>
      <c r="J226" s="2290"/>
      <c r="K226" s="2290"/>
      <c r="L226" s="2290"/>
      <c r="M226" s="2290"/>
      <c r="N226" s="2290"/>
      <c r="O226" s="2290"/>
      <c r="P226" s="2290"/>
      <c r="Q226" s="2290"/>
      <c r="R226" s="2290"/>
      <c r="S226" s="2290"/>
      <c r="T226" s="2290"/>
      <c r="U226" s="2290"/>
      <c r="V226" s="2290"/>
      <c r="W226" s="2290"/>
      <c r="X226" s="2290"/>
      <c r="Y226" s="2290"/>
      <c r="Z226" s="2290"/>
      <c r="AA226" s="2290"/>
      <c r="AB226" s="2290"/>
      <c r="AC226" s="2290"/>
      <c r="AD226" s="2290"/>
      <c r="AE226" s="2290"/>
      <c r="AF226" s="2290"/>
      <c r="AG226" s="2290"/>
      <c r="AH226" s="2290"/>
      <c r="AI226" s="2290"/>
      <c r="AJ226" s="2290"/>
      <c r="AK226" s="2290"/>
      <c r="AL226" s="2290"/>
      <c r="AM226" s="2290"/>
      <c r="AN226" s="2290"/>
      <c r="AO226" s="2290"/>
      <c r="AP226" s="2290"/>
      <c r="AQ226" s="2290"/>
      <c r="AR226" s="2290"/>
      <c r="AS226" s="2290"/>
      <c r="AT226" s="2290"/>
      <c r="AU226" s="2290"/>
      <c r="AV226" s="2290"/>
      <c r="AW226" s="2290"/>
      <c r="AX226" s="2290"/>
      <c r="AY226" s="2290"/>
      <c r="AZ226" s="2290"/>
      <c r="BA226" s="2290"/>
      <c r="BB226" s="2290"/>
      <c r="BC226" s="2290"/>
      <c r="BD226" s="2290"/>
      <c r="BE226" s="2290"/>
      <c r="BF226" s="2290"/>
      <c r="BG226" s="2290"/>
      <c r="BH226" s="2290"/>
      <c r="BI226" s="2290"/>
      <c r="BJ226" s="2290"/>
      <c r="BK226" s="2290"/>
      <c r="BL226" s="2290"/>
      <c r="BM226" s="2290"/>
      <c r="BN226" s="2290"/>
      <c r="BO226" s="2290"/>
      <c r="BP226" s="2290"/>
      <c r="BQ226" s="2290"/>
      <c r="BR226" s="2290"/>
      <c r="BS226" s="2290"/>
      <c r="BT226" s="2290"/>
      <c r="BU226" s="2290"/>
      <c r="BV226" s="2290"/>
      <c r="BW226" s="2290"/>
      <c r="BX226" s="2290"/>
      <c r="BY226" s="2290"/>
      <c r="BZ226" s="2290"/>
      <c r="CA226" s="2290"/>
    </row>
    <row r="227" spans="1:79">
      <c r="A227" s="2290"/>
      <c r="B227" s="2290"/>
      <c r="C227" s="2290"/>
      <c r="D227" s="2290"/>
      <c r="E227" s="2290"/>
      <c r="F227" s="2290"/>
      <c r="G227" s="2290"/>
      <c r="H227" s="2290"/>
      <c r="I227" s="2290"/>
      <c r="J227" s="2290"/>
      <c r="K227" s="2290"/>
      <c r="L227" s="2290"/>
      <c r="M227" s="2290"/>
      <c r="N227" s="2290"/>
      <c r="O227" s="2290"/>
      <c r="P227" s="2290"/>
      <c r="Q227" s="2290"/>
      <c r="R227" s="2290"/>
      <c r="S227" s="2290"/>
      <c r="T227" s="2290"/>
      <c r="U227" s="2290"/>
      <c r="V227" s="2290"/>
      <c r="W227" s="2290"/>
      <c r="X227" s="2290"/>
      <c r="Y227" s="2290"/>
      <c r="Z227" s="2290"/>
      <c r="AA227" s="2290"/>
      <c r="AB227" s="2290"/>
      <c r="AC227" s="2290"/>
      <c r="AD227" s="2290"/>
      <c r="AE227" s="2290"/>
      <c r="AF227" s="2290"/>
      <c r="AG227" s="2290"/>
      <c r="AH227" s="2290"/>
      <c r="AI227" s="2290"/>
      <c r="AJ227" s="2290"/>
      <c r="AK227" s="2290"/>
      <c r="AL227" s="2290"/>
      <c r="AM227" s="2290"/>
      <c r="AN227" s="2290"/>
      <c r="AO227" s="2290"/>
      <c r="AP227" s="2290"/>
      <c r="AQ227" s="2290"/>
      <c r="AR227" s="2290"/>
      <c r="AS227" s="2290"/>
      <c r="AT227" s="2290"/>
      <c r="AU227" s="2290"/>
      <c r="AV227" s="2290"/>
      <c r="AW227" s="2290"/>
      <c r="AX227" s="2290"/>
      <c r="AY227" s="2290"/>
      <c r="AZ227" s="2290"/>
      <c r="BA227" s="2290"/>
      <c r="BB227" s="2290"/>
      <c r="BC227" s="2290"/>
      <c r="BD227" s="2290"/>
      <c r="BE227" s="2290"/>
      <c r="BF227" s="2290"/>
      <c r="BG227" s="2290"/>
      <c r="BH227" s="2290"/>
      <c r="BI227" s="2290"/>
      <c r="BJ227" s="2290"/>
      <c r="BK227" s="2290"/>
      <c r="BL227" s="2290"/>
      <c r="BM227" s="2290"/>
      <c r="BN227" s="2290"/>
      <c r="BO227" s="2290"/>
      <c r="BP227" s="2290"/>
      <c r="BQ227" s="2290"/>
      <c r="BR227" s="2290"/>
      <c r="BS227" s="2290"/>
      <c r="BT227" s="2290"/>
      <c r="BU227" s="2290"/>
      <c r="BV227" s="2290"/>
      <c r="BW227" s="2290"/>
      <c r="BX227" s="2290"/>
      <c r="BY227" s="2290"/>
      <c r="BZ227" s="2290"/>
      <c r="CA227" s="2290"/>
    </row>
    <row r="228" spans="1:79">
      <c r="A228" s="2290"/>
      <c r="B228" s="2290"/>
      <c r="C228" s="2290"/>
      <c r="D228" s="2290"/>
      <c r="E228" s="2290"/>
      <c r="F228" s="2290"/>
      <c r="G228" s="2290"/>
      <c r="H228" s="2290"/>
      <c r="I228" s="2290"/>
      <c r="J228" s="2290"/>
      <c r="K228" s="2290"/>
      <c r="L228" s="2290"/>
      <c r="M228" s="2290"/>
      <c r="N228" s="2290"/>
      <c r="O228" s="2290"/>
      <c r="P228" s="2290"/>
      <c r="Q228" s="2290"/>
      <c r="R228" s="2290"/>
      <c r="S228" s="2290"/>
      <c r="T228" s="2290"/>
      <c r="U228" s="2290"/>
      <c r="V228" s="2290"/>
      <c r="W228" s="2290"/>
      <c r="X228" s="2290"/>
      <c r="Y228" s="2290"/>
      <c r="Z228" s="2290"/>
      <c r="AA228" s="2290"/>
      <c r="AB228" s="2290"/>
      <c r="AC228" s="2290"/>
      <c r="AD228" s="2290"/>
      <c r="AE228" s="2290"/>
      <c r="AF228" s="2290"/>
      <c r="AG228" s="2290"/>
      <c r="AH228" s="2290"/>
      <c r="AI228" s="2290"/>
      <c r="AJ228" s="2290"/>
      <c r="AK228" s="2290"/>
      <c r="AL228" s="2290"/>
      <c r="AM228" s="2290"/>
      <c r="AN228" s="2290"/>
      <c r="AO228" s="2290"/>
      <c r="AP228" s="2290"/>
      <c r="AQ228" s="2290"/>
      <c r="AR228" s="2290"/>
      <c r="AS228" s="2290"/>
      <c r="AT228" s="2290"/>
      <c r="AU228" s="2290"/>
      <c r="AV228" s="2290"/>
      <c r="AW228" s="2290"/>
      <c r="AX228" s="2290"/>
      <c r="AY228" s="2290"/>
      <c r="AZ228" s="2290"/>
      <c r="BA228" s="2290"/>
      <c r="BB228" s="2290"/>
      <c r="BC228" s="2290"/>
      <c r="BD228" s="2290"/>
      <c r="BE228" s="2290"/>
      <c r="BF228" s="2290"/>
      <c r="BG228" s="2290"/>
      <c r="BH228" s="2290"/>
      <c r="BI228" s="2290"/>
      <c r="BJ228" s="2290"/>
      <c r="BK228" s="2290"/>
      <c r="BL228" s="2290"/>
      <c r="BM228" s="2290"/>
      <c r="BN228" s="2290"/>
      <c r="BO228" s="2290"/>
      <c r="BP228" s="2290"/>
      <c r="BQ228" s="2290"/>
      <c r="BR228" s="2290"/>
      <c r="BS228" s="2290"/>
      <c r="BT228" s="2290"/>
      <c r="BU228" s="2290"/>
      <c r="BV228" s="2290"/>
      <c r="BW228" s="2290"/>
      <c r="BX228" s="2290"/>
      <c r="BY228" s="2290"/>
      <c r="BZ228" s="2290"/>
      <c r="CA228" s="2290"/>
    </row>
    <row r="229" spans="1:79">
      <c r="A229" s="2290"/>
      <c r="B229" s="2290"/>
      <c r="C229" s="2290"/>
      <c r="D229" s="2290"/>
      <c r="E229" s="2290"/>
      <c r="F229" s="2290"/>
      <c r="G229" s="2290"/>
      <c r="H229" s="2290"/>
      <c r="I229" s="2290"/>
      <c r="J229" s="2290"/>
      <c r="K229" s="2290"/>
      <c r="L229" s="2290"/>
      <c r="M229" s="2290"/>
      <c r="N229" s="2290"/>
      <c r="O229" s="2290"/>
      <c r="P229" s="2290"/>
      <c r="Q229" s="2290"/>
      <c r="R229" s="2290"/>
      <c r="S229" s="2290"/>
      <c r="T229" s="2290"/>
      <c r="U229" s="2290"/>
      <c r="V229" s="2290"/>
      <c r="W229" s="2290"/>
      <c r="X229" s="2290"/>
      <c r="Y229" s="2290"/>
      <c r="Z229" s="2290"/>
      <c r="AA229" s="2290"/>
      <c r="AB229" s="2290"/>
      <c r="AC229" s="2290"/>
      <c r="AD229" s="2290"/>
      <c r="AE229" s="2290"/>
      <c r="AF229" s="2290"/>
      <c r="AG229" s="2290"/>
      <c r="AH229" s="2290"/>
      <c r="AI229" s="2290"/>
      <c r="AJ229" s="2290"/>
      <c r="AK229" s="2290"/>
      <c r="AL229" s="2290"/>
      <c r="AM229" s="2290"/>
      <c r="AN229" s="2290"/>
      <c r="AO229" s="2290"/>
      <c r="AP229" s="2290"/>
      <c r="AQ229" s="2290"/>
      <c r="AR229" s="2290"/>
      <c r="AS229" s="2290"/>
      <c r="AT229" s="2290"/>
      <c r="AU229" s="2290"/>
      <c r="AV229" s="2290"/>
      <c r="AW229" s="2290"/>
      <c r="AX229" s="2290"/>
      <c r="AY229" s="2290"/>
      <c r="AZ229" s="2290"/>
      <c r="BA229" s="2290"/>
      <c r="BB229" s="2290"/>
      <c r="BC229" s="2290"/>
      <c r="BD229" s="2290"/>
      <c r="BE229" s="2290"/>
      <c r="BF229" s="2290"/>
      <c r="BG229" s="2290"/>
      <c r="BH229" s="2290"/>
      <c r="BI229" s="2290"/>
      <c r="BJ229" s="2290"/>
      <c r="BK229" s="2290"/>
      <c r="BL229" s="2290"/>
      <c r="BM229" s="2290"/>
      <c r="BN229" s="2290"/>
      <c r="BO229" s="2290"/>
      <c r="BP229" s="2290"/>
      <c r="BQ229" s="2290"/>
      <c r="BR229" s="2290"/>
      <c r="BS229" s="2290"/>
      <c r="BT229" s="2290"/>
      <c r="BU229" s="2290"/>
      <c r="BV229" s="2290"/>
      <c r="BW229" s="2290"/>
      <c r="BX229" s="2290"/>
      <c r="BY229" s="2290"/>
      <c r="BZ229" s="2290"/>
      <c r="CA229" s="2290"/>
    </row>
    <row r="230" spans="1:79">
      <c r="A230" s="2290"/>
      <c r="B230" s="2290"/>
      <c r="C230" s="2290"/>
      <c r="D230" s="2290"/>
      <c r="E230" s="2290"/>
      <c r="F230" s="2290"/>
      <c r="G230" s="2290"/>
      <c r="H230" s="2290"/>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2290"/>
      <c r="BB230" s="2290"/>
      <c r="BC230" s="2290"/>
      <c r="BD230" s="2290"/>
      <c r="BE230" s="2290"/>
      <c r="BF230" s="2290"/>
      <c r="BG230" s="2290"/>
      <c r="BH230" s="2290"/>
      <c r="BI230" s="2290"/>
      <c r="BJ230" s="2290"/>
      <c r="BK230" s="2290"/>
      <c r="BL230" s="2290"/>
      <c r="BM230" s="2290"/>
      <c r="BN230" s="2290"/>
      <c r="BO230" s="2290"/>
      <c r="BP230" s="2290"/>
      <c r="BQ230" s="2290"/>
      <c r="BR230" s="2290"/>
      <c r="BS230" s="2290"/>
      <c r="BT230" s="2290"/>
      <c r="BU230" s="2290"/>
      <c r="BV230" s="2290"/>
      <c r="BW230" s="2290"/>
      <c r="BX230" s="2290"/>
      <c r="BY230" s="2290"/>
      <c r="BZ230" s="2290"/>
      <c r="CA230" s="2290"/>
    </row>
    <row r="231" spans="1:79">
      <c r="A231" s="2290"/>
      <c r="B231" s="2290"/>
      <c r="C231" s="2290"/>
      <c r="D231" s="2290"/>
      <c r="E231" s="2290"/>
      <c r="F231" s="2290"/>
      <c r="G231" s="2290"/>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2290"/>
      <c r="BB231" s="2290"/>
      <c r="BC231" s="2290"/>
      <c r="BD231" s="2290"/>
      <c r="BE231" s="2290"/>
      <c r="BF231" s="2290"/>
      <c r="BG231" s="2290"/>
      <c r="BH231" s="2290"/>
      <c r="BI231" s="2290"/>
      <c r="BJ231" s="2290"/>
      <c r="BK231" s="2290"/>
      <c r="BL231" s="2290"/>
      <c r="BM231" s="2290"/>
      <c r="BN231" s="2290"/>
      <c r="BO231" s="2290"/>
      <c r="BP231" s="2290"/>
      <c r="BQ231" s="2290"/>
      <c r="BR231" s="2290"/>
      <c r="BS231" s="2290"/>
      <c r="BT231" s="2290"/>
      <c r="BU231" s="2290"/>
      <c r="BV231" s="2290"/>
      <c r="BW231" s="2290"/>
      <c r="BX231" s="2290"/>
      <c r="BY231" s="2290"/>
      <c r="BZ231" s="2290"/>
      <c r="CA231" s="2290"/>
    </row>
    <row r="232" spans="1:79">
      <c r="A232" s="2290"/>
      <c r="B232" s="2290"/>
      <c r="C232" s="2290"/>
      <c r="D232" s="2290"/>
      <c r="E232" s="2290"/>
      <c r="F232" s="2290"/>
      <c r="G232" s="2290"/>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2290"/>
      <c r="BB232" s="2290"/>
      <c r="BC232" s="2290"/>
      <c r="BD232" s="2290"/>
      <c r="BE232" s="2290"/>
      <c r="BF232" s="2290"/>
      <c r="BG232" s="2290"/>
      <c r="BH232" s="2290"/>
      <c r="BI232" s="2290"/>
      <c r="BJ232" s="2290"/>
      <c r="BK232" s="2290"/>
      <c r="BL232" s="2290"/>
      <c r="BM232" s="2290"/>
      <c r="BN232" s="2290"/>
      <c r="BO232" s="2290"/>
      <c r="BP232" s="2290"/>
      <c r="BQ232" s="2290"/>
      <c r="BR232" s="2290"/>
      <c r="BS232" s="2290"/>
      <c r="BT232" s="2290"/>
      <c r="BU232" s="2290"/>
      <c r="BV232" s="2290"/>
      <c r="BW232" s="2290"/>
      <c r="BX232" s="2290"/>
      <c r="BY232" s="2290"/>
      <c r="BZ232" s="2290"/>
      <c r="CA232" s="2290"/>
    </row>
    <row r="233" spans="1:79">
      <c r="A233" s="2290"/>
      <c r="B233" s="2290"/>
      <c r="C233" s="2290"/>
      <c r="D233" s="2290"/>
      <c r="E233" s="2290"/>
      <c r="F233" s="2290"/>
      <c r="G233" s="2290"/>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2290"/>
      <c r="BB233" s="2290"/>
      <c r="BC233" s="2290"/>
      <c r="BD233" s="2290"/>
      <c r="BE233" s="2290"/>
      <c r="BF233" s="2290"/>
      <c r="BG233" s="2290"/>
      <c r="BH233" s="2290"/>
      <c r="BI233" s="2290"/>
      <c r="BJ233" s="2290"/>
      <c r="BK233" s="2290"/>
      <c r="BL233" s="2290"/>
      <c r="BM233" s="2290"/>
      <c r="BN233" s="2290"/>
      <c r="BO233" s="2290"/>
      <c r="BP233" s="2290"/>
      <c r="BQ233" s="2290"/>
      <c r="BR233" s="2290"/>
      <c r="BS233" s="2290"/>
      <c r="BT233" s="2290"/>
      <c r="BU233" s="2290"/>
      <c r="BV233" s="2290"/>
      <c r="BW233" s="2290"/>
      <c r="BX233" s="2290"/>
      <c r="BY233" s="2290"/>
      <c r="BZ233" s="2290"/>
      <c r="CA233" s="2290"/>
    </row>
    <row r="234" spans="1:79">
      <c r="A234" s="2290"/>
      <c r="B234" s="2290"/>
      <c r="C234" s="2290"/>
      <c r="D234" s="2290"/>
      <c r="E234" s="2290"/>
      <c r="F234" s="2290"/>
      <c r="G234" s="2290"/>
      <c r="H234" s="2290"/>
      <c r="I234" s="2290"/>
      <c r="J234" s="2290"/>
      <c r="K234" s="2290"/>
      <c r="L234" s="2290"/>
      <c r="M234" s="2290"/>
      <c r="N234" s="2290"/>
      <c r="O234" s="2290"/>
      <c r="P234" s="2290"/>
      <c r="Q234" s="2290"/>
      <c r="R234" s="2290"/>
      <c r="S234" s="2290"/>
      <c r="T234" s="2290"/>
      <c r="U234" s="2290"/>
      <c r="V234" s="2290"/>
      <c r="W234" s="2290"/>
      <c r="X234" s="2290"/>
      <c r="Y234" s="2290"/>
      <c r="Z234" s="2290"/>
      <c r="AA234" s="2290"/>
      <c r="AB234" s="2290"/>
      <c r="AC234" s="2290"/>
      <c r="AD234" s="2290"/>
      <c r="AE234" s="2290"/>
      <c r="AF234" s="2290"/>
      <c r="AG234" s="2290"/>
      <c r="AH234" s="2290"/>
      <c r="AI234" s="2290"/>
      <c r="AJ234" s="2290"/>
      <c r="AK234" s="2290"/>
      <c r="AL234" s="2290"/>
      <c r="AM234" s="2290"/>
      <c r="AN234" s="2290"/>
      <c r="AO234" s="2290"/>
      <c r="AP234" s="2290"/>
      <c r="AQ234" s="2290"/>
      <c r="AR234" s="2290"/>
      <c r="AS234" s="2290"/>
      <c r="AT234" s="2290"/>
      <c r="AU234" s="2290"/>
      <c r="AV234" s="2290"/>
      <c r="AW234" s="2290"/>
      <c r="AX234" s="2290"/>
      <c r="AY234" s="2290"/>
      <c r="AZ234" s="2290"/>
      <c r="BA234" s="2290"/>
      <c r="BB234" s="2290"/>
      <c r="BC234" s="2290"/>
      <c r="BD234" s="2290"/>
      <c r="BE234" s="2290"/>
      <c r="BF234" s="2290"/>
      <c r="BG234" s="2290"/>
      <c r="BH234" s="2290"/>
      <c r="BI234" s="2290"/>
      <c r="BJ234" s="2290"/>
      <c r="BK234" s="2290"/>
      <c r="BL234" s="2290"/>
      <c r="BM234" s="2290"/>
      <c r="BN234" s="2290"/>
      <c r="BO234" s="2290"/>
      <c r="BP234" s="2290"/>
      <c r="BQ234" s="2290"/>
      <c r="BR234" s="2290"/>
      <c r="BS234" s="2290"/>
      <c r="BT234" s="2290"/>
      <c r="BU234" s="2290"/>
      <c r="BV234" s="2290"/>
      <c r="BW234" s="2290"/>
      <c r="BX234" s="2290"/>
      <c r="BY234" s="2290"/>
      <c r="BZ234" s="2290"/>
      <c r="CA234" s="2290"/>
    </row>
    <row r="235" spans="1:79">
      <c r="A235" s="2290"/>
      <c r="B235" s="2290"/>
      <c r="C235" s="2290"/>
      <c r="D235" s="2290"/>
      <c r="E235" s="2290"/>
      <c r="F235" s="2290"/>
      <c r="G235" s="2290"/>
      <c r="H235" s="2290"/>
      <c r="I235" s="2290"/>
      <c r="J235" s="2290"/>
      <c r="K235" s="2290"/>
      <c r="L235" s="2290"/>
      <c r="M235" s="2290"/>
      <c r="N235" s="2290"/>
      <c r="O235" s="2290"/>
      <c r="P235" s="2290"/>
      <c r="Q235" s="2290"/>
      <c r="R235" s="2290"/>
      <c r="S235" s="2290"/>
      <c r="T235" s="2290"/>
      <c r="U235" s="2290"/>
      <c r="V235" s="2290"/>
      <c r="W235" s="2290"/>
      <c r="X235" s="2290"/>
      <c r="Y235" s="2290"/>
      <c r="Z235" s="2290"/>
      <c r="AA235" s="2290"/>
      <c r="AB235" s="2290"/>
      <c r="AC235" s="2290"/>
      <c r="AD235" s="2290"/>
      <c r="AE235" s="2290"/>
      <c r="AF235" s="2290"/>
      <c r="AG235" s="2290"/>
      <c r="AH235" s="2290"/>
      <c r="AI235" s="2290"/>
      <c r="AJ235" s="2290"/>
      <c r="AK235" s="2290"/>
      <c r="AL235" s="2290"/>
      <c r="AM235" s="2290"/>
      <c r="AN235" s="2290"/>
      <c r="AO235" s="2290"/>
      <c r="AP235" s="2290"/>
      <c r="AQ235" s="2290"/>
      <c r="AR235" s="2290"/>
      <c r="AS235" s="2290"/>
      <c r="AT235" s="2290"/>
      <c r="AU235" s="2290"/>
      <c r="AV235" s="2290"/>
      <c r="AW235" s="2290"/>
      <c r="AX235" s="2290"/>
      <c r="AY235" s="2290"/>
      <c r="AZ235" s="2290"/>
      <c r="BA235" s="2290"/>
      <c r="BB235" s="2290"/>
      <c r="BC235" s="2290"/>
      <c r="BD235" s="2290"/>
      <c r="BE235" s="2290"/>
      <c r="BF235" s="2290"/>
      <c r="BG235" s="2290"/>
      <c r="BH235" s="2290"/>
      <c r="BI235" s="2290"/>
      <c r="BJ235" s="2290"/>
      <c r="BK235" s="2290"/>
      <c r="BL235" s="2290"/>
      <c r="BM235" s="2290"/>
      <c r="BN235" s="2290"/>
      <c r="BO235" s="2290"/>
      <c r="BP235" s="2290"/>
      <c r="BQ235" s="2290"/>
      <c r="BR235" s="2290"/>
      <c r="BS235" s="2290"/>
      <c r="BT235" s="2290"/>
      <c r="BU235" s="2290"/>
      <c r="BV235" s="2290"/>
      <c r="BW235" s="2290"/>
      <c r="BX235" s="2290"/>
      <c r="BY235" s="2290"/>
      <c r="BZ235" s="2290"/>
      <c r="CA235" s="2290"/>
    </row>
    <row r="236" spans="1:79">
      <c r="A236" s="2290"/>
      <c r="B236" s="2290"/>
      <c r="C236" s="2290"/>
      <c r="D236" s="2290"/>
      <c r="E236" s="2290"/>
      <c r="F236" s="2290"/>
      <c r="G236" s="2290"/>
      <c r="H236" s="2290"/>
      <c r="I236" s="2290"/>
      <c r="J236" s="2290"/>
      <c r="K236" s="2290"/>
      <c r="L236" s="2290"/>
      <c r="M236" s="2290"/>
      <c r="N236" s="2290"/>
      <c r="O236" s="2290"/>
      <c r="P236" s="2290"/>
      <c r="Q236" s="2290"/>
      <c r="R236" s="2290"/>
      <c r="S236" s="2290"/>
      <c r="T236" s="2290"/>
      <c r="U236" s="2290"/>
      <c r="V236" s="2290"/>
      <c r="W236" s="2290"/>
      <c r="X236" s="2290"/>
      <c r="Y236" s="2290"/>
      <c r="Z236" s="2290"/>
      <c r="AA236" s="2290"/>
      <c r="AB236" s="2290"/>
      <c r="AC236" s="2290"/>
      <c r="AD236" s="2290"/>
      <c r="AE236" s="2290"/>
      <c r="AF236" s="2290"/>
      <c r="AG236" s="2290"/>
      <c r="AH236" s="2290"/>
      <c r="AI236" s="2290"/>
      <c r="AJ236" s="2290"/>
      <c r="AK236" s="2290"/>
      <c r="AL236" s="2290"/>
      <c r="AM236" s="2290"/>
      <c r="AN236" s="2290"/>
      <c r="AO236" s="2290"/>
      <c r="AP236" s="2290"/>
      <c r="AQ236" s="2290"/>
      <c r="AR236" s="2290"/>
      <c r="AS236" s="2290"/>
      <c r="AT236" s="2290"/>
      <c r="AU236" s="2290"/>
      <c r="AV236" s="2290"/>
      <c r="AW236" s="2290"/>
      <c r="AX236" s="2290"/>
      <c r="AY236" s="2290"/>
      <c r="AZ236" s="2290"/>
      <c r="BA236" s="2290"/>
      <c r="BB236" s="2290"/>
      <c r="BC236" s="2290"/>
      <c r="BD236" s="2290"/>
      <c r="BE236" s="2290"/>
      <c r="BF236" s="2290"/>
      <c r="BG236" s="2290"/>
      <c r="BH236" s="2290"/>
      <c r="BI236" s="2290"/>
      <c r="BJ236" s="2290"/>
      <c r="BK236" s="2290"/>
      <c r="BL236" s="2290"/>
      <c r="BM236" s="2290"/>
      <c r="BN236" s="2290"/>
      <c r="BO236" s="2290"/>
      <c r="BP236" s="2290"/>
      <c r="BQ236" s="2290"/>
      <c r="BR236" s="2290"/>
      <c r="BS236" s="2290"/>
      <c r="BT236" s="2290"/>
      <c r="BU236" s="2290"/>
      <c r="BV236" s="2290"/>
      <c r="BW236" s="2290"/>
      <c r="BX236" s="2290"/>
      <c r="BY236" s="2290"/>
      <c r="BZ236" s="2290"/>
      <c r="CA236" s="2290"/>
    </row>
    <row r="237" spans="1:79">
      <c r="A237" s="2290"/>
      <c r="B237" s="2290"/>
      <c r="C237" s="2290"/>
      <c r="D237" s="2290"/>
      <c r="E237" s="2290"/>
      <c r="F237" s="2290"/>
      <c r="G237" s="2290"/>
      <c r="H237" s="2290"/>
      <c r="I237" s="2290"/>
      <c r="J237" s="2290"/>
      <c r="K237" s="2290"/>
      <c r="L237" s="2290"/>
      <c r="M237" s="2290"/>
      <c r="N237" s="2290"/>
      <c r="O237" s="2290"/>
      <c r="P237" s="2290"/>
      <c r="Q237" s="2290"/>
      <c r="R237" s="2290"/>
      <c r="S237" s="2290"/>
      <c r="T237" s="2290"/>
      <c r="U237" s="2290"/>
      <c r="V237" s="2290"/>
      <c r="W237" s="2290"/>
      <c r="X237" s="2290"/>
      <c r="Y237" s="2290"/>
      <c r="Z237" s="2290"/>
      <c r="AA237" s="2290"/>
      <c r="AB237" s="2290"/>
      <c r="AC237" s="2290"/>
      <c r="AD237" s="2290"/>
      <c r="AE237" s="2290"/>
      <c r="AF237" s="2290"/>
      <c r="AG237" s="2290"/>
      <c r="AH237" s="2290"/>
      <c r="AI237" s="2290"/>
      <c r="AJ237" s="2290"/>
      <c r="AK237" s="2290"/>
      <c r="AL237" s="2290"/>
      <c r="AM237" s="2290"/>
      <c r="AN237" s="2290"/>
      <c r="AO237" s="2290"/>
      <c r="AP237" s="2290"/>
      <c r="AQ237" s="2290"/>
      <c r="AR237" s="2290"/>
      <c r="AS237" s="2290"/>
      <c r="AT237" s="2290"/>
      <c r="AU237" s="2290"/>
      <c r="AV237" s="2290"/>
      <c r="AW237" s="2290"/>
      <c r="AX237" s="2290"/>
      <c r="AY237" s="2290"/>
      <c r="AZ237" s="2290"/>
      <c r="BA237" s="2290"/>
      <c r="BB237" s="2290"/>
      <c r="BC237" s="2290"/>
      <c r="BD237" s="2290"/>
      <c r="BE237" s="2290"/>
      <c r="BF237" s="2290"/>
      <c r="BG237" s="2290"/>
      <c r="BH237" s="2290"/>
      <c r="BI237" s="2290"/>
      <c r="BJ237" s="2290"/>
      <c r="BK237" s="2290"/>
      <c r="BL237" s="2290"/>
      <c r="BM237" s="2290"/>
      <c r="BN237" s="2290"/>
      <c r="BO237" s="2290"/>
      <c r="BP237" s="2290"/>
      <c r="BQ237" s="2290"/>
      <c r="BR237" s="2290"/>
      <c r="BS237" s="2290"/>
      <c r="BT237" s="2290"/>
      <c r="BU237" s="2290"/>
      <c r="BV237" s="2290"/>
      <c r="BW237" s="2290"/>
      <c r="BX237" s="2290"/>
      <c r="BY237" s="2290"/>
      <c r="BZ237" s="2290"/>
      <c r="CA237" s="2290"/>
    </row>
    <row r="238" spans="1:79">
      <c r="A238" s="2290"/>
      <c r="B238" s="2290"/>
      <c r="C238" s="2290"/>
      <c r="D238" s="2290"/>
      <c r="E238" s="2290"/>
      <c r="F238" s="2290"/>
      <c r="G238" s="2290"/>
      <c r="H238" s="2290"/>
      <c r="I238" s="2290"/>
      <c r="J238" s="2290"/>
      <c r="K238" s="2290"/>
      <c r="L238" s="2290"/>
      <c r="M238" s="2290"/>
      <c r="N238" s="2290"/>
      <c r="O238" s="2290"/>
      <c r="P238" s="2290"/>
      <c r="Q238" s="2290"/>
      <c r="R238" s="2290"/>
      <c r="S238" s="2290"/>
      <c r="T238" s="2290"/>
      <c r="U238" s="2290"/>
      <c r="V238" s="2290"/>
      <c r="W238" s="2290"/>
      <c r="X238" s="2290"/>
      <c r="Y238" s="2290"/>
      <c r="Z238" s="2290"/>
      <c r="AA238" s="2290"/>
      <c r="AB238" s="2290"/>
      <c r="AC238" s="2290"/>
      <c r="AD238" s="2290"/>
      <c r="AE238" s="2290"/>
      <c r="AF238" s="2290"/>
      <c r="AG238" s="2290"/>
      <c r="AH238" s="2290"/>
      <c r="AI238" s="2290"/>
      <c r="AJ238" s="2290"/>
      <c r="AK238" s="2290"/>
      <c r="AL238" s="2290"/>
      <c r="AM238" s="2290"/>
      <c r="AN238" s="2290"/>
      <c r="AO238" s="2290"/>
      <c r="AP238" s="2290"/>
      <c r="AQ238" s="2290"/>
      <c r="AR238" s="2290"/>
      <c r="AS238" s="2290"/>
      <c r="AT238" s="2290"/>
      <c r="AU238" s="2290"/>
      <c r="AV238" s="2290"/>
      <c r="AW238" s="2290"/>
      <c r="AX238" s="2290"/>
      <c r="AY238" s="2290"/>
      <c r="AZ238" s="2290"/>
      <c r="BA238" s="2290"/>
      <c r="BB238" s="2290"/>
      <c r="BC238" s="2290"/>
      <c r="BD238" s="2290"/>
      <c r="BE238" s="2290"/>
      <c r="BF238" s="2290"/>
      <c r="BG238" s="2290"/>
      <c r="BH238" s="2290"/>
      <c r="BI238" s="2290"/>
      <c r="BJ238" s="2290"/>
      <c r="BK238" s="2290"/>
      <c r="BL238" s="2290"/>
      <c r="BM238" s="2290"/>
      <c r="BN238" s="2290"/>
      <c r="BO238" s="2290"/>
      <c r="BP238" s="2290"/>
      <c r="BQ238" s="2290"/>
      <c r="BR238" s="2290"/>
      <c r="BS238" s="2290"/>
      <c r="BT238" s="2290"/>
      <c r="BU238" s="2290"/>
      <c r="BV238" s="2290"/>
      <c r="BW238" s="2290"/>
      <c r="BX238" s="2290"/>
      <c r="BY238" s="2290"/>
      <c r="BZ238" s="2290"/>
      <c r="CA238" s="2290"/>
    </row>
    <row r="239" spans="1:79">
      <c r="A239" s="2290"/>
      <c r="B239" s="2290"/>
      <c r="C239" s="2290"/>
      <c r="D239" s="2290"/>
      <c r="E239" s="2290"/>
      <c r="F239" s="2290"/>
      <c r="G239" s="2290"/>
      <c r="H239" s="2290"/>
      <c r="I239" s="2290"/>
      <c r="J239" s="2290"/>
      <c r="K239" s="2290"/>
      <c r="L239" s="2290"/>
      <c r="M239" s="2290"/>
      <c r="N239" s="2290"/>
      <c r="O239" s="2290"/>
      <c r="P239" s="2290"/>
      <c r="Q239" s="2290"/>
      <c r="R239" s="2290"/>
      <c r="S239" s="2290"/>
      <c r="T239" s="2290"/>
      <c r="U239" s="2290"/>
      <c r="V239" s="2290"/>
      <c r="W239" s="2290"/>
      <c r="X239" s="2290"/>
      <c r="Y239" s="2290"/>
      <c r="Z239" s="2290"/>
      <c r="AA239" s="2290"/>
      <c r="AB239" s="2290"/>
      <c r="AC239" s="2290"/>
      <c r="AD239" s="2290"/>
      <c r="AE239" s="2290"/>
      <c r="AF239" s="2290"/>
      <c r="AG239" s="2290"/>
      <c r="AH239" s="2290"/>
      <c r="AI239" s="2290"/>
      <c r="AJ239" s="2290"/>
      <c r="AK239" s="2290"/>
      <c r="AL239" s="2290"/>
      <c r="AM239" s="2290"/>
      <c r="AN239" s="2290"/>
      <c r="AO239" s="2290"/>
      <c r="AP239" s="2290"/>
      <c r="AQ239" s="2290"/>
      <c r="AR239" s="2290"/>
      <c r="AS239" s="2290"/>
      <c r="AT239" s="2290"/>
      <c r="AU239" s="2290"/>
      <c r="AV239" s="2290"/>
      <c r="AW239" s="2290"/>
      <c r="AX239" s="2290"/>
      <c r="AY239" s="2290"/>
      <c r="AZ239" s="2290"/>
      <c r="BA239" s="2290"/>
      <c r="BB239" s="2290"/>
      <c r="BC239" s="2290"/>
      <c r="BD239" s="2290"/>
      <c r="BE239" s="2290"/>
      <c r="BF239" s="2290"/>
      <c r="BG239" s="2290"/>
      <c r="BH239" s="2290"/>
      <c r="BI239" s="2290"/>
      <c r="BJ239" s="2290"/>
      <c r="BK239" s="2290"/>
      <c r="BL239" s="2290"/>
      <c r="BM239" s="2290"/>
      <c r="BN239" s="2290"/>
      <c r="BO239" s="2290"/>
      <c r="BP239" s="2290"/>
      <c r="BQ239" s="2290"/>
      <c r="BR239" s="2290"/>
      <c r="BS239" s="2290"/>
      <c r="BT239" s="2290"/>
      <c r="BU239" s="2290"/>
      <c r="BV239" s="2290"/>
      <c r="BW239" s="2290"/>
      <c r="BX239" s="2290"/>
      <c r="BY239" s="2290"/>
      <c r="BZ239" s="2290"/>
      <c r="CA239" s="2290"/>
    </row>
    <row r="240" spans="1:79">
      <c r="A240" s="2290"/>
      <c r="B240" s="2290"/>
      <c r="C240" s="2290"/>
      <c r="D240" s="2290"/>
      <c r="E240" s="2290"/>
      <c r="F240" s="2290"/>
      <c r="G240" s="2290"/>
      <c r="H240" s="2290"/>
      <c r="I240" s="2290"/>
      <c r="J240" s="2290"/>
      <c r="K240" s="2290"/>
      <c r="L240" s="2290"/>
      <c r="M240" s="2290"/>
      <c r="N240" s="2290"/>
      <c r="O240" s="2290"/>
      <c r="P240" s="2290"/>
      <c r="Q240" s="2290"/>
      <c r="R240" s="2290"/>
      <c r="S240" s="2290"/>
      <c r="T240" s="2290"/>
      <c r="U240" s="2290"/>
      <c r="V240" s="2290"/>
      <c r="W240" s="2290"/>
      <c r="X240" s="2290"/>
      <c r="Y240" s="2290"/>
      <c r="Z240" s="2290"/>
      <c r="AA240" s="2290"/>
      <c r="AB240" s="2290"/>
      <c r="AC240" s="2290"/>
      <c r="AD240" s="2290"/>
      <c r="AE240" s="2290"/>
      <c r="AF240" s="2290"/>
      <c r="AG240" s="2290"/>
      <c r="AH240" s="2290"/>
      <c r="AI240" s="2290"/>
      <c r="AJ240" s="2290"/>
      <c r="AK240" s="2290"/>
      <c r="AL240" s="2290"/>
      <c r="AM240" s="2290"/>
      <c r="AN240" s="2290"/>
      <c r="AO240" s="2290"/>
      <c r="AP240" s="2290"/>
      <c r="AQ240" s="2290"/>
      <c r="AR240" s="2290"/>
      <c r="AS240" s="2290"/>
      <c r="AT240" s="2290"/>
      <c r="AU240" s="2290"/>
      <c r="AV240" s="2290"/>
      <c r="AW240" s="2290"/>
      <c r="AX240" s="2290"/>
      <c r="AY240" s="2290"/>
      <c r="AZ240" s="2290"/>
      <c r="BA240" s="2290"/>
      <c r="BB240" s="2290"/>
      <c r="BC240" s="2290"/>
      <c r="BD240" s="2290"/>
      <c r="BE240" s="2290"/>
      <c r="BF240" s="2290"/>
      <c r="BG240" s="2290"/>
      <c r="BH240" s="2290"/>
      <c r="BI240" s="2290"/>
      <c r="BJ240" s="2290"/>
      <c r="BK240" s="2290"/>
      <c r="BL240" s="2290"/>
      <c r="BM240" s="2290"/>
      <c r="BN240" s="2290"/>
      <c r="BO240" s="2290"/>
      <c r="BP240" s="2290"/>
      <c r="BQ240" s="2290"/>
      <c r="BR240" s="2290"/>
      <c r="BS240" s="2290"/>
      <c r="BT240" s="2290"/>
      <c r="BU240" s="2290"/>
      <c r="BV240" s="2290"/>
      <c r="BW240" s="2290"/>
      <c r="BX240" s="2290"/>
      <c r="BY240" s="2290"/>
      <c r="BZ240" s="2290"/>
      <c r="CA240" s="2290"/>
    </row>
    <row r="241" spans="1:79">
      <c r="A241" s="2290"/>
      <c r="B241" s="2290"/>
      <c r="C241" s="2290"/>
      <c r="D241" s="2290"/>
      <c r="E241" s="2290"/>
      <c r="F241" s="2290"/>
      <c r="G241" s="2290"/>
      <c r="H241" s="2290"/>
      <c r="I241" s="2290"/>
      <c r="J241" s="2290"/>
      <c r="K241" s="2290"/>
      <c r="L241" s="2290"/>
      <c r="M241" s="2290"/>
      <c r="N241" s="2290"/>
      <c r="O241" s="2290"/>
      <c r="P241" s="2290"/>
      <c r="Q241" s="2290"/>
      <c r="R241" s="2290"/>
      <c r="S241" s="2290"/>
      <c r="T241" s="2290"/>
      <c r="U241" s="2290"/>
      <c r="V241" s="2290"/>
      <c r="W241" s="2290"/>
      <c r="X241" s="2290"/>
      <c r="Y241" s="2290"/>
      <c r="Z241" s="2290"/>
      <c r="AA241" s="2290"/>
      <c r="AB241" s="2290"/>
      <c r="AC241" s="2290"/>
      <c r="AD241" s="2290"/>
      <c r="AE241" s="2290"/>
      <c r="AF241" s="2290"/>
      <c r="AG241" s="2290"/>
      <c r="AH241" s="2290"/>
      <c r="AI241" s="2290"/>
      <c r="AJ241" s="2290"/>
      <c r="AK241" s="2290"/>
      <c r="AL241" s="2290"/>
      <c r="AM241" s="2290"/>
      <c r="AN241" s="2290"/>
      <c r="AO241" s="2290"/>
      <c r="AP241" s="2290"/>
      <c r="AQ241" s="2290"/>
      <c r="AR241" s="2290"/>
      <c r="AS241" s="2290"/>
      <c r="AT241" s="2290"/>
      <c r="AU241" s="2290"/>
      <c r="AV241" s="2290"/>
      <c r="AW241" s="2290"/>
      <c r="AX241" s="2290"/>
      <c r="AY241" s="2290"/>
      <c r="AZ241" s="2290"/>
      <c r="BA241" s="2290"/>
      <c r="BB241" s="2290"/>
      <c r="BC241" s="2290"/>
      <c r="BD241" s="2290"/>
      <c r="BE241" s="2290"/>
      <c r="BF241" s="2290"/>
      <c r="BG241" s="2290"/>
      <c r="BH241" s="2290"/>
      <c r="BI241" s="2290"/>
      <c r="BJ241" s="2290"/>
      <c r="BK241" s="2290"/>
      <c r="BL241" s="2290"/>
      <c r="BM241" s="2290"/>
      <c r="BN241" s="2290"/>
      <c r="BO241" s="2290"/>
      <c r="BP241" s="2290"/>
      <c r="BQ241" s="2290"/>
      <c r="BR241" s="2290"/>
      <c r="BS241" s="2290"/>
      <c r="BT241" s="2290"/>
      <c r="BU241" s="2290"/>
      <c r="BV241" s="2290"/>
      <c r="BW241" s="2290"/>
      <c r="BX241" s="2290"/>
      <c r="BY241" s="2290"/>
      <c r="BZ241" s="2290"/>
      <c r="CA241" s="2290"/>
    </row>
    <row r="242" spans="1:79">
      <c r="A242" s="2290"/>
      <c r="B242" s="2290"/>
      <c r="C242" s="2290"/>
      <c r="D242" s="2290"/>
      <c r="E242" s="2290"/>
      <c r="F242" s="2290"/>
      <c r="G242" s="2290"/>
      <c r="H242" s="2290"/>
      <c r="I242" s="2290"/>
      <c r="J242" s="2290"/>
      <c r="K242" s="2290"/>
      <c r="L242" s="2290"/>
      <c r="M242" s="2290"/>
      <c r="N242" s="2290"/>
      <c r="O242" s="2290"/>
      <c r="P242" s="2290"/>
      <c r="Q242" s="2290"/>
      <c r="R242" s="2290"/>
      <c r="S242" s="2290"/>
      <c r="T242" s="2290"/>
      <c r="U242" s="2290"/>
      <c r="V242" s="2290"/>
      <c r="W242" s="2290"/>
      <c r="X242" s="2290"/>
      <c r="Y242" s="2290"/>
      <c r="Z242" s="2290"/>
      <c r="AA242" s="2290"/>
      <c r="AB242" s="2290"/>
      <c r="AC242" s="2290"/>
      <c r="AD242" s="2290"/>
      <c r="AE242" s="2290"/>
      <c r="AF242" s="2290"/>
      <c r="AG242" s="2290"/>
      <c r="AH242" s="2290"/>
      <c r="AI242" s="2290"/>
      <c r="AJ242" s="2290"/>
      <c r="AK242" s="2290"/>
      <c r="AL242" s="2290"/>
      <c r="AM242" s="2290"/>
      <c r="AN242" s="2290"/>
      <c r="AO242" s="2290"/>
      <c r="AP242" s="2290"/>
      <c r="AQ242" s="2290"/>
      <c r="AR242" s="2290"/>
      <c r="AS242" s="2290"/>
      <c r="AT242" s="2290"/>
      <c r="AU242" s="2290"/>
      <c r="AV242" s="2290"/>
      <c r="AW242" s="2290"/>
      <c r="AX242" s="2290"/>
      <c r="AY242" s="2290"/>
      <c r="AZ242" s="2290"/>
      <c r="BA242" s="2290"/>
      <c r="BB242" s="2290"/>
      <c r="BC242" s="2290"/>
      <c r="BD242" s="2290"/>
      <c r="BE242" s="2290"/>
      <c r="BF242" s="2290"/>
      <c r="BG242" s="2290"/>
      <c r="BH242" s="2290"/>
      <c r="BI242" s="2290"/>
      <c r="BJ242" s="2290"/>
      <c r="BK242" s="2290"/>
      <c r="BL242" s="2290"/>
      <c r="BM242" s="2290"/>
      <c r="BN242" s="2290"/>
      <c r="BO242" s="2290"/>
      <c r="BP242" s="2290"/>
      <c r="BQ242" s="2290"/>
      <c r="BR242" s="2290"/>
      <c r="BS242" s="2290"/>
      <c r="BT242" s="2290"/>
      <c r="BU242" s="2290"/>
      <c r="BV242" s="2290"/>
      <c r="BW242" s="2290"/>
      <c r="BX242" s="2290"/>
      <c r="BY242" s="2290"/>
      <c r="BZ242" s="2290"/>
      <c r="CA242" s="2290"/>
    </row>
    <row r="243" spans="1:79">
      <c r="A243" s="2290"/>
      <c r="B243" s="2290"/>
      <c r="C243" s="2290"/>
      <c r="D243" s="2290"/>
      <c r="E243" s="2290"/>
      <c r="F243" s="2290"/>
      <c r="G243" s="2290"/>
      <c r="H243" s="2290"/>
      <c r="I243" s="2290"/>
      <c r="J243" s="2290"/>
      <c r="K243" s="2290"/>
      <c r="L243" s="2290"/>
      <c r="M243" s="2290"/>
      <c r="N243" s="2290"/>
      <c r="O243" s="2290"/>
      <c r="P243" s="2290"/>
      <c r="Q243" s="2290"/>
      <c r="R243" s="2290"/>
      <c r="S243" s="2290"/>
      <c r="T243" s="2290"/>
      <c r="U243" s="2290"/>
      <c r="V243" s="2290"/>
      <c r="W243" s="2290"/>
      <c r="X243" s="2290"/>
      <c r="Y243" s="2290"/>
      <c r="Z243" s="2290"/>
      <c r="AA243" s="2290"/>
      <c r="AB243" s="2290"/>
      <c r="AC243" s="2290"/>
      <c r="AD243" s="2290"/>
      <c r="AE243" s="2290"/>
      <c r="AF243" s="2290"/>
      <c r="AG243" s="2290"/>
      <c r="AH243" s="2290"/>
      <c r="AI243" s="2290"/>
      <c r="AJ243" s="2290"/>
      <c r="AK243" s="2290"/>
      <c r="AL243" s="2290"/>
      <c r="AM243" s="2290"/>
      <c r="AN243" s="2290"/>
      <c r="AO243" s="2290"/>
      <c r="AP243" s="2290"/>
      <c r="AQ243" s="2290"/>
      <c r="AR243" s="2290"/>
      <c r="AS243" s="2290"/>
      <c r="AT243" s="2290"/>
      <c r="AU243" s="2290"/>
      <c r="AV243" s="2290"/>
      <c r="AW243" s="2290"/>
      <c r="AX243" s="2290"/>
      <c r="AY243" s="2290"/>
      <c r="AZ243" s="2290"/>
      <c r="BA243" s="2290"/>
      <c r="BB243" s="2290"/>
      <c r="BC243" s="2290"/>
      <c r="BD243" s="2290"/>
      <c r="BE243" s="2290"/>
      <c r="BF243" s="2290"/>
      <c r="BG243" s="2290"/>
      <c r="BH243" s="2290"/>
      <c r="BI243" s="2290"/>
      <c r="BJ243" s="2290"/>
      <c r="BK243" s="2290"/>
      <c r="BL243" s="2290"/>
      <c r="BM243" s="2290"/>
      <c r="BN243" s="2290"/>
      <c r="BO243" s="2290"/>
      <c r="BP243" s="2290"/>
      <c r="BQ243" s="2290"/>
      <c r="BR243" s="2290"/>
      <c r="BS243" s="2290"/>
      <c r="BT243" s="2290"/>
      <c r="BU243" s="2290"/>
      <c r="BV243" s="2290"/>
      <c r="BW243" s="2290"/>
      <c r="BX243" s="2290"/>
      <c r="BY243" s="2290"/>
      <c r="BZ243" s="2290"/>
      <c r="CA243" s="2290"/>
    </row>
    <row r="244" spans="1:79">
      <c r="A244" s="2290"/>
      <c r="B244" s="2290"/>
      <c r="C244" s="2290"/>
      <c r="D244" s="2290"/>
      <c r="E244" s="2290"/>
      <c r="F244" s="2290"/>
      <c r="G244" s="2290"/>
      <c r="H244" s="2290"/>
      <c r="I244" s="2290"/>
      <c r="J244" s="2290"/>
      <c r="K244" s="2290"/>
      <c r="L244" s="2290"/>
      <c r="M244" s="2290"/>
      <c r="N244" s="2290"/>
      <c r="O244" s="2290"/>
      <c r="P244" s="2290"/>
      <c r="Q244" s="2290"/>
      <c r="R244" s="2290"/>
      <c r="S244" s="2290"/>
      <c r="T244" s="2290"/>
      <c r="U244" s="2290"/>
      <c r="V244" s="2290"/>
      <c r="W244" s="2290"/>
      <c r="X244" s="2290"/>
      <c r="Y244" s="2290"/>
      <c r="Z244" s="2290"/>
      <c r="AA244" s="2290"/>
      <c r="AB244" s="2290"/>
      <c r="AC244" s="2290"/>
      <c r="AD244" s="2290"/>
      <c r="AE244" s="2290"/>
      <c r="AF244" s="2290"/>
      <c r="AG244" s="2290"/>
      <c r="AH244" s="2290"/>
      <c r="AI244" s="2290"/>
      <c r="AJ244" s="2290"/>
      <c r="AK244" s="2290"/>
      <c r="AL244" s="2290"/>
      <c r="AM244" s="2290"/>
      <c r="AN244" s="2290"/>
      <c r="AO244" s="2290"/>
      <c r="AP244" s="2290"/>
      <c r="AQ244" s="2290"/>
      <c r="AR244" s="2290"/>
      <c r="AS244" s="2290"/>
      <c r="AT244" s="2290"/>
      <c r="AU244" s="2290"/>
      <c r="AV244" s="2290"/>
      <c r="AW244" s="2290"/>
      <c r="AX244" s="2290"/>
      <c r="AY244" s="2290"/>
      <c r="AZ244" s="2290"/>
      <c r="BA244" s="2290"/>
      <c r="BB244" s="2290"/>
      <c r="BC244" s="2290"/>
      <c r="BD244" s="2290"/>
      <c r="BE244" s="2290"/>
      <c r="BF244" s="2290"/>
      <c r="BG244" s="2290"/>
      <c r="BH244" s="2290"/>
      <c r="BI244" s="2290"/>
      <c r="BJ244" s="2290"/>
      <c r="BK244" s="2290"/>
      <c r="BL244" s="2290"/>
      <c r="BM244" s="2290"/>
      <c r="BN244" s="2290"/>
      <c r="BO244" s="2290"/>
      <c r="BP244" s="2290"/>
      <c r="BQ244" s="2290"/>
      <c r="BR244" s="2290"/>
      <c r="BS244" s="2290"/>
      <c r="BT244" s="2290"/>
      <c r="BU244" s="2290"/>
      <c r="BV244" s="2290"/>
      <c r="BW244" s="2290"/>
      <c r="BX244" s="2290"/>
      <c r="BY244" s="2290"/>
      <c r="BZ244" s="2290"/>
      <c r="CA244" s="2290"/>
    </row>
    <row r="245" spans="1:79">
      <c r="A245" s="2290"/>
      <c r="B245" s="2290"/>
      <c r="C245" s="2290"/>
      <c r="D245" s="2290"/>
      <c r="E245" s="2290"/>
      <c r="F245" s="2290"/>
      <c r="G245" s="2290"/>
      <c r="H245" s="2290"/>
      <c r="I245" s="2290"/>
      <c r="J245" s="2290"/>
      <c r="K245" s="2290"/>
      <c r="L245" s="2290"/>
      <c r="M245" s="2290"/>
      <c r="N245" s="2290"/>
      <c r="O245" s="2290"/>
      <c r="P245" s="2290"/>
      <c r="Q245" s="2290"/>
      <c r="R245" s="2290"/>
      <c r="S245" s="2290"/>
      <c r="T245" s="2290"/>
      <c r="U245" s="2290"/>
      <c r="V245" s="2290"/>
      <c r="W245" s="2290"/>
      <c r="X245" s="2290"/>
      <c r="Y245" s="2290"/>
      <c r="Z245" s="2290"/>
      <c r="AA245" s="2290"/>
      <c r="AB245" s="2290"/>
      <c r="AC245" s="2290"/>
      <c r="AD245" s="2290"/>
      <c r="AE245" s="2290"/>
      <c r="AF245" s="2290"/>
      <c r="AG245" s="2290"/>
      <c r="AH245" s="2290"/>
      <c r="AI245" s="2290"/>
      <c r="AJ245" s="2290"/>
      <c r="AK245" s="2290"/>
      <c r="AL245" s="2290"/>
      <c r="AM245" s="2290"/>
      <c r="AN245" s="2290"/>
      <c r="AO245" s="2290"/>
      <c r="AP245" s="2290"/>
      <c r="AQ245" s="2290"/>
      <c r="AR245" s="2290"/>
      <c r="AS245" s="2290"/>
      <c r="AT245" s="2290"/>
      <c r="AU245" s="2290"/>
      <c r="AV245" s="2290"/>
      <c r="AW245" s="2290"/>
      <c r="AX245" s="2290"/>
      <c r="AY245" s="2290"/>
      <c r="AZ245" s="2290"/>
      <c r="BA245" s="2290"/>
      <c r="BB245" s="2290"/>
      <c r="BC245" s="2290"/>
      <c r="BD245" s="2290"/>
      <c r="BE245" s="2290"/>
      <c r="BF245" s="2290"/>
      <c r="BG245" s="2290"/>
      <c r="BH245" s="2290"/>
      <c r="BI245" s="2290"/>
      <c r="BJ245" s="2290"/>
      <c r="BK245" s="2290"/>
      <c r="BL245" s="2290"/>
      <c r="BM245" s="2290"/>
      <c r="BN245" s="2290"/>
      <c r="BO245" s="2290"/>
      <c r="BP245" s="2290"/>
      <c r="BQ245" s="2290"/>
      <c r="BR245" s="2290"/>
      <c r="BS245" s="2290"/>
      <c r="BT245" s="2290"/>
      <c r="BU245" s="2290"/>
      <c r="BV245" s="2290"/>
      <c r="BW245" s="2290"/>
      <c r="BX245" s="2290"/>
      <c r="BY245" s="2290"/>
      <c r="BZ245" s="2290"/>
      <c r="CA245" s="2290"/>
    </row>
    <row r="246" spans="1:79">
      <c r="A246" s="2290"/>
      <c r="B246" s="2290"/>
      <c r="C246" s="2290"/>
      <c r="D246" s="2290"/>
      <c r="E246" s="2290"/>
      <c r="F246" s="2290"/>
      <c r="G246" s="2290"/>
      <c r="H246" s="2290"/>
      <c r="I246" s="2290"/>
      <c r="J246" s="2290"/>
      <c r="K246" s="2290"/>
      <c r="L246" s="2290"/>
      <c r="M246" s="2290"/>
      <c r="N246" s="2290"/>
      <c r="O246" s="2290"/>
      <c r="P246" s="2290"/>
      <c r="Q246" s="2290"/>
      <c r="R246" s="2290"/>
      <c r="S246" s="2290"/>
      <c r="T246" s="2290"/>
      <c r="U246" s="2290"/>
      <c r="V246" s="2290"/>
      <c r="W246" s="2290"/>
      <c r="X246" s="2290"/>
      <c r="Y246" s="2290"/>
      <c r="Z246" s="2290"/>
      <c r="AA246" s="2290"/>
      <c r="AB246" s="2290"/>
      <c r="AC246" s="2290"/>
      <c r="AD246" s="2290"/>
      <c r="AE246" s="2290"/>
      <c r="AF246" s="2290"/>
      <c r="AG246" s="2290"/>
      <c r="AH246" s="2290"/>
      <c r="AI246" s="2290"/>
      <c r="AJ246" s="2290"/>
      <c r="AK246" s="2290"/>
      <c r="AL246" s="2290"/>
      <c r="AM246" s="2290"/>
      <c r="AN246" s="2290"/>
      <c r="AO246" s="2290"/>
      <c r="AP246" s="2290"/>
      <c r="AQ246" s="2290"/>
      <c r="AR246" s="2290"/>
      <c r="AS246" s="2290"/>
      <c r="AT246" s="2290"/>
      <c r="AU246" s="2290"/>
      <c r="AV246" s="2290"/>
      <c r="AW246" s="2290"/>
      <c r="AX246" s="2290"/>
      <c r="AY246" s="2290"/>
      <c r="AZ246" s="2290"/>
      <c r="BA246" s="2290"/>
      <c r="BB246" s="2290"/>
      <c r="BC246" s="2290"/>
      <c r="BD246" s="2290"/>
      <c r="BE246" s="2290"/>
      <c r="BF246" s="2290"/>
      <c r="BG246" s="2290"/>
      <c r="BH246" s="2290"/>
      <c r="BI246" s="2290"/>
      <c r="BJ246" s="2290"/>
      <c r="BK246" s="2290"/>
      <c r="BL246" s="2290"/>
      <c r="BM246" s="2290"/>
      <c r="BN246" s="2290"/>
      <c r="BO246" s="2290"/>
      <c r="BP246" s="2290"/>
      <c r="BQ246" s="2290"/>
      <c r="BR246" s="2290"/>
      <c r="BS246" s="2290"/>
      <c r="BT246" s="2290"/>
      <c r="BU246" s="2290"/>
      <c r="BV246" s="2290"/>
      <c r="BW246" s="2290"/>
      <c r="BX246" s="2290"/>
      <c r="BY246" s="2290"/>
      <c r="BZ246" s="2290"/>
      <c r="CA246" s="2290"/>
    </row>
    <row r="247" spans="1:79">
      <c r="A247" s="2290"/>
      <c r="B247" s="2290"/>
      <c r="C247" s="2290"/>
      <c r="D247" s="2290"/>
      <c r="E247" s="2290"/>
      <c r="F247" s="2290"/>
      <c r="G247" s="2290"/>
      <c r="H247" s="2290"/>
      <c r="I247" s="2290"/>
      <c r="J247" s="2290"/>
      <c r="K247" s="2290"/>
      <c r="L247" s="2290"/>
      <c r="M247" s="2290"/>
      <c r="N247" s="2290"/>
      <c r="O247" s="2290"/>
      <c r="P247" s="2290"/>
      <c r="Q247" s="2290"/>
      <c r="R247" s="2290"/>
      <c r="S247" s="2290"/>
      <c r="T247" s="2290"/>
      <c r="U247" s="2290"/>
      <c r="V247" s="2290"/>
      <c r="W247" s="2290"/>
      <c r="X247" s="2290"/>
      <c r="Y247" s="2290"/>
      <c r="Z247" s="2290"/>
      <c r="AA247" s="2290"/>
      <c r="AB247" s="2290"/>
      <c r="AC247" s="2290"/>
      <c r="AD247" s="2290"/>
      <c r="AE247" s="2290"/>
      <c r="AF247" s="2290"/>
      <c r="AG247" s="2290"/>
      <c r="AH247" s="2290"/>
      <c r="AI247" s="2290"/>
      <c r="AJ247" s="2290"/>
      <c r="AK247" s="2290"/>
      <c r="AL247" s="2290"/>
      <c r="AM247" s="2290"/>
      <c r="AN247" s="2290"/>
      <c r="AO247" s="2290"/>
      <c r="AP247" s="2290"/>
      <c r="AQ247" s="2290"/>
      <c r="AR247" s="2290"/>
      <c r="AS247" s="2290"/>
      <c r="AT247" s="2290"/>
      <c r="AU247" s="2290"/>
      <c r="AV247" s="2290"/>
      <c r="AW247" s="2290"/>
      <c r="AX247" s="2290"/>
      <c r="AY247" s="2290"/>
      <c r="AZ247" s="2290"/>
      <c r="BA247" s="2290"/>
      <c r="BB247" s="2290"/>
      <c r="BC247" s="2290"/>
      <c r="BD247" s="2290"/>
      <c r="BE247" s="2290"/>
      <c r="BF247" s="2290"/>
      <c r="BG247" s="2290"/>
      <c r="BH247" s="2290"/>
      <c r="BI247" s="2290"/>
      <c r="BJ247" s="2290"/>
      <c r="BK247" s="2290"/>
      <c r="BL247" s="2290"/>
      <c r="BM247" s="2290"/>
      <c r="BN247" s="2290"/>
      <c r="BO247" s="2290"/>
      <c r="BP247" s="2290"/>
      <c r="BQ247" s="2290"/>
      <c r="BR247" s="2290"/>
      <c r="BS247" s="2290"/>
      <c r="BT247" s="2290"/>
      <c r="BU247" s="2290"/>
      <c r="BV247" s="2290"/>
      <c r="BW247" s="2290"/>
      <c r="BX247" s="2290"/>
      <c r="BY247" s="2290"/>
      <c r="BZ247" s="2290"/>
      <c r="CA247" s="2290"/>
    </row>
    <row r="248" spans="1:79">
      <c r="A248" s="2290"/>
      <c r="B248" s="2290"/>
      <c r="C248" s="2290"/>
      <c r="D248" s="2290"/>
      <c r="E248" s="2290"/>
      <c r="F248" s="2290"/>
      <c r="G248" s="2290"/>
      <c r="H248" s="2290"/>
      <c r="I248" s="2290"/>
      <c r="J248" s="2290"/>
      <c r="K248" s="2290"/>
      <c r="L248" s="2290"/>
      <c r="M248" s="2290"/>
      <c r="N248" s="2290"/>
      <c r="O248" s="2290"/>
      <c r="P248" s="2290"/>
      <c r="Q248" s="2290"/>
      <c r="R248" s="2290"/>
      <c r="S248" s="2290"/>
      <c r="T248" s="2290"/>
      <c r="U248" s="2290"/>
      <c r="V248" s="2290"/>
      <c r="W248" s="2290"/>
      <c r="X248" s="2290"/>
      <c r="Y248" s="2290"/>
      <c r="Z248" s="2290"/>
      <c r="AA248" s="2290"/>
      <c r="AB248" s="2290"/>
      <c r="AC248" s="2290"/>
      <c r="AD248" s="2290"/>
      <c r="AE248" s="2290"/>
      <c r="AF248" s="2290"/>
      <c r="AG248" s="2290"/>
      <c r="AH248" s="2290"/>
      <c r="AI248" s="2290"/>
      <c r="AJ248" s="2290"/>
      <c r="AK248" s="2290"/>
      <c r="AL248" s="2290"/>
      <c r="AM248" s="2290"/>
      <c r="AN248" s="2290"/>
      <c r="AO248" s="2290"/>
      <c r="AP248" s="2290"/>
      <c r="AQ248" s="2290"/>
      <c r="AR248" s="2290"/>
      <c r="AS248" s="2290"/>
      <c r="AT248" s="2290"/>
      <c r="AU248" s="2290"/>
      <c r="AV248" s="2290"/>
      <c r="AW248" s="2290"/>
      <c r="AX248" s="2290"/>
      <c r="AY248" s="2290"/>
      <c r="AZ248" s="2290"/>
      <c r="BA248" s="2290"/>
      <c r="BB248" s="2290"/>
      <c r="BC248" s="2290"/>
      <c r="BD248" s="2290"/>
      <c r="BE248" s="2290"/>
      <c r="BF248" s="2290"/>
      <c r="BG248" s="2290"/>
      <c r="BH248" s="2290"/>
      <c r="BI248" s="2290"/>
      <c r="BJ248" s="2290"/>
      <c r="BK248" s="2290"/>
      <c r="BL248" s="2290"/>
      <c r="BM248" s="2290"/>
      <c r="BN248" s="2290"/>
      <c r="BO248" s="2290"/>
      <c r="BP248" s="2290"/>
      <c r="BQ248" s="2290"/>
      <c r="BR248" s="2290"/>
      <c r="BS248" s="2290"/>
      <c r="BT248" s="2290"/>
      <c r="BU248" s="2290"/>
      <c r="BV248" s="2290"/>
      <c r="BW248" s="2290"/>
      <c r="BX248" s="2290"/>
      <c r="BY248" s="2290"/>
      <c r="BZ248" s="2290"/>
      <c r="CA248" s="2290"/>
    </row>
    <row r="249" spans="1:79">
      <c r="A249" s="2290"/>
      <c r="B249" s="2290"/>
      <c r="C249" s="2290"/>
      <c r="D249" s="2290"/>
      <c r="E249" s="2290"/>
      <c r="F249" s="2290"/>
      <c r="G249" s="2290"/>
      <c r="H249" s="2290"/>
      <c r="I249" s="2290"/>
      <c r="J249" s="2290"/>
      <c r="K249" s="2290"/>
      <c r="L249" s="2290"/>
      <c r="M249" s="2290"/>
      <c r="N249" s="2290"/>
      <c r="O249" s="2290"/>
      <c r="P249" s="2290"/>
      <c r="Q249" s="2290"/>
      <c r="R249" s="2290"/>
      <c r="S249" s="2290"/>
      <c r="T249" s="2290"/>
      <c r="U249" s="2290"/>
      <c r="V249" s="2290"/>
      <c r="W249" s="2290"/>
      <c r="X249" s="2290"/>
      <c r="Y249" s="2290"/>
      <c r="Z249" s="2290"/>
      <c r="AA249" s="2290"/>
      <c r="AB249" s="2290"/>
      <c r="AC249" s="2290"/>
      <c r="AD249" s="2290"/>
      <c r="AE249" s="2290"/>
      <c r="AF249" s="2290"/>
      <c r="AG249" s="2290"/>
      <c r="AH249" s="2290"/>
      <c r="AI249" s="2290"/>
      <c r="AJ249" s="2290"/>
      <c r="AK249" s="2290"/>
      <c r="AL249" s="2290"/>
      <c r="AM249" s="2290"/>
      <c r="AN249" s="2290"/>
      <c r="AO249" s="2290"/>
      <c r="AP249" s="2290"/>
      <c r="AQ249" s="2290"/>
      <c r="AR249" s="2290"/>
      <c r="AS249" s="2290"/>
      <c r="AT249" s="2290"/>
      <c r="AU249" s="2290"/>
      <c r="AV249" s="2290"/>
      <c r="AW249" s="2290"/>
      <c r="AX249" s="2290"/>
      <c r="AY249" s="2290"/>
      <c r="AZ249" s="2290"/>
      <c r="BA249" s="2290"/>
      <c r="BB249" s="2290"/>
      <c r="BC249" s="2290"/>
      <c r="BD249" s="2290"/>
      <c r="BE249" s="2290"/>
      <c r="BF249" s="2290"/>
      <c r="BG249" s="2290"/>
      <c r="BH249" s="2290"/>
      <c r="BI249" s="2290"/>
      <c r="BJ249" s="2290"/>
      <c r="BK249" s="2290"/>
      <c r="BL249" s="2290"/>
      <c r="BM249" s="2290"/>
      <c r="BN249" s="2290"/>
      <c r="BO249" s="2290"/>
      <c r="BP249" s="2290"/>
      <c r="BQ249" s="2290"/>
      <c r="BR249" s="2290"/>
      <c r="BS249" s="2290"/>
      <c r="BT249" s="2290"/>
      <c r="BU249" s="2290"/>
      <c r="BV249" s="2290"/>
      <c r="BW249" s="2290"/>
      <c r="BX249" s="2290"/>
      <c r="BY249" s="2290"/>
      <c r="BZ249" s="2290"/>
      <c r="CA249" s="2290"/>
    </row>
    <row r="250" spans="1:79">
      <c r="A250" s="2290"/>
      <c r="B250" s="2290"/>
      <c r="C250" s="2290"/>
      <c r="D250" s="2290"/>
      <c r="E250" s="2290"/>
      <c r="F250" s="2290"/>
      <c r="G250" s="2290"/>
      <c r="H250" s="2290"/>
      <c r="I250" s="2290"/>
      <c r="J250" s="2290"/>
      <c r="K250" s="2290"/>
      <c r="L250" s="2290"/>
      <c r="M250" s="2290"/>
      <c r="N250" s="2290"/>
      <c r="O250" s="2290"/>
      <c r="P250" s="2290"/>
      <c r="Q250" s="2290"/>
      <c r="R250" s="2290"/>
      <c r="S250" s="2290"/>
      <c r="T250" s="2290"/>
      <c r="U250" s="2290"/>
      <c r="V250" s="2290"/>
      <c r="W250" s="2290"/>
      <c r="X250" s="2290"/>
      <c r="Y250" s="2290"/>
      <c r="Z250" s="2290"/>
      <c r="AA250" s="2290"/>
      <c r="AB250" s="2290"/>
      <c r="AC250" s="2290"/>
      <c r="AD250" s="2290"/>
      <c r="AE250" s="2290"/>
      <c r="AF250" s="2290"/>
      <c r="AG250" s="2290"/>
      <c r="AH250" s="2290"/>
      <c r="AI250" s="2290"/>
      <c r="AJ250" s="2290"/>
      <c r="AK250" s="2290"/>
      <c r="AL250" s="2290"/>
      <c r="AM250" s="2290"/>
      <c r="AN250" s="2290"/>
      <c r="AO250" s="2290"/>
      <c r="AP250" s="2290"/>
      <c r="AQ250" s="2290"/>
      <c r="AR250" s="2290"/>
      <c r="AS250" s="2290"/>
      <c r="AT250" s="2290"/>
      <c r="AU250" s="2290"/>
      <c r="AV250" s="2290"/>
      <c r="AW250" s="2290"/>
      <c r="AX250" s="2290"/>
      <c r="AY250" s="2290"/>
      <c r="AZ250" s="2290"/>
      <c r="BA250" s="2290"/>
      <c r="BB250" s="2290"/>
      <c r="BC250" s="2290"/>
      <c r="BD250" s="2290"/>
      <c r="BE250" s="2290"/>
      <c r="BF250" s="2290"/>
      <c r="BG250" s="2290"/>
      <c r="BH250" s="2290"/>
      <c r="BI250" s="2290"/>
      <c r="BJ250" s="2290"/>
      <c r="BK250" s="2290"/>
      <c r="BL250" s="2290"/>
      <c r="BM250" s="2290"/>
      <c r="BN250" s="2290"/>
      <c r="BO250" s="2290"/>
      <c r="BP250" s="2290"/>
      <c r="BQ250" s="2290"/>
      <c r="BR250" s="2290"/>
      <c r="BS250" s="2290"/>
      <c r="BT250" s="2290"/>
      <c r="BU250" s="2290"/>
      <c r="BV250" s="2290"/>
      <c r="BW250" s="2290"/>
      <c r="BX250" s="2290"/>
      <c r="BY250" s="2290"/>
      <c r="BZ250" s="2290"/>
      <c r="CA250" s="2290"/>
    </row>
    <row r="251" spans="1:79">
      <c r="A251" s="2290"/>
      <c r="B251" s="2290"/>
      <c r="C251" s="2290"/>
      <c r="D251" s="2290"/>
      <c r="E251" s="2290"/>
      <c r="F251" s="2290"/>
      <c r="G251" s="2290"/>
      <c r="H251" s="2290"/>
      <c r="I251" s="2290"/>
      <c r="J251" s="2290"/>
      <c r="K251" s="2290"/>
      <c r="L251" s="2290"/>
      <c r="M251" s="2290"/>
      <c r="N251" s="2290"/>
      <c r="O251" s="2290"/>
      <c r="P251" s="2290"/>
      <c r="Q251" s="2290"/>
      <c r="R251" s="2290"/>
      <c r="S251" s="2290"/>
      <c r="T251" s="2290"/>
      <c r="U251" s="2290"/>
      <c r="V251" s="2290"/>
      <c r="W251" s="2290"/>
      <c r="X251" s="2290"/>
      <c r="Y251" s="2290"/>
      <c r="Z251" s="2290"/>
      <c r="AA251" s="2290"/>
      <c r="AB251" s="2290"/>
      <c r="AC251" s="2290"/>
      <c r="AD251" s="2290"/>
      <c r="AE251" s="2290"/>
      <c r="AF251" s="2290"/>
      <c r="AG251" s="2290"/>
      <c r="AH251" s="2290"/>
      <c r="AI251" s="2290"/>
      <c r="AJ251" s="2290"/>
      <c r="AK251" s="2290"/>
      <c r="AL251" s="2290"/>
      <c r="AM251" s="2290"/>
      <c r="AN251" s="2290"/>
      <c r="AO251" s="2290"/>
      <c r="AP251" s="2290"/>
      <c r="AQ251" s="2290"/>
      <c r="AR251" s="2290"/>
      <c r="AS251" s="2290"/>
      <c r="AT251" s="2290"/>
      <c r="AU251" s="2290"/>
      <c r="AV251" s="2290"/>
      <c r="AW251" s="2290"/>
      <c r="AX251" s="2290"/>
      <c r="AY251" s="2290"/>
      <c r="AZ251" s="2290"/>
      <c r="BA251" s="2290"/>
      <c r="BB251" s="2290"/>
      <c r="BC251" s="2290"/>
      <c r="BD251" s="2290"/>
      <c r="BE251" s="2290"/>
      <c r="BF251" s="2290"/>
      <c r="BG251" s="2290"/>
      <c r="BH251" s="2290"/>
      <c r="BI251" s="2290"/>
      <c r="BJ251" s="2290"/>
      <c r="BK251" s="2290"/>
      <c r="BL251" s="2290"/>
      <c r="BM251" s="2290"/>
      <c r="BN251" s="2290"/>
      <c r="BO251" s="2290"/>
      <c r="BP251" s="2290"/>
      <c r="BQ251" s="2290"/>
      <c r="BR251" s="2290"/>
      <c r="BS251" s="2290"/>
      <c r="BT251" s="2290"/>
      <c r="BU251" s="2290"/>
      <c r="BV251" s="2290"/>
      <c r="BW251" s="2290"/>
      <c r="BX251" s="2290"/>
      <c r="BY251" s="2290"/>
      <c r="BZ251" s="2290"/>
      <c r="CA251" s="2290"/>
    </row>
    <row r="252" spans="1:79">
      <c r="A252" s="2290"/>
      <c r="B252" s="2290"/>
      <c r="C252" s="2290"/>
      <c r="D252" s="2290"/>
      <c r="E252" s="2290"/>
      <c r="F252" s="2290"/>
      <c r="G252" s="2290"/>
      <c r="H252" s="2290"/>
      <c r="I252" s="2290"/>
      <c r="J252" s="2290"/>
      <c r="K252" s="2290"/>
      <c r="L252" s="2290"/>
      <c r="M252" s="2290"/>
      <c r="N252" s="2290"/>
      <c r="O252" s="2290"/>
      <c r="P252" s="2290"/>
      <c r="Q252" s="2290"/>
      <c r="R252" s="2290"/>
      <c r="S252" s="2290"/>
      <c r="T252" s="2290"/>
      <c r="U252" s="2290"/>
      <c r="V252" s="2290"/>
      <c r="W252" s="2290"/>
      <c r="X252" s="2290"/>
      <c r="Y252" s="2290"/>
      <c r="Z252" s="2290"/>
      <c r="AA252" s="2290"/>
      <c r="AB252" s="2290"/>
      <c r="AC252" s="2290"/>
      <c r="AD252" s="2290"/>
      <c r="AE252" s="2290"/>
      <c r="AF252" s="2290"/>
      <c r="AG252" s="2290"/>
      <c r="AH252" s="2290"/>
      <c r="AI252" s="2290"/>
      <c r="AJ252" s="2290"/>
      <c r="AK252" s="2290"/>
      <c r="AL252" s="2290"/>
      <c r="AM252" s="2290"/>
      <c r="AN252" s="2290"/>
      <c r="AO252" s="2290"/>
      <c r="AP252" s="2290"/>
      <c r="AQ252" s="2290"/>
      <c r="AR252" s="2290"/>
      <c r="AS252" s="2290"/>
      <c r="AT252" s="2290"/>
      <c r="AU252" s="2290"/>
      <c r="AV252" s="2290"/>
      <c r="AW252" s="2290"/>
      <c r="AX252" s="2290"/>
      <c r="AY252" s="2290"/>
      <c r="AZ252" s="2290"/>
      <c r="BA252" s="2290"/>
      <c r="BB252" s="2290"/>
      <c r="BC252" s="2290"/>
      <c r="BD252" s="2290"/>
      <c r="BE252" s="2290"/>
      <c r="BF252" s="2290"/>
      <c r="BG252" s="2290"/>
      <c r="BH252" s="2290"/>
      <c r="BI252" s="2290"/>
      <c r="BJ252" s="2290"/>
      <c r="BK252" s="2290"/>
      <c r="BL252" s="2290"/>
      <c r="BM252" s="2290"/>
      <c r="BN252" s="2290"/>
      <c r="BO252" s="2290"/>
      <c r="BP252" s="2290"/>
      <c r="BQ252" s="2290"/>
      <c r="BR252" s="2290"/>
      <c r="BS252" s="2290"/>
      <c r="BT252" s="2290"/>
      <c r="BU252" s="2290"/>
      <c r="BV252" s="2290"/>
      <c r="BW252" s="2290"/>
      <c r="BX252" s="2290"/>
      <c r="BY252" s="2290"/>
      <c r="BZ252" s="2290"/>
      <c r="CA252" s="2290"/>
    </row>
    <row r="253" spans="1:79">
      <c r="A253" s="2290"/>
      <c r="B253" s="2290"/>
      <c r="C253" s="2290"/>
      <c r="D253" s="2290"/>
      <c r="E253" s="2290"/>
      <c r="F253" s="2290"/>
      <c r="G253" s="2290"/>
      <c r="H253" s="2290"/>
      <c r="I253" s="2290"/>
      <c r="J253" s="2290"/>
      <c r="K253" s="2290"/>
      <c r="L253" s="2290"/>
      <c r="M253" s="2290"/>
      <c r="N253" s="2290"/>
      <c r="O253" s="2290"/>
      <c r="P253" s="2290"/>
      <c r="Q253" s="2290"/>
      <c r="R253" s="2290"/>
      <c r="S253" s="2290"/>
      <c r="T253" s="2290"/>
      <c r="U253" s="2290"/>
      <c r="V253" s="2290"/>
      <c r="W253" s="2290"/>
      <c r="X253" s="2290"/>
      <c r="Y253" s="2290"/>
      <c r="Z253" s="2290"/>
      <c r="AA253" s="2290"/>
      <c r="AB253" s="2290"/>
      <c r="AC253" s="2290"/>
      <c r="AD253" s="2290"/>
      <c r="AE253" s="2290"/>
      <c r="AF253" s="2290"/>
      <c r="AG253" s="2290"/>
      <c r="AH253" s="2290"/>
      <c r="AI253" s="2290"/>
      <c r="AJ253" s="2290"/>
      <c r="AK253" s="2290"/>
      <c r="AL253" s="2290"/>
      <c r="AM253" s="2290"/>
      <c r="AN253" s="2290"/>
      <c r="AO253" s="2290"/>
      <c r="AP253" s="2290"/>
      <c r="AQ253" s="2290"/>
      <c r="AR253" s="2290"/>
      <c r="AS253" s="2290"/>
      <c r="AT253" s="2290"/>
      <c r="AU253" s="2290"/>
      <c r="AV253" s="2290"/>
      <c r="AW253" s="2290"/>
      <c r="AX253" s="2290"/>
      <c r="AY253" s="2290"/>
      <c r="AZ253" s="2290"/>
      <c r="BA253" s="2290"/>
      <c r="BB253" s="2290"/>
      <c r="BC253" s="2290"/>
      <c r="BD253" s="2290"/>
      <c r="BE253" s="2290"/>
      <c r="BF253" s="2290"/>
      <c r="BG253" s="2290"/>
      <c r="BH253" s="2290"/>
      <c r="BI253" s="2290"/>
      <c r="BJ253" s="2290"/>
      <c r="BK253" s="2290"/>
      <c r="BL253" s="2290"/>
      <c r="BM253" s="2290"/>
      <c r="BN253" s="2290"/>
      <c r="BO253" s="2290"/>
      <c r="BP253" s="2290"/>
      <c r="BQ253" s="2290"/>
      <c r="BR253" s="2290"/>
      <c r="BS253" s="2290"/>
      <c r="BT253" s="2290"/>
      <c r="BU253" s="2290"/>
      <c r="BV253" s="2290"/>
      <c r="BW253" s="2290"/>
      <c r="BX253" s="2290"/>
      <c r="BY253" s="2290"/>
      <c r="BZ253" s="2290"/>
      <c r="CA253" s="2290"/>
    </row>
    <row r="254" spans="1:79">
      <c r="A254" s="2290"/>
      <c r="B254" s="2290"/>
      <c r="C254" s="2290"/>
      <c r="D254" s="2290"/>
      <c r="E254" s="2290"/>
      <c r="F254" s="2290"/>
      <c r="G254" s="2290"/>
      <c r="H254" s="2290"/>
      <c r="I254" s="2290"/>
      <c r="J254" s="2290"/>
      <c r="K254" s="2290"/>
      <c r="L254" s="2290"/>
      <c r="M254" s="2290"/>
      <c r="N254" s="2290"/>
      <c r="O254" s="2290"/>
      <c r="P254" s="2290"/>
      <c r="Q254" s="2290"/>
      <c r="R254" s="2290"/>
      <c r="S254" s="2290"/>
      <c r="T254" s="2290"/>
      <c r="U254" s="2290"/>
      <c r="V254" s="2290"/>
      <c r="W254" s="2290"/>
      <c r="X254" s="2290"/>
      <c r="Y254" s="2290"/>
      <c r="Z254" s="2290"/>
      <c r="AA254" s="2290"/>
      <c r="AB254" s="2290"/>
      <c r="AC254" s="2290"/>
      <c r="AD254" s="2290"/>
      <c r="AE254" s="2290"/>
      <c r="AF254" s="2290"/>
      <c r="AG254" s="2290"/>
      <c r="AH254" s="2290"/>
      <c r="AI254" s="2290"/>
      <c r="AJ254" s="2290"/>
      <c r="AK254" s="2290"/>
      <c r="AL254" s="2290"/>
      <c r="AM254" s="2290"/>
      <c r="AN254" s="2290"/>
      <c r="AO254" s="2290"/>
      <c r="AP254" s="2290"/>
      <c r="AQ254" s="2290"/>
      <c r="AR254" s="2290"/>
      <c r="AS254" s="2290"/>
      <c r="AT254" s="2290"/>
      <c r="AU254" s="2290"/>
      <c r="AV254" s="2290"/>
      <c r="AW254" s="2290"/>
      <c r="AX254" s="2290"/>
      <c r="AY254" s="2290"/>
      <c r="AZ254" s="2290"/>
      <c r="BA254" s="2290"/>
      <c r="BB254" s="2290"/>
      <c r="BC254" s="2290"/>
      <c r="BD254" s="2290"/>
      <c r="BE254" s="2290"/>
      <c r="BF254" s="2290"/>
      <c r="BG254" s="2290"/>
      <c r="BH254" s="2290"/>
      <c r="BI254" s="2290"/>
      <c r="BJ254" s="2290"/>
      <c r="BK254" s="2290"/>
      <c r="BL254" s="2290"/>
      <c r="BM254" s="2290"/>
      <c r="BN254" s="2290"/>
      <c r="BO254" s="2290"/>
      <c r="BP254" s="2290"/>
      <c r="BQ254" s="2290"/>
      <c r="BR254" s="2290"/>
      <c r="BS254" s="2290"/>
      <c r="BT254" s="2290"/>
      <c r="BU254" s="2290"/>
      <c r="BV254" s="2290"/>
      <c r="BW254" s="2290"/>
      <c r="BX254" s="2290"/>
      <c r="BY254" s="2290"/>
      <c r="BZ254" s="2290"/>
      <c r="CA254" s="2290"/>
    </row>
    <row r="255" spans="1:79">
      <c r="A255" s="2290"/>
      <c r="B255" s="2290"/>
      <c r="C255" s="2290"/>
      <c r="D255" s="2290"/>
      <c r="E255" s="2290"/>
      <c r="F255" s="2290"/>
      <c r="G255" s="2290"/>
      <c r="H255" s="2290"/>
      <c r="I255" s="2290"/>
      <c r="J255" s="2290"/>
      <c r="K255" s="2290"/>
      <c r="L255" s="2290"/>
      <c r="M255" s="2290"/>
      <c r="N255" s="2290"/>
      <c r="O255" s="2290"/>
      <c r="P255" s="2290"/>
      <c r="Q255" s="2290"/>
      <c r="R255" s="2290"/>
      <c r="S255" s="2290"/>
      <c r="T255" s="2290"/>
      <c r="U255" s="2290"/>
      <c r="V255" s="2290"/>
      <c r="W255" s="2290"/>
      <c r="X255" s="2290"/>
      <c r="Y255" s="2290"/>
      <c r="Z255" s="2290"/>
      <c r="AA255" s="2290"/>
      <c r="AB255" s="2290"/>
      <c r="AC255" s="2290"/>
      <c r="AD255" s="2290"/>
      <c r="AE255" s="2290"/>
      <c r="AF255" s="2290"/>
      <c r="AG255" s="2290"/>
      <c r="AH255" s="2290"/>
      <c r="AI255" s="2290"/>
      <c r="AJ255" s="2290"/>
      <c r="AK255" s="2290"/>
      <c r="AL255" s="2290"/>
      <c r="AM255" s="2290"/>
      <c r="AN255" s="2290"/>
      <c r="AO255" s="2290"/>
      <c r="AP255" s="2290"/>
      <c r="AQ255" s="2290"/>
      <c r="AR255" s="2290"/>
      <c r="AS255" s="2290"/>
      <c r="AT255" s="2290"/>
      <c r="AU255" s="2290"/>
      <c r="AV255" s="2290"/>
      <c r="AW255" s="2290"/>
      <c r="AX255" s="2290"/>
      <c r="AY255" s="2290"/>
      <c r="AZ255" s="2290"/>
      <c r="BA255" s="2290"/>
      <c r="BB255" s="2290"/>
      <c r="BC255" s="2290"/>
      <c r="BD255" s="2290"/>
      <c r="BE255" s="2290"/>
      <c r="BF255" s="2290"/>
      <c r="BG255" s="2290"/>
      <c r="BH255" s="2290"/>
      <c r="BI255" s="2290"/>
      <c r="BJ255" s="2290"/>
      <c r="BK255" s="2290"/>
      <c r="BL255" s="2290"/>
      <c r="BM255" s="2290"/>
      <c r="BN255" s="2290"/>
      <c r="BO255" s="2290"/>
      <c r="BP255" s="2290"/>
      <c r="BQ255" s="2290"/>
      <c r="BR255" s="2290"/>
      <c r="BS255" s="2290"/>
      <c r="BT255" s="2290"/>
      <c r="BU255" s="2290"/>
      <c r="BV255" s="2290"/>
      <c r="BW255" s="2290"/>
      <c r="BX255" s="2290"/>
      <c r="BY255" s="2290"/>
      <c r="BZ255" s="2290"/>
      <c r="CA255" s="2290"/>
    </row>
    <row r="256" spans="1:79">
      <c r="A256" s="2290"/>
      <c r="B256" s="2290"/>
      <c r="C256" s="2290"/>
      <c r="D256" s="2290"/>
      <c r="E256" s="2290"/>
      <c r="F256" s="2290"/>
      <c r="G256" s="2290"/>
      <c r="H256" s="2290"/>
      <c r="I256" s="2290"/>
      <c r="J256" s="2290"/>
      <c r="K256" s="2290"/>
      <c r="L256" s="2290"/>
      <c r="M256" s="2290"/>
      <c r="N256" s="2290"/>
      <c r="O256" s="2290"/>
      <c r="P256" s="2290"/>
      <c r="Q256" s="2290"/>
      <c r="R256" s="2290"/>
      <c r="S256" s="2290"/>
      <c r="T256" s="2290"/>
      <c r="U256" s="2290"/>
      <c r="V256" s="2290"/>
      <c r="W256" s="2290"/>
      <c r="X256" s="2290"/>
      <c r="Y256" s="2290"/>
      <c r="Z256" s="2290"/>
      <c r="AA256" s="2290"/>
      <c r="AB256" s="2290"/>
      <c r="AC256" s="2290"/>
      <c r="AD256" s="2290"/>
      <c r="AE256" s="2290"/>
      <c r="AF256" s="2290"/>
      <c r="AG256" s="2290"/>
      <c r="AH256" s="2290"/>
      <c r="AI256" s="2290"/>
      <c r="AJ256" s="2290"/>
      <c r="AK256" s="2290"/>
      <c r="AL256" s="2290"/>
      <c r="AM256" s="2290"/>
      <c r="AN256" s="2290"/>
      <c r="AO256" s="2290"/>
      <c r="AP256" s="2290"/>
      <c r="AQ256" s="2290"/>
      <c r="AR256" s="2290"/>
      <c r="AS256" s="2290"/>
      <c r="AT256" s="2290"/>
      <c r="AU256" s="2290"/>
      <c r="AV256" s="2290"/>
      <c r="AW256" s="2290"/>
      <c r="AX256" s="2290"/>
      <c r="AY256" s="2290"/>
      <c r="AZ256" s="2290"/>
      <c r="BA256" s="2290"/>
      <c r="BB256" s="2290"/>
      <c r="BC256" s="2290"/>
      <c r="BD256" s="2290"/>
      <c r="BE256" s="2290"/>
      <c r="BF256" s="2290"/>
      <c r="BG256" s="2290"/>
      <c r="BH256" s="2290"/>
      <c r="BI256" s="2290"/>
      <c r="BJ256" s="2290"/>
      <c r="BK256" s="2290"/>
      <c r="BL256" s="2290"/>
      <c r="BM256" s="2290"/>
      <c r="BN256" s="2290"/>
      <c r="BO256" s="2290"/>
      <c r="BP256" s="2290"/>
      <c r="BQ256" s="2290"/>
      <c r="BR256" s="2290"/>
      <c r="BS256" s="2290"/>
      <c r="BT256" s="2290"/>
      <c r="BU256" s="2290"/>
      <c r="BV256" s="2290"/>
      <c r="BW256" s="2290"/>
      <c r="BX256" s="2290"/>
      <c r="BY256" s="2290"/>
      <c r="BZ256" s="2290"/>
      <c r="CA256" s="2290"/>
    </row>
    <row r="257" spans="1:79">
      <c r="A257" s="2290"/>
      <c r="B257" s="2290"/>
      <c r="C257" s="2290"/>
      <c r="D257" s="2290"/>
      <c r="E257" s="2290"/>
      <c r="F257" s="2290"/>
      <c r="G257" s="2290"/>
      <c r="H257" s="2290"/>
      <c r="I257" s="2290"/>
      <c r="J257" s="2290"/>
      <c r="K257" s="2290"/>
      <c r="L257" s="2290"/>
      <c r="M257" s="2290"/>
      <c r="N257" s="2290"/>
      <c r="O257" s="2290"/>
      <c r="P257" s="2290"/>
      <c r="Q257" s="2290"/>
      <c r="R257" s="2290"/>
      <c r="S257" s="2290"/>
      <c r="T257" s="2290"/>
      <c r="U257" s="2290"/>
      <c r="V257" s="2290"/>
      <c r="W257" s="2290"/>
      <c r="X257" s="2290"/>
      <c r="Y257" s="2290"/>
      <c r="Z257" s="2290"/>
      <c r="AA257" s="2290"/>
      <c r="AB257" s="2290"/>
      <c r="AC257" s="2290"/>
      <c r="AD257" s="2290"/>
      <c r="AE257" s="2290"/>
      <c r="AF257" s="2290"/>
      <c r="AG257" s="2290"/>
      <c r="AH257" s="2290"/>
      <c r="AI257" s="2290"/>
      <c r="AJ257" s="2290"/>
      <c r="AK257" s="2290"/>
      <c r="AL257" s="2290"/>
      <c r="AM257" s="2290"/>
      <c r="AN257" s="2290"/>
      <c r="AO257" s="2290"/>
      <c r="AP257" s="2290"/>
      <c r="AQ257" s="2290"/>
      <c r="AR257" s="2290"/>
      <c r="AS257" s="2290"/>
      <c r="AT257" s="2290"/>
      <c r="AU257" s="2290"/>
      <c r="AV257" s="2290"/>
      <c r="AW257" s="2290"/>
      <c r="AX257" s="2290"/>
      <c r="AY257" s="2290"/>
      <c r="AZ257" s="2290"/>
      <c r="BA257" s="2290"/>
      <c r="BB257" s="2290"/>
      <c r="BC257" s="2290"/>
      <c r="BD257" s="2290"/>
      <c r="BE257" s="2290"/>
      <c r="BF257" s="2290"/>
      <c r="BG257" s="2290"/>
      <c r="BH257" s="2290"/>
      <c r="BI257" s="2290"/>
      <c r="BJ257" s="2290"/>
      <c r="BK257" s="2290"/>
      <c r="BL257" s="2290"/>
      <c r="BM257" s="2290"/>
      <c r="BN257" s="2290"/>
      <c r="BO257" s="2290"/>
      <c r="BP257" s="2290"/>
      <c r="BQ257" s="2290"/>
      <c r="BR257" s="2290"/>
      <c r="BS257" s="2290"/>
      <c r="BT257" s="2290"/>
      <c r="BU257" s="2290"/>
      <c r="BV257" s="2290"/>
      <c r="BW257" s="2290"/>
      <c r="BX257" s="2290"/>
      <c r="BY257" s="2290"/>
      <c r="BZ257" s="2290"/>
      <c r="CA257" s="2290"/>
    </row>
    <row r="258" spans="1:79">
      <c r="A258" s="2290"/>
      <c r="B258" s="2290"/>
      <c r="C258" s="2290"/>
      <c r="D258" s="2290"/>
      <c r="E258" s="2290"/>
      <c r="F258" s="2290"/>
      <c r="G258" s="2290"/>
      <c r="H258" s="2290"/>
      <c r="I258" s="2290"/>
      <c r="J258" s="2290"/>
      <c r="K258" s="2290"/>
      <c r="L258" s="2290"/>
      <c r="M258" s="2290"/>
      <c r="N258" s="2290"/>
      <c r="O258" s="2290"/>
      <c r="P258" s="2290"/>
      <c r="Q258" s="2290"/>
      <c r="R258" s="2290"/>
      <c r="S258" s="2290"/>
      <c r="T258" s="2290"/>
      <c r="U258" s="2290"/>
      <c r="V258" s="2290"/>
      <c r="W258" s="2290"/>
      <c r="X258" s="2290"/>
      <c r="Y258" s="2290"/>
      <c r="Z258" s="2290"/>
      <c r="AA258" s="2290"/>
      <c r="AB258" s="2290"/>
      <c r="AC258" s="2290"/>
      <c r="AD258" s="2290"/>
      <c r="AE258" s="2290"/>
      <c r="AF258" s="2290"/>
      <c r="AG258" s="2290"/>
      <c r="AH258" s="2290"/>
      <c r="AI258" s="2290"/>
      <c r="AJ258" s="2290"/>
      <c r="AK258" s="2290"/>
      <c r="AL258" s="2290"/>
      <c r="AM258" s="2290"/>
      <c r="AN258" s="2290"/>
      <c r="AO258" s="2290"/>
      <c r="AP258" s="2290"/>
      <c r="AQ258" s="2290"/>
      <c r="AR258" s="2290"/>
      <c r="AS258" s="2290"/>
      <c r="AT258" s="2290"/>
      <c r="AU258" s="2290"/>
      <c r="AV258" s="2290"/>
      <c r="AW258" s="2290"/>
      <c r="AX258" s="2290"/>
      <c r="AY258" s="2290"/>
      <c r="AZ258" s="2290"/>
      <c r="BA258" s="2290"/>
      <c r="BB258" s="2290"/>
      <c r="BC258" s="2290"/>
      <c r="BD258" s="2290"/>
      <c r="BE258" s="2290"/>
      <c r="BF258" s="2290"/>
      <c r="BG258" s="2290"/>
      <c r="BH258" s="2290"/>
      <c r="BI258" s="2290"/>
      <c r="BJ258" s="2290"/>
      <c r="BK258" s="2290"/>
      <c r="BL258" s="2290"/>
      <c r="BM258" s="2290"/>
      <c r="BN258" s="2290"/>
      <c r="BO258" s="2290"/>
      <c r="BP258" s="2290"/>
      <c r="BQ258" s="2290"/>
      <c r="BR258" s="2290"/>
      <c r="BS258" s="2290"/>
      <c r="BT258" s="2290"/>
      <c r="BU258" s="2290"/>
      <c r="BV258" s="2290"/>
      <c r="BW258" s="2290"/>
      <c r="BX258" s="2290"/>
      <c r="BY258" s="2290"/>
      <c r="BZ258" s="2290"/>
      <c r="CA258" s="2290"/>
    </row>
    <row r="259" spans="1:79">
      <c r="A259" s="2290"/>
      <c r="B259" s="2290"/>
      <c r="C259" s="2290"/>
      <c r="D259" s="2290"/>
      <c r="E259" s="2290"/>
      <c r="F259" s="2290"/>
      <c r="G259" s="2290"/>
      <c r="H259" s="2290"/>
      <c r="I259" s="2290"/>
      <c r="J259" s="2290"/>
      <c r="K259" s="2290"/>
      <c r="L259" s="2290"/>
      <c r="M259" s="2290"/>
      <c r="N259" s="2290"/>
      <c r="O259" s="2290"/>
      <c r="P259" s="2290"/>
      <c r="Q259" s="2290"/>
      <c r="R259" s="2290"/>
      <c r="S259" s="2290"/>
      <c r="T259" s="2290"/>
      <c r="U259" s="2290"/>
      <c r="V259" s="2290"/>
      <c r="W259" s="2290"/>
      <c r="X259" s="2290"/>
      <c r="Y259" s="2290"/>
      <c r="Z259" s="2290"/>
      <c r="AA259" s="2290"/>
      <c r="AB259" s="2290"/>
      <c r="AC259" s="2290"/>
      <c r="AD259" s="2290"/>
      <c r="AE259" s="2290"/>
      <c r="AF259" s="2290"/>
      <c r="AG259" s="2290"/>
      <c r="AH259" s="2290"/>
      <c r="AI259" s="2290"/>
      <c r="AJ259" s="2290"/>
      <c r="AK259" s="2290"/>
      <c r="AL259" s="2290"/>
      <c r="AM259" s="2290"/>
      <c r="AN259" s="2290"/>
      <c r="AO259" s="2290"/>
      <c r="AP259" s="2290"/>
      <c r="AQ259" s="2290"/>
      <c r="AR259" s="2290"/>
      <c r="AS259" s="2290"/>
      <c r="AT259" s="2290"/>
      <c r="AU259" s="2290"/>
      <c r="AV259" s="2290"/>
      <c r="AW259" s="2290"/>
      <c r="AX259" s="2290"/>
      <c r="AY259" s="2290"/>
      <c r="AZ259" s="2290"/>
      <c r="BA259" s="2290"/>
      <c r="BB259" s="2290"/>
      <c r="BC259" s="2290"/>
      <c r="BD259" s="2290"/>
      <c r="BE259" s="2290"/>
      <c r="BF259" s="2290"/>
      <c r="BG259" s="2290"/>
      <c r="BH259" s="2290"/>
      <c r="BI259" s="2290"/>
      <c r="BJ259" s="2290"/>
      <c r="BK259" s="2290"/>
      <c r="BL259" s="2290"/>
      <c r="BM259" s="2290"/>
      <c r="BN259" s="2290"/>
      <c r="BO259" s="2290"/>
      <c r="BP259" s="2290"/>
      <c r="BQ259" s="2290"/>
      <c r="BR259" s="2290"/>
      <c r="BS259" s="2290"/>
      <c r="BT259" s="2290"/>
      <c r="BU259" s="2290"/>
      <c r="BV259" s="2290"/>
      <c r="BW259" s="2290"/>
      <c r="BX259" s="2290"/>
      <c r="BY259" s="2290"/>
      <c r="BZ259" s="2290"/>
      <c r="CA259" s="2290"/>
    </row>
    <row r="260" spans="1:79">
      <c r="A260" s="2290"/>
      <c r="B260" s="2290"/>
      <c r="C260" s="2290"/>
      <c r="D260" s="2290"/>
      <c r="E260" s="2290"/>
      <c r="F260" s="2290"/>
      <c r="G260" s="2290"/>
      <c r="H260" s="2290"/>
      <c r="I260" s="2290"/>
      <c r="J260" s="2290"/>
      <c r="K260" s="2290"/>
      <c r="L260" s="2290"/>
      <c r="M260" s="2290"/>
      <c r="N260" s="2290"/>
      <c r="O260" s="2290"/>
      <c r="P260" s="2290"/>
      <c r="Q260" s="2290"/>
      <c r="R260" s="2290"/>
      <c r="S260" s="2290"/>
      <c r="T260" s="2290"/>
      <c r="U260" s="2290"/>
      <c r="V260" s="2290"/>
      <c r="W260" s="2290"/>
      <c r="X260" s="2290"/>
      <c r="Y260" s="2290"/>
      <c r="Z260" s="2290"/>
      <c r="AA260" s="2290"/>
      <c r="AB260" s="2290"/>
      <c r="AC260" s="2290"/>
      <c r="AD260" s="2290"/>
      <c r="AE260" s="2290"/>
      <c r="AF260" s="2290"/>
      <c r="AG260" s="2290"/>
      <c r="AH260" s="2290"/>
      <c r="AI260" s="2290"/>
      <c r="AJ260" s="2290"/>
      <c r="AK260" s="2290"/>
      <c r="AL260" s="2290"/>
      <c r="AM260" s="2290"/>
      <c r="AN260" s="2290"/>
      <c r="AO260" s="2290"/>
      <c r="AP260" s="2290"/>
      <c r="AQ260" s="2290"/>
      <c r="AR260" s="2290"/>
      <c r="AS260" s="2290"/>
      <c r="AT260" s="2290"/>
      <c r="AU260" s="2290"/>
      <c r="AV260" s="2290"/>
      <c r="AW260" s="2290"/>
      <c r="AX260" s="2290"/>
      <c r="AY260" s="2290"/>
      <c r="AZ260" s="2290"/>
      <c r="BA260" s="2290"/>
      <c r="BB260" s="2290"/>
      <c r="BC260" s="2290"/>
      <c r="BD260" s="2290"/>
      <c r="BE260" s="2290"/>
      <c r="BF260" s="2290"/>
      <c r="BG260" s="2290"/>
      <c r="BH260" s="2290"/>
      <c r="BI260" s="2290"/>
      <c r="BJ260" s="2290"/>
      <c r="BK260" s="2290"/>
      <c r="BL260" s="2290"/>
      <c r="BM260" s="2290"/>
      <c r="BN260" s="2290"/>
      <c r="BO260" s="2290"/>
      <c r="BP260" s="2290"/>
      <c r="BQ260" s="2290"/>
      <c r="BR260" s="2290"/>
      <c r="BS260" s="2290"/>
      <c r="BT260" s="2290"/>
      <c r="BU260" s="2290"/>
      <c r="BV260" s="2290"/>
      <c r="BW260" s="2290"/>
      <c r="BX260" s="2290"/>
      <c r="BY260" s="2290"/>
      <c r="BZ260" s="2290"/>
      <c r="CA260" s="2290"/>
    </row>
    <row r="261" spans="1:79">
      <c r="A261" s="2290"/>
      <c r="B261" s="2290"/>
      <c r="C261" s="2290"/>
      <c r="D261" s="2290"/>
      <c r="E261" s="2290"/>
      <c r="F261" s="2290"/>
      <c r="G261" s="2290"/>
      <c r="H261" s="2290"/>
      <c r="I261" s="2290"/>
      <c r="J261" s="2290"/>
      <c r="K261" s="2290"/>
      <c r="L261" s="2290"/>
      <c r="M261" s="2290"/>
      <c r="N261" s="2290"/>
      <c r="O261" s="2290"/>
      <c r="P261" s="2290"/>
      <c r="Q261" s="2290"/>
      <c r="R261" s="2290"/>
      <c r="S261" s="2290"/>
      <c r="T261" s="2290"/>
      <c r="U261" s="2290"/>
      <c r="V261" s="2290"/>
      <c r="W261" s="2290"/>
      <c r="X261" s="2290"/>
      <c r="Y261" s="2290"/>
      <c r="Z261" s="2290"/>
      <c r="AA261" s="2290"/>
      <c r="AB261" s="2290"/>
      <c r="AC261" s="2290"/>
      <c r="AD261" s="2290"/>
      <c r="AE261" s="2290"/>
      <c r="AF261" s="2290"/>
      <c r="AG261" s="2290"/>
      <c r="AH261" s="2290"/>
      <c r="AI261" s="2290"/>
      <c r="AJ261" s="2290"/>
      <c r="AK261" s="2290"/>
      <c r="AL261" s="2290"/>
      <c r="AM261" s="2290"/>
      <c r="AN261" s="2290"/>
      <c r="AO261" s="2290"/>
      <c r="AP261" s="2290"/>
      <c r="AQ261" s="2290"/>
      <c r="AR261" s="2290"/>
      <c r="AS261" s="2290"/>
      <c r="AT261" s="2290"/>
      <c r="AU261" s="2290"/>
      <c r="AV261" s="2290"/>
      <c r="AW261" s="2290"/>
      <c r="AX261" s="2290"/>
      <c r="AY261" s="2290"/>
      <c r="AZ261" s="2290"/>
      <c r="BA261" s="2290"/>
      <c r="BB261" s="2290"/>
      <c r="BC261" s="2290"/>
      <c r="BD261" s="2290"/>
      <c r="BE261" s="2290"/>
      <c r="BF261" s="2290"/>
      <c r="BG261" s="2290"/>
      <c r="BH261" s="2290"/>
      <c r="BI261" s="2290"/>
      <c r="BJ261" s="2290"/>
      <c r="BK261" s="2290"/>
      <c r="BL261" s="2290"/>
      <c r="BM261" s="2290"/>
      <c r="BN261" s="2290"/>
      <c r="BO261" s="2290"/>
      <c r="BP261" s="2290"/>
      <c r="BQ261" s="2290"/>
      <c r="BR261" s="2290"/>
      <c r="BS261" s="2290"/>
      <c r="BT261" s="2290"/>
      <c r="BU261" s="2290"/>
      <c r="BV261" s="2290"/>
      <c r="BW261" s="2290"/>
      <c r="BX261" s="2290"/>
      <c r="BY261" s="2290"/>
      <c r="BZ261" s="2290"/>
      <c r="CA261" s="2290"/>
    </row>
    <row r="262" spans="1:79">
      <c r="A262" s="2290"/>
      <c r="B262" s="2290"/>
      <c r="C262" s="2290"/>
      <c r="D262" s="2290"/>
      <c r="E262" s="2290"/>
      <c r="F262" s="2290"/>
      <c r="G262" s="2290"/>
      <c r="H262" s="2290"/>
      <c r="I262" s="2290"/>
      <c r="J262" s="2290"/>
      <c r="K262" s="2290"/>
      <c r="L262" s="2290"/>
      <c r="M262" s="2290"/>
      <c r="N262" s="2290"/>
      <c r="O262" s="2290"/>
      <c r="P262" s="2290"/>
      <c r="Q262" s="2290"/>
      <c r="R262" s="2290"/>
      <c r="S262" s="2290"/>
      <c r="T262" s="2290"/>
      <c r="U262" s="2290"/>
      <c r="V262" s="2290"/>
      <c r="W262" s="2290"/>
      <c r="X262" s="2290"/>
      <c r="Y262" s="2290"/>
      <c r="Z262" s="2290"/>
      <c r="AA262" s="2290"/>
      <c r="AB262" s="2290"/>
      <c r="AC262" s="2290"/>
      <c r="AD262" s="2290"/>
      <c r="AE262" s="2290"/>
      <c r="AF262" s="2290"/>
      <c r="AG262" s="2290"/>
      <c r="AH262" s="2290"/>
      <c r="AI262" s="2290"/>
      <c r="AJ262" s="2290"/>
      <c r="AK262" s="2290"/>
      <c r="AL262" s="2290"/>
      <c r="AM262" s="2290"/>
      <c r="AN262" s="2290"/>
      <c r="AO262" s="2290"/>
      <c r="AP262" s="2290"/>
      <c r="AQ262" s="2290"/>
      <c r="AR262" s="2290"/>
      <c r="AS262" s="2290"/>
      <c r="AT262" s="2290"/>
      <c r="AU262" s="2290"/>
      <c r="AV262" s="2290"/>
      <c r="AW262" s="2290"/>
      <c r="AX262" s="2290"/>
      <c r="AY262" s="2290"/>
      <c r="AZ262" s="2290"/>
      <c r="BA262" s="2290"/>
      <c r="BB262" s="2290"/>
      <c r="BC262" s="2290"/>
      <c r="BD262" s="2290"/>
      <c r="BE262" s="2290"/>
      <c r="BF262" s="2290"/>
      <c r="BG262" s="2290"/>
      <c r="BH262" s="2290"/>
      <c r="BI262" s="2290"/>
      <c r="BJ262" s="2290"/>
      <c r="BK262" s="2290"/>
      <c r="BL262" s="2290"/>
      <c r="BM262" s="2290"/>
      <c r="BN262" s="2290"/>
      <c r="BO262" s="2290"/>
      <c r="BP262" s="2290"/>
      <c r="BQ262" s="2290"/>
      <c r="BR262" s="2290"/>
      <c r="BS262" s="2290"/>
      <c r="BT262" s="2290"/>
      <c r="BU262" s="2290"/>
      <c r="BV262" s="2290"/>
      <c r="BW262" s="2290"/>
      <c r="BX262" s="2290"/>
      <c r="BY262" s="2290"/>
      <c r="BZ262" s="2290"/>
      <c r="CA262" s="2290"/>
    </row>
    <row r="263" spans="1:79">
      <c r="A263" s="2290"/>
      <c r="B263" s="2290"/>
      <c r="C263" s="2290"/>
      <c r="D263" s="2290"/>
      <c r="E263" s="2290"/>
      <c r="F263" s="2290"/>
      <c r="G263" s="2290"/>
      <c r="H263" s="2290"/>
      <c r="I263" s="2290"/>
      <c r="J263" s="2290"/>
      <c r="K263" s="2290"/>
      <c r="L263" s="2290"/>
      <c r="M263" s="2290"/>
      <c r="N263" s="2290"/>
      <c r="O263" s="2290"/>
      <c r="P263" s="2290"/>
      <c r="Q263" s="2290"/>
      <c r="R263" s="2290"/>
      <c r="S263" s="2290"/>
      <c r="T263" s="2290"/>
      <c r="U263" s="2290"/>
      <c r="V263" s="2290"/>
      <c r="W263" s="2290"/>
      <c r="X263" s="2290"/>
      <c r="Y263" s="2290"/>
      <c r="Z263" s="2290"/>
      <c r="AA263" s="2290"/>
      <c r="AB263" s="2290"/>
      <c r="AC263" s="2290"/>
      <c r="AD263" s="2290"/>
      <c r="AE263" s="2290"/>
      <c r="AF263" s="2290"/>
      <c r="AG263" s="2290"/>
      <c r="AH263" s="2290"/>
      <c r="AI263" s="2290"/>
      <c r="AJ263" s="2290"/>
      <c r="AK263" s="2290"/>
      <c r="AL263" s="2290"/>
      <c r="AM263" s="2290"/>
      <c r="AN263" s="2290"/>
      <c r="AO263" s="2290"/>
      <c r="AP263" s="2290"/>
      <c r="AQ263" s="2290"/>
      <c r="AR263" s="2290"/>
      <c r="AS263" s="2290"/>
      <c r="AT263" s="2290"/>
      <c r="AU263" s="2290"/>
      <c r="AV263" s="2290"/>
      <c r="AW263" s="2290"/>
      <c r="AX263" s="2290"/>
      <c r="AY263" s="2290"/>
      <c r="AZ263" s="2290"/>
      <c r="BA263" s="2290"/>
      <c r="BB263" s="2290"/>
      <c r="BC263" s="2290"/>
      <c r="BD263" s="2290"/>
      <c r="BE263" s="2290"/>
      <c r="BF263" s="2290"/>
      <c r="BG263" s="2290"/>
      <c r="BH263" s="2290"/>
      <c r="BI263" s="2290"/>
      <c r="BJ263" s="2290"/>
      <c r="BK263" s="2290"/>
      <c r="BL263" s="2290"/>
      <c r="BM263" s="2290"/>
      <c r="BN263" s="2290"/>
      <c r="BO263" s="2290"/>
      <c r="BP263" s="2290"/>
      <c r="BQ263" s="2290"/>
      <c r="BR263" s="2290"/>
      <c r="BS263" s="2290"/>
      <c r="BT263" s="2290"/>
      <c r="BU263" s="2290"/>
      <c r="BV263" s="2290"/>
      <c r="BW263" s="2290"/>
      <c r="BX263" s="2290"/>
      <c r="BY263" s="2290"/>
      <c r="BZ263" s="2290"/>
      <c r="CA263" s="2290"/>
    </row>
    <row r="264" spans="1:79">
      <c r="A264" s="2290"/>
      <c r="B264" s="2290"/>
      <c r="C264" s="2290"/>
      <c r="D264" s="2290"/>
      <c r="E264" s="2290"/>
      <c r="F264" s="2290"/>
      <c r="G264" s="2290"/>
      <c r="H264" s="2290"/>
      <c r="I264" s="2290"/>
      <c r="J264" s="2290"/>
      <c r="K264" s="2290"/>
      <c r="L264" s="2290"/>
      <c r="M264" s="2290"/>
      <c r="N264" s="2290"/>
      <c r="O264" s="2290"/>
      <c r="P264" s="2290"/>
      <c r="Q264" s="2290"/>
      <c r="R264" s="2290"/>
      <c r="S264" s="2290"/>
      <c r="T264" s="2290"/>
      <c r="U264" s="2290"/>
      <c r="V264" s="2290"/>
      <c r="W264" s="2290"/>
      <c r="X264" s="2290"/>
      <c r="Y264" s="2290"/>
      <c r="Z264" s="2290"/>
      <c r="AA264" s="2290"/>
      <c r="AB264" s="2290"/>
      <c r="AC264" s="2290"/>
      <c r="AD264" s="2290"/>
      <c r="AE264" s="2290"/>
      <c r="AF264" s="2290"/>
      <c r="AG264" s="2290"/>
      <c r="AH264" s="2290"/>
      <c r="AI264" s="2290"/>
      <c r="AJ264" s="2290"/>
      <c r="AK264" s="2290"/>
      <c r="AL264" s="2290"/>
      <c r="AM264" s="2290"/>
      <c r="AN264" s="2290"/>
      <c r="AO264" s="2290"/>
      <c r="AP264" s="2290"/>
      <c r="AQ264" s="2290"/>
      <c r="AR264" s="2290"/>
      <c r="AS264" s="2290"/>
      <c r="AT264" s="2290"/>
      <c r="AU264" s="2290"/>
      <c r="AV264" s="2290"/>
      <c r="AW264" s="2290"/>
      <c r="AX264" s="2290"/>
      <c r="AY264" s="2290"/>
      <c r="AZ264" s="2290"/>
      <c r="BA264" s="2290"/>
      <c r="BB264" s="2290"/>
      <c r="BC264" s="2290"/>
      <c r="BD264" s="2290"/>
      <c r="BE264" s="2290"/>
      <c r="BF264" s="2290"/>
      <c r="BG264" s="2290"/>
      <c r="BH264" s="2290"/>
      <c r="BI264" s="2290"/>
      <c r="BJ264" s="2290"/>
      <c r="BK264" s="2290"/>
      <c r="BL264" s="2290"/>
      <c r="BM264" s="2290"/>
      <c r="BN264" s="2290"/>
      <c r="BO264" s="2290"/>
      <c r="BP264" s="2290"/>
      <c r="BQ264" s="2290"/>
      <c r="BR264" s="2290"/>
      <c r="BS264" s="2290"/>
      <c r="BT264" s="2290"/>
      <c r="BU264" s="2290"/>
      <c r="BV264" s="2290"/>
      <c r="BW264" s="2290"/>
      <c r="BX264" s="2290"/>
      <c r="BY264" s="2290"/>
      <c r="BZ264" s="2290"/>
      <c r="CA264" s="2290"/>
    </row>
    <row r="265" spans="1:79">
      <c r="A265" s="2290"/>
      <c r="B265" s="2290"/>
      <c r="C265" s="2290"/>
      <c r="D265" s="2290"/>
      <c r="E265" s="2290"/>
      <c r="F265" s="2290"/>
      <c r="G265" s="2290"/>
      <c r="H265" s="2290"/>
      <c r="I265" s="2290"/>
      <c r="J265" s="2290"/>
      <c r="K265" s="2290"/>
      <c r="L265" s="2290"/>
      <c r="M265" s="2290"/>
      <c r="N265" s="2290"/>
      <c r="O265" s="2290"/>
      <c r="P265" s="2290"/>
      <c r="Q265" s="2290"/>
      <c r="R265" s="2290"/>
      <c r="S265" s="2290"/>
      <c r="T265" s="2290"/>
      <c r="U265" s="2290"/>
      <c r="V265" s="2290"/>
      <c r="W265" s="2290"/>
      <c r="X265" s="2290"/>
      <c r="Y265" s="2290"/>
      <c r="Z265" s="2290"/>
      <c r="AA265" s="2290"/>
      <c r="AB265" s="2290"/>
      <c r="AC265" s="2290"/>
      <c r="AD265" s="2290"/>
      <c r="AE265" s="2290"/>
      <c r="AF265" s="2290"/>
      <c r="AG265" s="2290"/>
      <c r="AH265" s="2290"/>
      <c r="AI265" s="2290"/>
      <c r="AJ265" s="2290"/>
      <c r="AK265" s="2290"/>
      <c r="AL265" s="2290"/>
      <c r="AM265" s="2290"/>
      <c r="AN265" s="2290"/>
      <c r="AO265" s="2290"/>
      <c r="AP265" s="2290"/>
      <c r="AQ265" s="2290"/>
      <c r="AR265" s="2290"/>
      <c r="AS265" s="2290"/>
      <c r="AT265" s="2290"/>
      <c r="AU265" s="2290"/>
      <c r="AV265" s="2290"/>
      <c r="AW265" s="2290"/>
      <c r="AX265" s="2290"/>
      <c r="AY265" s="2290"/>
      <c r="AZ265" s="2290"/>
      <c r="BA265" s="2290"/>
      <c r="BB265" s="2290"/>
      <c r="BC265" s="2290"/>
      <c r="BD265" s="2290"/>
      <c r="BE265" s="2290"/>
      <c r="BF265" s="2290"/>
      <c r="BG265" s="2290"/>
      <c r="BH265" s="2290"/>
      <c r="BI265" s="2290"/>
      <c r="BJ265" s="2290"/>
      <c r="BK265" s="2290"/>
      <c r="BL265" s="2290"/>
      <c r="BM265" s="2290"/>
      <c r="BN265" s="2290"/>
      <c r="BO265" s="2290"/>
      <c r="BP265" s="2290"/>
      <c r="BQ265" s="2290"/>
      <c r="BR265" s="2290"/>
      <c r="BS265" s="2290"/>
      <c r="BT265" s="2290"/>
      <c r="BU265" s="2290"/>
      <c r="BV265" s="2290"/>
      <c r="BW265" s="2290"/>
      <c r="BX265" s="2290"/>
      <c r="BY265" s="2290"/>
      <c r="BZ265" s="2290"/>
      <c r="CA265" s="2290"/>
    </row>
    <row r="266" spans="1:79">
      <c r="A266" s="2290"/>
      <c r="B266" s="2290"/>
      <c r="C266" s="2290"/>
      <c r="D266" s="2290"/>
      <c r="E266" s="2290"/>
      <c r="F266" s="2290"/>
      <c r="G266" s="2290"/>
      <c r="H266" s="2290"/>
      <c r="I266" s="2290"/>
      <c r="J266" s="2290"/>
      <c r="K266" s="2290"/>
      <c r="L266" s="2290"/>
      <c r="M266" s="2290"/>
      <c r="N266" s="2290"/>
      <c r="O266" s="2290"/>
      <c r="P266" s="2290"/>
      <c r="Q266" s="2290"/>
      <c r="R266" s="2290"/>
      <c r="S266" s="2290"/>
      <c r="T266" s="2290"/>
      <c r="U266" s="2290"/>
      <c r="V266" s="2290"/>
      <c r="W266" s="2290"/>
      <c r="X266" s="2290"/>
      <c r="Y266" s="2290"/>
      <c r="Z266" s="2290"/>
      <c r="AA266" s="2290"/>
      <c r="AB266" s="2290"/>
      <c r="AC266" s="2290"/>
      <c r="AD266" s="2290"/>
      <c r="AE266" s="2290"/>
      <c r="AF266" s="2290"/>
      <c r="AG266" s="2290"/>
      <c r="AH266" s="2290"/>
      <c r="AI266" s="2290"/>
      <c r="AJ266" s="2290"/>
      <c r="AK266" s="2290"/>
      <c r="AL266" s="2290"/>
      <c r="AM266" s="2290"/>
      <c r="AN266" s="2290"/>
      <c r="AO266" s="2290"/>
      <c r="AP266" s="2290"/>
      <c r="AQ266" s="2290"/>
      <c r="AR266" s="2290"/>
      <c r="AS266" s="2290"/>
      <c r="AT266" s="2290"/>
      <c r="AU266" s="2290"/>
      <c r="AV266" s="2290"/>
      <c r="AW266" s="2290"/>
      <c r="AX266" s="2290"/>
      <c r="AY266" s="2290"/>
      <c r="AZ266" s="2290"/>
      <c r="BA266" s="2290"/>
      <c r="BB266" s="2290"/>
      <c r="BC266" s="2290"/>
      <c r="BD266" s="2290"/>
      <c r="BE266" s="2290"/>
      <c r="BF266" s="2290"/>
      <c r="BG266" s="2290"/>
      <c r="BH266" s="2290"/>
      <c r="BI266" s="2290"/>
      <c r="BJ266" s="2290"/>
      <c r="BK266" s="2290"/>
      <c r="BL266" s="2290"/>
      <c r="BM266" s="2290"/>
      <c r="BN266" s="2290"/>
      <c r="BO266" s="2290"/>
      <c r="BP266" s="2290"/>
      <c r="BQ266" s="2290"/>
      <c r="BR266" s="2290"/>
      <c r="BS266" s="2290"/>
      <c r="BT266" s="2290"/>
      <c r="BU266" s="2290"/>
      <c r="BV266" s="2290"/>
      <c r="BW266" s="2290"/>
      <c r="BX266" s="2290"/>
      <c r="BY266" s="2290"/>
      <c r="BZ266" s="2290"/>
      <c r="CA266" s="2290"/>
    </row>
    <row r="267" spans="1:79">
      <c r="A267" s="2290"/>
      <c r="B267" s="2290"/>
      <c r="C267" s="2290"/>
      <c r="D267" s="2290"/>
      <c r="E267" s="2290"/>
      <c r="F267" s="2290"/>
      <c r="G267" s="2290"/>
      <c r="H267" s="2290"/>
      <c r="I267" s="2290"/>
      <c r="J267" s="2290"/>
      <c r="K267" s="2290"/>
      <c r="L267" s="2290"/>
      <c r="M267" s="2290"/>
      <c r="N267" s="2290"/>
      <c r="O267" s="2290"/>
      <c r="P267" s="2290"/>
      <c r="Q267" s="2290"/>
      <c r="R267" s="2290"/>
      <c r="S267" s="2290"/>
      <c r="T267" s="2290"/>
      <c r="U267" s="2290"/>
      <c r="V267" s="2290"/>
      <c r="W267" s="2290"/>
      <c r="X267" s="2290"/>
      <c r="Y267" s="2290"/>
      <c r="Z267" s="2290"/>
      <c r="AA267" s="2290"/>
      <c r="AB267" s="2290"/>
      <c r="AC267" s="2290"/>
      <c r="AD267" s="2290"/>
      <c r="AE267" s="2290"/>
      <c r="AF267" s="2290"/>
      <c r="AG267" s="2290"/>
      <c r="AH267" s="2290"/>
      <c r="AI267" s="2290"/>
      <c r="AJ267" s="2290"/>
      <c r="AK267" s="2290"/>
      <c r="AL267" s="2290"/>
      <c r="AM267" s="2290"/>
      <c r="AN267" s="2290"/>
      <c r="AO267" s="2290"/>
      <c r="AP267" s="2290"/>
      <c r="AQ267" s="2290"/>
      <c r="AR267" s="2290"/>
      <c r="AS267" s="2290"/>
      <c r="AT267" s="2290"/>
      <c r="AU267" s="2290"/>
      <c r="AV267" s="2290"/>
      <c r="AW267" s="2290"/>
      <c r="AX267" s="2290"/>
      <c r="AY267" s="2290"/>
      <c r="AZ267" s="2290"/>
      <c r="BA267" s="2290"/>
      <c r="BB267" s="2290"/>
      <c r="BC267" s="2290"/>
      <c r="BD267" s="2290"/>
      <c r="BE267" s="2290"/>
      <c r="BF267" s="2290"/>
      <c r="BG267" s="2290"/>
      <c r="BH267" s="2290"/>
      <c r="BI267" s="2290"/>
      <c r="BJ267" s="2290"/>
      <c r="BK267" s="2290"/>
      <c r="BL267" s="2290"/>
      <c r="BM267" s="2290"/>
      <c r="BN267" s="2290"/>
      <c r="BO267" s="2290"/>
      <c r="BP267" s="2290"/>
      <c r="BQ267" s="2290"/>
      <c r="BR267" s="2290"/>
      <c r="BS267" s="2290"/>
      <c r="BT267" s="2290"/>
      <c r="BU267" s="2290"/>
      <c r="BV267" s="2290"/>
      <c r="BW267" s="2290"/>
      <c r="BX267" s="2290"/>
      <c r="BY267" s="2290"/>
      <c r="BZ267" s="2290"/>
      <c r="CA267" s="2290"/>
    </row>
    <row r="268" spans="1:79">
      <c r="A268" s="2290"/>
      <c r="B268" s="2290"/>
      <c r="C268" s="2290"/>
      <c r="D268" s="2290"/>
      <c r="E268" s="2290"/>
      <c r="F268" s="2290"/>
      <c r="G268" s="2290"/>
      <c r="H268" s="2290"/>
      <c r="I268" s="2290"/>
      <c r="J268" s="2290"/>
      <c r="K268" s="2290"/>
      <c r="L268" s="2290"/>
      <c r="M268" s="2290"/>
      <c r="N268" s="2290"/>
      <c r="O268" s="2290"/>
      <c r="P268" s="2290"/>
      <c r="Q268" s="2290"/>
      <c r="R268" s="2290"/>
      <c r="S268" s="2290"/>
      <c r="T268" s="2290"/>
      <c r="U268" s="2290"/>
      <c r="V268" s="2290"/>
      <c r="W268" s="2290"/>
      <c r="X268" s="2290"/>
      <c r="Y268" s="2290"/>
      <c r="Z268" s="2290"/>
      <c r="AA268" s="2290"/>
      <c r="AB268" s="2290"/>
      <c r="AC268" s="2290"/>
      <c r="AD268" s="2290"/>
      <c r="AE268" s="2290"/>
      <c r="AF268" s="2290"/>
      <c r="AG268" s="2290"/>
      <c r="AH268" s="2290"/>
      <c r="AI268" s="2290"/>
      <c r="AJ268" s="2290"/>
      <c r="AK268" s="2290"/>
      <c r="AL268" s="2290"/>
      <c r="AM268" s="2290"/>
      <c r="AN268" s="2290"/>
      <c r="AO268" s="2290"/>
      <c r="AP268" s="2290"/>
      <c r="AQ268" s="2290"/>
      <c r="AR268" s="2290"/>
      <c r="AS268" s="2290"/>
      <c r="AT268" s="2290"/>
      <c r="AU268" s="2290"/>
      <c r="AV268" s="2290"/>
      <c r="AW268" s="2290"/>
      <c r="AX268" s="2290"/>
      <c r="AY268" s="2290"/>
      <c r="AZ268" s="2290"/>
      <c r="BA268" s="2290"/>
      <c r="BB268" s="2290"/>
      <c r="BC268" s="2290"/>
      <c r="BD268" s="2290"/>
      <c r="BE268" s="2290"/>
      <c r="BF268" s="2290"/>
      <c r="BG268" s="2290"/>
      <c r="BH268" s="2290"/>
      <c r="BI268" s="2290"/>
      <c r="BJ268" s="2290"/>
      <c r="BK268" s="2290"/>
      <c r="BL268" s="2290"/>
      <c r="BM268" s="2290"/>
      <c r="BN268" s="2290"/>
      <c r="BO268" s="2290"/>
      <c r="BP268" s="2290"/>
      <c r="BQ268" s="2290"/>
      <c r="BR268" s="2290"/>
      <c r="BS268" s="2290"/>
      <c r="BT268" s="2290"/>
      <c r="BU268" s="2290"/>
      <c r="BV268" s="2290"/>
      <c r="BW268" s="2290"/>
      <c r="BX268" s="2290"/>
      <c r="BY268" s="2290"/>
      <c r="BZ268" s="2290"/>
      <c r="CA268" s="2290"/>
    </row>
    <row r="269" spans="1:79">
      <c r="A269" s="2290"/>
      <c r="B269" s="2290"/>
      <c r="C269" s="2290"/>
      <c r="D269" s="2290"/>
      <c r="E269" s="2290"/>
      <c r="F269" s="2290"/>
      <c r="G269" s="2290"/>
      <c r="H269" s="2290"/>
      <c r="I269" s="2290"/>
      <c r="J269" s="2290"/>
      <c r="K269" s="2290"/>
      <c r="L269" s="2290"/>
      <c r="M269" s="2290"/>
      <c r="N269" s="2290"/>
      <c r="O269" s="2290"/>
      <c r="P269" s="2290"/>
      <c r="Q269" s="2290"/>
      <c r="R269" s="2290"/>
      <c r="S269" s="2290"/>
      <c r="T269" s="2290"/>
      <c r="U269" s="2290"/>
      <c r="V269" s="2290"/>
      <c r="W269" s="2290"/>
      <c r="X269" s="2290"/>
      <c r="Y269" s="2290"/>
      <c r="Z269" s="2290"/>
      <c r="AA269" s="2290"/>
      <c r="AB269" s="2290"/>
      <c r="AC269" s="2290"/>
      <c r="AD269" s="2290"/>
      <c r="AE269" s="2290"/>
      <c r="AF269" s="2290"/>
      <c r="AG269" s="2290"/>
      <c r="AH269" s="2290"/>
      <c r="AI269" s="2290"/>
      <c r="AJ269" s="2290"/>
      <c r="AK269" s="2290"/>
      <c r="AL269" s="2290"/>
      <c r="AM269" s="2290"/>
      <c r="AN269" s="2290"/>
      <c r="AO269" s="2290"/>
      <c r="AP269" s="2290"/>
      <c r="AQ269" s="2290"/>
      <c r="AR269" s="2290"/>
      <c r="AS269" s="2290"/>
      <c r="AT269" s="2290"/>
      <c r="AU269" s="2290"/>
      <c r="AV269" s="2290"/>
      <c r="AW269" s="2290"/>
      <c r="AX269" s="2290"/>
      <c r="AY269" s="2290"/>
      <c r="AZ269" s="2290"/>
      <c r="BA269" s="2290"/>
      <c r="BB269" s="2290"/>
      <c r="BC269" s="2290"/>
      <c r="BD269" s="2290"/>
      <c r="BE269" s="2290"/>
      <c r="BF269" s="2290"/>
      <c r="BG269" s="2290"/>
      <c r="BH269" s="2290"/>
      <c r="BI269" s="2290"/>
      <c r="BJ269" s="2290"/>
      <c r="BK269" s="2290"/>
      <c r="BL269" s="2290"/>
      <c r="BM269" s="2290"/>
      <c r="BN269" s="2290"/>
      <c r="BO269" s="2290"/>
      <c r="BP269" s="2290"/>
      <c r="BQ269" s="2290"/>
      <c r="BR269" s="2290"/>
      <c r="BS269" s="2290"/>
      <c r="BT269" s="2290"/>
      <c r="BU269" s="2290"/>
      <c r="BV269" s="2290"/>
      <c r="BW269" s="2290"/>
      <c r="BX269" s="2290"/>
      <c r="BY269" s="2290"/>
      <c r="BZ269" s="2290"/>
      <c r="CA269" s="2290"/>
    </row>
    <row r="270" spans="1:79">
      <c r="A270" s="2290"/>
      <c r="B270" s="2290"/>
      <c r="C270" s="2290"/>
      <c r="D270" s="2290"/>
      <c r="E270" s="2290"/>
      <c r="F270" s="2290"/>
      <c r="G270" s="2290"/>
      <c r="H270" s="2290"/>
      <c r="I270" s="2290"/>
      <c r="J270" s="2290"/>
      <c r="K270" s="2290"/>
      <c r="L270" s="2290"/>
      <c r="M270" s="2290"/>
      <c r="N270" s="2290"/>
      <c r="O270" s="2290"/>
      <c r="P270" s="2290"/>
      <c r="Q270" s="2290"/>
      <c r="R270" s="2290"/>
      <c r="S270" s="2290"/>
      <c r="T270" s="2290"/>
      <c r="U270" s="2290"/>
      <c r="V270" s="2290"/>
      <c r="W270" s="2290"/>
      <c r="X270" s="2290"/>
      <c r="Y270" s="2290"/>
      <c r="Z270" s="2290"/>
      <c r="AA270" s="2290"/>
      <c r="AB270" s="2290"/>
      <c r="AC270" s="2290"/>
      <c r="AD270" s="2290"/>
      <c r="AE270" s="2290"/>
      <c r="AF270" s="2290"/>
      <c r="AG270" s="2290"/>
      <c r="AH270" s="2290"/>
      <c r="AI270" s="2290"/>
      <c r="AJ270" s="2290"/>
      <c r="AK270" s="2290"/>
      <c r="AL270" s="2290"/>
      <c r="AM270" s="2290"/>
      <c r="AN270" s="2290"/>
      <c r="AO270" s="2290"/>
      <c r="AP270" s="2290"/>
      <c r="AQ270" s="2290"/>
      <c r="AR270" s="2290"/>
      <c r="AS270" s="2290"/>
      <c r="AT270" s="2290"/>
      <c r="AU270" s="2290"/>
      <c r="AV270" s="2290"/>
      <c r="AW270" s="2290"/>
      <c r="AX270" s="2290"/>
      <c r="AY270" s="2290"/>
      <c r="AZ270" s="2290"/>
      <c r="BA270" s="2290"/>
      <c r="BB270" s="2290"/>
      <c r="BC270" s="2290"/>
      <c r="BD270" s="2290"/>
      <c r="BE270" s="2290"/>
      <c r="BF270" s="2290"/>
      <c r="BG270" s="2290"/>
      <c r="BH270" s="2290"/>
      <c r="BI270" s="2290"/>
      <c r="BJ270" s="2290"/>
      <c r="BK270" s="2290"/>
      <c r="BL270" s="2290"/>
      <c r="BM270" s="2290"/>
      <c r="BN270" s="2290"/>
      <c r="BO270" s="2290"/>
      <c r="BP270" s="2290"/>
      <c r="BQ270" s="2290"/>
      <c r="BR270" s="2290"/>
      <c r="BS270" s="2290"/>
      <c r="BT270" s="2290"/>
      <c r="BU270" s="2290"/>
      <c r="BV270" s="2290"/>
      <c r="BW270" s="2290"/>
      <c r="BX270" s="2290"/>
      <c r="BY270" s="2290"/>
      <c r="BZ270" s="2290"/>
      <c r="CA270" s="2290"/>
    </row>
    <row r="271" spans="1:79">
      <c r="A271" s="2290"/>
      <c r="B271" s="2290"/>
      <c r="C271" s="2290"/>
      <c r="D271" s="2290"/>
      <c r="E271" s="2290"/>
      <c r="F271" s="2290"/>
      <c r="G271" s="2290"/>
      <c r="H271" s="2290"/>
      <c r="I271" s="2290"/>
      <c r="J271" s="2290"/>
      <c r="K271" s="2290"/>
      <c r="L271" s="2290"/>
      <c r="M271" s="2290"/>
      <c r="N271" s="2290"/>
      <c r="O271" s="2290"/>
      <c r="P271" s="2290"/>
      <c r="Q271" s="2290"/>
      <c r="R271" s="2290"/>
      <c r="S271" s="2290"/>
      <c r="T271" s="2290"/>
      <c r="U271" s="2290"/>
      <c r="V271" s="2290"/>
      <c r="W271" s="2290"/>
      <c r="X271" s="2290"/>
      <c r="Y271" s="2290"/>
      <c r="Z271" s="2290"/>
      <c r="AA271" s="2290"/>
      <c r="AB271" s="2290"/>
      <c r="AC271" s="2290"/>
      <c r="AD271" s="2290"/>
      <c r="AE271" s="2290"/>
      <c r="AF271" s="2290"/>
      <c r="AG271" s="2290"/>
      <c r="AH271" s="2290"/>
      <c r="AI271" s="2290"/>
      <c r="AJ271" s="2290"/>
      <c r="AK271" s="2290"/>
      <c r="AL271" s="2290"/>
      <c r="AM271" s="2290"/>
      <c r="AN271" s="2290"/>
      <c r="AO271" s="2290"/>
      <c r="AP271" s="2290"/>
      <c r="AQ271" s="2290"/>
      <c r="AR271" s="2290"/>
      <c r="AS271" s="2290"/>
      <c r="AT271" s="2290"/>
      <c r="AU271" s="2290"/>
      <c r="AV271" s="2290"/>
      <c r="AW271" s="2290"/>
      <c r="AX271" s="2290"/>
      <c r="AY271" s="2290"/>
      <c r="AZ271" s="2290"/>
      <c r="BA271" s="2290"/>
      <c r="BB271" s="2290"/>
      <c r="BC271" s="2290"/>
      <c r="BD271" s="2290"/>
      <c r="BE271" s="2290"/>
      <c r="BF271" s="2290"/>
      <c r="BG271" s="2290"/>
      <c r="BH271" s="2290"/>
      <c r="BI271" s="2290"/>
      <c r="BJ271" s="2290"/>
      <c r="BK271" s="2290"/>
      <c r="BL271" s="2290"/>
      <c r="BM271" s="2290"/>
      <c r="BN271" s="2290"/>
      <c r="BO271" s="2290"/>
      <c r="BP271" s="2290"/>
      <c r="BQ271" s="2290"/>
      <c r="BR271" s="2290"/>
      <c r="BS271" s="2290"/>
      <c r="BT271" s="2290"/>
      <c r="BU271" s="2290"/>
      <c r="BV271" s="2290"/>
      <c r="BW271" s="2290"/>
      <c r="BX271" s="2290"/>
      <c r="BY271" s="2290"/>
      <c r="BZ271" s="2290"/>
      <c r="CA271" s="2290"/>
    </row>
    <row r="272" spans="1:79">
      <c r="A272" s="2290"/>
      <c r="B272" s="2290"/>
      <c r="C272" s="2290"/>
      <c r="D272" s="2290"/>
      <c r="E272" s="2290"/>
      <c r="F272" s="2290"/>
      <c r="G272" s="2290"/>
      <c r="H272" s="2290"/>
      <c r="I272" s="2290"/>
      <c r="J272" s="2290"/>
      <c r="K272" s="2290"/>
      <c r="L272" s="2290"/>
      <c r="M272" s="2290"/>
      <c r="N272" s="2290"/>
      <c r="O272" s="2290"/>
      <c r="P272" s="2290"/>
      <c r="Q272" s="2290"/>
      <c r="R272" s="2290"/>
      <c r="S272" s="2290"/>
      <c r="T272" s="2290"/>
      <c r="U272" s="2290"/>
      <c r="V272" s="2290"/>
      <c r="W272" s="2290"/>
      <c r="X272" s="2290"/>
      <c r="Y272" s="2290"/>
      <c r="Z272" s="2290"/>
      <c r="AA272" s="2290"/>
      <c r="AB272" s="2290"/>
      <c r="AC272" s="2290"/>
      <c r="AD272" s="2290"/>
      <c r="AE272" s="2290"/>
      <c r="AF272" s="2290"/>
      <c r="AG272" s="2290"/>
      <c r="AH272" s="2290"/>
      <c r="AI272" s="2290"/>
      <c r="AJ272" s="2290"/>
      <c r="AK272" s="2290"/>
      <c r="AL272" s="2290"/>
      <c r="AM272" s="2290"/>
      <c r="AN272" s="2290"/>
      <c r="AO272" s="2290"/>
      <c r="AP272" s="2290"/>
      <c r="AQ272" s="2290"/>
      <c r="AR272" s="2290"/>
      <c r="AS272" s="2290"/>
      <c r="AT272" s="2290"/>
      <c r="AU272" s="2290"/>
      <c r="AV272" s="2290"/>
      <c r="AW272" s="2290"/>
      <c r="AX272" s="2290"/>
      <c r="AY272" s="2290"/>
      <c r="AZ272" s="2290"/>
      <c r="BA272" s="2290"/>
      <c r="BB272" s="2290"/>
      <c r="BC272" s="2290"/>
      <c r="BD272" s="2290"/>
      <c r="BE272" s="2290"/>
      <c r="BF272" s="2290"/>
      <c r="BG272" s="2290"/>
      <c r="BH272" s="2290"/>
      <c r="BI272" s="2290"/>
      <c r="BJ272" s="2290"/>
      <c r="BK272" s="2290"/>
      <c r="BL272" s="2290"/>
      <c r="BM272" s="2290"/>
      <c r="BN272" s="2290"/>
      <c r="BO272" s="2290"/>
      <c r="BP272" s="2290"/>
      <c r="BQ272" s="2290"/>
      <c r="BR272" s="2290"/>
      <c r="BS272" s="2290"/>
      <c r="BT272" s="2290"/>
      <c r="BU272" s="2290"/>
      <c r="BV272" s="2290"/>
      <c r="BW272" s="2290"/>
      <c r="BX272" s="2290"/>
      <c r="BY272" s="2290"/>
      <c r="BZ272" s="2290"/>
      <c r="CA272" s="2290"/>
    </row>
    <row r="273" spans="1:79">
      <c r="A273" s="2290"/>
      <c r="B273" s="2290"/>
      <c r="C273" s="2290"/>
      <c r="D273" s="2290"/>
      <c r="E273" s="2290"/>
      <c r="F273" s="2290"/>
      <c r="G273" s="2290"/>
      <c r="H273" s="2290"/>
      <c r="I273" s="2290"/>
      <c r="J273" s="2290"/>
      <c r="K273" s="2290"/>
      <c r="L273" s="2290"/>
      <c r="M273" s="2290"/>
      <c r="N273" s="2290"/>
      <c r="O273" s="2290"/>
      <c r="P273" s="2290"/>
      <c r="Q273" s="2290"/>
      <c r="R273" s="2290"/>
      <c r="S273" s="2290"/>
      <c r="T273" s="2290"/>
      <c r="U273" s="2290"/>
      <c r="V273" s="2290"/>
      <c r="W273" s="2290"/>
      <c r="X273" s="2290"/>
      <c r="Y273" s="2290"/>
      <c r="Z273" s="2290"/>
      <c r="AA273" s="2290"/>
      <c r="AB273" s="2290"/>
      <c r="AC273" s="2290"/>
      <c r="AD273" s="2290"/>
      <c r="AE273" s="2290"/>
      <c r="AF273" s="2290"/>
      <c r="AG273" s="2290"/>
      <c r="AH273" s="2290"/>
      <c r="AI273" s="2290"/>
      <c r="AJ273" s="2290"/>
      <c r="AK273" s="2290"/>
      <c r="AL273" s="2290"/>
      <c r="AM273" s="2290"/>
      <c r="AN273" s="2290"/>
      <c r="AO273" s="2290"/>
      <c r="AP273" s="2290"/>
      <c r="AQ273" s="2290"/>
      <c r="AR273" s="2290"/>
      <c r="AS273" s="2290"/>
      <c r="AT273" s="2290"/>
      <c r="AU273" s="2290"/>
      <c r="AV273" s="2290"/>
      <c r="AW273" s="2290"/>
      <c r="AX273" s="2290"/>
      <c r="AY273" s="2290"/>
      <c r="AZ273" s="2290"/>
      <c r="BA273" s="2290"/>
      <c r="BB273" s="2290"/>
      <c r="BC273" s="2290"/>
      <c r="BD273" s="2290"/>
      <c r="BE273" s="2290"/>
      <c r="BF273" s="2290"/>
      <c r="BG273" s="2290"/>
      <c r="BH273" s="2290"/>
      <c r="BI273" s="2290"/>
      <c r="BJ273" s="2290"/>
      <c r="BK273" s="2290"/>
      <c r="BL273" s="2290"/>
      <c r="BM273" s="2290"/>
      <c r="BN273" s="2290"/>
      <c r="BO273" s="2290"/>
      <c r="BP273" s="2290"/>
      <c r="BQ273" s="2290"/>
      <c r="BR273" s="2290"/>
      <c r="BS273" s="2290"/>
      <c r="BT273" s="2290"/>
      <c r="BU273" s="2290"/>
      <c r="BV273" s="2290"/>
      <c r="BW273" s="2290"/>
      <c r="BX273" s="2290"/>
      <c r="BY273" s="2290"/>
      <c r="BZ273" s="2290"/>
      <c r="CA273" s="2290"/>
    </row>
    <row r="274" spans="1:79">
      <c r="A274" s="2290"/>
      <c r="B274" s="2290"/>
      <c r="C274" s="2290"/>
      <c r="D274" s="2290"/>
      <c r="E274" s="2290"/>
      <c r="F274" s="2290"/>
      <c r="G274" s="2290"/>
      <c r="H274" s="2290"/>
      <c r="I274" s="2290"/>
      <c r="J274" s="2290"/>
      <c r="K274" s="2290"/>
      <c r="L274" s="2290"/>
      <c r="M274" s="2290"/>
      <c r="N274" s="2290"/>
      <c r="O274" s="2290"/>
      <c r="P274" s="2290"/>
      <c r="Q274" s="2290"/>
      <c r="R274" s="2290"/>
      <c r="S274" s="2290"/>
      <c r="T274" s="2290"/>
      <c r="U274" s="2290"/>
      <c r="V274" s="2290"/>
      <c r="W274" s="2290"/>
      <c r="X274" s="2290"/>
      <c r="Y274" s="2290"/>
      <c r="Z274" s="2290"/>
      <c r="AA274" s="2290"/>
      <c r="AB274" s="2290"/>
      <c r="AC274" s="2290"/>
      <c r="AD274" s="2290"/>
      <c r="AE274" s="2290"/>
      <c r="AF274" s="2290"/>
      <c r="AG274" s="2290"/>
      <c r="AH274" s="2290"/>
      <c r="AI274" s="2290"/>
      <c r="AJ274" s="2290"/>
      <c r="AK274" s="2290"/>
      <c r="AL274" s="2290"/>
      <c r="AM274" s="2290"/>
      <c r="AN274" s="2290"/>
      <c r="AO274" s="2290"/>
      <c r="AP274" s="2290"/>
      <c r="AQ274" s="2290"/>
      <c r="AR274" s="2290"/>
      <c r="AS274" s="2290"/>
      <c r="AT274" s="2290"/>
      <c r="AU274" s="2290"/>
      <c r="AV274" s="2290"/>
      <c r="AW274" s="2290"/>
      <c r="AX274" s="2290"/>
      <c r="AY274" s="2290"/>
      <c r="AZ274" s="2290"/>
      <c r="BA274" s="2290"/>
      <c r="BB274" s="2290"/>
      <c r="BC274" s="2290"/>
      <c r="BD274" s="2290"/>
      <c r="BE274" s="2290"/>
      <c r="BF274" s="2290"/>
      <c r="BG274" s="2290"/>
      <c r="BH274" s="2290"/>
      <c r="BI274" s="2290"/>
      <c r="BJ274" s="2290"/>
      <c r="BK274" s="2290"/>
      <c r="BL274" s="2290"/>
      <c r="BM274" s="2290"/>
      <c r="BN274" s="2290"/>
      <c r="BO274" s="2290"/>
      <c r="BP274" s="2290"/>
      <c r="BQ274" s="2290"/>
      <c r="BR274" s="2290"/>
      <c r="BS274" s="2290"/>
      <c r="BT274" s="2290"/>
      <c r="BU274" s="2290"/>
      <c r="BV274" s="2290"/>
      <c r="BW274" s="2290"/>
      <c r="BX274" s="2290"/>
      <c r="BY274" s="2290"/>
      <c r="BZ274" s="2290"/>
      <c r="CA274" s="2290"/>
    </row>
    <row r="275" spans="1:79">
      <c r="A275" s="2290"/>
      <c r="B275" s="2290"/>
      <c r="C275" s="2290"/>
      <c r="D275" s="2290"/>
      <c r="E275" s="2290"/>
      <c r="F275" s="2290"/>
      <c r="G275" s="2290"/>
      <c r="H275" s="2290"/>
      <c r="I275" s="2290"/>
      <c r="J275" s="2290"/>
      <c r="K275" s="2290"/>
      <c r="L275" s="2290"/>
      <c r="M275" s="2290"/>
      <c r="N275" s="2290"/>
      <c r="O275" s="2290"/>
      <c r="P275" s="2290"/>
      <c r="Q275" s="2290"/>
      <c r="R275" s="2290"/>
      <c r="S275" s="2290"/>
      <c r="T275" s="2290"/>
      <c r="U275" s="2290"/>
      <c r="V275" s="2290"/>
      <c r="W275" s="2290"/>
      <c r="X275" s="2290"/>
      <c r="Y275" s="2290"/>
      <c r="Z275" s="2290"/>
      <c r="AA275" s="2290"/>
      <c r="AB275" s="2290"/>
      <c r="AC275" s="2290"/>
      <c r="AD275" s="2290"/>
      <c r="AE275" s="2290"/>
      <c r="AF275" s="2290"/>
      <c r="AG275" s="2290"/>
      <c r="AH275" s="2290"/>
      <c r="AI275" s="2290"/>
      <c r="AJ275" s="2290"/>
      <c r="AK275" s="2290"/>
      <c r="AL275" s="2290"/>
      <c r="AM275" s="2290"/>
      <c r="AN275" s="2290"/>
      <c r="AO275" s="2290"/>
      <c r="AP275" s="2290"/>
      <c r="AQ275" s="2290"/>
      <c r="AR275" s="2290"/>
      <c r="AS275" s="2290"/>
      <c r="AT275" s="2290"/>
      <c r="AU275" s="2290"/>
      <c r="AV275" s="2290"/>
      <c r="AW275" s="2290"/>
      <c r="AX275" s="2290"/>
      <c r="AY275" s="2290"/>
      <c r="AZ275" s="2290"/>
      <c r="BA275" s="2290"/>
      <c r="BB275" s="2290"/>
      <c r="BC275" s="2290"/>
      <c r="BD275" s="2290"/>
      <c r="BE275" s="2290"/>
      <c r="BF275" s="2290"/>
      <c r="BG275" s="2290"/>
      <c r="BH275" s="2290"/>
      <c r="BI275" s="2290"/>
      <c r="BJ275" s="2290"/>
      <c r="BK275" s="2290"/>
      <c r="BL275" s="2290"/>
      <c r="BM275" s="2290"/>
      <c r="BN275" s="2290"/>
      <c r="BO275" s="2290"/>
      <c r="BP275" s="2290"/>
      <c r="BQ275" s="2290"/>
      <c r="BR275" s="2290"/>
      <c r="BS275" s="2290"/>
      <c r="BT275" s="2290"/>
      <c r="BU275" s="2290"/>
      <c r="BV275" s="2290"/>
      <c r="BW275" s="2290"/>
      <c r="BX275" s="2290"/>
      <c r="BY275" s="2290"/>
      <c r="BZ275" s="2290"/>
      <c r="CA275" s="2290"/>
    </row>
    <row r="276" spans="1:79">
      <c r="A276" s="2290"/>
      <c r="B276" s="2290"/>
      <c r="C276" s="2290"/>
      <c r="D276" s="2290"/>
      <c r="E276" s="2290"/>
      <c r="F276" s="2290"/>
      <c r="G276" s="2290"/>
      <c r="H276" s="2290"/>
      <c r="I276" s="2290"/>
      <c r="J276" s="2290"/>
      <c r="K276" s="2290"/>
      <c r="L276" s="2290"/>
      <c r="M276" s="2290"/>
      <c r="N276" s="2290"/>
      <c r="O276" s="2290"/>
      <c r="P276" s="2290"/>
      <c r="Q276" s="2290"/>
      <c r="R276" s="2290"/>
      <c r="S276" s="2290"/>
      <c r="T276" s="2290"/>
      <c r="U276" s="2290"/>
      <c r="V276" s="2290"/>
      <c r="W276" s="2290"/>
      <c r="X276" s="2290"/>
      <c r="Y276" s="2290"/>
      <c r="Z276" s="2290"/>
      <c r="AA276" s="2290"/>
      <c r="AB276" s="2290"/>
      <c r="AC276" s="2290"/>
      <c r="AD276" s="2290"/>
      <c r="AE276" s="2290"/>
      <c r="AF276" s="2290"/>
      <c r="AG276" s="2290"/>
      <c r="AH276" s="2290"/>
      <c r="AI276" s="2290"/>
      <c r="AJ276" s="2290"/>
      <c r="AK276" s="2290"/>
      <c r="AL276" s="2290"/>
      <c r="AM276" s="2290"/>
      <c r="AN276" s="2290"/>
      <c r="AO276" s="2290"/>
      <c r="AP276" s="2290"/>
      <c r="AQ276" s="2290"/>
      <c r="AR276" s="2290"/>
      <c r="AS276" s="2290"/>
      <c r="AT276" s="2290"/>
      <c r="AU276" s="2290"/>
      <c r="AV276" s="2290"/>
      <c r="AW276" s="2290"/>
      <c r="AX276" s="2290"/>
      <c r="AY276" s="2290"/>
      <c r="AZ276" s="2290"/>
      <c r="BA276" s="2290"/>
      <c r="BB276" s="2290"/>
      <c r="BC276" s="2290"/>
      <c r="BD276" s="2290"/>
      <c r="BE276" s="2290"/>
      <c r="BF276" s="2290"/>
      <c r="BG276" s="2290"/>
      <c r="BH276" s="2290"/>
      <c r="BI276" s="2290"/>
      <c r="BJ276" s="2290"/>
      <c r="BK276" s="2290"/>
      <c r="BL276" s="2290"/>
      <c r="BM276" s="2290"/>
      <c r="BN276" s="2290"/>
      <c r="BO276" s="2290"/>
      <c r="BP276" s="2290"/>
      <c r="BQ276" s="2290"/>
      <c r="BR276" s="2290"/>
      <c r="BS276" s="2290"/>
      <c r="BT276" s="2290"/>
      <c r="BU276" s="2290"/>
      <c r="BV276" s="2290"/>
      <c r="BW276" s="2290"/>
      <c r="BX276" s="2290"/>
      <c r="BY276" s="2290"/>
      <c r="BZ276" s="2290"/>
      <c r="CA276" s="2290"/>
    </row>
    <row r="277" spans="1:79">
      <c r="A277" s="2290"/>
      <c r="B277" s="2290"/>
      <c r="C277" s="2290"/>
      <c r="D277" s="2290"/>
      <c r="E277" s="2290"/>
      <c r="F277" s="2290"/>
      <c r="G277" s="2290"/>
      <c r="H277" s="2290"/>
      <c r="I277" s="2290"/>
      <c r="J277" s="2290"/>
      <c r="K277" s="2290"/>
      <c r="L277" s="2290"/>
      <c r="M277" s="2290"/>
      <c r="N277" s="2290"/>
      <c r="O277" s="2290"/>
      <c r="P277" s="2290"/>
      <c r="Q277" s="2290"/>
      <c r="R277" s="2290"/>
      <c r="S277" s="2290"/>
      <c r="T277" s="2290"/>
      <c r="U277" s="2290"/>
      <c r="V277" s="2290"/>
      <c r="W277" s="2290"/>
      <c r="X277" s="2290"/>
      <c r="Y277" s="2290"/>
      <c r="Z277" s="2290"/>
      <c r="AA277" s="2290"/>
      <c r="AB277" s="2290"/>
      <c r="AC277" s="2290"/>
      <c r="AD277" s="2290"/>
      <c r="AE277" s="2290"/>
      <c r="AF277" s="2290"/>
      <c r="AG277" s="2290"/>
      <c r="AH277" s="2290"/>
      <c r="AI277" s="2290"/>
      <c r="AJ277" s="2290"/>
      <c r="AK277" s="2290"/>
      <c r="AL277" s="2290"/>
      <c r="AM277" s="2290"/>
      <c r="AN277" s="2290"/>
      <c r="AO277" s="2290"/>
      <c r="AP277" s="2290"/>
      <c r="AQ277" s="2290"/>
      <c r="AR277" s="2290"/>
      <c r="AS277" s="2290"/>
      <c r="AT277" s="2290"/>
      <c r="AU277" s="2290"/>
      <c r="AV277" s="2290"/>
      <c r="AW277" s="2290"/>
      <c r="AX277" s="2290"/>
      <c r="AY277" s="2290"/>
      <c r="AZ277" s="2290"/>
      <c r="BA277" s="2290"/>
      <c r="BB277" s="2290"/>
      <c r="BC277" s="2290"/>
      <c r="BD277" s="2290"/>
      <c r="BE277" s="2290"/>
      <c r="BF277" s="2290"/>
      <c r="BG277" s="2290"/>
      <c r="BH277" s="2290"/>
      <c r="BI277" s="2290"/>
      <c r="BJ277" s="2290"/>
      <c r="BK277" s="2290"/>
      <c r="BL277" s="2290"/>
      <c r="BM277" s="2290"/>
      <c r="BN277" s="2290"/>
      <c r="BO277" s="2290"/>
      <c r="BP277" s="2290"/>
      <c r="BQ277" s="2290"/>
      <c r="BR277" s="2290"/>
      <c r="BS277" s="2290"/>
      <c r="BT277" s="2290"/>
      <c r="BU277" s="2290"/>
      <c r="BV277" s="2290"/>
      <c r="BW277" s="2290"/>
      <c r="BX277" s="2290"/>
      <c r="BY277" s="2290"/>
      <c r="BZ277" s="2290"/>
      <c r="CA277" s="2290"/>
    </row>
    <row r="278" spans="1:79">
      <c r="A278" s="2290"/>
      <c r="B278" s="2290"/>
      <c r="C278" s="2290"/>
      <c r="D278" s="2290"/>
      <c r="E278" s="2290"/>
      <c r="F278" s="2290"/>
      <c r="G278" s="2290"/>
      <c r="H278" s="2290"/>
      <c r="I278" s="2290"/>
      <c r="J278" s="2290"/>
      <c r="K278" s="2290"/>
      <c r="L278" s="2290"/>
      <c r="M278" s="2290"/>
      <c r="N278" s="2290"/>
      <c r="O278" s="2290"/>
      <c r="P278" s="2290"/>
      <c r="Q278" s="2290"/>
      <c r="R278" s="2290"/>
      <c r="S278" s="2290"/>
      <c r="T278" s="2290"/>
      <c r="U278" s="2290"/>
      <c r="V278" s="2290"/>
      <c r="W278" s="2290"/>
      <c r="X278" s="2290"/>
      <c r="Y278" s="2290"/>
      <c r="Z278" s="2290"/>
      <c r="AA278" s="2290"/>
      <c r="AB278" s="2290"/>
      <c r="AC278" s="2290"/>
      <c r="AD278" s="2290"/>
      <c r="AE278" s="2290"/>
      <c r="AF278" s="2290"/>
      <c r="AG278" s="2290"/>
      <c r="AH278" s="2290"/>
      <c r="AI278" s="2290"/>
      <c r="AJ278" s="2290"/>
      <c r="AK278" s="2290"/>
      <c r="AL278" s="2290"/>
      <c r="AM278" s="2290"/>
      <c r="AN278" s="2290"/>
      <c r="AO278" s="2290"/>
      <c r="AP278" s="2290"/>
      <c r="AQ278" s="2290"/>
      <c r="AR278" s="2290"/>
      <c r="AS278" s="2290"/>
      <c r="AT278" s="2290"/>
      <c r="AU278" s="2290"/>
      <c r="AV278" s="2290"/>
      <c r="AW278" s="2290"/>
      <c r="AX278" s="2290"/>
      <c r="AY278" s="2290"/>
      <c r="AZ278" s="2290"/>
      <c r="BA278" s="2290"/>
      <c r="BB278" s="2290"/>
      <c r="BC278" s="2290"/>
      <c r="BD278" s="2290"/>
      <c r="BE278" s="2290"/>
      <c r="BF278" s="2290"/>
      <c r="BG278" s="2290"/>
      <c r="BH278" s="2290"/>
      <c r="BI278" s="2290"/>
      <c r="BJ278" s="2290"/>
      <c r="BK278" s="2290"/>
      <c r="BL278" s="2290"/>
      <c r="BM278" s="2290"/>
      <c r="BN278" s="2290"/>
      <c r="BO278" s="2290"/>
      <c r="BP278" s="2290"/>
      <c r="BQ278" s="2290"/>
      <c r="BR278" s="2290"/>
      <c r="BS278" s="2290"/>
      <c r="BT278" s="2290"/>
      <c r="BU278" s="2290"/>
      <c r="BV278" s="2290"/>
      <c r="BW278" s="2290"/>
      <c r="BX278" s="2290"/>
      <c r="BY278" s="2290"/>
      <c r="BZ278" s="2290"/>
      <c r="CA278" s="2290"/>
    </row>
    <row r="279" spans="1:79">
      <c r="A279" s="2290"/>
      <c r="B279" s="2290"/>
      <c r="C279" s="2290"/>
      <c r="D279" s="2290"/>
      <c r="E279" s="2290"/>
      <c r="F279" s="2290"/>
      <c r="G279" s="2290"/>
      <c r="H279" s="2290"/>
      <c r="I279" s="2290"/>
      <c r="J279" s="2290"/>
      <c r="K279" s="2290"/>
      <c r="L279" s="2290"/>
      <c r="M279" s="2290"/>
      <c r="N279" s="2290"/>
      <c r="O279" s="2290"/>
      <c r="P279" s="2290"/>
      <c r="Q279" s="2290"/>
      <c r="R279" s="2290"/>
      <c r="S279" s="2290"/>
      <c r="T279" s="2290"/>
      <c r="U279" s="2290"/>
      <c r="V279" s="2290"/>
      <c r="W279" s="2290"/>
      <c r="X279" s="2290"/>
      <c r="Y279" s="2290"/>
      <c r="Z279" s="2290"/>
      <c r="AA279" s="2290"/>
      <c r="AB279" s="2290"/>
      <c r="AC279" s="2290"/>
      <c r="AD279" s="2290"/>
      <c r="AE279" s="2290"/>
      <c r="AF279" s="2290"/>
      <c r="AG279" s="2290"/>
      <c r="AH279" s="2290"/>
      <c r="AI279" s="2290"/>
      <c r="AJ279" s="2290"/>
      <c r="AK279" s="2290"/>
      <c r="AL279" s="2290"/>
      <c r="AM279" s="2290"/>
      <c r="AN279" s="2290"/>
      <c r="AO279" s="2290"/>
      <c r="AP279" s="2290"/>
      <c r="AQ279" s="2290"/>
      <c r="AR279" s="2290"/>
      <c r="AS279" s="2290"/>
      <c r="AT279" s="2290"/>
      <c r="AU279" s="2290"/>
      <c r="AV279" s="2290"/>
      <c r="AW279" s="2290"/>
      <c r="AX279" s="2290"/>
      <c r="AY279" s="2290"/>
      <c r="AZ279" s="2290"/>
      <c r="BA279" s="2290"/>
      <c r="BB279" s="2290"/>
      <c r="BC279" s="2290"/>
      <c r="BD279" s="2290"/>
      <c r="BE279" s="2290"/>
      <c r="BF279" s="2290"/>
      <c r="BG279" s="2290"/>
      <c r="BH279" s="2290"/>
      <c r="BI279" s="2290"/>
      <c r="BJ279" s="2290"/>
      <c r="BK279" s="2290"/>
      <c r="BL279" s="2290"/>
      <c r="BM279" s="2290"/>
      <c r="BN279" s="2290"/>
      <c r="BO279" s="2290"/>
      <c r="BP279" s="2290"/>
      <c r="BQ279" s="2290"/>
      <c r="BR279" s="2290"/>
      <c r="BS279" s="2290"/>
      <c r="BT279" s="2290"/>
      <c r="BU279" s="2290"/>
      <c r="BV279" s="2290"/>
      <c r="BW279" s="2290"/>
      <c r="BX279" s="2290"/>
      <c r="BY279" s="2290"/>
      <c r="BZ279" s="2290"/>
      <c r="CA279" s="2290"/>
    </row>
    <row r="280" spans="1:79">
      <c r="A280" s="2290"/>
      <c r="B280" s="2290"/>
      <c r="C280" s="2290"/>
      <c r="D280" s="2290"/>
      <c r="E280" s="2290"/>
      <c r="F280" s="2290"/>
      <c r="G280" s="2290"/>
      <c r="H280" s="2290"/>
      <c r="I280" s="2290"/>
      <c r="J280" s="2290"/>
      <c r="K280" s="2290"/>
      <c r="L280" s="2290"/>
      <c r="M280" s="2290"/>
      <c r="N280" s="2290"/>
      <c r="O280" s="2290"/>
      <c r="P280" s="2290"/>
      <c r="Q280" s="2290"/>
      <c r="R280" s="2290"/>
      <c r="S280" s="2290"/>
      <c r="T280" s="2290"/>
      <c r="U280" s="2290"/>
      <c r="V280" s="2290"/>
      <c r="W280" s="2290"/>
      <c r="X280" s="2290"/>
      <c r="Y280" s="2290"/>
      <c r="Z280" s="2290"/>
      <c r="AA280" s="2290"/>
      <c r="AB280" s="2290"/>
      <c r="AC280" s="2290"/>
      <c r="AD280" s="2290"/>
      <c r="AE280" s="2290"/>
      <c r="AF280" s="2290"/>
      <c r="AG280" s="2290"/>
      <c r="AH280" s="2290"/>
      <c r="AI280" s="2290"/>
      <c r="AJ280" s="2290"/>
      <c r="AK280" s="2290"/>
      <c r="AL280" s="2290"/>
      <c r="AM280" s="2290"/>
      <c r="AN280" s="2290"/>
      <c r="AO280" s="2290"/>
      <c r="AP280" s="2290"/>
      <c r="AQ280" s="2290"/>
      <c r="AR280" s="2290"/>
      <c r="AS280" s="2290"/>
      <c r="AT280" s="2290"/>
      <c r="AU280" s="2290"/>
      <c r="AV280" s="2290"/>
      <c r="AW280" s="2290"/>
      <c r="AX280" s="2290"/>
      <c r="AY280" s="2290"/>
      <c r="AZ280" s="2290"/>
      <c r="BA280" s="2290"/>
      <c r="BB280" s="2290"/>
      <c r="BC280" s="2290"/>
      <c r="BD280" s="2290"/>
      <c r="BE280" s="2290"/>
      <c r="BF280" s="2290"/>
      <c r="BG280" s="2290"/>
      <c r="BH280" s="2290"/>
      <c r="BI280" s="2290"/>
      <c r="BJ280" s="2290"/>
      <c r="BK280" s="2290"/>
      <c r="BL280" s="2290"/>
      <c r="BM280" s="2290"/>
      <c r="BN280" s="2290"/>
      <c r="BO280" s="2290"/>
      <c r="BP280" s="2290"/>
      <c r="BQ280" s="2290"/>
      <c r="BR280" s="2290"/>
      <c r="BS280" s="2290"/>
      <c r="BT280" s="2290"/>
      <c r="BU280" s="2290"/>
      <c r="BV280" s="2290"/>
      <c r="BW280" s="2290"/>
      <c r="BX280" s="2290"/>
      <c r="BY280" s="2290"/>
      <c r="BZ280" s="2290"/>
      <c r="CA280" s="2290"/>
    </row>
    <row r="281" spans="1:79">
      <c r="A281" s="2290"/>
      <c r="B281" s="2290"/>
      <c r="C281" s="2290"/>
      <c r="D281" s="2290"/>
      <c r="E281" s="2290"/>
      <c r="F281" s="2290"/>
      <c r="G281" s="2290"/>
      <c r="H281" s="2290"/>
      <c r="I281" s="2290"/>
      <c r="J281" s="2290"/>
      <c r="K281" s="2290"/>
      <c r="L281" s="2290"/>
      <c r="M281" s="2290"/>
      <c r="N281" s="2290"/>
      <c r="O281" s="2290"/>
      <c r="P281" s="2290"/>
      <c r="Q281" s="2290"/>
      <c r="R281" s="2290"/>
      <c r="S281" s="2290"/>
      <c r="T281" s="2290"/>
      <c r="U281" s="2290"/>
      <c r="V281" s="2290"/>
      <c r="W281" s="2290"/>
      <c r="X281" s="2290"/>
      <c r="Y281" s="2290"/>
      <c r="Z281" s="2290"/>
      <c r="AA281" s="2290"/>
      <c r="AB281" s="2290"/>
      <c r="AC281" s="2290"/>
      <c r="AD281" s="2290"/>
      <c r="AE281" s="2290"/>
      <c r="AF281" s="2290"/>
      <c r="AG281" s="2290"/>
      <c r="AH281" s="2290"/>
      <c r="AI281" s="2290"/>
      <c r="AJ281" s="2290"/>
      <c r="AK281" s="2290"/>
      <c r="AL281" s="2290"/>
      <c r="AM281" s="2290"/>
      <c r="AN281" s="2290"/>
      <c r="AO281" s="2290"/>
      <c r="AP281" s="2290"/>
      <c r="AQ281" s="2290"/>
      <c r="AR281" s="2290"/>
      <c r="AS281" s="2290"/>
      <c r="AT281" s="2290"/>
      <c r="AU281" s="2290"/>
      <c r="AV281" s="2290"/>
      <c r="AW281" s="2290"/>
      <c r="AX281" s="2290"/>
      <c r="AY281" s="2290"/>
      <c r="AZ281" s="2290"/>
      <c r="BA281" s="2290"/>
      <c r="BB281" s="2290"/>
      <c r="BC281" s="2290"/>
      <c r="BD281" s="2290"/>
      <c r="BE281" s="2290"/>
      <c r="BF281" s="2290"/>
      <c r="BG281" s="2290"/>
      <c r="BH281" s="2290"/>
      <c r="BI281" s="2290"/>
      <c r="BJ281" s="2290"/>
      <c r="BK281" s="2290"/>
      <c r="BL281" s="2290"/>
      <c r="BM281" s="2290"/>
      <c r="BN281" s="2290"/>
      <c r="BO281" s="2290"/>
      <c r="BP281" s="2290"/>
      <c r="BQ281" s="2290"/>
      <c r="BR281" s="2290"/>
      <c r="BS281" s="2290"/>
      <c r="BT281" s="2290"/>
      <c r="BU281" s="2290"/>
      <c r="BV281" s="2290"/>
      <c r="BW281" s="2290"/>
      <c r="BX281" s="2290"/>
      <c r="BY281" s="2290"/>
      <c r="BZ281" s="2290"/>
      <c r="CA281" s="2290"/>
    </row>
    <row r="282" spans="1:79">
      <c r="A282" s="2290"/>
      <c r="B282" s="2290"/>
      <c r="C282" s="2290"/>
      <c r="D282" s="2290"/>
      <c r="E282" s="2290"/>
      <c r="F282" s="2290"/>
      <c r="G282" s="2290"/>
      <c r="H282" s="2290"/>
      <c r="I282" s="2290"/>
      <c r="J282" s="2290"/>
      <c r="K282" s="2290"/>
      <c r="L282" s="2290"/>
      <c r="M282" s="2290"/>
      <c r="N282" s="2290"/>
      <c r="O282" s="2290"/>
      <c r="P282" s="2290"/>
      <c r="Q282" s="2290"/>
      <c r="R282" s="2290"/>
      <c r="S282" s="2290"/>
      <c r="T282" s="2290"/>
      <c r="U282" s="2290"/>
      <c r="V282" s="2290"/>
      <c r="W282" s="2290"/>
      <c r="X282" s="2290"/>
      <c r="Y282" s="2290"/>
      <c r="Z282" s="2290"/>
      <c r="AA282" s="2290"/>
      <c r="AB282" s="2290"/>
      <c r="AC282" s="2290"/>
      <c r="AD282" s="2290"/>
      <c r="AE282" s="2290"/>
      <c r="AF282" s="2290"/>
      <c r="AG282" s="2290"/>
      <c r="AH282" s="2290"/>
      <c r="AI282" s="2290"/>
      <c r="AJ282" s="2290"/>
      <c r="AK282" s="2290"/>
      <c r="AL282" s="2290"/>
      <c r="AM282" s="2290"/>
      <c r="AN282" s="2290"/>
      <c r="AO282" s="2290"/>
      <c r="AP282" s="2290"/>
      <c r="AQ282" s="2290"/>
      <c r="AR282" s="2290"/>
      <c r="AS282" s="2290"/>
      <c r="AT282" s="2290"/>
      <c r="AU282" s="2290"/>
      <c r="AV282" s="2290"/>
      <c r="AW282" s="2290"/>
      <c r="AX282" s="2290"/>
      <c r="AY282" s="2290"/>
      <c r="AZ282" s="2290"/>
      <c r="BA282" s="2290"/>
      <c r="BB282" s="2290"/>
      <c r="BC282" s="2290"/>
      <c r="BD282" s="2290"/>
      <c r="BE282" s="2290"/>
      <c r="BF282" s="2290"/>
      <c r="BG282" s="2290"/>
      <c r="BH282" s="2290"/>
      <c r="BI282" s="2290"/>
      <c r="BJ282" s="2290"/>
      <c r="BK282" s="2290"/>
      <c r="BL282" s="2290"/>
      <c r="BM282" s="2290"/>
      <c r="BN282" s="2290"/>
      <c r="BO282" s="2290"/>
      <c r="BP282" s="2290"/>
      <c r="BQ282" s="2290"/>
      <c r="BR282" s="2290"/>
      <c r="BS282" s="2290"/>
      <c r="BT282" s="2290"/>
      <c r="BU282" s="2290"/>
      <c r="BV282" s="2290"/>
      <c r="BW282" s="2290"/>
      <c r="BX282" s="2290"/>
      <c r="BY282" s="2290"/>
      <c r="BZ282" s="2290"/>
      <c r="CA282" s="2290"/>
    </row>
    <row r="283" spans="1:79">
      <c r="A283" s="2290"/>
      <c r="B283" s="2290"/>
      <c r="C283" s="2290"/>
      <c r="D283" s="2290"/>
      <c r="E283" s="2290"/>
      <c r="F283" s="2290"/>
      <c r="G283" s="2290"/>
      <c r="H283" s="2290"/>
      <c r="I283" s="2290"/>
      <c r="J283" s="2290"/>
      <c r="K283" s="2290"/>
      <c r="L283" s="2290"/>
      <c r="M283" s="2290"/>
      <c r="N283" s="2290"/>
      <c r="O283" s="2290"/>
      <c r="P283" s="2290"/>
      <c r="Q283" s="2290"/>
      <c r="R283" s="2290"/>
      <c r="S283" s="2290"/>
      <c r="T283" s="2290"/>
      <c r="U283" s="2290"/>
      <c r="V283" s="2290"/>
      <c r="W283" s="2290"/>
      <c r="X283" s="2290"/>
      <c r="Y283" s="2290"/>
      <c r="Z283" s="2290"/>
      <c r="AA283" s="2290"/>
      <c r="AB283" s="2290"/>
      <c r="AC283" s="2290"/>
      <c r="AD283" s="2290"/>
      <c r="AE283" s="2290"/>
      <c r="AF283" s="2290"/>
      <c r="AG283" s="2290"/>
      <c r="AH283" s="2290"/>
      <c r="AI283" s="2290"/>
      <c r="AJ283" s="2290"/>
      <c r="AK283" s="2290"/>
      <c r="AL283" s="2290"/>
      <c r="AM283" s="2290"/>
      <c r="AN283" s="2290"/>
      <c r="AO283" s="2290"/>
      <c r="AP283" s="2290"/>
      <c r="AQ283" s="2290"/>
      <c r="AR283" s="2290"/>
      <c r="AS283" s="2290"/>
      <c r="AT283" s="2290"/>
      <c r="AU283" s="2290"/>
      <c r="AV283" s="2290"/>
      <c r="AW283" s="2290"/>
      <c r="AX283" s="2290"/>
      <c r="AY283" s="2290"/>
      <c r="AZ283" s="2290"/>
      <c r="BA283" s="2290"/>
      <c r="BB283" s="2290"/>
      <c r="BC283" s="2290"/>
      <c r="BD283" s="2290"/>
      <c r="BE283" s="2290"/>
      <c r="BF283" s="2290"/>
      <c r="BG283" s="2290"/>
      <c r="BH283" s="2290"/>
      <c r="BI283" s="2290"/>
      <c r="BJ283" s="2290"/>
      <c r="BK283" s="2290"/>
      <c r="BL283" s="2290"/>
      <c r="BM283" s="2290"/>
      <c r="BN283" s="2290"/>
      <c r="BO283" s="2290"/>
      <c r="BP283" s="2290"/>
      <c r="BQ283" s="2290"/>
      <c r="BR283" s="2290"/>
      <c r="BS283" s="2290"/>
      <c r="BT283" s="2290"/>
      <c r="BU283" s="2290"/>
      <c r="BV283" s="2290"/>
      <c r="BW283" s="2290"/>
      <c r="BX283" s="2290"/>
      <c r="BY283" s="2290"/>
      <c r="BZ283" s="2290"/>
      <c r="CA283" s="2290"/>
    </row>
    <row r="284" spans="1:79">
      <c r="A284" s="2290"/>
      <c r="B284" s="2290"/>
      <c r="C284" s="2290"/>
      <c r="D284" s="2290"/>
      <c r="E284" s="2290"/>
      <c r="F284" s="2290"/>
      <c r="G284" s="2290"/>
      <c r="H284" s="2290"/>
      <c r="I284" s="2290"/>
      <c r="J284" s="2290"/>
      <c r="K284" s="2290"/>
      <c r="L284" s="2290"/>
      <c r="M284" s="2290"/>
      <c r="N284" s="2290"/>
      <c r="O284" s="2290"/>
      <c r="P284" s="2290"/>
      <c r="Q284" s="2290"/>
      <c r="R284" s="2290"/>
      <c r="S284" s="2290"/>
      <c r="T284" s="2290"/>
      <c r="U284" s="2290"/>
      <c r="V284" s="2290"/>
      <c r="W284" s="2290"/>
      <c r="X284" s="2290"/>
      <c r="Y284" s="2290"/>
      <c r="Z284" s="2290"/>
      <c r="AA284" s="2290"/>
      <c r="AB284" s="2290"/>
      <c r="AC284" s="2290"/>
      <c r="AD284" s="2290"/>
      <c r="AE284" s="2290"/>
      <c r="AF284" s="2290"/>
      <c r="AG284" s="2290"/>
      <c r="AH284" s="2290"/>
      <c r="AI284" s="2290"/>
      <c r="AJ284" s="2290"/>
      <c r="AK284" s="2290"/>
      <c r="AL284" s="2290"/>
      <c r="AM284" s="2290"/>
      <c r="AN284" s="2290"/>
      <c r="AO284" s="2290"/>
      <c r="AP284" s="2290"/>
      <c r="AQ284" s="2290"/>
      <c r="AR284" s="2290"/>
      <c r="AS284" s="2290"/>
      <c r="AT284" s="2290"/>
      <c r="AU284" s="2290"/>
      <c r="AV284" s="2290"/>
      <c r="AW284" s="2290"/>
      <c r="AX284" s="2290"/>
      <c r="AY284" s="2290"/>
      <c r="AZ284" s="2290"/>
      <c r="BA284" s="2290"/>
      <c r="BB284" s="2290"/>
      <c r="BC284" s="2290"/>
      <c r="BD284" s="2290"/>
      <c r="BE284" s="2290"/>
      <c r="BF284" s="2290"/>
      <c r="BG284" s="2290"/>
      <c r="BH284" s="2290"/>
      <c r="BI284" s="2290"/>
      <c r="BJ284" s="2290"/>
      <c r="BK284" s="2290"/>
      <c r="BL284" s="2290"/>
      <c r="BM284" s="2290"/>
      <c r="BN284" s="2290"/>
      <c r="BO284" s="2290"/>
      <c r="BP284" s="2290"/>
      <c r="BQ284" s="2290"/>
      <c r="BR284" s="2290"/>
      <c r="BS284" s="2290"/>
      <c r="BT284" s="2290"/>
      <c r="BU284" s="2290"/>
      <c r="BV284" s="2290"/>
      <c r="BW284" s="2290"/>
      <c r="BX284" s="2290"/>
      <c r="BY284" s="2290"/>
      <c r="BZ284" s="2290"/>
      <c r="CA284" s="2290"/>
    </row>
    <row r="285" spans="1:79">
      <c r="A285" s="2290"/>
      <c r="B285" s="2290"/>
      <c r="C285" s="2290"/>
      <c r="D285" s="2290"/>
      <c r="E285" s="2290"/>
      <c r="F285" s="2290"/>
      <c r="G285" s="2290"/>
      <c r="H285" s="2290"/>
      <c r="I285" s="2290"/>
      <c r="J285" s="2290"/>
      <c r="K285" s="2290"/>
      <c r="L285" s="2290"/>
      <c r="M285" s="2290"/>
      <c r="N285" s="2290"/>
      <c r="O285" s="2290"/>
      <c r="P285" s="2290"/>
      <c r="Q285" s="2290"/>
      <c r="R285" s="2290"/>
      <c r="S285" s="2290"/>
      <c r="T285" s="2290"/>
      <c r="U285" s="2290"/>
      <c r="V285" s="2290"/>
      <c r="W285" s="2290"/>
      <c r="X285" s="2290"/>
      <c r="Y285" s="2290"/>
      <c r="Z285" s="2290"/>
      <c r="AA285" s="2290"/>
      <c r="AB285" s="2290"/>
      <c r="AC285" s="2290"/>
      <c r="AD285" s="2290"/>
      <c r="AE285" s="2290"/>
      <c r="AF285" s="2290"/>
      <c r="AG285" s="2290"/>
      <c r="AH285" s="2290"/>
      <c r="AI285" s="2290"/>
      <c r="AJ285" s="2290"/>
      <c r="AK285" s="2290"/>
      <c r="AL285" s="2290"/>
      <c r="AM285" s="2290"/>
      <c r="AN285" s="2290"/>
      <c r="AO285" s="2290"/>
      <c r="AP285" s="2290"/>
      <c r="AQ285" s="2290"/>
      <c r="AR285" s="2290"/>
      <c r="AS285" s="2290"/>
      <c r="AT285" s="2290"/>
      <c r="AU285" s="2290"/>
      <c r="AV285" s="2290"/>
      <c r="AW285" s="2290"/>
      <c r="AX285" s="2290"/>
      <c r="AY285" s="2290"/>
      <c r="AZ285" s="2290"/>
      <c r="BA285" s="2290"/>
      <c r="BB285" s="2290"/>
      <c r="BC285" s="2290"/>
      <c r="BD285" s="2290"/>
      <c r="BE285" s="2290"/>
      <c r="BF285" s="2290"/>
      <c r="BG285" s="2290"/>
      <c r="BH285" s="2290"/>
      <c r="BI285" s="2290"/>
      <c r="BJ285" s="2290"/>
      <c r="BK285" s="2290"/>
      <c r="BL285" s="2290"/>
      <c r="BM285" s="2290"/>
      <c r="BN285" s="2290"/>
      <c r="BO285" s="2290"/>
      <c r="BP285" s="2290"/>
      <c r="BQ285" s="2290"/>
      <c r="BR285" s="2290"/>
      <c r="BS285" s="2290"/>
      <c r="BT285" s="2290"/>
      <c r="BU285" s="2290"/>
      <c r="BV285" s="2290"/>
      <c r="BW285" s="2290"/>
      <c r="BX285" s="2290"/>
      <c r="BY285" s="2290"/>
      <c r="BZ285" s="2290"/>
      <c r="CA285" s="2290"/>
    </row>
    <row r="286" spans="1:79">
      <c r="A286" s="2290"/>
      <c r="B286" s="2290"/>
      <c r="C286" s="2290"/>
      <c r="D286" s="2290"/>
      <c r="E286" s="2290"/>
      <c r="F286" s="2290"/>
      <c r="G286" s="2290"/>
      <c r="H286" s="2290"/>
      <c r="I286" s="2290"/>
      <c r="J286" s="2290"/>
      <c r="K286" s="2290"/>
      <c r="L286" s="2290"/>
      <c r="M286" s="2290"/>
      <c r="N286" s="2290"/>
      <c r="O286" s="2290"/>
      <c r="P286" s="2290"/>
      <c r="Q286" s="2290"/>
      <c r="R286" s="2290"/>
      <c r="S286" s="2290"/>
      <c r="T286" s="2290"/>
      <c r="U286" s="2290"/>
      <c r="V286" s="2290"/>
      <c r="W286" s="2290"/>
      <c r="X286" s="2290"/>
      <c r="Y286" s="2290"/>
      <c r="Z286" s="2290"/>
      <c r="AA286" s="2290"/>
      <c r="AB286" s="2290"/>
      <c r="AC286" s="2290"/>
      <c r="AD286" s="2290"/>
      <c r="AE286" s="2290"/>
      <c r="AF286" s="2290"/>
      <c r="AG286" s="2290"/>
      <c r="AH286" s="2290"/>
      <c r="AI286" s="2290"/>
      <c r="AJ286" s="2290"/>
      <c r="AK286" s="2290"/>
      <c r="AL286" s="2290"/>
      <c r="AM286" s="2290"/>
      <c r="AN286" s="2290"/>
      <c r="AO286" s="2290"/>
      <c r="AP286" s="2290"/>
      <c r="AQ286" s="2290"/>
      <c r="AR286" s="2290"/>
      <c r="AS286" s="2290"/>
      <c r="AT286" s="2290"/>
      <c r="AU286" s="2290"/>
      <c r="AV286" s="2290"/>
      <c r="AW286" s="2290"/>
      <c r="AX286" s="2290"/>
      <c r="AY286" s="2290"/>
      <c r="AZ286" s="2290"/>
      <c r="BA286" s="2290"/>
      <c r="BB286" s="2290"/>
      <c r="BC286" s="2290"/>
      <c r="BD286" s="2290"/>
      <c r="BE286" s="2290"/>
      <c r="BF286" s="2290"/>
      <c r="BG286" s="2290"/>
      <c r="BH286" s="2290"/>
      <c r="BI286" s="2290"/>
      <c r="BJ286" s="2290"/>
      <c r="BK286" s="2290"/>
      <c r="BL286" s="2290"/>
      <c r="BM286" s="2290"/>
      <c r="BN286" s="2290"/>
      <c r="BO286" s="2290"/>
      <c r="BP286" s="2290"/>
      <c r="BQ286" s="2290"/>
      <c r="BR286" s="2290"/>
      <c r="BS286" s="2290"/>
      <c r="BT286" s="2290"/>
      <c r="BU286" s="2290"/>
      <c r="BV286" s="2290"/>
      <c r="BW286" s="2290"/>
      <c r="BX286" s="2290"/>
      <c r="BY286" s="2290"/>
      <c r="BZ286" s="2290"/>
      <c r="CA286" s="2290"/>
    </row>
    <row r="287" spans="1:79">
      <c r="A287" s="2290"/>
      <c r="B287" s="2290"/>
      <c r="C287" s="2290"/>
      <c r="D287" s="2290"/>
      <c r="E287" s="2290"/>
      <c r="F287" s="2290"/>
      <c r="G287" s="2290"/>
      <c r="H287" s="2290"/>
      <c r="I287" s="2290"/>
      <c r="J287" s="2290"/>
      <c r="K287" s="2290"/>
      <c r="L287" s="2290"/>
      <c r="M287" s="2290"/>
      <c r="N287" s="2290"/>
      <c r="O287" s="2290"/>
      <c r="P287" s="2290"/>
      <c r="Q287" s="2290"/>
      <c r="R287" s="2290"/>
      <c r="S287" s="2290"/>
      <c r="T287" s="2290"/>
      <c r="U287" s="2290"/>
      <c r="V287" s="2290"/>
      <c r="W287" s="2290"/>
      <c r="X287" s="2290"/>
      <c r="Y287" s="2290"/>
      <c r="Z287" s="2290"/>
      <c r="AA287" s="2290"/>
      <c r="AB287" s="2290"/>
      <c r="AC287" s="2290"/>
      <c r="AD287" s="2290"/>
      <c r="AE287" s="2290"/>
      <c r="AF287" s="2290"/>
      <c r="AG287" s="2290"/>
      <c r="AH287" s="2290"/>
      <c r="AI287" s="2290"/>
      <c r="AJ287" s="2290"/>
      <c r="AK287" s="2290"/>
      <c r="AL287" s="2290"/>
      <c r="AM287" s="2290"/>
      <c r="AN287" s="2290"/>
      <c r="AO287" s="2290"/>
      <c r="AP287" s="2290"/>
      <c r="AQ287" s="2290"/>
      <c r="AR287" s="2290"/>
      <c r="AS287" s="2290"/>
      <c r="AT287" s="2290"/>
      <c r="AU287" s="2290"/>
      <c r="AV287" s="2290"/>
      <c r="AW287" s="2290"/>
      <c r="AX287" s="2290"/>
      <c r="AY287" s="2290"/>
      <c r="AZ287" s="2290"/>
      <c r="BA287" s="2290"/>
      <c r="BB287" s="2290"/>
      <c r="BC287" s="2290"/>
      <c r="BD287" s="2290"/>
      <c r="BE287" s="2290"/>
      <c r="BF287" s="2290"/>
      <c r="BG287" s="2290"/>
      <c r="BH287" s="2290"/>
      <c r="BI287" s="2290"/>
      <c r="BJ287" s="2290"/>
      <c r="BK287" s="2290"/>
      <c r="BL287" s="2290"/>
      <c r="BM287" s="2290"/>
      <c r="BN287" s="2290"/>
      <c r="BO287" s="2290"/>
      <c r="BP287" s="2290"/>
      <c r="BQ287" s="2290"/>
      <c r="BR287" s="2290"/>
      <c r="BS287" s="2290"/>
      <c r="BT287" s="2290"/>
      <c r="BU287" s="2290"/>
      <c r="BV287" s="2290"/>
      <c r="BW287" s="2290"/>
      <c r="BX287" s="2290"/>
      <c r="BY287" s="2290"/>
      <c r="BZ287" s="2290"/>
      <c r="CA287" s="2290"/>
    </row>
    <row r="288" spans="1:79">
      <c r="A288" s="2290"/>
      <c r="B288" s="2290"/>
      <c r="C288" s="2290"/>
      <c r="D288" s="2290"/>
      <c r="E288" s="2290"/>
      <c r="F288" s="2290"/>
      <c r="G288" s="2290"/>
      <c r="H288" s="2290"/>
      <c r="I288" s="2290"/>
      <c r="J288" s="2290"/>
      <c r="K288" s="2290"/>
      <c r="L288" s="2290"/>
      <c r="M288" s="2290"/>
      <c r="N288" s="2290"/>
      <c r="O288" s="2290"/>
      <c r="P288" s="2290"/>
      <c r="Q288" s="2290"/>
      <c r="R288" s="2290"/>
      <c r="S288" s="2290"/>
      <c r="T288" s="2290"/>
      <c r="U288" s="2290"/>
      <c r="V288" s="2290"/>
      <c r="W288" s="2290"/>
      <c r="X288" s="2290"/>
      <c r="Y288" s="2290"/>
      <c r="Z288" s="2290"/>
      <c r="AA288" s="2290"/>
      <c r="AB288" s="2290"/>
      <c r="AC288" s="2290"/>
      <c r="AD288" s="2290"/>
      <c r="AE288" s="2290"/>
      <c r="AF288" s="2290"/>
      <c r="AG288" s="2290"/>
      <c r="AH288" s="2290"/>
      <c r="AI288" s="2290"/>
      <c r="AJ288" s="2290"/>
      <c r="AK288" s="2290"/>
      <c r="AL288" s="2290"/>
      <c r="AM288" s="2290"/>
      <c r="AN288" s="2290"/>
      <c r="AO288" s="2290"/>
      <c r="AP288" s="2290"/>
      <c r="AQ288" s="2290"/>
      <c r="AR288" s="2290"/>
      <c r="AS288" s="2290"/>
      <c r="AT288" s="2290"/>
      <c r="AU288" s="2290"/>
      <c r="AV288" s="2290"/>
      <c r="AW288" s="2290"/>
      <c r="AX288" s="2290"/>
      <c r="AY288" s="2290"/>
      <c r="AZ288" s="2290"/>
      <c r="BA288" s="2290"/>
      <c r="BB288" s="2290"/>
      <c r="BC288" s="2290"/>
      <c r="BD288" s="2290"/>
      <c r="BE288" s="2290"/>
      <c r="BF288" s="2290"/>
      <c r="BG288" s="2290"/>
      <c r="BH288" s="2290"/>
      <c r="BI288" s="2290"/>
      <c r="BJ288" s="2290"/>
      <c r="BK288" s="2290"/>
      <c r="BL288" s="2290"/>
      <c r="BM288" s="2290"/>
      <c r="BN288" s="2290"/>
      <c r="BO288" s="2290"/>
      <c r="BP288" s="2290"/>
      <c r="BQ288" s="2290"/>
      <c r="BR288" s="2290"/>
      <c r="BS288" s="2290"/>
      <c r="BT288" s="2290"/>
      <c r="BU288" s="2290"/>
      <c r="BV288" s="2290"/>
      <c r="BW288" s="2290"/>
      <c r="BX288" s="2290"/>
      <c r="BY288" s="2290"/>
      <c r="BZ288" s="2290"/>
      <c r="CA288" s="2290"/>
    </row>
    <row r="289" spans="1:79">
      <c r="A289" s="2290"/>
      <c r="B289" s="2290"/>
      <c r="C289" s="2290"/>
      <c r="D289" s="2290"/>
      <c r="E289" s="2290"/>
      <c r="F289" s="2290"/>
      <c r="G289" s="2290"/>
      <c r="H289" s="2290"/>
      <c r="I289" s="2290"/>
      <c r="J289" s="2290"/>
      <c r="K289" s="2290"/>
      <c r="L289" s="2290"/>
      <c r="M289" s="2290"/>
      <c r="N289" s="2290"/>
      <c r="O289" s="2290"/>
      <c r="P289" s="2290"/>
      <c r="Q289" s="2290"/>
      <c r="R289" s="2290"/>
      <c r="S289" s="2290"/>
      <c r="T289" s="2290"/>
      <c r="U289" s="2290"/>
      <c r="V289" s="2290"/>
      <c r="W289" s="2290"/>
      <c r="X289" s="2290"/>
      <c r="Y289" s="2290"/>
      <c r="Z289" s="2290"/>
      <c r="AA289" s="2290"/>
      <c r="AB289" s="2290"/>
      <c r="AC289" s="2290"/>
      <c r="AD289" s="2290"/>
      <c r="AE289" s="2290"/>
      <c r="AF289" s="2290"/>
      <c r="AG289" s="2290"/>
      <c r="AH289" s="2290"/>
      <c r="AI289" s="2290"/>
      <c r="AJ289" s="2290"/>
      <c r="AK289" s="2290"/>
      <c r="AL289" s="2290"/>
      <c r="AM289" s="2290"/>
      <c r="AN289" s="2290"/>
      <c r="AO289" s="2290"/>
      <c r="AP289" s="2290"/>
      <c r="AQ289" s="2290"/>
      <c r="AR289" s="2290"/>
      <c r="AS289" s="2290"/>
      <c r="AT289" s="2290"/>
      <c r="AU289" s="2290"/>
      <c r="AV289" s="2290"/>
      <c r="AW289" s="2290"/>
      <c r="AX289" s="2290"/>
      <c r="AY289" s="2290"/>
      <c r="AZ289" s="2290"/>
      <c r="BA289" s="2290"/>
      <c r="BB289" s="2290"/>
      <c r="BC289" s="2290"/>
      <c r="BD289" s="2290"/>
      <c r="BE289" s="2290"/>
      <c r="BF289" s="2290"/>
      <c r="BG289" s="2290"/>
      <c r="BH289" s="2290"/>
      <c r="BI289" s="2290"/>
      <c r="BJ289" s="2290"/>
      <c r="BK289" s="2290"/>
      <c r="BL289" s="2290"/>
      <c r="BM289" s="2290"/>
      <c r="BN289" s="2290"/>
      <c r="BO289" s="2290"/>
      <c r="BP289" s="2290"/>
      <c r="BQ289" s="2290"/>
      <c r="BR289" s="2290"/>
      <c r="BS289" s="2290"/>
      <c r="BT289" s="2290"/>
      <c r="BU289" s="2290"/>
      <c r="BV289" s="2290"/>
      <c r="BW289" s="2290"/>
      <c r="BX289" s="2290"/>
      <c r="BY289" s="2290"/>
      <c r="BZ289" s="2290"/>
      <c r="CA289" s="2290"/>
    </row>
    <row r="290" spans="1:79">
      <c r="A290" s="2290"/>
      <c r="B290" s="2290"/>
      <c r="C290" s="2290"/>
      <c r="D290" s="2290"/>
      <c r="E290" s="2290"/>
      <c r="F290" s="2290"/>
      <c r="G290" s="2290"/>
      <c r="H290" s="2290"/>
      <c r="I290" s="2290"/>
      <c r="J290" s="2290"/>
      <c r="K290" s="2290"/>
      <c r="L290" s="2290"/>
      <c r="M290" s="2290"/>
      <c r="N290" s="2290"/>
      <c r="O290" s="2290"/>
      <c r="P290" s="2290"/>
      <c r="Q290" s="2290"/>
      <c r="R290" s="2290"/>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c r="AS290" s="2290"/>
      <c r="AT290" s="2290"/>
      <c r="AU290" s="2290"/>
      <c r="AV290" s="2290"/>
      <c r="AW290" s="2290"/>
      <c r="AX290" s="2290"/>
      <c r="AY290" s="2290"/>
      <c r="AZ290" s="2290"/>
      <c r="BA290" s="2290"/>
      <c r="BB290" s="2290"/>
      <c r="BC290" s="2290"/>
      <c r="BD290" s="2290"/>
      <c r="BE290" s="2290"/>
      <c r="BF290" s="2290"/>
      <c r="BG290" s="2290"/>
      <c r="BH290" s="2290"/>
      <c r="BI290" s="2290"/>
      <c r="BJ290" s="2290"/>
      <c r="BK290" s="2290"/>
      <c r="BL290" s="2290"/>
      <c r="BM290" s="2290"/>
      <c r="BN290" s="2290"/>
      <c r="BO290" s="2290"/>
      <c r="BP290" s="2290"/>
      <c r="BQ290" s="2290"/>
      <c r="BR290" s="2290"/>
      <c r="BS290" s="2290"/>
      <c r="BT290" s="2290"/>
      <c r="BU290" s="2290"/>
      <c r="BV290" s="2290"/>
      <c r="BW290" s="2290"/>
      <c r="BX290" s="2290"/>
      <c r="BY290" s="2290"/>
      <c r="BZ290" s="2290"/>
      <c r="CA290" s="2290"/>
    </row>
    <row r="291" spans="1:79">
      <c r="A291" s="2290"/>
      <c r="B291" s="2290"/>
      <c r="C291" s="2290"/>
      <c r="D291" s="2290"/>
      <c r="E291" s="2290"/>
      <c r="F291" s="2290"/>
      <c r="G291" s="2290"/>
      <c r="H291" s="2290"/>
      <c r="I291" s="2290"/>
      <c r="J291" s="2290"/>
      <c r="K291" s="2290"/>
      <c r="L291" s="2290"/>
      <c r="M291" s="2290"/>
      <c r="N291" s="2290"/>
      <c r="O291" s="2290"/>
      <c r="P291" s="2290"/>
      <c r="Q291" s="2290"/>
      <c r="R291" s="2290"/>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c r="AS291" s="2290"/>
      <c r="AT291" s="2290"/>
      <c r="AU291" s="2290"/>
      <c r="AV291" s="2290"/>
      <c r="AW291" s="2290"/>
      <c r="AX291" s="2290"/>
      <c r="AY291" s="2290"/>
      <c r="AZ291" s="2290"/>
      <c r="BA291" s="2290"/>
      <c r="BB291" s="2290"/>
      <c r="BC291" s="2290"/>
      <c r="BD291" s="2290"/>
      <c r="BE291" s="2290"/>
      <c r="BF291" s="2290"/>
      <c r="BG291" s="2290"/>
      <c r="BH291" s="2290"/>
      <c r="BI291" s="2290"/>
      <c r="BJ291" s="2290"/>
      <c r="BK291" s="2290"/>
      <c r="BL291" s="2290"/>
      <c r="BM291" s="2290"/>
      <c r="BN291" s="2290"/>
      <c r="BO291" s="2290"/>
      <c r="BP291" s="2290"/>
      <c r="BQ291" s="2290"/>
      <c r="BR291" s="2290"/>
      <c r="BS291" s="2290"/>
      <c r="BT291" s="2290"/>
      <c r="BU291" s="2290"/>
      <c r="BV291" s="2290"/>
      <c r="BW291" s="2290"/>
      <c r="BX291" s="2290"/>
      <c r="BY291" s="2290"/>
      <c r="BZ291" s="2290"/>
      <c r="CA291" s="2290"/>
    </row>
    <row r="292" spans="1:79">
      <c r="A292" s="2290"/>
      <c r="B292" s="2290"/>
      <c r="C292" s="2290"/>
      <c r="D292" s="2290"/>
      <c r="E292" s="2290"/>
      <c r="F292" s="2290"/>
      <c r="G292" s="2290"/>
      <c r="H292" s="2290"/>
      <c r="I292" s="2290"/>
      <c r="J292" s="2290"/>
      <c r="K292" s="2290"/>
      <c r="L292" s="2290"/>
      <c r="M292" s="2290"/>
      <c r="N292" s="2290"/>
      <c r="O292" s="2290"/>
      <c r="P292" s="2290"/>
      <c r="Q292" s="2290"/>
      <c r="R292" s="2290"/>
      <c r="S292" s="2290"/>
      <c r="T292" s="2290"/>
      <c r="U292" s="2290"/>
      <c r="V292" s="2290"/>
      <c r="W292" s="2290"/>
      <c r="X292" s="2290"/>
      <c r="Y292" s="2290"/>
      <c r="Z292" s="2290"/>
      <c r="AA292" s="2290"/>
      <c r="AB292" s="2290"/>
      <c r="AC292" s="2290"/>
      <c r="AD292" s="2290"/>
      <c r="AE292" s="2290"/>
      <c r="AF292" s="2290"/>
      <c r="AG292" s="2290"/>
      <c r="AH292" s="2290"/>
      <c r="AI292" s="2290"/>
      <c r="AJ292" s="2290"/>
      <c r="AK292" s="2290"/>
      <c r="AL292" s="2290"/>
      <c r="AM292" s="2290"/>
      <c r="AN292" s="2290"/>
      <c r="AO292" s="2290"/>
      <c r="AP292" s="2290"/>
      <c r="AQ292" s="2290"/>
      <c r="AR292" s="2290"/>
      <c r="AS292" s="2290"/>
      <c r="AT292" s="2290"/>
      <c r="AU292" s="2290"/>
      <c r="AV292" s="2290"/>
      <c r="AW292" s="2290"/>
      <c r="AX292" s="2290"/>
      <c r="AY292" s="2290"/>
      <c r="AZ292" s="2290"/>
      <c r="BA292" s="2290"/>
      <c r="BB292" s="2290"/>
      <c r="BC292" s="2290"/>
      <c r="BD292" s="2290"/>
      <c r="BE292" s="2290"/>
      <c r="BF292" s="2290"/>
      <c r="BG292" s="2290"/>
      <c r="BH292" s="2290"/>
      <c r="BI292" s="2290"/>
      <c r="BJ292" s="2290"/>
      <c r="BK292" s="2290"/>
      <c r="BL292" s="2290"/>
      <c r="BM292" s="2290"/>
      <c r="BN292" s="2290"/>
      <c r="BO292" s="2290"/>
      <c r="BP292" s="2290"/>
      <c r="BQ292" s="2290"/>
      <c r="BR292" s="2290"/>
      <c r="BS292" s="2290"/>
      <c r="BT292" s="2290"/>
      <c r="BU292" s="2290"/>
      <c r="BV292" s="2290"/>
      <c r="BW292" s="2290"/>
      <c r="BX292" s="2290"/>
      <c r="BY292" s="2290"/>
      <c r="BZ292" s="2290"/>
      <c r="CA292" s="2290"/>
    </row>
    <row r="293" spans="1:79">
      <c r="A293" s="2290"/>
      <c r="B293" s="2290"/>
      <c r="C293" s="2290"/>
      <c r="D293" s="2290"/>
      <c r="E293" s="2290"/>
      <c r="F293" s="2290"/>
      <c r="G293" s="2290"/>
      <c r="H293" s="2290"/>
      <c r="I293" s="2290"/>
      <c r="J293" s="2290"/>
      <c r="K293" s="2290"/>
      <c r="L293" s="2290"/>
      <c r="M293" s="2290"/>
      <c r="N293" s="2290"/>
      <c r="O293" s="2290"/>
      <c r="P293" s="2290"/>
      <c r="Q293" s="2290"/>
      <c r="R293" s="2290"/>
      <c r="S293" s="2290"/>
      <c r="T293" s="2290"/>
      <c r="U293" s="2290"/>
      <c r="V293" s="2290"/>
      <c r="W293" s="2290"/>
      <c r="X293" s="2290"/>
      <c r="Y293" s="2290"/>
      <c r="Z293" s="2290"/>
      <c r="AA293" s="2290"/>
      <c r="AB293" s="2290"/>
      <c r="AC293" s="2290"/>
      <c r="AD293" s="2290"/>
      <c r="AE293" s="2290"/>
      <c r="AF293" s="2290"/>
      <c r="AG293" s="2290"/>
      <c r="AH293" s="2290"/>
      <c r="AI293" s="2290"/>
      <c r="AJ293" s="2290"/>
      <c r="AK293" s="2290"/>
      <c r="AL293" s="2290"/>
      <c r="AM293" s="2290"/>
      <c r="AN293" s="2290"/>
      <c r="AO293" s="2290"/>
      <c r="AP293" s="2290"/>
      <c r="AQ293" s="2290"/>
      <c r="AR293" s="2290"/>
      <c r="AS293" s="2290"/>
      <c r="AT293" s="2290"/>
      <c r="AU293" s="2290"/>
      <c r="AV293" s="2290"/>
      <c r="AW293" s="2290"/>
      <c r="AX293" s="2290"/>
      <c r="AY293" s="2290"/>
      <c r="AZ293" s="2290"/>
      <c r="BA293" s="2290"/>
      <c r="BB293" s="2290"/>
      <c r="BC293" s="2290"/>
      <c r="BD293" s="2290"/>
      <c r="BE293" s="2290"/>
      <c r="BF293" s="2290"/>
      <c r="BG293" s="2290"/>
      <c r="BH293" s="2290"/>
      <c r="BI293" s="2290"/>
      <c r="BJ293" s="2290"/>
      <c r="BK293" s="2290"/>
      <c r="BL293" s="2290"/>
      <c r="BM293" s="2290"/>
      <c r="BN293" s="2290"/>
      <c r="BO293" s="2290"/>
      <c r="BP293" s="2290"/>
      <c r="BQ293" s="2290"/>
      <c r="BR293" s="2290"/>
      <c r="BS293" s="2290"/>
      <c r="BT293" s="2290"/>
      <c r="BU293" s="2290"/>
      <c r="BV293" s="2290"/>
      <c r="BW293" s="2290"/>
      <c r="BX293" s="2290"/>
      <c r="BY293" s="2290"/>
      <c r="BZ293" s="2290"/>
      <c r="CA293" s="2290"/>
    </row>
    <row r="294" spans="1:79">
      <c r="A294" s="2290"/>
      <c r="B294" s="2290"/>
      <c r="C294" s="2290"/>
      <c r="D294" s="2290"/>
      <c r="E294" s="2290"/>
      <c r="F294" s="2290"/>
      <c r="G294" s="2290"/>
      <c r="H294" s="2290"/>
      <c r="I294" s="2290"/>
      <c r="J294" s="2290"/>
      <c r="K294" s="2290"/>
      <c r="L294" s="2290"/>
      <c r="M294" s="2290"/>
      <c r="N294" s="2290"/>
      <c r="O294" s="2290"/>
      <c r="P294" s="2290"/>
      <c r="Q294" s="2290"/>
      <c r="R294" s="2290"/>
      <c r="S294" s="2290"/>
      <c r="T294" s="2290"/>
      <c r="U294" s="2290"/>
      <c r="V294" s="2290"/>
      <c r="W294" s="2290"/>
      <c r="X294" s="2290"/>
      <c r="Y294" s="2290"/>
      <c r="Z294" s="2290"/>
      <c r="AA294" s="2290"/>
      <c r="AB294" s="2290"/>
      <c r="AC294" s="2290"/>
      <c r="AD294" s="2290"/>
      <c r="AE294" s="2290"/>
      <c r="AF294" s="2290"/>
      <c r="AG294" s="2290"/>
      <c r="AH294" s="2290"/>
      <c r="AI294" s="2290"/>
      <c r="AJ294" s="2290"/>
      <c r="AK294" s="2290"/>
      <c r="AL294" s="2290"/>
      <c r="AM294" s="2290"/>
      <c r="AN294" s="2290"/>
      <c r="AO294" s="2290"/>
      <c r="AP294" s="2290"/>
      <c r="AQ294" s="2290"/>
      <c r="AR294" s="2290"/>
      <c r="AS294" s="2290"/>
      <c r="AT294" s="2290"/>
      <c r="AU294" s="2290"/>
      <c r="AV294" s="2290"/>
      <c r="AW294" s="2290"/>
      <c r="AX294" s="2290"/>
      <c r="AY294" s="2290"/>
      <c r="AZ294" s="2290"/>
      <c r="BA294" s="2290"/>
      <c r="BB294" s="2290"/>
      <c r="BC294" s="2290"/>
      <c r="BD294" s="2290"/>
      <c r="BE294" s="2290"/>
      <c r="BF294" s="2290"/>
      <c r="BG294" s="2290"/>
      <c r="BH294" s="2290"/>
      <c r="BI294" s="2290"/>
      <c r="BJ294" s="2290"/>
      <c r="BK294" s="2290"/>
      <c r="BL294" s="2290"/>
      <c r="BM294" s="2290"/>
      <c r="BN294" s="2290"/>
      <c r="BO294" s="2290"/>
      <c r="BP294" s="2290"/>
      <c r="BQ294" s="2290"/>
      <c r="BR294" s="2290"/>
      <c r="BS294" s="2290"/>
      <c r="BT294" s="2290"/>
      <c r="BU294" s="2290"/>
      <c r="BV294" s="2290"/>
      <c r="BW294" s="2290"/>
      <c r="BX294" s="2290"/>
      <c r="BY294" s="2290"/>
      <c r="BZ294" s="2290"/>
      <c r="CA294" s="2290"/>
    </row>
    <row r="295" spans="1:79">
      <c r="A295" s="2290"/>
      <c r="B295" s="2290"/>
      <c r="C295" s="2290"/>
      <c r="D295" s="2290"/>
      <c r="E295" s="2290"/>
      <c r="F295" s="2290"/>
      <c r="G295" s="2290"/>
      <c r="H295" s="2290"/>
      <c r="I295" s="2290"/>
      <c r="J295" s="2290"/>
      <c r="K295" s="2290"/>
      <c r="L295" s="2290"/>
      <c r="M295" s="2290"/>
      <c r="N295" s="2290"/>
      <c r="O295" s="2290"/>
      <c r="P295" s="2290"/>
      <c r="Q295" s="2290"/>
      <c r="R295" s="2290"/>
      <c r="S295" s="2290"/>
      <c r="T295" s="2290"/>
      <c r="U295" s="2290"/>
      <c r="V295" s="2290"/>
      <c r="W295" s="2290"/>
      <c r="X295" s="2290"/>
      <c r="Y295" s="2290"/>
      <c r="Z295" s="2290"/>
      <c r="AA295" s="2290"/>
      <c r="AB295" s="2290"/>
      <c r="AC295" s="2290"/>
      <c r="AD295" s="2290"/>
      <c r="AE295" s="2290"/>
      <c r="AF295" s="2290"/>
      <c r="AG295" s="2290"/>
      <c r="AH295" s="2290"/>
      <c r="AI295" s="2290"/>
      <c r="AJ295" s="2290"/>
      <c r="AK295" s="2290"/>
      <c r="AL295" s="2290"/>
      <c r="AM295" s="2290"/>
      <c r="AN295" s="2290"/>
      <c r="AO295" s="2290"/>
      <c r="AP295" s="2290"/>
      <c r="AQ295" s="2290"/>
      <c r="AR295" s="2290"/>
      <c r="AS295" s="2290"/>
      <c r="AT295" s="2290"/>
      <c r="AU295" s="2290"/>
      <c r="AV295" s="2290"/>
      <c r="AW295" s="2290"/>
      <c r="AX295" s="2290"/>
      <c r="AY295" s="2290"/>
      <c r="AZ295" s="2290"/>
      <c r="BA295" s="2290"/>
      <c r="BB295" s="2290"/>
      <c r="BC295" s="2290"/>
      <c r="BD295" s="2290"/>
      <c r="BE295" s="2290"/>
      <c r="BF295" s="2290"/>
      <c r="BG295" s="2290"/>
      <c r="BH295" s="2290"/>
      <c r="BI295" s="2290"/>
      <c r="BJ295" s="2290"/>
      <c r="BK295" s="2290"/>
      <c r="BL295" s="2290"/>
      <c r="BM295" s="2290"/>
      <c r="BN295" s="2290"/>
      <c r="BO295" s="2290"/>
      <c r="BP295" s="2290"/>
      <c r="BQ295" s="2290"/>
      <c r="BR295" s="2290"/>
      <c r="BS295" s="2290"/>
      <c r="BT295" s="2290"/>
      <c r="BU295" s="2290"/>
      <c r="BV295" s="2290"/>
      <c r="BW295" s="2290"/>
      <c r="BX295" s="2290"/>
      <c r="BY295" s="2290"/>
      <c r="BZ295" s="2290"/>
      <c r="CA295" s="2290"/>
    </row>
    <row r="296" spans="1:79">
      <c r="A296" s="2290"/>
      <c r="B296" s="2290"/>
      <c r="C296" s="2290"/>
      <c r="D296" s="2290"/>
      <c r="E296" s="2290"/>
      <c r="F296" s="2290"/>
      <c r="G296" s="2290"/>
      <c r="H296" s="2290"/>
      <c r="I296" s="2290"/>
      <c r="J296" s="2290"/>
      <c r="K296" s="2290"/>
      <c r="L296" s="2290"/>
      <c r="M296" s="2290"/>
      <c r="N296" s="2290"/>
      <c r="O296" s="2290"/>
      <c r="P296" s="2290"/>
      <c r="Q296" s="2290"/>
      <c r="R296" s="2290"/>
      <c r="S296" s="2290"/>
      <c r="T296" s="2290"/>
      <c r="U296" s="2290"/>
      <c r="V296" s="2290"/>
      <c r="W296" s="2290"/>
      <c r="X296" s="2290"/>
      <c r="Y296" s="2290"/>
      <c r="Z296" s="2290"/>
      <c r="AA296" s="2290"/>
      <c r="AB296" s="2290"/>
      <c r="AC296" s="2290"/>
      <c r="AD296" s="2290"/>
      <c r="AE296" s="2290"/>
      <c r="AF296" s="2290"/>
      <c r="AG296" s="2290"/>
      <c r="AH296" s="2290"/>
      <c r="AI296" s="2290"/>
      <c r="AJ296" s="2290"/>
      <c r="AK296" s="2290"/>
      <c r="AL296" s="2290"/>
      <c r="AM296" s="2290"/>
      <c r="AN296" s="2290"/>
      <c r="AO296" s="2290"/>
      <c r="AP296" s="2290"/>
      <c r="AQ296" s="2290"/>
      <c r="AR296" s="2290"/>
      <c r="AS296" s="2290"/>
      <c r="AT296" s="2290"/>
      <c r="AU296" s="2290"/>
      <c r="AV296" s="2290"/>
      <c r="AW296" s="2290"/>
      <c r="AX296" s="2290"/>
      <c r="AY296" s="2290"/>
      <c r="AZ296" s="2290"/>
      <c r="BA296" s="2290"/>
      <c r="BB296" s="2290"/>
      <c r="BC296" s="2290"/>
      <c r="BD296" s="2290"/>
      <c r="BE296" s="2290"/>
      <c r="BF296" s="2290"/>
      <c r="BG296" s="2290"/>
      <c r="BH296" s="2290"/>
      <c r="BI296" s="2290"/>
      <c r="BJ296" s="2290"/>
      <c r="BK296" s="2290"/>
      <c r="BL296" s="2290"/>
      <c r="BM296" s="2290"/>
      <c r="BN296" s="2290"/>
      <c r="BO296" s="2290"/>
      <c r="BP296" s="2290"/>
      <c r="BQ296" s="2290"/>
      <c r="BR296" s="2290"/>
      <c r="BS296" s="2290"/>
      <c r="BT296" s="2290"/>
      <c r="BU296" s="2290"/>
      <c r="BV296" s="2290"/>
      <c r="BW296" s="2290"/>
      <c r="BX296" s="2290"/>
      <c r="BY296" s="2290"/>
      <c r="BZ296" s="2290"/>
      <c r="CA296" s="2290"/>
    </row>
    <row r="297" spans="1:79">
      <c r="A297" s="2290"/>
      <c r="B297" s="2290"/>
      <c r="C297" s="2290"/>
      <c r="D297" s="2290"/>
      <c r="E297" s="2290"/>
      <c r="F297" s="2290"/>
      <c r="G297" s="2290"/>
      <c r="H297" s="2290"/>
      <c r="I297" s="2290"/>
      <c r="J297" s="2290"/>
      <c r="K297" s="2290"/>
      <c r="L297" s="2290"/>
      <c r="M297" s="2290"/>
      <c r="N297" s="2290"/>
      <c r="O297" s="2290"/>
      <c r="P297" s="2290"/>
      <c r="Q297" s="2290"/>
      <c r="R297" s="2290"/>
      <c r="S297" s="2290"/>
      <c r="T297" s="2290"/>
      <c r="U297" s="2290"/>
      <c r="V297" s="2290"/>
      <c r="W297" s="2290"/>
      <c r="X297" s="2290"/>
      <c r="Y297" s="2290"/>
      <c r="Z297" s="2290"/>
      <c r="AA297" s="2290"/>
      <c r="AB297" s="2290"/>
      <c r="AC297" s="2290"/>
      <c r="AD297" s="2290"/>
      <c r="AE297" s="2290"/>
      <c r="AF297" s="2290"/>
      <c r="AG297" s="2290"/>
      <c r="AH297" s="2290"/>
      <c r="AI297" s="2290"/>
      <c r="AJ297" s="2290"/>
      <c r="AK297" s="2290"/>
      <c r="AL297" s="2290"/>
      <c r="AM297" s="2290"/>
      <c r="AN297" s="2290"/>
      <c r="AO297" s="2290"/>
      <c r="AP297" s="2290"/>
      <c r="AQ297" s="2290"/>
      <c r="AR297" s="2290"/>
      <c r="AS297" s="2290"/>
      <c r="AT297" s="2290"/>
      <c r="AU297" s="2290"/>
      <c r="AV297" s="2290"/>
      <c r="AW297" s="2290"/>
      <c r="AX297" s="2290"/>
      <c r="AY297" s="2290"/>
      <c r="AZ297" s="2290"/>
      <c r="BA297" s="2290"/>
      <c r="BB297" s="2290"/>
      <c r="BC297" s="2290"/>
      <c r="BD297" s="2290"/>
      <c r="BE297" s="2290"/>
      <c r="BF297" s="2290"/>
      <c r="BG297" s="2290"/>
      <c r="BH297" s="2290"/>
      <c r="BI297" s="2290"/>
      <c r="BJ297" s="2290"/>
      <c r="BK297" s="2290"/>
      <c r="BL297" s="2290"/>
      <c r="BM297" s="2290"/>
      <c r="BN297" s="2290"/>
      <c r="BO297" s="2290"/>
      <c r="BP297" s="2290"/>
      <c r="BQ297" s="2290"/>
      <c r="BR297" s="2290"/>
      <c r="BS297" s="2290"/>
      <c r="BT297" s="2290"/>
      <c r="BU297" s="2290"/>
      <c r="BV297" s="2290"/>
      <c r="BW297" s="2290"/>
      <c r="BX297" s="2290"/>
      <c r="BY297" s="2290"/>
      <c r="BZ297" s="2290"/>
      <c r="CA297" s="2290"/>
    </row>
    <row r="298" spans="1:79">
      <c r="A298" s="2290"/>
      <c r="B298" s="2290"/>
      <c r="C298" s="2290"/>
      <c r="D298" s="2290"/>
      <c r="E298" s="2290"/>
      <c r="F298" s="2290"/>
      <c r="G298" s="2290"/>
      <c r="H298" s="2290"/>
      <c r="I298" s="2290"/>
      <c r="J298" s="2290"/>
      <c r="K298" s="2290"/>
      <c r="L298" s="2290"/>
      <c r="M298" s="2290"/>
      <c r="N298" s="2290"/>
      <c r="O298" s="2290"/>
      <c r="P298" s="2290"/>
      <c r="Q298" s="2290"/>
      <c r="R298" s="2290"/>
      <c r="S298" s="2290"/>
      <c r="T298" s="2290"/>
      <c r="U298" s="2290"/>
      <c r="V298" s="2290"/>
      <c r="W298" s="2290"/>
      <c r="X298" s="2290"/>
      <c r="Y298" s="2290"/>
      <c r="Z298" s="2290"/>
      <c r="AA298" s="2290"/>
      <c r="AB298" s="2290"/>
      <c r="AC298" s="2290"/>
      <c r="AD298" s="2290"/>
      <c r="AE298" s="2290"/>
      <c r="AF298" s="2290"/>
      <c r="AG298" s="2290"/>
      <c r="AH298" s="2290"/>
      <c r="AI298" s="2290"/>
      <c r="AJ298" s="2290"/>
      <c r="AK298" s="2290"/>
      <c r="AL298" s="2290"/>
      <c r="AM298" s="2290"/>
      <c r="AN298" s="2290"/>
      <c r="AO298" s="2290"/>
      <c r="AP298" s="2290"/>
      <c r="AQ298" s="2290"/>
      <c r="AR298" s="2290"/>
      <c r="AS298" s="2290"/>
      <c r="AT298" s="2290"/>
      <c r="AU298" s="2290"/>
      <c r="AV298" s="2290"/>
      <c r="AW298" s="2290"/>
      <c r="AX298" s="2290"/>
      <c r="AY298" s="2290"/>
      <c r="AZ298" s="2290"/>
      <c r="BA298" s="2290"/>
      <c r="BB298" s="2290"/>
      <c r="BC298" s="2290"/>
      <c r="BD298" s="2290"/>
      <c r="BE298" s="2290"/>
      <c r="BF298" s="2290"/>
      <c r="BG298" s="2290"/>
      <c r="BH298" s="2290"/>
      <c r="BI298" s="2290"/>
      <c r="BJ298" s="2290"/>
      <c r="BK298" s="2290"/>
      <c r="BL298" s="2290"/>
      <c r="BM298" s="2290"/>
      <c r="BN298" s="2290"/>
      <c r="BO298" s="2290"/>
      <c r="BP298" s="2290"/>
      <c r="BQ298" s="2290"/>
      <c r="BR298" s="2290"/>
      <c r="BS298" s="2290"/>
      <c r="BT298" s="2290"/>
      <c r="BU298" s="2290"/>
      <c r="BV298" s="2290"/>
      <c r="BW298" s="2290"/>
      <c r="BX298" s="2290"/>
      <c r="BY298" s="2290"/>
      <c r="BZ298" s="2290"/>
      <c r="CA298" s="2290"/>
    </row>
    <row r="299" spans="1:79">
      <c r="A299" s="2290"/>
      <c r="B299" s="2290"/>
      <c r="C299" s="2290"/>
      <c r="D299" s="2290"/>
      <c r="E299" s="2290"/>
      <c r="F299" s="2290"/>
      <c r="G299" s="2290"/>
      <c r="H299" s="2290"/>
      <c r="I299" s="2290"/>
      <c r="J299" s="2290"/>
      <c r="K299" s="2290"/>
      <c r="L299" s="2290"/>
      <c r="M299" s="2290"/>
      <c r="N299" s="2290"/>
      <c r="O299" s="2290"/>
      <c r="P299" s="2290"/>
      <c r="Q299" s="2290"/>
      <c r="R299" s="2290"/>
      <c r="S299" s="2290"/>
      <c r="T299" s="2290"/>
      <c r="U299" s="2290"/>
      <c r="V299" s="2290"/>
      <c r="W299" s="2290"/>
      <c r="X299" s="2290"/>
      <c r="Y299" s="2290"/>
      <c r="Z299" s="2290"/>
      <c r="AA299" s="2290"/>
      <c r="AB299" s="2290"/>
      <c r="AC299" s="2290"/>
      <c r="AD299" s="2290"/>
      <c r="AE299" s="2290"/>
      <c r="AF299" s="2290"/>
      <c r="AG299" s="2290"/>
      <c r="AH299" s="2290"/>
      <c r="AI299" s="2290"/>
      <c r="AJ299" s="2290"/>
      <c r="AK299" s="2290"/>
      <c r="AL299" s="2290"/>
      <c r="AM299" s="2290"/>
      <c r="AN299" s="2290"/>
      <c r="AO299" s="2290"/>
      <c r="AP299" s="2290"/>
      <c r="AQ299" s="2290"/>
      <c r="AR299" s="2290"/>
      <c r="AS299" s="2290"/>
      <c r="AT299" s="2290"/>
      <c r="AU299" s="2290"/>
      <c r="AV299" s="2290"/>
      <c r="AW299" s="2290"/>
      <c r="AX299" s="2290"/>
      <c r="AY299" s="2290"/>
      <c r="AZ299" s="2290"/>
      <c r="BA299" s="2290"/>
      <c r="BB299" s="2290"/>
      <c r="BC299" s="2290"/>
      <c r="BD299" s="2290"/>
      <c r="BE299" s="2290"/>
      <c r="BF299" s="2290"/>
      <c r="BG299" s="2290"/>
      <c r="BH299" s="2290"/>
      <c r="BI299" s="2290"/>
      <c r="BJ299" s="2290"/>
      <c r="BK299" s="2290"/>
      <c r="BL299" s="2290"/>
      <c r="BM299" s="2290"/>
      <c r="BN299" s="2290"/>
      <c r="BO299" s="2290"/>
      <c r="BP299" s="2290"/>
      <c r="BQ299" s="2290"/>
      <c r="BR299" s="2290"/>
      <c r="BS299" s="2290"/>
      <c r="BT299" s="2290"/>
      <c r="BU299" s="2290"/>
      <c r="BV299" s="2290"/>
      <c r="BW299" s="2290"/>
      <c r="BX299" s="2290"/>
      <c r="BY299" s="2290"/>
      <c r="BZ299" s="2290"/>
      <c r="CA299" s="2290"/>
    </row>
    <row r="300" spans="1:79">
      <c r="A300" s="2290"/>
      <c r="B300" s="2290"/>
      <c r="C300" s="2290"/>
      <c r="D300" s="2290"/>
      <c r="E300" s="2290"/>
      <c r="F300" s="2290"/>
      <c r="G300" s="2290"/>
      <c r="H300" s="2290"/>
      <c r="I300" s="2290"/>
      <c r="J300" s="2290"/>
      <c r="K300" s="2290"/>
      <c r="L300" s="2290"/>
      <c r="M300" s="2290"/>
      <c r="N300" s="2290"/>
      <c r="O300" s="2290"/>
      <c r="P300" s="2290"/>
      <c r="Q300" s="2290"/>
      <c r="R300" s="2290"/>
      <c r="S300" s="2290"/>
      <c r="T300" s="2290"/>
      <c r="U300" s="2290"/>
      <c r="V300" s="2290"/>
      <c r="W300" s="2290"/>
      <c r="X300" s="2290"/>
      <c r="Y300" s="2290"/>
      <c r="Z300" s="2290"/>
      <c r="AA300" s="2290"/>
      <c r="AB300" s="2290"/>
      <c r="AC300" s="2290"/>
      <c r="AD300" s="2290"/>
      <c r="AE300" s="2290"/>
      <c r="AF300" s="2290"/>
      <c r="AG300" s="2290"/>
      <c r="AH300" s="2290"/>
      <c r="AI300" s="2290"/>
      <c r="AJ300" s="2290"/>
      <c r="AK300" s="2290"/>
      <c r="AL300" s="2290"/>
      <c r="AM300" s="2290"/>
      <c r="AN300" s="2290"/>
      <c r="AO300" s="2290"/>
      <c r="AP300" s="2290"/>
      <c r="AQ300" s="2290"/>
      <c r="AR300" s="2290"/>
      <c r="AS300" s="2290"/>
      <c r="AT300" s="2290"/>
      <c r="AU300" s="2290"/>
      <c r="AV300" s="2290"/>
      <c r="AW300" s="2290"/>
      <c r="AX300" s="2290"/>
      <c r="AY300" s="2290"/>
      <c r="AZ300" s="2290"/>
      <c r="BA300" s="2290"/>
      <c r="BB300" s="2290"/>
      <c r="BC300" s="2290"/>
      <c r="BD300" s="2290"/>
      <c r="BE300" s="2290"/>
      <c r="BF300" s="2290"/>
      <c r="BG300" s="2290"/>
      <c r="BH300" s="2290"/>
      <c r="BI300" s="2290"/>
      <c r="BJ300" s="2290"/>
      <c r="BK300" s="2290"/>
      <c r="BL300" s="2290"/>
      <c r="BM300" s="2290"/>
      <c r="BN300" s="2290"/>
      <c r="BO300" s="2290"/>
      <c r="BP300" s="2290"/>
      <c r="BQ300" s="2290"/>
      <c r="BR300" s="2290"/>
      <c r="BS300" s="2290"/>
      <c r="BT300" s="2290"/>
      <c r="BU300" s="2290"/>
      <c r="BV300" s="2290"/>
      <c r="BW300" s="2290"/>
      <c r="BX300" s="2290"/>
      <c r="BY300" s="2290"/>
      <c r="BZ300" s="2290"/>
      <c r="CA300" s="2290"/>
    </row>
    <row r="301" spans="1:79">
      <c r="A301" s="2290"/>
      <c r="B301" s="2290"/>
      <c r="C301" s="2290"/>
      <c r="D301" s="2290"/>
      <c r="E301" s="2290"/>
      <c r="F301" s="2290"/>
      <c r="G301" s="2290"/>
      <c r="H301" s="2290"/>
      <c r="I301" s="2290"/>
      <c r="J301" s="2290"/>
      <c r="K301" s="2290"/>
      <c r="L301" s="2290"/>
      <c r="M301" s="2290"/>
      <c r="N301" s="2290"/>
      <c r="O301" s="2290"/>
      <c r="P301" s="2290"/>
      <c r="Q301" s="2290"/>
      <c r="R301" s="2290"/>
      <c r="S301" s="2290"/>
      <c r="T301" s="2290"/>
      <c r="U301" s="2290"/>
      <c r="V301" s="2290"/>
      <c r="W301" s="2290"/>
      <c r="X301" s="2290"/>
      <c r="Y301" s="2290"/>
      <c r="Z301" s="2290"/>
      <c r="AA301" s="2290"/>
      <c r="AB301" s="2290"/>
      <c r="AC301" s="2290"/>
      <c r="AD301" s="2290"/>
      <c r="AE301" s="2290"/>
      <c r="AF301" s="2290"/>
      <c r="AG301" s="2290"/>
      <c r="AH301" s="2290"/>
      <c r="AI301" s="2290"/>
      <c r="AJ301" s="2290"/>
      <c r="AK301" s="2290"/>
      <c r="AL301" s="2290"/>
      <c r="AM301" s="2290"/>
      <c r="AN301" s="2290"/>
      <c r="AO301" s="2290"/>
      <c r="AP301" s="2290"/>
      <c r="AQ301" s="2290"/>
      <c r="AR301" s="2290"/>
      <c r="AS301" s="2290"/>
      <c r="AT301" s="2290"/>
      <c r="AU301" s="2290"/>
      <c r="AV301" s="2290"/>
      <c r="AW301" s="2290"/>
      <c r="AX301" s="2290"/>
      <c r="AY301" s="2290"/>
      <c r="AZ301" s="2290"/>
      <c r="BA301" s="2290"/>
      <c r="BB301" s="2290"/>
      <c r="BC301" s="2290"/>
      <c r="BD301" s="2290"/>
      <c r="BE301" s="2290"/>
      <c r="BF301" s="2290"/>
      <c r="BG301" s="2290"/>
      <c r="BH301" s="2290"/>
      <c r="BI301" s="2290"/>
      <c r="BJ301" s="2290"/>
      <c r="BK301" s="2290"/>
      <c r="BL301" s="2290"/>
      <c r="BM301" s="2290"/>
      <c r="BN301" s="2290"/>
      <c r="BO301" s="2290"/>
      <c r="BP301" s="2290"/>
      <c r="BQ301" s="2290"/>
      <c r="BR301" s="2290"/>
      <c r="BS301" s="2290"/>
      <c r="BT301" s="2290"/>
      <c r="BU301" s="2290"/>
      <c r="BV301" s="2290"/>
      <c r="BW301" s="2290"/>
      <c r="BX301" s="2290"/>
      <c r="BY301" s="2290"/>
      <c r="BZ301" s="2290"/>
      <c r="CA301" s="2290"/>
    </row>
    <row r="302" spans="1:79">
      <c r="A302" s="2290"/>
      <c r="B302" s="2290"/>
      <c r="C302" s="2290"/>
      <c r="D302" s="2290"/>
      <c r="E302" s="2290"/>
      <c r="F302" s="2290"/>
      <c r="G302" s="2290"/>
      <c r="H302" s="2290"/>
      <c r="I302" s="2290"/>
      <c r="J302" s="2290"/>
      <c r="K302" s="2290"/>
      <c r="L302" s="2290"/>
      <c r="M302" s="2290"/>
      <c r="N302" s="2290"/>
      <c r="O302" s="2290"/>
      <c r="P302" s="2290"/>
      <c r="Q302" s="2290"/>
      <c r="R302" s="2290"/>
      <c r="S302" s="2290"/>
      <c r="T302" s="2290"/>
      <c r="U302" s="2290"/>
      <c r="V302" s="2290"/>
      <c r="W302" s="2290"/>
      <c r="X302" s="2290"/>
      <c r="Y302" s="2290"/>
      <c r="Z302" s="2290"/>
      <c r="AA302" s="2290"/>
      <c r="AB302" s="2290"/>
      <c r="AC302" s="2290"/>
      <c r="AD302" s="2290"/>
      <c r="AE302" s="2290"/>
      <c r="AF302" s="2290"/>
      <c r="AG302" s="2290"/>
      <c r="AH302" s="2290"/>
      <c r="AI302" s="2290"/>
      <c r="AJ302" s="2290"/>
      <c r="AK302" s="2290"/>
      <c r="AL302" s="2290"/>
      <c r="AM302" s="2290"/>
      <c r="AN302" s="2290"/>
      <c r="AO302" s="2290"/>
      <c r="AP302" s="2290"/>
      <c r="AQ302" s="2290"/>
      <c r="AR302" s="2290"/>
      <c r="AS302" s="2290"/>
      <c r="AT302" s="2290"/>
      <c r="AU302" s="2290"/>
      <c r="AV302" s="2290"/>
      <c r="AW302" s="2290"/>
      <c r="AX302" s="2290"/>
      <c r="AY302" s="2290"/>
      <c r="AZ302" s="2290"/>
      <c r="BA302" s="2290"/>
      <c r="BB302" s="2290"/>
      <c r="BC302" s="2290"/>
      <c r="BD302" s="2290"/>
      <c r="BE302" s="2290"/>
      <c r="BF302" s="2290"/>
      <c r="BG302" s="2290"/>
      <c r="BH302" s="2290"/>
      <c r="BI302" s="2290"/>
      <c r="BJ302" s="2290"/>
      <c r="BK302" s="2290"/>
      <c r="BL302" s="2290"/>
      <c r="BM302" s="2290"/>
      <c r="BN302" s="2290"/>
      <c r="BO302" s="2290"/>
      <c r="BP302" s="2290"/>
      <c r="BQ302" s="2290"/>
      <c r="BR302" s="2290"/>
      <c r="BS302" s="2290"/>
      <c r="BT302" s="2290"/>
      <c r="BU302" s="2290"/>
      <c r="BV302" s="2290"/>
      <c r="BW302" s="2290"/>
      <c r="BX302" s="2290"/>
      <c r="BY302" s="2290"/>
      <c r="BZ302" s="2290"/>
      <c r="CA302" s="2290"/>
    </row>
    <row r="303" spans="1:79">
      <c r="A303" s="2290"/>
      <c r="B303" s="2290"/>
      <c r="C303" s="2290"/>
      <c r="D303" s="2290"/>
      <c r="E303" s="2290"/>
      <c r="F303" s="2290"/>
      <c r="G303" s="2290"/>
      <c r="H303" s="2290"/>
      <c r="I303" s="2290"/>
      <c r="J303" s="2290"/>
      <c r="K303" s="2290"/>
      <c r="L303" s="2290"/>
      <c r="M303" s="2290"/>
      <c r="N303" s="2290"/>
      <c r="O303" s="2290"/>
      <c r="P303" s="2290"/>
      <c r="Q303" s="2290"/>
      <c r="R303" s="2290"/>
      <c r="S303" s="2290"/>
      <c r="T303" s="2290"/>
      <c r="U303" s="2290"/>
      <c r="V303" s="2290"/>
      <c r="W303" s="2290"/>
      <c r="X303" s="2290"/>
      <c r="Y303" s="2290"/>
      <c r="Z303" s="2290"/>
      <c r="AA303" s="2290"/>
      <c r="AB303" s="2290"/>
      <c r="AC303" s="2290"/>
      <c r="AD303" s="2290"/>
      <c r="AE303" s="2290"/>
      <c r="AF303" s="2290"/>
      <c r="AG303" s="2290"/>
      <c r="AH303" s="2290"/>
      <c r="AI303" s="2290"/>
      <c r="AJ303" s="2290"/>
      <c r="AK303" s="2290"/>
      <c r="AL303" s="2290"/>
      <c r="AM303" s="2290"/>
      <c r="AN303" s="2290"/>
      <c r="AO303" s="2290"/>
      <c r="AP303" s="2290"/>
      <c r="AQ303" s="2290"/>
      <c r="AR303" s="2290"/>
      <c r="AS303" s="2290"/>
      <c r="AT303" s="2290"/>
      <c r="AU303" s="2290"/>
      <c r="AV303" s="2290"/>
      <c r="AW303" s="2290"/>
      <c r="AX303" s="2290"/>
      <c r="AY303" s="2290"/>
      <c r="AZ303" s="2290"/>
      <c r="BA303" s="2290"/>
      <c r="BB303" s="2290"/>
      <c r="BC303" s="2290"/>
      <c r="BD303" s="2290"/>
      <c r="BE303" s="2290"/>
      <c r="BF303" s="2290"/>
      <c r="BG303" s="2290"/>
      <c r="BH303" s="2290"/>
      <c r="BI303" s="2290"/>
      <c r="BJ303" s="2290"/>
      <c r="BK303" s="2290"/>
      <c r="BL303" s="2290"/>
      <c r="BM303" s="2290"/>
      <c r="BN303" s="2290"/>
      <c r="BO303" s="2290"/>
      <c r="BP303" s="2290"/>
      <c r="BQ303" s="2290"/>
      <c r="BR303" s="2290"/>
      <c r="BS303" s="2290"/>
      <c r="BT303" s="2290"/>
      <c r="BU303" s="2290"/>
      <c r="BV303" s="2290"/>
      <c r="BW303" s="2290"/>
      <c r="BX303" s="2290"/>
      <c r="BY303" s="2290"/>
      <c r="BZ303" s="2290"/>
      <c r="CA303" s="2290"/>
    </row>
    <row r="304" spans="1:79">
      <c r="A304" s="2290"/>
      <c r="B304" s="2290"/>
      <c r="C304" s="2290"/>
      <c r="D304" s="2290"/>
      <c r="E304" s="2290"/>
      <c r="F304" s="2290"/>
      <c r="G304" s="2290"/>
      <c r="H304" s="2290"/>
      <c r="I304" s="2290"/>
      <c r="J304" s="2290"/>
      <c r="K304" s="2290"/>
      <c r="L304" s="2290"/>
      <c r="M304" s="2290"/>
      <c r="N304" s="2290"/>
      <c r="O304" s="2290"/>
      <c r="P304" s="2290"/>
      <c r="Q304" s="2290"/>
      <c r="R304" s="2290"/>
      <c r="S304" s="2290"/>
      <c r="T304" s="2290"/>
      <c r="U304" s="2290"/>
      <c r="V304" s="2290"/>
      <c r="W304" s="2290"/>
      <c r="X304" s="2290"/>
      <c r="Y304" s="2290"/>
      <c r="Z304" s="2290"/>
      <c r="AA304" s="2290"/>
      <c r="AB304" s="2290"/>
      <c r="AC304" s="2290"/>
      <c r="AD304" s="2290"/>
      <c r="AE304" s="2290"/>
      <c r="AF304" s="2290"/>
      <c r="AG304" s="2290"/>
      <c r="AH304" s="2290"/>
      <c r="AI304" s="2290"/>
      <c r="AJ304" s="2290"/>
      <c r="AK304" s="2290"/>
      <c r="AL304" s="2290"/>
      <c r="AM304" s="2290"/>
      <c r="AN304" s="2290"/>
      <c r="AO304" s="2290"/>
      <c r="AP304" s="2290"/>
      <c r="AQ304" s="2290"/>
      <c r="AR304" s="2290"/>
      <c r="AS304" s="2290"/>
      <c r="AT304" s="2290"/>
      <c r="AU304" s="2290"/>
      <c r="AV304" s="2290"/>
      <c r="AW304" s="2290"/>
      <c r="AX304" s="2290"/>
      <c r="AY304" s="2290"/>
      <c r="AZ304" s="2290"/>
      <c r="BA304" s="2290"/>
      <c r="BB304" s="2290"/>
      <c r="BC304" s="2290"/>
      <c r="BD304" s="2290"/>
      <c r="BE304" s="2290"/>
      <c r="BF304" s="2290"/>
      <c r="BG304" s="2290"/>
      <c r="BH304" s="2290"/>
      <c r="BI304" s="2290"/>
      <c r="BJ304" s="2290"/>
      <c r="BK304" s="2290"/>
      <c r="BL304" s="2290"/>
      <c r="BM304" s="2290"/>
      <c r="BN304" s="2290"/>
      <c r="BO304" s="2290"/>
      <c r="BP304" s="2290"/>
      <c r="BQ304" s="2290"/>
      <c r="BR304" s="2290"/>
      <c r="BS304" s="2290"/>
      <c r="BT304" s="2290"/>
      <c r="BU304" s="2290"/>
      <c r="BV304" s="2290"/>
      <c r="BW304" s="2290"/>
      <c r="BX304" s="2290"/>
      <c r="BY304" s="2290"/>
      <c r="BZ304" s="2290"/>
      <c r="CA304" s="2290"/>
    </row>
    <row r="305" spans="1:79">
      <c r="A305" s="2290"/>
      <c r="B305" s="2290"/>
      <c r="C305" s="2290"/>
      <c r="D305" s="2290"/>
      <c r="E305" s="2290"/>
      <c r="F305" s="2290"/>
      <c r="G305" s="2290"/>
      <c r="H305" s="2290"/>
      <c r="I305" s="2290"/>
      <c r="J305" s="2290"/>
      <c r="K305" s="2290"/>
      <c r="L305" s="2290"/>
      <c r="M305" s="2290"/>
      <c r="N305" s="2290"/>
      <c r="O305" s="2290"/>
      <c r="P305" s="2290"/>
      <c r="Q305" s="2290"/>
      <c r="R305" s="2290"/>
      <c r="S305" s="2290"/>
      <c r="T305" s="2290"/>
      <c r="U305" s="2290"/>
      <c r="V305" s="2290"/>
      <c r="W305" s="2290"/>
      <c r="X305" s="2290"/>
      <c r="Y305" s="2290"/>
      <c r="Z305" s="2290"/>
      <c r="AA305" s="2290"/>
      <c r="AB305" s="2290"/>
      <c r="AC305" s="2290"/>
      <c r="AD305" s="2290"/>
      <c r="AE305" s="2290"/>
      <c r="AF305" s="2290"/>
      <c r="AG305" s="2290"/>
      <c r="AH305" s="2290"/>
      <c r="AI305" s="2290"/>
      <c r="AJ305" s="2290"/>
      <c r="AK305" s="2290"/>
      <c r="AL305" s="2290"/>
      <c r="AM305" s="2290"/>
      <c r="AN305" s="2290"/>
      <c r="AO305" s="2290"/>
      <c r="AP305" s="2290"/>
      <c r="AQ305" s="2290"/>
      <c r="AR305" s="2290"/>
      <c r="AS305" s="2290"/>
      <c r="AT305" s="2290"/>
      <c r="AU305" s="2290"/>
      <c r="AV305" s="2290"/>
      <c r="AW305" s="2290"/>
      <c r="AX305" s="2290"/>
      <c r="AY305" s="2290"/>
      <c r="AZ305" s="2290"/>
      <c r="BA305" s="2290"/>
      <c r="BB305" s="2290"/>
      <c r="BC305" s="2290"/>
      <c r="BD305" s="2290"/>
      <c r="BE305" s="2290"/>
      <c r="BF305" s="2290"/>
      <c r="BG305" s="2290"/>
      <c r="BH305" s="2290"/>
      <c r="BI305" s="2290"/>
      <c r="BJ305" s="2290"/>
      <c r="BK305" s="2290"/>
      <c r="BL305" s="2290"/>
      <c r="BM305" s="2290"/>
      <c r="BN305" s="2290"/>
      <c r="BO305" s="2290"/>
      <c r="BP305" s="2290"/>
      <c r="BQ305" s="2290"/>
      <c r="BR305" s="2290"/>
      <c r="BS305" s="2290"/>
      <c r="BT305" s="2290"/>
      <c r="BU305" s="2290"/>
      <c r="BV305" s="2290"/>
      <c r="BW305" s="2290"/>
      <c r="BX305" s="2290"/>
      <c r="BY305" s="2290"/>
      <c r="BZ305" s="2290"/>
      <c r="CA305" s="2290"/>
    </row>
    <row r="306" spans="1:79">
      <c r="A306" s="2290"/>
      <c r="B306" s="2290"/>
      <c r="C306" s="2290"/>
      <c r="D306" s="2290"/>
      <c r="E306" s="2290"/>
      <c r="F306" s="2290"/>
      <c r="G306" s="2290"/>
      <c r="H306" s="2290"/>
      <c r="I306" s="2290"/>
      <c r="J306" s="2290"/>
      <c r="K306" s="2290"/>
      <c r="L306" s="2290"/>
      <c r="M306" s="2290"/>
      <c r="N306" s="2290"/>
      <c r="O306" s="2290"/>
      <c r="P306" s="2290"/>
      <c r="Q306" s="2290"/>
      <c r="R306" s="2290"/>
      <c r="S306" s="2290"/>
      <c r="T306" s="2290"/>
      <c r="U306" s="2290"/>
      <c r="V306" s="2290"/>
      <c r="W306" s="2290"/>
      <c r="X306" s="2290"/>
      <c r="Y306" s="2290"/>
      <c r="Z306" s="2290"/>
      <c r="AA306" s="2290"/>
      <c r="AB306" s="2290"/>
      <c r="AC306" s="2290"/>
      <c r="AD306" s="2290"/>
      <c r="AE306" s="2290"/>
      <c r="AF306" s="2290"/>
      <c r="AG306" s="2290"/>
      <c r="AH306" s="2290"/>
      <c r="AI306" s="2290"/>
      <c r="AJ306" s="2290"/>
      <c r="AK306" s="2290"/>
      <c r="AL306" s="2290"/>
      <c r="AM306" s="2290"/>
      <c r="AN306" s="2290"/>
      <c r="AO306" s="2290"/>
      <c r="AP306" s="2290"/>
      <c r="AQ306" s="2290"/>
      <c r="AR306" s="2290"/>
      <c r="AS306" s="2290"/>
      <c r="AT306" s="2290"/>
      <c r="AU306" s="2290"/>
      <c r="AV306" s="2290"/>
      <c r="AW306" s="2290"/>
      <c r="AX306" s="2290"/>
      <c r="AY306" s="2290"/>
      <c r="AZ306" s="2290"/>
      <c r="BA306" s="2290"/>
      <c r="BB306" s="2290"/>
      <c r="BC306" s="2290"/>
      <c r="BD306" s="2290"/>
      <c r="BE306" s="2290"/>
      <c r="BF306" s="2290"/>
      <c r="BG306" s="2290"/>
      <c r="BH306" s="2290"/>
      <c r="BI306" s="2290"/>
      <c r="BJ306" s="2290"/>
      <c r="BK306" s="2290"/>
      <c r="BL306" s="2290"/>
      <c r="BM306" s="2290"/>
      <c r="BN306" s="2290"/>
      <c r="BO306" s="2290"/>
      <c r="BP306" s="2290"/>
      <c r="BQ306" s="2290"/>
      <c r="BR306" s="2290"/>
      <c r="BS306" s="2290"/>
      <c r="BT306" s="2290"/>
      <c r="BU306" s="2290"/>
      <c r="BV306" s="2290"/>
      <c r="BW306" s="2290"/>
      <c r="BX306" s="2290"/>
      <c r="BY306" s="2290"/>
      <c r="BZ306" s="2290"/>
      <c r="CA306" s="2290"/>
    </row>
    <row r="307" spans="1:79">
      <c r="A307" s="2290"/>
      <c r="B307" s="2290"/>
      <c r="C307" s="2290"/>
      <c r="D307" s="2290"/>
      <c r="E307" s="2290"/>
      <c r="F307" s="2290"/>
      <c r="G307" s="2290"/>
      <c r="H307" s="2290"/>
      <c r="I307" s="2290"/>
      <c r="J307" s="2290"/>
      <c r="K307" s="2290"/>
      <c r="L307" s="2290"/>
      <c r="M307" s="2290"/>
      <c r="N307" s="2290"/>
      <c r="O307" s="2290"/>
      <c r="P307" s="2290"/>
      <c r="Q307" s="2290"/>
      <c r="R307" s="2290"/>
      <c r="S307" s="2290"/>
      <c r="T307" s="2290"/>
      <c r="U307" s="2290"/>
      <c r="V307" s="2290"/>
      <c r="W307" s="2290"/>
      <c r="X307" s="2290"/>
      <c r="Y307" s="2290"/>
      <c r="Z307" s="2290"/>
      <c r="AA307" s="2290"/>
      <c r="AB307" s="2290"/>
      <c r="AC307" s="2290"/>
      <c r="AD307" s="2290"/>
      <c r="AE307" s="2290"/>
      <c r="AF307" s="2290"/>
      <c r="AG307" s="2290"/>
      <c r="AH307" s="2290"/>
      <c r="AI307" s="2290"/>
      <c r="AJ307" s="2290"/>
      <c r="AK307" s="2290"/>
      <c r="AL307" s="2290"/>
      <c r="AM307" s="2290"/>
      <c r="AN307" s="2290"/>
      <c r="AO307" s="2290"/>
      <c r="AP307" s="2290"/>
      <c r="AQ307" s="2290"/>
      <c r="AR307" s="2290"/>
      <c r="AS307" s="2290"/>
      <c r="AT307" s="2290"/>
      <c r="AU307" s="2290"/>
      <c r="AV307" s="2290"/>
      <c r="AW307" s="2290"/>
      <c r="AX307" s="2290"/>
      <c r="AY307" s="2290"/>
      <c r="AZ307" s="2290"/>
      <c r="BA307" s="2290"/>
      <c r="BB307" s="2290"/>
      <c r="BC307" s="2290"/>
      <c r="BD307" s="2290"/>
      <c r="BE307" s="2290"/>
      <c r="BF307" s="2290"/>
      <c r="BG307" s="2290"/>
      <c r="BH307" s="2290"/>
      <c r="BI307" s="2290"/>
      <c r="BJ307" s="2290"/>
      <c r="BK307" s="2290"/>
      <c r="BL307" s="2290"/>
      <c r="BM307" s="2290"/>
      <c r="BN307" s="2290"/>
      <c r="BO307" s="2290"/>
      <c r="BP307" s="2290"/>
      <c r="BQ307" s="2290"/>
      <c r="BR307" s="2290"/>
      <c r="BS307" s="2290"/>
      <c r="BT307" s="2290"/>
      <c r="BU307" s="2290"/>
      <c r="BV307" s="2290"/>
      <c r="BW307" s="2290"/>
      <c r="BX307" s="2290"/>
      <c r="BY307" s="2290"/>
      <c r="BZ307" s="2290"/>
      <c r="CA307" s="2290"/>
    </row>
    <row r="308" spans="1:79">
      <c r="A308" s="2290"/>
      <c r="B308" s="2290"/>
      <c r="C308" s="2290"/>
      <c r="D308" s="2290"/>
      <c r="E308" s="2290"/>
      <c r="F308" s="2290"/>
      <c r="G308" s="2290"/>
      <c r="H308" s="2290"/>
      <c r="I308" s="2290"/>
      <c r="J308" s="2290"/>
      <c r="K308" s="2290"/>
      <c r="L308" s="2290"/>
      <c r="M308" s="2290"/>
      <c r="N308" s="2290"/>
      <c r="O308" s="2290"/>
      <c r="P308" s="2290"/>
      <c r="Q308" s="2290"/>
      <c r="R308" s="2290"/>
      <c r="S308" s="2290"/>
      <c r="T308" s="2290"/>
      <c r="U308" s="2290"/>
      <c r="V308" s="2290"/>
      <c r="W308" s="2290"/>
      <c r="X308" s="2290"/>
      <c r="Y308" s="2290"/>
      <c r="Z308" s="2290"/>
      <c r="AA308" s="2290"/>
      <c r="AB308" s="2290"/>
      <c r="AC308" s="2290"/>
      <c r="AD308" s="2290"/>
      <c r="AE308" s="2290"/>
      <c r="AF308" s="2290"/>
      <c r="AG308" s="2290"/>
      <c r="AH308" s="2290"/>
      <c r="AI308" s="2290"/>
      <c r="AJ308" s="2290"/>
      <c r="AK308" s="2290"/>
      <c r="AL308" s="2290"/>
      <c r="AM308" s="2290"/>
      <c r="AN308" s="2290"/>
      <c r="AO308" s="2290"/>
      <c r="AP308" s="2290"/>
      <c r="AQ308" s="2290"/>
      <c r="AR308" s="2290"/>
      <c r="AS308" s="2290"/>
      <c r="AT308" s="2290"/>
      <c r="AU308" s="2290"/>
      <c r="AV308" s="2290"/>
      <c r="AW308" s="2290"/>
      <c r="AX308" s="2290"/>
      <c r="AY308" s="2290"/>
      <c r="AZ308" s="2290"/>
      <c r="BA308" s="2290"/>
      <c r="BB308" s="2290"/>
      <c r="BC308" s="2290"/>
      <c r="BD308" s="2290"/>
      <c r="BE308" s="2290"/>
      <c r="BF308" s="2290"/>
      <c r="BG308" s="2290"/>
      <c r="BH308" s="2290"/>
      <c r="BI308" s="2290"/>
      <c r="BJ308" s="2290"/>
      <c r="BK308" s="2290"/>
      <c r="BL308" s="2290"/>
      <c r="BM308" s="2290"/>
      <c r="BN308" s="2290"/>
      <c r="BO308" s="2290"/>
      <c r="BP308" s="2290"/>
      <c r="BQ308" s="2290"/>
      <c r="BR308" s="2290"/>
      <c r="BS308" s="2290"/>
      <c r="BT308" s="2290"/>
      <c r="BU308" s="2290"/>
      <c r="BV308" s="2290"/>
      <c r="BW308" s="2290"/>
      <c r="BX308" s="2290"/>
      <c r="BY308" s="2290"/>
      <c r="BZ308" s="2290"/>
      <c r="CA308" s="2290"/>
    </row>
    <row r="309" spans="1:79">
      <c r="A309" s="2290"/>
      <c r="B309" s="2290"/>
      <c r="C309" s="2290"/>
      <c r="D309" s="2290"/>
      <c r="E309" s="2290"/>
      <c r="F309" s="2290"/>
      <c r="G309" s="2290"/>
      <c r="H309" s="2290"/>
      <c r="I309" s="2290"/>
      <c r="J309" s="2290"/>
      <c r="K309" s="2290"/>
      <c r="L309" s="2290"/>
      <c r="M309" s="2290"/>
      <c r="N309" s="2290"/>
      <c r="O309" s="2290"/>
      <c r="P309" s="2290"/>
      <c r="Q309" s="2290"/>
      <c r="R309" s="2290"/>
      <c r="S309" s="2290"/>
      <c r="T309" s="2290"/>
      <c r="U309" s="2290"/>
      <c r="V309" s="2290"/>
      <c r="W309" s="2290"/>
      <c r="X309" s="2290"/>
      <c r="Y309" s="2290"/>
      <c r="Z309" s="2290"/>
      <c r="AA309" s="2290"/>
      <c r="AB309" s="2290"/>
      <c r="AC309" s="2290"/>
      <c r="AD309" s="2290"/>
      <c r="AE309" s="2290"/>
      <c r="AF309" s="2290"/>
      <c r="AG309" s="2290"/>
      <c r="AH309" s="2290"/>
      <c r="AI309" s="2290"/>
      <c r="AJ309" s="2290"/>
      <c r="AK309" s="2290"/>
      <c r="AL309" s="2290"/>
      <c r="AM309" s="2290"/>
      <c r="AN309" s="2290"/>
      <c r="AO309" s="2290"/>
      <c r="AP309" s="2290"/>
      <c r="AQ309" s="2290"/>
      <c r="AR309" s="2290"/>
      <c r="AS309" s="2290"/>
      <c r="AT309" s="2290"/>
      <c r="AU309" s="2290"/>
      <c r="AV309" s="2290"/>
      <c r="AW309" s="2290"/>
      <c r="AX309" s="2290"/>
      <c r="AY309" s="2290"/>
      <c r="AZ309" s="2290"/>
      <c r="BA309" s="2290"/>
      <c r="BB309" s="2290"/>
      <c r="BC309" s="2290"/>
      <c r="BD309" s="2290"/>
      <c r="BE309" s="2290"/>
      <c r="BF309" s="2290"/>
      <c r="BG309" s="2290"/>
      <c r="BH309" s="2290"/>
      <c r="BI309" s="2290"/>
      <c r="BJ309" s="2290"/>
      <c r="BK309" s="2290"/>
      <c r="BL309" s="2290"/>
      <c r="BM309" s="2290"/>
      <c r="BN309" s="2290"/>
      <c r="BO309" s="2290"/>
      <c r="BP309" s="2290"/>
      <c r="BQ309" s="2290"/>
      <c r="BR309" s="2290"/>
      <c r="BS309" s="2290"/>
      <c r="BT309" s="2290"/>
      <c r="BU309" s="2290"/>
      <c r="BV309" s="2290"/>
      <c r="BW309" s="2290"/>
      <c r="BX309" s="2290"/>
      <c r="BY309" s="2290"/>
      <c r="BZ309" s="2290"/>
      <c r="CA309" s="2290"/>
    </row>
    <row r="310" spans="1:79">
      <c r="A310" s="2290"/>
      <c r="B310" s="2290"/>
      <c r="C310" s="2290"/>
      <c r="D310" s="2290"/>
      <c r="E310" s="2290"/>
      <c r="F310" s="2290"/>
      <c r="G310" s="2290"/>
      <c r="H310" s="2290"/>
      <c r="I310" s="2290"/>
      <c r="J310" s="2290"/>
      <c r="K310" s="2290"/>
      <c r="L310" s="2290"/>
      <c r="M310" s="2290"/>
      <c r="N310" s="2290"/>
      <c r="O310" s="2290"/>
      <c r="P310" s="2290"/>
      <c r="Q310" s="2290"/>
      <c r="R310" s="2290"/>
      <c r="S310" s="2290"/>
      <c r="T310" s="2290"/>
      <c r="U310" s="2290"/>
      <c r="V310" s="2290"/>
      <c r="W310" s="2290"/>
      <c r="X310" s="2290"/>
      <c r="Y310" s="2290"/>
      <c r="Z310" s="2290"/>
      <c r="AA310" s="2290"/>
      <c r="AB310" s="2290"/>
      <c r="AC310" s="2290"/>
      <c r="AD310" s="2290"/>
      <c r="AE310" s="2290"/>
      <c r="AF310" s="2290"/>
      <c r="AG310" s="2290"/>
      <c r="AH310" s="2290"/>
      <c r="AI310" s="2290"/>
      <c r="AJ310" s="2290"/>
      <c r="AK310" s="2290"/>
      <c r="AL310" s="2290"/>
      <c r="AM310" s="2290"/>
      <c r="AN310" s="2290"/>
      <c r="AO310" s="2290"/>
      <c r="AP310" s="2290"/>
      <c r="AQ310" s="2290"/>
      <c r="AR310" s="2290"/>
      <c r="AS310" s="2290"/>
      <c r="AT310" s="2290"/>
      <c r="AU310" s="2290"/>
      <c r="AV310" s="2290"/>
      <c r="AW310" s="2290"/>
      <c r="AX310" s="2290"/>
      <c r="AY310" s="2290"/>
      <c r="AZ310" s="2290"/>
      <c r="BA310" s="2290"/>
      <c r="BB310" s="2290"/>
      <c r="BC310" s="2290"/>
      <c r="BD310" s="2290"/>
      <c r="BE310" s="2290"/>
      <c r="BF310" s="2290"/>
      <c r="BG310" s="2290"/>
      <c r="BH310" s="2290"/>
      <c r="BI310" s="2290"/>
      <c r="BJ310" s="2290"/>
      <c r="BK310" s="2290"/>
      <c r="BL310" s="2290"/>
      <c r="BM310" s="2290"/>
      <c r="BN310" s="2290"/>
      <c r="BO310" s="2290"/>
      <c r="BP310" s="2290"/>
      <c r="BQ310" s="2290"/>
      <c r="BR310" s="2290"/>
      <c r="BS310" s="2290"/>
      <c r="BT310" s="2290"/>
      <c r="BU310" s="2290"/>
      <c r="BV310" s="2290"/>
      <c r="BW310" s="2290"/>
      <c r="BX310" s="2290"/>
      <c r="BY310" s="2290"/>
      <c r="BZ310" s="2290"/>
      <c r="CA310" s="2290"/>
    </row>
    <row r="311" spans="1:79">
      <c r="A311" s="2290"/>
      <c r="B311" s="2290"/>
      <c r="C311" s="2290"/>
      <c r="D311" s="2290"/>
      <c r="E311" s="2290"/>
      <c r="F311" s="2290"/>
      <c r="G311" s="2290"/>
      <c r="H311" s="2290"/>
      <c r="I311" s="2290"/>
      <c r="J311" s="2290"/>
      <c r="K311" s="2290"/>
      <c r="L311" s="2290"/>
      <c r="M311" s="2290"/>
      <c r="N311" s="2290"/>
      <c r="O311" s="2290"/>
      <c r="P311" s="2290"/>
      <c r="Q311" s="2290"/>
      <c r="R311" s="2290"/>
      <c r="S311" s="2290"/>
      <c r="T311" s="2290"/>
      <c r="U311" s="2290"/>
      <c r="V311" s="2290"/>
      <c r="W311" s="2290"/>
      <c r="X311" s="2290"/>
      <c r="Y311" s="2290"/>
      <c r="Z311" s="2290"/>
      <c r="AA311" s="2290"/>
      <c r="AB311" s="2290"/>
      <c r="AC311" s="2290"/>
      <c r="AD311" s="2290"/>
      <c r="AE311" s="2290"/>
      <c r="AF311" s="2290"/>
      <c r="AG311" s="2290"/>
      <c r="AH311" s="2290"/>
      <c r="AI311" s="2290"/>
      <c r="AJ311" s="2290"/>
      <c r="AK311" s="2290"/>
      <c r="AL311" s="2290"/>
      <c r="AM311" s="2290"/>
      <c r="AN311" s="2290"/>
      <c r="AO311" s="2290"/>
      <c r="AP311" s="2290"/>
      <c r="AQ311" s="2290"/>
      <c r="AR311" s="2290"/>
      <c r="AS311" s="2290"/>
      <c r="AT311" s="2290"/>
      <c r="AU311" s="2290"/>
      <c r="AV311" s="2290"/>
      <c r="AW311" s="2290"/>
      <c r="AX311" s="2290"/>
      <c r="AY311" s="2290"/>
      <c r="AZ311" s="2290"/>
      <c r="BA311" s="2290"/>
      <c r="BB311" s="2290"/>
      <c r="BC311" s="2290"/>
      <c r="BD311" s="2290"/>
      <c r="BE311" s="2290"/>
      <c r="BF311" s="2290"/>
      <c r="BG311" s="2290"/>
      <c r="BH311" s="2290"/>
      <c r="BI311" s="2290"/>
      <c r="BJ311" s="2290"/>
      <c r="BK311" s="2290"/>
      <c r="BL311" s="2290"/>
      <c r="BM311" s="2290"/>
      <c r="BN311" s="2290"/>
      <c r="BO311" s="2290"/>
      <c r="BP311" s="2290"/>
      <c r="BQ311" s="2290"/>
      <c r="BR311" s="2290"/>
      <c r="BS311" s="2290"/>
      <c r="BT311" s="2290"/>
      <c r="BU311" s="2290"/>
      <c r="BV311" s="2290"/>
      <c r="BW311" s="2290"/>
      <c r="BX311" s="2290"/>
      <c r="BY311" s="2290"/>
      <c r="BZ311" s="2290"/>
      <c r="CA311" s="2290"/>
    </row>
    <row r="312" spans="1:79">
      <c r="A312" s="2290"/>
      <c r="B312" s="2290"/>
      <c r="C312" s="2290"/>
      <c r="D312" s="2290"/>
      <c r="E312" s="2290"/>
      <c r="F312" s="2290"/>
      <c r="G312" s="2290"/>
      <c r="H312" s="2290"/>
      <c r="I312" s="2290"/>
      <c r="J312" s="2290"/>
      <c r="K312" s="2290"/>
      <c r="L312" s="2290"/>
      <c r="M312" s="2290"/>
      <c r="N312" s="2290"/>
      <c r="O312" s="2290"/>
      <c r="P312" s="2290"/>
      <c r="Q312" s="2290"/>
      <c r="R312" s="2290"/>
      <c r="S312" s="2290"/>
      <c r="T312" s="2290"/>
      <c r="U312" s="2290"/>
      <c r="V312" s="2290"/>
      <c r="W312" s="2290"/>
      <c r="X312" s="2290"/>
      <c r="Y312" s="2290"/>
      <c r="Z312" s="2290"/>
      <c r="AA312" s="2290"/>
      <c r="AB312" s="2290"/>
      <c r="AC312" s="2290"/>
      <c r="AD312" s="2290"/>
      <c r="AE312" s="2290"/>
      <c r="AF312" s="2290"/>
      <c r="AG312" s="2290"/>
      <c r="AH312" s="2290"/>
      <c r="AI312" s="2290"/>
      <c r="AJ312" s="2290"/>
      <c r="AK312" s="2290"/>
      <c r="AL312" s="2290"/>
      <c r="AM312" s="2290"/>
      <c r="AN312" s="2290"/>
      <c r="AO312" s="2290"/>
      <c r="AP312" s="2290"/>
      <c r="AQ312" s="2290"/>
      <c r="AR312" s="2290"/>
      <c r="AS312" s="2290"/>
      <c r="AT312" s="2290"/>
      <c r="AU312" s="2290"/>
      <c r="AV312" s="2290"/>
      <c r="AW312" s="2290"/>
      <c r="AX312" s="2290"/>
      <c r="AY312" s="2290"/>
      <c r="AZ312" s="2290"/>
      <c r="BA312" s="2290"/>
      <c r="BB312" s="2290"/>
      <c r="BC312" s="2290"/>
      <c r="BD312" s="2290"/>
      <c r="BE312" s="2290"/>
      <c r="BF312" s="2290"/>
      <c r="BG312" s="2290"/>
      <c r="BH312" s="2290"/>
      <c r="BI312" s="2290"/>
      <c r="BJ312" s="2290"/>
      <c r="BK312" s="2290"/>
      <c r="BL312" s="2290"/>
      <c r="BM312" s="2290"/>
      <c r="BN312" s="2290"/>
      <c r="BO312" s="2290"/>
      <c r="BP312" s="2290"/>
      <c r="BQ312" s="2290"/>
      <c r="BR312" s="2290"/>
      <c r="BS312" s="2290"/>
      <c r="BT312" s="2290"/>
      <c r="BU312" s="2290"/>
      <c r="BV312" s="2290"/>
      <c r="BW312" s="2290"/>
      <c r="BX312" s="2290"/>
      <c r="BY312" s="2290"/>
      <c r="BZ312" s="2290"/>
      <c r="CA312" s="2290"/>
    </row>
    <row r="313" spans="1:79">
      <c r="A313" s="2290"/>
      <c r="B313" s="2290"/>
      <c r="C313" s="2290"/>
      <c r="D313" s="2290"/>
      <c r="E313" s="2290"/>
      <c r="F313" s="2290"/>
      <c r="G313" s="2290"/>
      <c r="H313" s="2290"/>
      <c r="I313" s="2290"/>
      <c r="J313" s="2290"/>
      <c r="K313" s="2290"/>
      <c r="L313" s="2290"/>
      <c r="M313" s="2290"/>
      <c r="N313" s="2290"/>
      <c r="O313" s="2290"/>
      <c r="P313" s="2290"/>
      <c r="Q313" s="2290"/>
      <c r="R313" s="2290"/>
      <c r="S313" s="2290"/>
      <c r="T313" s="2290"/>
      <c r="U313" s="2290"/>
      <c r="V313" s="2290"/>
      <c r="W313" s="2290"/>
      <c r="X313" s="2290"/>
      <c r="Y313" s="2290"/>
      <c r="Z313" s="2290"/>
      <c r="AA313" s="2290"/>
      <c r="AB313" s="2290"/>
      <c r="AC313" s="2290"/>
      <c r="AD313" s="2290"/>
      <c r="AE313" s="2290"/>
      <c r="AF313" s="2290"/>
      <c r="AG313" s="2290"/>
      <c r="AH313" s="2290"/>
      <c r="AI313" s="2290"/>
      <c r="AJ313" s="2290"/>
      <c r="AK313" s="2290"/>
      <c r="AL313" s="2290"/>
      <c r="AM313" s="2290"/>
      <c r="AN313" s="2290"/>
      <c r="AO313" s="2290"/>
      <c r="AP313" s="2290"/>
      <c r="AQ313" s="2290"/>
      <c r="AR313" s="2290"/>
      <c r="AS313" s="2290"/>
      <c r="AT313" s="2290"/>
      <c r="AU313" s="2290"/>
      <c r="AV313" s="2290"/>
      <c r="AW313" s="2290"/>
      <c r="AX313" s="2290"/>
      <c r="AY313" s="2290"/>
      <c r="AZ313" s="2290"/>
      <c r="BA313" s="2290"/>
      <c r="BB313" s="2290"/>
      <c r="BC313" s="2290"/>
      <c r="BD313" s="2290"/>
      <c r="BE313" s="2290"/>
      <c r="BF313" s="2290"/>
      <c r="BG313" s="2290"/>
      <c r="BH313" s="2290"/>
      <c r="BI313" s="2290"/>
      <c r="BJ313" s="2290"/>
      <c r="BK313" s="2290"/>
      <c r="BL313" s="2290"/>
      <c r="BM313" s="2290"/>
      <c r="BN313" s="2290"/>
      <c r="BO313" s="2290"/>
      <c r="BP313" s="2290"/>
      <c r="BQ313" s="2290"/>
      <c r="BR313" s="2290"/>
      <c r="BS313" s="2290"/>
      <c r="BT313" s="2290"/>
      <c r="BU313" s="2290"/>
      <c r="BV313" s="2290"/>
      <c r="BW313" s="2290"/>
      <c r="BX313" s="2290"/>
      <c r="BY313" s="2290"/>
      <c r="BZ313" s="2290"/>
      <c r="CA313" s="2290"/>
    </row>
    <row r="314" spans="1:79">
      <c r="A314" s="2290"/>
      <c r="B314" s="2290"/>
      <c r="C314" s="2290"/>
      <c r="D314" s="2290"/>
      <c r="E314" s="2290"/>
      <c r="F314" s="2290"/>
      <c r="G314" s="2290"/>
      <c r="H314" s="2290"/>
      <c r="I314" s="2290"/>
      <c r="J314" s="2290"/>
      <c r="K314" s="2290"/>
      <c r="L314" s="2290"/>
      <c r="M314" s="2290"/>
      <c r="N314" s="2290"/>
      <c r="O314" s="2290"/>
      <c r="P314" s="2290"/>
      <c r="Q314" s="2290"/>
      <c r="R314" s="2290"/>
      <c r="S314" s="2290"/>
      <c r="T314" s="2290"/>
      <c r="U314" s="2290"/>
      <c r="V314" s="2290"/>
      <c r="W314" s="2290"/>
      <c r="X314" s="2290"/>
      <c r="Y314" s="2290"/>
      <c r="Z314" s="2290"/>
      <c r="AA314" s="2290"/>
      <c r="AB314" s="2290"/>
      <c r="AC314" s="2290"/>
      <c r="AD314" s="2290"/>
      <c r="AE314" s="2290"/>
      <c r="AF314" s="2290"/>
      <c r="AG314" s="2290"/>
      <c r="AH314" s="2290"/>
      <c r="AI314" s="2290"/>
      <c r="AJ314" s="2290"/>
      <c r="AK314" s="2290"/>
      <c r="AL314" s="2290"/>
      <c r="AM314" s="2290"/>
      <c r="AN314" s="2290"/>
      <c r="AO314" s="2290"/>
      <c r="AP314" s="2290"/>
      <c r="AQ314" s="2290"/>
      <c r="AR314" s="2290"/>
      <c r="AS314" s="2290"/>
      <c r="AT314" s="2290"/>
      <c r="AU314" s="2290"/>
      <c r="AV314" s="2290"/>
      <c r="AW314" s="2290"/>
      <c r="AX314" s="2290"/>
      <c r="AY314" s="2290"/>
      <c r="AZ314" s="2290"/>
      <c r="BA314" s="2290"/>
      <c r="BB314" s="2290"/>
      <c r="BC314" s="2290"/>
      <c r="BD314" s="2290"/>
      <c r="BE314" s="2290"/>
      <c r="BF314" s="2290"/>
      <c r="BG314" s="2290"/>
      <c r="BH314" s="2290"/>
      <c r="BI314" s="2290"/>
      <c r="BJ314" s="2290"/>
      <c r="BK314" s="2290"/>
      <c r="BL314" s="2290"/>
      <c r="BM314" s="2290"/>
      <c r="BN314" s="2290"/>
      <c r="BO314" s="2290"/>
      <c r="BP314" s="2290"/>
      <c r="BQ314" s="2290"/>
      <c r="BR314" s="2290"/>
      <c r="BS314" s="2290"/>
      <c r="BT314" s="2290"/>
      <c r="BU314" s="2290"/>
      <c r="BV314" s="2290"/>
      <c r="BW314" s="2290"/>
      <c r="BX314" s="2290"/>
      <c r="BY314" s="2290"/>
      <c r="BZ314" s="2290"/>
      <c r="CA314" s="2290"/>
    </row>
    <row r="315" spans="1:79">
      <c r="A315" s="2290"/>
      <c r="B315" s="2290"/>
      <c r="C315" s="2290"/>
      <c r="D315" s="2290"/>
      <c r="E315" s="2290"/>
      <c r="F315" s="2290"/>
      <c r="G315" s="2290"/>
      <c r="H315" s="2290"/>
      <c r="I315" s="2290"/>
      <c r="J315" s="2290"/>
      <c r="K315" s="2290"/>
      <c r="L315" s="2290"/>
      <c r="M315" s="2290"/>
      <c r="N315" s="2290"/>
      <c r="O315" s="2290"/>
      <c r="P315" s="2290"/>
      <c r="Q315" s="2290"/>
      <c r="R315" s="2290"/>
      <c r="S315" s="2290"/>
      <c r="T315" s="2290"/>
      <c r="U315" s="2290"/>
      <c r="V315" s="2290"/>
      <c r="W315" s="2290"/>
      <c r="X315" s="2290"/>
      <c r="Y315" s="2290"/>
      <c r="Z315" s="2290"/>
      <c r="AA315" s="2290"/>
      <c r="AB315" s="2290"/>
      <c r="AC315" s="2290"/>
      <c r="AD315" s="2290"/>
      <c r="AE315" s="2290"/>
      <c r="AF315" s="2290"/>
      <c r="AG315" s="2290"/>
      <c r="AH315" s="2290"/>
      <c r="AI315" s="2290"/>
      <c r="AJ315" s="2290"/>
      <c r="AK315" s="2290"/>
      <c r="AL315" s="2290"/>
      <c r="AM315" s="2290"/>
      <c r="AN315" s="2290"/>
      <c r="AO315" s="2290"/>
      <c r="AP315" s="2290"/>
      <c r="AQ315" s="2290"/>
      <c r="AR315" s="2290"/>
      <c r="AS315" s="2290"/>
      <c r="AT315" s="2290"/>
      <c r="AU315" s="2290"/>
      <c r="AV315" s="2290"/>
      <c r="AW315" s="2290"/>
      <c r="AX315" s="2290"/>
      <c r="AY315" s="2290"/>
      <c r="AZ315" s="2290"/>
      <c r="BA315" s="2290"/>
      <c r="BB315" s="2290"/>
      <c r="BC315" s="2290"/>
      <c r="BD315" s="2290"/>
      <c r="BE315" s="2290"/>
      <c r="BF315" s="2290"/>
      <c r="BG315" s="2290"/>
      <c r="BH315" s="2290"/>
      <c r="BI315" s="2290"/>
      <c r="BJ315" s="2290"/>
      <c r="BK315" s="2290"/>
      <c r="BL315" s="2290"/>
      <c r="BM315" s="2290"/>
      <c r="BN315" s="2290"/>
      <c r="BO315" s="2290"/>
      <c r="BP315" s="2290"/>
      <c r="BQ315" s="2290"/>
      <c r="BR315" s="2290"/>
      <c r="BS315" s="2290"/>
      <c r="BT315" s="2290"/>
      <c r="BU315" s="2290"/>
      <c r="BV315" s="2290"/>
      <c r="BW315" s="2290"/>
      <c r="BX315" s="2290"/>
      <c r="BY315" s="2290"/>
      <c r="BZ315" s="2290"/>
      <c r="CA315" s="2290"/>
    </row>
    <row r="316" spans="1:79">
      <c r="A316" s="2290"/>
      <c r="B316" s="2290"/>
      <c r="C316" s="2290"/>
      <c r="D316" s="2290"/>
      <c r="E316" s="2290"/>
      <c r="F316" s="2290"/>
      <c r="G316" s="2290"/>
      <c r="H316" s="2290"/>
      <c r="I316" s="2290"/>
      <c r="J316" s="2290"/>
      <c r="K316" s="2290"/>
      <c r="L316" s="2290"/>
      <c r="M316" s="2290"/>
      <c r="N316" s="2290"/>
      <c r="O316" s="2290"/>
      <c r="P316" s="2290"/>
      <c r="Q316" s="2290"/>
      <c r="R316" s="2290"/>
      <c r="S316" s="2290"/>
      <c r="T316" s="2290"/>
      <c r="U316" s="2290"/>
      <c r="V316" s="2290"/>
      <c r="W316" s="2290"/>
      <c r="X316" s="2290"/>
      <c r="Y316" s="2290"/>
      <c r="Z316" s="2290"/>
      <c r="AA316" s="2290"/>
      <c r="AB316" s="2290"/>
      <c r="AC316" s="2290"/>
      <c r="AD316" s="2290"/>
      <c r="AE316" s="2290"/>
      <c r="AF316" s="2290"/>
      <c r="AG316" s="2290"/>
      <c r="AH316" s="2290"/>
      <c r="AI316" s="2290"/>
      <c r="AJ316" s="2290"/>
      <c r="AK316" s="2290"/>
      <c r="AL316" s="2290"/>
      <c r="AM316" s="2290"/>
      <c r="AN316" s="2290"/>
      <c r="AO316" s="2290"/>
      <c r="AP316" s="2290"/>
      <c r="AQ316" s="2290"/>
      <c r="AR316" s="2290"/>
      <c r="AS316" s="2290"/>
      <c r="AT316" s="2290"/>
      <c r="AU316" s="2290"/>
      <c r="AV316" s="2290"/>
      <c r="AW316" s="2290"/>
      <c r="AX316" s="2290"/>
      <c r="AY316" s="2290"/>
      <c r="AZ316" s="2290"/>
      <c r="BA316" s="2290"/>
      <c r="BB316" s="2290"/>
      <c r="BC316" s="2290"/>
      <c r="BD316" s="2290"/>
      <c r="BE316" s="2290"/>
      <c r="BF316" s="2290"/>
      <c r="BG316" s="2290"/>
      <c r="BH316" s="2290"/>
      <c r="BI316" s="2290"/>
      <c r="BJ316" s="2290"/>
      <c r="BK316" s="2290"/>
      <c r="BL316" s="2290"/>
      <c r="BM316" s="2290"/>
      <c r="BN316" s="2290"/>
      <c r="BO316" s="2290"/>
      <c r="BP316" s="2290"/>
      <c r="BQ316" s="2290"/>
      <c r="BR316" s="2290"/>
      <c r="BS316" s="2290"/>
      <c r="BT316" s="2290"/>
      <c r="BU316" s="2290"/>
      <c r="BV316" s="2290"/>
      <c r="BW316" s="2290"/>
      <c r="BX316" s="2290"/>
      <c r="BY316" s="2290"/>
      <c r="BZ316" s="2290"/>
      <c r="CA316" s="2290"/>
    </row>
    <row r="317" spans="1:79">
      <c r="A317" s="2290"/>
      <c r="B317" s="2290"/>
      <c r="C317" s="2290"/>
      <c r="D317" s="2290"/>
      <c r="E317" s="2290"/>
      <c r="F317" s="2290"/>
      <c r="G317" s="2290"/>
      <c r="H317" s="2290"/>
      <c r="I317" s="2290"/>
      <c r="J317" s="2290"/>
      <c r="K317" s="2290"/>
      <c r="L317" s="2290"/>
      <c r="M317" s="2290"/>
      <c r="N317" s="2290"/>
      <c r="O317" s="2290"/>
      <c r="P317" s="2290"/>
      <c r="Q317" s="2290"/>
      <c r="R317" s="2290"/>
      <c r="S317" s="2290"/>
      <c r="T317" s="2290"/>
      <c r="U317" s="2290"/>
      <c r="V317" s="2290"/>
      <c r="W317" s="2290"/>
      <c r="X317" s="2290"/>
      <c r="Y317" s="2290"/>
      <c r="Z317" s="2290"/>
      <c r="AA317" s="2290"/>
      <c r="AB317" s="2290"/>
      <c r="AC317" s="2290"/>
      <c r="AD317" s="2290"/>
      <c r="AE317" s="2290"/>
      <c r="AF317" s="2290"/>
      <c r="AG317" s="2290"/>
      <c r="AH317" s="2290"/>
      <c r="AI317" s="2290"/>
      <c r="AJ317" s="2290"/>
      <c r="AK317" s="2290"/>
      <c r="AL317" s="2290"/>
      <c r="AM317" s="2290"/>
      <c r="AN317" s="2290"/>
      <c r="AO317" s="2290"/>
      <c r="AP317" s="2290"/>
      <c r="AQ317" s="2290"/>
      <c r="AR317" s="2290"/>
      <c r="AS317" s="2290"/>
      <c r="AT317" s="2290"/>
      <c r="AU317" s="2290"/>
      <c r="AV317" s="2290"/>
      <c r="AW317" s="2290"/>
      <c r="AX317" s="2290"/>
      <c r="AY317" s="2290"/>
      <c r="AZ317" s="2290"/>
      <c r="BA317" s="2290"/>
      <c r="BB317" s="2290"/>
      <c r="BC317" s="2290"/>
      <c r="BD317" s="2290"/>
      <c r="BE317" s="2290"/>
      <c r="BF317" s="2290"/>
      <c r="BG317" s="2290"/>
      <c r="BH317" s="2290"/>
      <c r="BI317" s="2290"/>
      <c r="BJ317" s="2290"/>
      <c r="BK317" s="2290"/>
      <c r="BL317" s="2290"/>
      <c r="BM317" s="2290"/>
      <c r="BN317" s="2290"/>
      <c r="BO317" s="2290"/>
      <c r="BP317" s="2290"/>
      <c r="BQ317" s="2290"/>
      <c r="BR317" s="2290"/>
      <c r="BS317" s="2290"/>
      <c r="BT317" s="2290"/>
      <c r="BU317" s="2290"/>
      <c r="BV317" s="2290"/>
      <c r="BW317" s="2290"/>
      <c r="BX317" s="2290"/>
      <c r="BY317" s="2290"/>
      <c r="BZ317" s="2290"/>
      <c r="CA317" s="2290"/>
    </row>
    <row r="318" spans="1:79">
      <c r="A318" s="2290"/>
      <c r="B318" s="2290"/>
      <c r="C318" s="2290"/>
      <c r="D318" s="2290"/>
      <c r="E318" s="2290"/>
      <c r="F318" s="2290"/>
      <c r="G318" s="2290"/>
      <c r="H318" s="2290"/>
      <c r="I318" s="2290"/>
      <c r="J318" s="2290"/>
      <c r="K318" s="2290"/>
      <c r="L318" s="2290"/>
      <c r="M318" s="2290"/>
      <c r="N318" s="2290"/>
      <c r="O318" s="2290"/>
      <c r="P318" s="2290"/>
      <c r="Q318" s="2290"/>
      <c r="R318" s="2290"/>
      <c r="S318" s="2290"/>
      <c r="T318" s="2290"/>
      <c r="U318" s="2290"/>
      <c r="V318" s="2290"/>
      <c r="W318" s="2290"/>
      <c r="X318" s="2290"/>
      <c r="Y318" s="2290"/>
      <c r="Z318" s="2290"/>
      <c r="AA318" s="2290"/>
      <c r="AB318" s="2290"/>
      <c r="AC318" s="2290"/>
      <c r="AD318" s="2290"/>
      <c r="AE318" s="2290"/>
      <c r="AF318" s="2290"/>
      <c r="AG318" s="2290"/>
      <c r="AH318" s="2290"/>
      <c r="AI318" s="2290"/>
      <c r="AJ318" s="2290"/>
      <c r="AK318" s="2290"/>
      <c r="AL318" s="2290"/>
      <c r="AM318" s="2290"/>
      <c r="AN318" s="2290"/>
      <c r="AO318" s="2290"/>
      <c r="AP318" s="2290"/>
      <c r="AQ318" s="2290"/>
      <c r="AR318" s="2290"/>
      <c r="AS318" s="2290"/>
      <c r="AT318" s="2290"/>
      <c r="AU318" s="2290"/>
      <c r="AV318" s="2290"/>
      <c r="AW318" s="2290"/>
      <c r="AX318" s="2290"/>
      <c r="AY318" s="2290"/>
      <c r="AZ318" s="2290"/>
      <c r="BA318" s="2290"/>
      <c r="BB318" s="2290"/>
      <c r="BC318" s="2290"/>
      <c r="BD318" s="2290"/>
      <c r="BE318" s="2290"/>
      <c r="BF318" s="2290"/>
      <c r="BG318" s="2290"/>
      <c r="BH318" s="2290"/>
      <c r="BI318" s="2290"/>
      <c r="BJ318" s="2290"/>
      <c r="BK318" s="2290"/>
      <c r="BL318" s="2290"/>
      <c r="BM318" s="2290"/>
      <c r="BN318" s="2290"/>
      <c r="BO318" s="2290"/>
      <c r="BP318" s="2290"/>
      <c r="BQ318" s="2290"/>
      <c r="BR318" s="2290"/>
      <c r="BS318" s="2290"/>
      <c r="BT318" s="2290"/>
      <c r="BU318" s="2290"/>
      <c r="BV318" s="2290"/>
      <c r="BW318" s="2290"/>
      <c r="BX318" s="2290"/>
      <c r="BY318" s="2290"/>
      <c r="BZ318" s="2290"/>
      <c r="CA318" s="2290"/>
    </row>
    <row r="319" spans="1:79">
      <c r="A319" s="2290"/>
      <c r="B319" s="2290"/>
      <c r="C319" s="2290"/>
      <c r="D319" s="2290"/>
      <c r="E319" s="2290"/>
      <c r="F319" s="2290"/>
      <c r="G319" s="2290"/>
      <c r="H319" s="2290"/>
      <c r="I319" s="2290"/>
      <c r="J319" s="2290"/>
      <c r="K319" s="2290"/>
      <c r="L319" s="2290"/>
      <c r="M319" s="2290"/>
      <c r="N319" s="2290"/>
      <c r="O319" s="2290"/>
      <c r="P319" s="2290"/>
      <c r="Q319" s="2290"/>
      <c r="R319" s="2290"/>
      <c r="S319" s="2290"/>
      <c r="T319" s="2290"/>
      <c r="U319" s="2290"/>
      <c r="V319" s="2290"/>
      <c r="W319" s="2290"/>
      <c r="X319" s="2290"/>
      <c r="Y319" s="2290"/>
      <c r="Z319" s="2290"/>
      <c r="AA319" s="2290"/>
      <c r="AB319" s="2290"/>
      <c r="AC319" s="2290"/>
      <c r="AD319" s="2290"/>
      <c r="AE319" s="2290"/>
      <c r="AF319" s="2290"/>
      <c r="AG319" s="2290"/>
      <c r="AH319" s="2290"/>
      <c r="AI319" s="2290"/>
      <c r="AJ319" s="2290"/>
      <c r="AK319" s="2290"/>
      <c r="AL319" s="2290"/>
      <c r="AM319" s="2290"/>
      <c r="AN319" s="2290"/>
      <c r="AO319" s="2290"/>
      <c r="AP319" s="2290"/>
      <c r="AQ319" s="2290"/>
      <c r="AR319" s="2290"/>
      <c r="AS319" s="2290"/>
      <c r="AT319" s="2290"/>
      <c r="AU319" s="2290"/>
      <c r="AV319" s="2290"/>
      <c r="AW319" s="2290"/>
      <c r="AX319" s="2290"/>
      <c r="AY319" s="2290"/>
      <c r="AZ319" s="2290"/>
      <c r="BA319" s="2290"/>
      <c r="BB319" s="2290"/>
      <c r="BC319" s="2290"/>
      <c r="BD319" s="2290"/>
      <c r="BE319" s="2290"/>
      <c r="BF319" s="2290"/>
      <c r="BG319" s="2290"/>
      <c r="BH319" s="2290"/>
      <c r="BI319" s="2290"/>
      <c r="BJ319" s="2290"/>
      <c r="BK319" s="2290"/>
      <c r="BL319" s="2290"/>
      <c r="BM319" s="2290"/>
      <c r="BN319" s="2290"/>
      <c r="BO319" s="2290"/>
      <c r="BP319" s="2290"/>
      <c r="BQ319" s="2290"/>
      <c r="BR319" s="2290"/>
      <c r="BS319" s="2290"/>
      <c r="BT319" s="2290"/>
      <c r="BU319" s="2290"/>
      <c r="BV319" s="2290"/>
      <c r="BW319" s="2290"/>
      <c r="BX319" s="2290"/>
      <c r="BY319" s="2290"/>
      <c r="BZ319" s="2290"/>
      <c r="CA319" s="2290"/>
    </row>
    <row r="320" spans="1:79">
      <c r="A320" s="2290"/>
      <c r="B320" s="2290"/>
      <c r="C320" s="2290"/>
      <c r="D320" s="2290"/>
      <c r="E320" s="2290"/>
      <c r="F320" s="2290"/>
      <c r="G320" s="2290"/>
      <c r="H320" s="2290"/>
      <c r="I320" s="2290"/>
      <c r="J320" s="2290"/>
      <c r="K320" s="2290"/>
      <c r="L320" s="2290"/>
      <c r="M320" s="2290"/>
      <c r="N320" s="2290"/>
      <c r="O320" s="2290"/>
      <c r="P320" s="2290"/>
      <c r="Q320" s="2290"/>
      <c r="R320" s="2290"/>
      <c r="S320" s="2290"/>
      <c r="T320" s="2290"/>
      <c r="U320" s="2290"/>
      <c r="V320" s="2290"/>
      <c r="W320" s="2290"/>
      <c r="X320" s="2290"/>
      <c r="Y320" s="2290"/>
      <c r="Z320" s="2290"/>
      <c r="AA320" s="2290"/>
      <c r="AB320" s="2290"/>
      <c r="AC320" s="2290"/>
      <c r="AD320" s="2290"/>
      <c r="AE320" s="2290"/>
      <c r="AF320" s="2290"/>
      <c r="AG320" s="2290"/>
      <c r="AH320" s="2290"/>
      <c r="AI320" s="2290"/>
      <c r="AJ320" s="2290"/>
      <c r="AK320" s="2290"/>
      <c r="AL320" s="2290"/>
      <c r="AM320" s="2290"/>
      <c r="AN320" s="2290"/>
      <c r="AO320" s="2290"/>
      <c r="AP320" s="2290"/>
      <c r="AQ320" s="2290"/>
      <c r="AR320" s="2290"/>
      <c r="AS320" s="2290"/>
      <c r="AT320" s="2290"/>
      <c r="AU320" s="2290"/>
      <c r="AV320" s="2290"/>
      <c r="AW320" s="2290"/>
      <c r="AX320" s="2290"/>
      <c r="AY320" s="2290"/>
      <c r="AZ320" s="2290"/>
      <c r="BA320" s="2290"/>
      <c r="BB320" s="2290"/>
      <c r="BC320" s="2290"/>
      <c r="BD320" s="2290"/>
      <c r="BE320" s="2290"/>
      <c r="BF320" s="2290"/>
      <c r="BG320" s="2290"/>
      <c r="BH320" s="2290"/>
      <c r="BI320" s="2290"/>
      <c r="BJ320" s="2290"/>
      <c r="BK320" s="2290"/>
      <c r="BL320" s="2290"/>
      <c r="BM320" s="2290"/>
      <c r="BN320" s="2290"/>
      <c r="BO320" s="2290"/>
      <c r="BP320" s="2290"/>
      <c r="BQ320" s="2290"/>
      <c r="BR320" s="2290"/>
      <c r="BS320" s="2290"/>
      <c r="BT320" s="2290"/>
      <c r="BU320" s="2290"/>
      <c r="BV320" s="2290"/>
      <c r="BW320" s="2290"/>
      <c r="BX320" s="2290"/>
      <c r="BY320" s="2290"/>
      <c r="BZ320" s="2290"/>
      <c r="CA320" s="2290"/>
    </row>
    <row r="321" spans="1:79">
      <c r="A321" s="2290"/>
      <c r="B321" s="2290"/>
      <c r="C321" s="2290"/>
      <c r="D321" s="2290"/>
      <c r="E321" s="2290"/>
      <c r="F321" s="2290"/>
      <c r="G321" s="2290"/>
      <c r="H321" s="2290"/>
      <c r="I321" s="2290"/>
      <c r="J321" s="2290"/>
      <c r="K321" s="2290"/>
      <c r="L321" s="2290"/>
      <c r="M321" s="2290"/>
      <c r="N321" s="2290"/>
      <c r="O321" s="2290"/>
      <c r="P321" s="2290"/>
      <c r="Q321" s="2290"/>
      <c r="R321" s="2290"/>
      <c r="S321" s="2290"/>
      <c r="T321" s="2290"/>
      <c r="U321" s="2290"/>
      <c r="V321" s="2290"/>
      <c r="W321" s="2290"/>
      <c r="X321" s="2290"/>
      <c r="Y321" s="2290"/>
      <c r="Z321" s="2290"/>
      <c r="AA321" s="2290"/>
      <c r="AB321" s="2290"/>
      <c r="AC321" s="2290"/>
      <c r="AD321" s="2290"/>
      <c r="AE321" s="2290"/>
      <c r="AF321" s="2290"/>
      <c r="AG321" s="2290"/>
      <c r="AH321" s="2290"/>
      <c r="AI321" s="2290"/>
      <c r="AJ321" s="2290"/>
      <c r="AK321" s="2290"/>
      <c r="AL321" s="2290"/>
      <c r="AM321" s="2290"/>
      <c r="AN321" s="2290"/>
      <c r="AO321" s="2290"/>
      <c r="AP321" s="2290"/>
      <c r="AQ321" s="2290"/>
      <c r="AR321" s="2290"/>
      <c r="AS321" s="2290"/>
      <c r="AT321" s="2290"/>
      <c r="AU321" s="2290"/>
      <c r="AV321" s="2290"/>
      <c r="AW321" s="2290"/>
      <c r="AX321" s="2290"/>
      <c r="AY321" s="2290"/>
      <c r="AZ321" s="2290"/>
      <c r="BA321" s="2290"/>
      <c r="BB321" s="2290"/>
      <c r="BC321" s="2290"/>
      <c r="BD321" s="2290"/>
      <c r="BE321" s="2290"/>
      <c r="BF321" s="2290"/>
      <c r="BG321" s="2290"/>
      <c r="BH321" s="2290"/>
      <c r="BI321" s="2290"/>
      <c r="BJ321" s="2290"/>
      <c r="BK321" s="2290"/>
      <c r="BL321" s="2290"/>
      <c r="BM321" s="2290"/>
      <c r="BN321" s="2290"/>
      <c r="BO321" s="2290"/>
      <c r="BP321" s="2290"/>
      <c r="BQ321" s="2290"/>
      <c r="BR321" s="2290"/>
      <c r="BS321" s="2290"/>
      <c r="BT321" s="2290"/>
      <c r="BU321" s="2290"/>
      <c r="BV321" s="2290"/>
      <c r="BW321" s="2290"/>
      <c r="BX321" s="2290"/>
      <c r="BY321" s="2290"/>
      <c r="BZ321" s="2290"/>
      <c r="CA321" s="2290"/>
    </row>
    <row r="322" spans="1:79">
      <c r="A322" s="2290"/>
      <c r="B322" s="2290"/>
      <c r="C322" s="2290"/>
      <c r="D322" s="2290"/>
      <c r="E322" s="2290"/>
      <c r="F322" s="2290"/>
      <c r="G322" s="2290"/>
      <c r="H322" s="2290"/>
      <c r="I322" s="2290"/>
      <c r="J322" s="2290"/>
      <c r="K322" s="2290"/>
      <c r="L322" s="2290"/>
      <c r="M322" s="2290"/>
      <c r="N322" s="2290"/>
      <c r="O322" s="2290"/>
      <c r="P322" s="2290"/>
      <c r="Q322" s="2290"/>
      <c r="R322" s="2290"/>
      <c r="S322" s="2290"/>
      <c r="T322" s="2290"/>
      <c r="U322" s="2290"/>
      <c r="V322" s="2290"/>
      <c r="W322" s="2290"/>
      <c r="X322" s="2290"/>
      <c r="Y322" s="2290"/>
      <c r="Z322" s="2290"/>
      <c r="AA322" s="2290"/>
      <c r="AB322" s="2290"/>
      <c r="AC322" s="2290"/>
      <c r="AD322" s="2290"/>
      <c r="AE322" s="2290"/>
      <c r="AF322" s="2290"/>
      <c r="AG322" s="2290"/>
      <c r="AH322" s="2290"/>
      <c r="AI322" s="2290"/>
      <c r="AJ322" s="2290"/>
      <c r="AK322" s="2290"/>
      <c r="AL322" s="2290"/>
      <c r="AM322" s="2290"/>
      <c r="AN322" s="2290"/>
      <c r="AO322" s="2290"/>
      <c r="AP322" s="2290"/>
      <c r="AQ322" s="2290"/>
      <c r="AR322" s="2290"/>
      <c r="AS322" s="2290"/>
      <c r="AT322" s="2290"/>
      <c r="AU322" s="2290"/>
      <c r="AV322" s="2290"/>
      <c r="AW322" s="2290"/>
      <c r="AX322" s="2290"/>
      <c r="AY322" s="2290"/>
      <c r="AZ322" s="2290"/>
      <c r="BA322" s="2290"/>
      <c r="BB322" s="2290"/>
      <c r="BC322" s="2290"/>
      <c r="BD322" s="2290"/>
      <c r="BE322" s="2290"/>
      <c r="BF322" s="2290"/>
      <c r="BG322" s="2290"/>
      <c r="BH322" s="2290"/>
      <c r="BI322" s="2290"/>
      <c r="BJ322" s="2290"/>
      <c r="BK322" s="2290"/>
      <c r="BL322" s="2290"/>
      <c r="BM322" s="2290"/>
      <c r="BN322" s="2290"/>
      <c r="BO322" s="2290"/>
      <c r="BP322" s="2290"/>
      <c r="BQ322" s="2290"/>
      <c r="BR322" s="2290"/>
      <c r="BS322" s="2290"/>
      <c r="BT322" s="2290"/>
      <c r="BU322" s="2290"/>
      <c r="BV322" s="2290"/>
      <c r="BW322" s="2290"/>
      <c r="BX322" s="2290"/>
      <c r="BY322" s="2290"/>
      <c r="BZ322" s="2290"/>
      <c r="CA322" s="2290"/>
    </row>
    <row r="323" spans="1:79">
      <c r="A323" s="2290"/>
      <c r="B323" s="2290"/>
      <c r="C323" s="2290"/>
      <c r="D323" s="2290"/>
      <c r="E323" s="2290"/>
      <c r="F323" s="2290"/>
      <c r="G323" s="2290"/>
      <c r="H323" s="2290"/>
      <c r="I323" s="2290"/>
      <c r="J323" s="2290"/>
      <c r="K323" s="2290"/>
      <c r="L323" s="2290"/>
      <c r="M323" s="2290"/>
      <c r="N323" s="2290"/>
      <c r="O323" s="2290"/>
      <c r="P323" s="2290"/>
      <c r="Q323" s="2290"/>
      <c r="R323" s="2290"/>
      <c r="S323" s="2290"/>
      <c r="T323" s="2290"/>
      <c r="U323" s="2290"/>
      <c r="V323" s="2290"/>
      <c r="W323" s="2290"/>
      <c r="X323" s="2290"/>
      <c r="Y323" s="2290"/>
      <c r="Z323" s="2290"/>
      <c r="AA323" s="2290"/>
      <c r="AB323" s="2290"/>
      <c r="AC323" s="2290"/>
      <c r="AD323" s="2290"/>
      <c r="AE323" s="2290"/>
      <c r="AF323" s="2290"/>
      <c r="AG323" s="2290"/>
      <c r="AH323" s="2290"/>
      <c r="AI323" s="2290"/>
      <c r="AJ323" s="2290"/>
      <c r="AK323" s="2290"/>
      <c r="AL323" s="2290"/>
      <c r="AM323" s="2290"/>
      <c r="AN323" s="2290"/>
      <c r="AO323" s="2290"/>
      <c r="AP323" s="2290"/>
      <c r="AQ323" s="2290"/>
      <c r="AR323" s="2290"/>
      <c r="AS323" s="2290"/>
      <c r="AT323" s="2290"/>
      <c r="AU323" s="2290"/>
      <c r="AV323" s="2290"/>
      <c r="AW323" s="2290"/>
      <c r="AX323" s="2290"/>
      <c r="AY323" s="2290"/>
      <c r="AZ323" s="2290"/>
      <c r="BA323" s="2290"/>
      <c r="BB323" s="2290"/>
      <c r="BC323" s="2290"/>
      <c r="BD323" s="2290"/>
      <c r="BE323" s="2290"/>
      <c r="BF323" s="2290"/>
      <c r="BG323" s="2290"/>
      <c r="BH323" s="2290"/>
      <c r="BI323" s="2290"/>
      <c r="BJ323" s="2290"/>
      <c r="BK323" s="2290"/>
      <c r="BL323" s="2290"/>
      <c r="BM323" s="2290"/>
      <c r="BN323" s="2290"/>
      <c r="BO323" s="2290"/>
      <c r="BP323" s="2290"/>
      <c r="BQ323" s="2290"/>
      <c r="BR323" s="2290"/>
      <c r="BS323" s="2290"/>
      <c r="BT323" s="2290"/>
      <c r="BU323" s="2290"/>
      <c r="BV323" s="2290"/>
      <c r="BW323" s="2290"/>
      <c r="BX323" s="2290"/>
      <c r="BY323" s="2290"/>
      <c r="BZ323" s="2290"/>
      <c r="CA323" s="2290"/>
    </row>
    <row r="324" spans="1:79">
      <c r="A324" s="2290"/>
      <c r="B324" s="2290"/>
      <c r="C324" s="2290"/>
      <c r="D324" s="2290"/>
      <c r="E324" s="2290"/>
      <c r="F324" s="2290"/>
      <c r="G324" s="2290"/>
      <c r="H324" s="2290"/>
      <c r="I324" s="2290"/>
      <c r="J324" s="2290"/>
      <c r="K324" s="2290"/>
      <c r="L324" s="2290"/>
      <c r="M324" s="2290"/>
      <c r="N324" s="2290"/>
      <c r="O324" s="2290"/>
      <c r="P324" s="2290"/>
      <c r="Q324" s="2290"/>
      <c r="R324" s="2290"/>
      <c r="S324" s="2290"/>
      <c r="T324" s="2290"/>
      <c r="U324" s="2290"/>
      <c r="V324" s="2290"/>
      <c r="W324" s="2290"/>
      <c r="X324" s="2290"/>
      <c r="Y324" s="2290"/>
      <c r="Z324" s="2290"/>
      <c r="AA324" s="2290"/>
      <c r="AB324" s="2290"/>
      <c r="AC324" s="2290"/>
      <c r="AD324" s="2290"/>
      <c r="AE324" s="2290"/>
      <c r="AF324" s="2290"/>
      <c r="AG324" s="2290"/>
      <c r="AH324" s="2290"/>
      <c r="AI324" s="2290"/>
      <c r="AJ324" s="2290"/>
      <c r="AK324" s="2290"/>
      <c r="AL324" s="2290"/>
      <c r="AM324" s="2290"/>
      <c r="AN324" s="2290"/>
      <c r="AO324" s="2290"/>
      <c r="AP324" s="2290"/>
      <c r="AQ324" s="2290"/>
      <c r="AR324" s="2290"/>
      <c r="AS324" s="2290"/>
      <c r="AT324" s="2290"/>
      <c r="AU324" s="2290"/>
      <c r="AV324" s="2290"/>
      <c r="AW324" s="2290"/>
      <c r="AX324" s="2290"/>
      <c r="AY324" s="2290"/>
      <c r="AZ324" s="2290"/>
      <c r="BA324" s="2290"/>
      <c r="BB324" s="2290"/>
      <c r="BC324" s="2290"/>
      <c r="BD324" s="2290"/>
      <c r="BE324" s="2290"/>
      <c r="BF324" s="2290"/>
      <c r="BG324" s="2290"/>
      <c r="BH324" s="2290"/>
      <c r="BI324" s="2290"/>
      <c r="BJ324" s="2290"/>
      <c r="BK324" s="2290"/>
      <c r="BL324" s="2290"/>
      <c r="BM324" s="2290"/>
      <c r="BN324" s="2290"/>
      <c r="BO324" s="2290"/>
      <c r="BP324" s="2290"/>
      <c r="BQ324" s="2290"/>
      <c r="BR324" s="2290"/>
      <c r="BS324" s="2290"/>
      <c r="BT324" s="2290"/>
      <c r="BU324" s="2290"/>
      <c r="BV324" s="2290"/>
      <c r="BW324" s="2290"/>
      <c r="BX324" s="2290"/>
      <c r="BY324" s="2290"/>
      <c r="BZ324" s="2290"/>
      <c r="CA324" s="2290"/>
    </row>
    <row r="325" spans="1:79">
      <c r="A325" s="2290"/>
      <c r="B325" s="2290"/>
      <c r="C325" s="2290"/>
      <c r="D325" s="2290"/>
      <c r="E325" s="2290"/>
      <c r="F325" s="2290"/>
      <c r="G325" s="2290"/>
      <c r="H325" s="2290"/>
      <c r="I325" s="2290"/>
      <c r="J325" s="2290"/>
      <c r="K325" s="2290"/>
      <c r="L325" s="2290"/>
      <c r="M325" s="2290"/>
      <c r="N325" s="2290"/>
      <c r="O325" s="2290"/>
      <c r="P325" s="2290"/>
      <c r="Q325" s="2290"/>
      <c r="R325" s="2290"/>
      <c r="S325" s="2290"/>
      <c r="T325" s="2290"/>
      <c r="U325" s="2290"/>
      <c r="V325" s="2290"/>
      <c r="W325" s="2290"/>
      <c r="X325" s="2290"/>
      <c r="Y325" s="2290"/>
      <c r="Z325" s="2290"/>
      <c r="AA325" s="2290"/>
      <c r="AB325" s="2290"/>
      <c r="AC325" s="2290"/>
      <c r="AD325" s="2290"/>
      <c r="AE325" s="2290"/>
      <c r="AF325" s="2290"/>
      <c r="AG325" s="2290"/>
      <c r="AH325" s="2290"/>
      <c r="AI325" s="2290"/>
      <c r="AJ325" s="2290"/>
      <c r="AK325" s="2290"/>
      <c r="AL325" s="2290"/>
      <c r="AM325" s="2290"/>
      <c r="AN325" s="2290"/>
      <c r="AO325" s="2290"/>
      <c r="AP325" s="2290"/>
      <c r="AQ325" s="2290"/>
      <c r="AR325" s="2290"/>
      <c r="AS325" s="2290"/>
      <c r="AT325" s="2290"/>
      <c r="AU325" s="2290"/>
      <c r="AV325" s="2290"/>
      <c r="AW325" s="2290"/>
      <c r="AX325" s="2290"/>
      <c r="AY325" s="2290"/>
      <c r="AZ325" s="2290"/>
      <c r="BA325" s="2290"/>
      <c r="BB325" s="2290"/>
      <c r="BC325" s="2290"/>
      <c r="BD325" s="2290"/>
      <c r="BE325" s="2290"/>
      <c r="BF325" s="2290"/>
      <c r="BG325" s="2290"/>
      <c r="BH325" s="2290"/>
      <c r="BI325" s="2290"/>
      <c r="BJ325" s="2290"/>
      <c r="BK325" s="2290"/>
      <c r="BL325" s="2290"/>
      <c r="BM325" s="2290"/>
      <c r="BN325" s="2290"/>
      <c r="BO325" s="2290"/>
      <c r="BP325" s="2290"/>
      <c r="BQ325" s="2290"/>
      <c r="BR325" s="2290"/>
      <c r="BS325" s="2290"/>
      <c r="BT325" s="2290"/>
      <c r="BU325" s="2290"/>
      <c r="BV325" s="2290"/>
      <c r="BW325" s="2290"/>
      <c r="BX325" s="2290"/>
      <c r="BY325" s="2290"/>
      <c r="BZ325" s="2290"/>
      <c r="CA325" s="2290"/>
    </row>
    <row r="326" spans="1:79">
      <c r="A326" s="2290"/>
      <c r="B326" s="2290"/>
      <c r="C326" s="2290"/>
      <c r="D326" s="2290"/>
      <c r="E326" s="2290"/>
      <c r="F326" s="2290"/>
      <c r="G326" s="2290"/>
      <c r="H326" s="2290"/>
      <c r="I326" s="2290"/>
      <c r="J326" s="2290"/>
      <c r="K326" s="2290"/>
      <c r="L326" s="2290"/>
      <c r="M326" s="2290"/>
      <c r="N326" s="2290"/>
      <c r="O326" s="2290"/>
      <c r="P326" s="2290"/>
      <c r="Q326" s="2290"/>
      <c r="R326" s="2290"/>
      <c r="S326" s="2290"/>
      <c r="T326" s="2290"/>
      <c r="U326" s="2290"/>
      <c r="V326" s="2290"/>
      <c r="W326" s="2290"/>
      <c r="X326" s="2290"/>
      <c r="Y326" s="2290"/>
      <c r="Z326" s="2290"/>
      <c r="AA326" s="2290"/>
      <c r="AB326" s="2290"/>
      <c r="AC326" s="2290"/>
      <c r="AD326" s="2290"/>
      <c r="AE326" s="2290"/>
      <c r="AF326" s="2290"/>
      <c r="AG326" s="2290"/>
      <c r="AH326" s="2290"/>
      <c r="AI326" s="2290"/>
      <c r="AJ326" s="2290"/>
      <c r="AK326" s="2290"/>
      <c r="AL326" s="2290"/>
      <c r="AM326" s="2290"/>
      <c r="AN326" s="2290"/>
      <c r="AO326" s="2290"/>
      <c r="AP326" s="2290"/>
      <c r="AQ326" s="2290"/>
      <c r="AR326" s="2290"/>
      <c r="AS326" s="2290"/>
      <c r="AT326" s="2290"/>
      <c r="AU326" s="2290"/>
      <c r="AV326" s="2290"/>
      <c r="AW326" s="2290"/>
      <c r="AX326" s="2290"/>
      <c r="AY326" s="2290"/>
      <c r="AZ326" s="2290"/>
      <c r="BA326" s="2290"/>
      <c r="BB326" s="2290"/>
      <c r="BC326" s="2290"/>
      <c r="BD326" s="2290"/>
      <c r="BE326" s="2290"/>
      <c r="BF326" s="2290"/>
      <c r="BG326" s="2290"/>
      <c r="BH326" s="2290"/>
      <c r="BI326" s="2290"/>
      <c r="BJ326" s="2290"/>
      <c r="BK326" s="2290"/>
      <c r="BL326" s="2290"/>
      <c r="BM326" s="2290"/>
      <c r="BN326" s="2290"/>
      <c r="BO326" s="2290"/>
      <c r="BP326" s="2290"/>
      <c r="BQ326" s="2290"/>
      <c r="BR326" s="2290"/>
      <c r="BS326" s="2290"/>
      <c r="BT326" s="2290"/>
      <c r="BU326" s="2290"/>
      <c r="BV326" s="2290"/>
      <c r="BW326" s="2290"/>
      <c r="BX326" s="2290"/>
      <c r="BY326" s="2290"/>
      <c r="BZ326" s="2290"/>
      <c r="CA326" s="2290"/>
    </row>
    <row r="327" spans="1:79">
      <c r="A327" s="2290"/>
      <c r="B327" s="2290"/>
      <c r="C327" s="2290"/>
      <c r="D327" s="2290"/>
      <c r="E327" s="2290"/>
      <c r="F327" s="2290"/>
      <c r="G327" s="2290"/>
      <c r="H327" s="2290"/>
      <c r="I327" s="2290"/>
      <c r="J327" s="2290"/>
      <c r="K327" s="2290"/>
      <c r="L327" s="2290"/>
      <c r="M327" s="2290"/>
      <c r="N327" s="2290"/>
      <c r="O327" s="2290"/>
      <c r="P327" s="2290"/>
      <c r="Q327" s="2290"/>
      <c r="R327" s="2290"/>
      <c r="S327" s="2290"/>
      <c r="T327" s="2290"/>
      <c r="U327" s="2290"/>
      <c r="V327" s="2290"/>
      <c r="W327" s="2290"/>
      <c r="X327" s="2290"/>
      <c r="Y327" s="2290"/>
      <c r="Z327" s="2290"/>
      <c r="AA327" s="2290"/>
      <c r="AB327" s="2290"/>
      <c r="AC327" s="2290"/>
      <c r="AD327" s="2290"/>
      <c r="AE327" s="2290"/>
      <c r="AF327" s="2290"/>
      <c r="AG327" s="2290"/>
      <c r="AH327" s="2290"/>
      <c r="AI327" s="2290"/>
      <c r="AJ327" s="2290"/>
      <c r="AK327" s="2290"/>
      <c r="AL327" s="2290"/>
      <c r="AM327" s="2290"/>
      <c r="AN327" s="2290"/>
      <c r="AO327" s="2290"/>
      <c r="AP327" s="2290"/>
      <c r="AQ327" s="2290"/>
      <c r="AR327" s="2290"/>
      <c r="AS327" s="2290"/>
      <c r="AT327" s="2290"/>
      <c r="AU327" s="2290"/>
      <c r="AV327" s="2290"/>
      <c r="AW327" s="2290"/>
      <c r="AX327" s="2290"/>
      <c r="AY327" s="2290"/>
      <c r="AZ327" s="2290"/>
      <c r="BA327" s="2290"/>
      <c r="BB327" s="2290"/>
      <c r="BC327" s="2290"/>
      <c r="BD327" s="2290"/>
      <c r="BE327" s="2290"/>
      <c r="BF327" s="2290"/>
      <c r="BG327" s="2290"/>
      <c r="BH327" s="2290"/>
      <c r="BI327" s="2290"/>
      <c r="BJ327" s="2290"/>
      <c r="BK327" s="2290"/>
      <c r="BL327" s="2290"/>
      <c r="BM327" s="2290"/>
      <c r="BN327" s="2290"/>
      <c r="BO327" s="2290"/>
      <c r="BP327" s="2290"/>
      <c r="BQ327" s="2290"/>
      <c r="BR327" s="2290"/>
      <c r="BS327" s="2290"/>
      <c r="BT327" s="2290"/>
      <c r="BU327" s="2290"/>
      <c r="BV327" s="2290"/>
      <c r="BW327" s="2290"/>
      <c r="BX327" s="2290"/>
      <c r="BY327" s="2290"/>
      <c r="BZ327" s="2290"/>
      <c r="CA327" s="2290"/>
    </row>
    <row r="328" spans="1:79">
      <c r="A328" s="2290"/>
      <c r="B328" s="2290"/>
      <c r="C328" s="2290"/>
      <c r="D328" s="2290"/>
      <c r="E328" s="2290"/>
      <c r="F328" s="2290"/>
      <c r="G328" s="2290"/>
      <c r="H328" s="2290"/>
      <c r="I328" s="2290"/>
      <c r="J328" s="2290"/>
      <c r="K328" s="2290"/>
      <c r="L328" s="2290"/>
      <c r="M328" s="2290"/>
      <c r="N328" s="2290"/>
      <c r="O328" s="2290"/>
      <c r="P328" s="2290"/>
      <c r="Q328" s="2290"/>
      <c r="R328" s="2290"/>
      <c r="S328" s="2290"/>
      <c r="T328" s="2290"/>
      <c r="U328" s="2290"/>
      <c r="V328" s="2290"/>
      <c r="W328" s="2290"/>
      <c r="X328" s="2290"/>
      <c r="Y328" s="2290"/>
      <c r="Z328" s="2290"/>
      <c r="AA328" s="2290"/>
      <c r="AB328" s="2290"/>
      <c r="AC328" s="2290"/>
      <c r="AD328" s="2290"/>
      <c r="AE328" s="2290"/>
      <c r="AF328" s="2290"/>
      <c r="AG328" s="2290"/>
      <c r="AH328" s="2290"/>
      <c r="AI328" s="2290"/>
      <c r="AJ328" s="2290"/>
      <c r="AK328" s="2290"/>
      <c r="AL328" s="2290"/>
      <c r="AM328" s="2290"/>
      <c r="AN328" s="2290"/>
      <c r="AO328" s="2290"/>
      <c r="AP328" s="2290"/>
      <c r="AQ328" s="2290"/>
      <c r="AR328" s="2290"/>
      <c r="AS328" s="2290"/>
      <c r="AT328" s="2290"/>
      <c r="AU328" s="2290"/>
      <c r="AV328" s="2290"/>
      <c r="AW328" s="2290"/>
      <c r="AX328" s="2290"/>
      <c r="AY328" s="2290"/>
      <c r="AZ328" s="2290"/>
      <c r="BA328" s="2290"/>
      <c r="BB328" s="2290"/>
      <c r="BC328" s="2290"/>
      <c r="BD328" s="2290"/>
      <c r="BE328" s="2290"/>
      <c r="BF328" s="2290"/>
      <c r="BG328" s="2290"/>
      <c r="BH328" s="2290"/>
      <c r="BI328" s="2290"/>
      <c r="BJ328" s="2290"/>
      <c r="BK328" s="2290"/>
      <c r="BL328" s="2290"/>
      <c r="BM328" s="2290"/>
      <c r="BN328" s="2290"/>
      <c r="BO328" s="2290"/>
      <c r="BP328" s="2290"/>
      <c r="BQ328" s="2290"/>
      <c r="BR328" s="2290"/>
      <c r="BS328" s="2290"/>
      <c r="BT328" s="2290"/>
      <c r="BU328" s="2290"/>
      <c r="BV328" s="2290"/>
      <c r="BW328" s="2290"/>
      <c r="BX328" s="2290"/>
      <c r="BY328" s="2290"/>
      <c r="BZ328" s="2290"/>
      <c r="CA328" s="2290"/>
    </row>
    <row r="329" spans="1:79">
      <c r="A329" s="2290"/>
      <c r="B329" s="2290"/>
      <c r="C329" s="2290"/>
      <c r="D329" s="2290"/>
      <c r="E329" s="2290"/>
      <c r="F329" s="2290"/>
      <c r="G329" s="2290"/>
      <c r="H329" s="2290"/>
      <c r="I329" s="2290"/>
      <c r="J329" s="2290"/>
      <c r="K329" s="2290"/>
      <c r="L329" s="2290"/>
      <c r="M329" s="2290"/>
      <c r="N329" s="2290"/>
      <c r="O329" s="2290"/>
      <c r="P329" s="2290"/>
      <c r="Q329" s="2290"/>
      <c r="R329" s="2290"/>
      <c r="S329" s="2290"/>
      <c r="T329" s="2290"/>
      <c r="U329" s="2290"/>
      <c r="V329" s="2290"/>
      <c r="W329" s="2290"/>
      <c r="X329" s="2290"/>
      <c r="Y329" s="2290"/>
      <c r="Z329" s="2290"/>
      <c r="AA329" s="2290"/>
      <c r="AB329" s="2290"/>
      <c r="AC329" s="2290"/>
      <c r="AD329" s="2290"/>
      <c r="AE329" s="2290"/>
      <c r="AF329" s="2290"/>
      <c r="AG329" s="2290"/>
      <c r="AH329" s="2290"/>
      <c r="AI329" s="2290"/>
      <c r="AJ329" s="2290"/>
      <c r="AK329" s="2290"/>
      <c r="AL329" s="2290"/>
      <c r="AM329" s="2290"/>
      <c r="AN329" s="2290"/>
      <c r="AO329" s="2290"/>
      <c r="AP329" s="2290"/>
      <c r="AQ329" s="2290"/>
      <c r="AR329" s="2290"/>
      <c r="AS329" s="2290"/>
      <c r="AT329" s="2290"/>
      <c r="AU329" s="2290"/>
      <c r="AV329" s="2290"/>
      <c r="AW329" s="2290"/>
      <c r="AX329" s="2290"/>
      <c r="AY329" s="2290"/>
      <c r="AZ329" s="2290"/>
      <c r="BA329" s="2290"/>
      <c r="BB329" s="2290"/>
      <c r="BC329" s="2290"/>
      <c r="BD329" s="2290"/>
      <c r="BE329" s="2290"/>
      <c r="BF329" s="2290"/>
      <c r="BG329" s="2290"/>
      <c r="BH329" s="2290"/>
      <c r="BI329" s="2290"/>
      <c r="BJ329" s="2290"/>
      <c r="BK329" s="2290"/>
      <c r="BL329" s="2290"/>
      <c r="BM329" s="2290"/>
      <c r="BN329" s="2290"/>
      <c r="BO329" s="2290"/>
      <c r="BP329" s="2290"/>
      <c r="BQ329" s="2290"/>
      <c r="BR329" s="2290"/>
      <c r="BS329" s="2290"/>
      <c r="BT329" s="2290"/>
      <c r="BU329" s="2290"/>
      <c r="BV329" s="2290"/>
      <c r="BW329" s="2290"/>
      <c r="BX329" s="2290"/>
      <c r="BY329" s="2290"/>
      <c r="BZ329" s="2290"/>
      <c r="CA329" s="2290"/>
    </row>
    <row r="330" spans="1:79">
      <c r="A330" s="2290"/>
      <c r="B330" s="2290"/>
      <c r="C330" s="2290"/>
      <c r="D330" s="2290"/>
      <c r="E330" s="2290"/>
      <c r="F330" s="2290"/>
      <c r="G330" s="2290"/>
      <c r="H330" s="2290"/>
      <c r="I330" s="2290"/>
      <c r="J330" s="2290"/>
      <c r="K330" s="2290"/>
      <c r="L330" s="2290"/>
      <c r="M330" s="2290"/>
      <c r="N330" s="2290"/>
      <c r="O330" s="2290"/>
      <c r="P330" s="2290"/>
      <c r="Q330" s="2290"/>
      <c r="R330" s="2290"/>
      <c r="S330" s="2290"/>
      <c r="T330" s="2290"/>
      <c r="U330" s="2290"/>
      <c r="V330" s="2290"/>
      <c r="W330" s="2290"/>
      <c r="X330" s="2290"/>
      <c r="Y330" s="2290"/>
      <c r="Z330" s="2290"/>
      <c r="AA330" s="2290"/>
      <c r="AB330" s="2290"/>
      <c r="AC330" s="2290"/>
      <c r="AD330" s="2290"/>
      <c r="AE330" s="2290"/>
      <c r="AF330" s="2290"/>
      <c r="AG330" s="2290"/>
      <c r="AH330" s="2290"/>
      <c r="AI330" s="2290"/>
      <c r="AJ330" s="2290"/>
      <c r="AK330" s="2290"/>
      <c r="AL330" s="2290"/>
      <c r="AM330" s="2290"/>
      <c r="AN330" s="2290"/>
      <c r="AO330" s="2290"/>
      <c r="AP330" s="2290"/>
      <c r="AQ330" s="2290"/>
      <c r="AR330" s="2290"/>
      <c r="AS330" s="2290"/>
      <c r="AT330" s="2290"/>
      <c r="AU330" s="2290"/>
      <c r="AV330" s="2290"/>
      <c r="AW330" s="2290"/>
      <c r="AX330" s="2290"/>
      <c r="AY330" s="2290"/>
      <c r="AZ330" s="2290"/>
      <c r="BA330" s="2290"/>
      <c r="BB330" s="2290"/>
      <c r="BC330" s="2290"/>
      <c r="BD330" s="2290"/>
      <c r="BE330" s="2290"/>
      <c r="BF330" s="2290"/>
      <c r="BG330" s="2290"/>
      <c r="BH330" s="2290"/>
      <c r="BI330" s="2290"/>
      <c r="BJ330" s="2290"/>
      <c r="BK330" s="2290"/>
      <c r="BL330" s="2290"/>
      <c r="BM330" s="2290"/>
      <c r="BN330" s="2290"/>
      <c r="BO330" s="2290"/>
      <c r="BP330" s="2290"/>
      <c r="BQ330" s="2290"/>
      <c r="BR330" s="2290"/>
      <c r="BS330" s="2290"/>
      <c r="BT330" s="2290"/>
      <c r="BU330" s="2290"/>
      <c r="BV330" s="2290"/>
      <c r="BW330" s="2290"/>
      <c r="BX330" s="2290"/>
      <c r="BY330" s="2290"/>
      <c r="BZ330" s="2290"/>
      <c r="CA330" s="2290"/>
    </row>
    <row r="331" spans="1:79">
      <c r="A331" s="2290"/>
      <c r="B331" s="229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2290"/>
      <c r="AF331" s="2290"/>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row>
    <row r="332" spans="1:79">
      <c r="A332" s="2290"/>
      <c r="B332" s="2290"/>
      <c r="C332" s="2290"/>
      <c r="D332" s="2290"/>
      <c r="E332" s="2290"/>
      <c r="F332" s="2290"/>
      <c r="G332" s="2290"/>
      <c r="H332" s="2290"/>
      <c r="I332" s="2290"/>
      <c r="J332" s="2290"/>
      <c r="K332" s="2290"/>
      <c r="L332" s="2290"/>
      <c r="M332" s="2290"/>
      <c r="N332" s="2290"/>
      <c r="O332" s="2290"/>
      <c r="P332" s="2290"/>
      <c r="Q332" s="2290"/>
      <c r="R332" s="2290"/>
      <c r="S332" s="2290"/>
      <c r="T332" s="2290"/>
      <c r="U332" s="2290"/>
      <c r="V332" s="2290"/>
      <c r="W332" s="2290"/>
      <c r="X332" s="2290"/>
      <c r="Y332" s="2290"/>
      <c r="Z332" s="2290"/>
      <c r="AA332" s="2290"/>
      <c r="AB332" s="2290"/>
      <c r="AC332" s="2290"/>
      <c r="AD332" s="2290"/>
      <c r="AE332" s="2290"/>
      <c r="AF332" s="2290"/>
      <c r="AG332" s="2290"/>
      <c r="AH332" s="2290"/>
      <c r="AI332" s="2290"/>
      <c r="AJ332" s="2290"/>
      <c r="AK332" s="2290"/>
      <c r="AL332" s="2290"/>
      <c r="AM332" s="2290"/>
      <c r="AN332" s="2290"/>
      <c r="AO332" s="2290"/>
      <c r="AP332" s="2290"/>
      <c r="AQ332" s="2290"/>
      <c r="AR332" s="2290"/>
      <c r="AS332" s="2290"/>
      <c r="AT332" s="2290"/>
      <c r="AU332" s="2290"/>
      <c r="AV332" s="2290"/>
      <c r="AW332" s="2290"/>
      <c r="AX332" s="2290"/>
      <c r="AY332" s="2290"/>
      <c r="AZ332" s="2290"/>
      <c r="BA332" s="2290"/>
      <c r="BB332" s="2290"/>
      <c r="BC332" s="2290"/>
      <c r="BD332" s="2290"/>
      <c r="BE332" s="2290"/>
      <c r="BF332" s="2290"/>
      <c r="BG332" s="2290"/>
      <c r="BH332" s="2290"/>
      <c r="BI332" s="2290"/>
      <c r="BJ332" s="2290"/>
      <c r="BK332" s="2290"/>
      <c r="BL332" s="2290"/>
      <c r="BM332" s="2290"/>
      <c r="BN332" s="2290"/>
      <c r="BO332" s="2290"/>
      <c r="BP332" s="2290"/>
      <c r="BQ332" s="2290"/>
      <c r="BR332" s="2290"/>
      <c r="BS332" s="2290"/>
      <c r="BT332" s="2290"/>
      <c r="BU332" s="2290"/>
      <c r="BV332" s="2290"/>
      <c r="BW332" s="2290"/>
      <c r="BX332" s="2290"/>
      <c r="BY332" s="2290"/>
      <c r="BZ332" s="2290"/>
      <c r="CA332" s="2290"/>
    </row>
    <row r="333" spans="1:79">
      <c r="A333" s="2290"/>
      <c r="B333" s="2290"/>
      <c r="C333" s="2290"/>
      <c r="D333" s="2290"/>
      <c r="E333" s="2290"/>
      <c r="F333" s="2290"/>
      <c r="G333" s="2290"/>
      <c r="H333" s="2290"/>
      <c r="I333" s="2290"/>
      <c r="J333" s="2290"/>
      <c r="K333" s="2290"/>
      <c r="L333" s="2290"/>
      <c r="M333" s="2290"/>
      <c r="N333" s="2290"/>
      <c r="O333" s="2290"/>
      <c r="P333" s="2290"/>
      <c r="Q333" s="2290"/>
      <c r="R333" s="2290"/>
      <c r="S333" s="2290"/>
      <c r="T333" s="2290"/>
      <c r="U333" s="2290"/>
      <c r="V333" s="2290"/>
      <c r="W333" s="2290"/>
      <c r="X333" s="2290"/>
      <c r="Y333" s="2290"/>
      <c r="Z333" s="2290"/>
      <c r="AA333" s="2290"/>
      <c r="AB333" s="2290"/>
      <c r="AC333" s="2290"/>
      <c r="AD333" s="2290"/>
      <c r="AE333" s="2290"/>
      <c r="AF333" s="2290"/>
      <c r="AG333" s="2290"/>
      <c r="AH333" s="2290"/>
      <c r="AI333" s="2290"/>
      <c r="AJ333" s="2290"/>
      <c r="AK333" s="2290"/>
      <c r="AL333" s="2290"/>
      <c r="AM333" s="2290"/>
      <c r="AN333" s="2290"/>
      <c r="AO333" s="2290"/>
      <c r="AP333" s="2290"/>
      <c r="AQ333" s="2290"/>
      <c r="AR333" s="2290"/>
      <c r="AS333" s="2290"/>
      <c r="AT333" s="2290"/>
      <c r="AU333" s="2290"/>
      <c r="AV333" s="2290"/>
      <c r="AW333" s="2290"/>
      <c r="AX333" s="2290"/>
      <c r="AY333" s="2290"/>
      <c r="AZ333" s="2290"/>
      <c r="BA333" s="2290"/>
      <c r="BB333" s="2290"/>
      <c r="BC333" s="2290"/>
      <c r="BD333" s="2290"/>
      <c r="BE333" s="2290"/>
      <c r="BF333" s="2290"/>
      <c r="BG333" s="2290"/>
      <c r="BH333" s="2290"/>
      <c r="BI333" s="2290"/>
      <c r="BJ333" s="2290"/>
      <c r="BK333" s="2290"/>
      <c r="BL333" s="2290"/>
      <c r="BM333" s="2290"/>
      <c r="BN333" s="2290"/>
      <c r="BO333" s="2290"/>
      <c r="BP333" s="2290"/>
      <c r="BQ333" s="2290"/>
      <c r="BR333" s="2290"/>
      <c r="BS333" s="2290"/>
      <c r="BT333" s="2290"/>
      <c r="BU333" s="2290"/>
      <c r="BV333" s="2290"/>
      <c r="BW333" s="2290"/>
      <c r="BX333" s="2290"/>
      <c r="BY333" s="2290"/>
      <c r="BZ333" s="2290"/>
      <c r="CA333" s="2290"/>
    </row>
    <row r="334" spans="1:79">
      <c r="A334" s="2290"/>
      <c r="B334" s="2290"/>
      <c r="C334" s="2290"/>
      <c r="D334" s="2290"/>
      <c r="E334" s="2290"/>
      <c r="F334" s="2290"/>
      <c r="G334" s="2290"/>
      <c r="H334" s="2290"/>
      <c r="I334" s="2290"/>
      <c r="J334" s="2290"/>
      <c r="K334" s="2290"/>
      <c r="L334" s="2290"/>
      <c r="M334" s="2290"/>
      <c r="N334" s="2290"/>
      <c r="O334" s="2290"/>
      <c r="P334" s="2290"/>
      <c r="Q334" s="2290"/>
      <c r="R334" s="2290"/>
      <c r="S334" s="2290"/>
      <c r="T334" s="2290"/>
      <c r="U334" s="2290"/>
      <c r="V334" s="2290"/>
      <c r="W334" s="2290"/>
      <c r="X334" s="2290"/>
      <c r="Y334" s="2290"/>
      <c r="Z334" s="2290"/>
      <c r="AA334" s="2290"/>
      <c r="AB334" s="2290"/>
      <c r="AC334" s="2290"/>
      <c r="AD334" s="2290"/>
      <c r="AE334" s="2290"/>
      <c r="AF334" s="2290"/>
      <c r="AG334" s="2290"/>
      <c r="AH334" s="2290"/>
      <c r="AI334" s="2290"/>
      <c r="AJ334" s="2290"/>
      <c r="AK334" s="2290"/>
      <c r="AL334" s="2290"/>
      <c r="AM334" s="2290"/>
      <c r="AN334" s="2290"/>
      <c r="AO334" s="2290"/>
      <c r="AP334" s="2290"/>
      <c r="AQ334" s="2290"/>
      <c r="AR334" s="2290"/>
      <c r="AS334" s="2290"/>
      <c r="AT334" s="2290"/>
      <c r="AU334" s="2290"/>
      <c r="AV334" s="2290"/>
      <c r="AW334" s="2290"/>
      <c r="AX334" s="2290"/>
      <c r="AY334" s="2290"/>
      <c r="AZ334" s="2290"/>
      <c r="BA334" s="2290"/>
      <c r="BB334" s="2290"/>
      <c r="BC334" s="2290"/>
      <c r="BD334" s="2290"/>
      <c r="BE334" s="2290"/>
      <c r="BF334" s="2290"/>
      <c r="BG334" s="2290"/>
      <c r="BH334" s="2290"/>
      <c r="BI334" s="2290"/>
      <c r="BJ334" s="2290"/>
      <c r="BK334" s="2290"/>
      <c r="BL334" s="2290"/>
      <c r="BM334" s="2290"/>
      <c r="BN334" s="2290"/>
      <c r="BO334" s="2290"/>
      <c r="BP334" s="2290"/>
      <c r="BQ334" s="2290"/>
      <c r="BR334" s="2290"/>
      <c r="BS334" s="2290"/>
      <c r="BT334" s="2290"/>
      <c r="BU334" s="2290"/>
      <c r="BV334" s="2290"/>
      <c r="BW334" s="2290"/>
      <c r="BX334" s="2290"/>
      <c r="BY334" s="2290"/>
      <c r="BZ334" s="2290"/>
      <c r="CA334" s="2290"/>
    </row>
    <row r="335" spans="1:79">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2290"/>
      <c r="AF335" s="2290"/>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row>
    <row r="336" spans="1:79">
      <c r="A336" s="2290"/>
      <c r="B336" s="2290"/>
      <c r="C336" s="2290"/>
      <c r="D336" s="2290"/>
      <c r="E336" s="2290"/>
      <c r="F336" s="2290"/>
      <c r="G336" s="2290"/>
      <c r="H336" s="2290"/>
      <c r="I336" s="2290"/>
      <c r="J336" s="2290"/>
      <c r="K336" s="2290"/>
      <c r="L336" s="2290"/>
      <c r="M336" s="2290"/>
      <c r="N336" s="2290"/>
      <c r="O336" s="2290"/>
      <c r="P336" s="2290"/>
      <c r="Q336" s="2290"/>
      <c r="R336" s="2290"/>
      <c r="S336" s="2290"/>
      <c r="T336" s="2290"/>
      <c r="U336" s="2290"/>
      <c r="V336" s="2290"/>
      <c r="W336" s="2290"/>
      <c r="X336" s="2290"/>
      <c r="Y336" s="2290"/>
      <c r="Z336" s="2290"/>
      <c r="AA336" s="2290"/>
      <c r="AB336" s="2290"/>
      <c r="AC336" s="2290"/>
      <c r="AD336" s="2290"/>
      <c r="AE336" s="2290"/>
      <c r="AF336" s="2290"/>
      <c r="AG336" s="2290"/>
      <c r="AH336" s="2290"/>
      <c r="AI336" s="2290"/>
      <c r="AJ336" s="2290"/>
      <c r="AK336" s="2290"/>
      <c r="AL336" s="2290"/>
      <c r="AM336" s="2290"/>
      <c r="AN336" s="2290"/>
      <c r="AO336" s="2290"/>
      <c r="AP336" s="2290"/>
      <c r="AQ336" s="2290"/>
      <c r="AR336" s="2290"/>
      <c r="AS336" s="2290"/>
      <c r="AT336" s="2290"/>
      <c r="AU336" s="2290"/>
      <c r="AV336" s="2290"/>
      <c r="AW336" s="2290"/>
      <c r="AX336" s="2290"/>
      <c r="AY336" s="2290"/>
      <c r="AZ336" s="2290"/>
      <c r="BA336" s="2290"/>
      <c r="BB336" s="2290"/>
      <c r="BC336" s="2290"/>
      <c r="BD336" s="2290"/>
      <c r="BE336" s="2290"/>
      <c r="BF336" s="2290"/>
      <c r="BG336" s="2290"/>
      <c r="BH336" s="2290"/>
      <c r="BI336" s="2290"/>
      <c r="BJ336" s="2290"/>
      <c r="BK336" s="2290"/>
      <c r="BL336" s="2290"/>
      <c r="BM336" s="2290"/>
      <c r="BN336" s="2290"/>
      <c r="BO336" s="2290"/>
      <c r="BP336" s="2290"/>
      <c r="BQ336" s="2290"/>
      <c r="BR336" s="2290"/>
      <c r="BS336" s="2290"/>
      <c r="BT336" s="2290"/>
      <c r="BU336" s="2290"/>
      <c r="BV336" s="2290"/>
      <c r="BW336" s="2290"/>
      <c r="BX336" s="2290"/>
      <c r="BY336" s="2290"/>
      <c r="BZ336" s="2290"/>
      <c r="CA336" s="2290"/>
    </row>
    <row r="337" spans="1:79">
      <c r="A337" s="2290"/>
      <c r="B337" s="2290"/>
      <c r="C337" s="2290"/>
      <c r="D337" s="2290"/>
      <c r="E337" s="2290"/>
      <c r="F337" s="2290"/>
      <c r="G337" s="2290"/>
      <c r="H337" s="2290"/>
      <c r="I337" s="2290"/>
      <c r="J337" s="2290"/>
      <c r="K337" s="2290"/>
      <c r="L337" s="2290"/>
      <c r="M337" s="2290"/>
      <c r="N337" s="2290"/>
      <c r="O337" s="2290"/>
      <c r="P337" s="2290"/>
      <c r="Q337" s="2290"/>
      <c r="R337" s="2290"/>
      <c r="S337" s="2290"/>
      <c r="T337" s="2290"/>
      <c r="U337" s="2290"/>
      <c r="V337" s="2290"/>
      <c r="W337" s="2290"/>
      <c r="X337" s="2290"/>
      <c r="Y337" s="2290"/>
      <c r="Z337" s="2290"/>
      <c r="AA337" s="2290"/>
      <c r="AB337" s="2290"/>
      <c r="AC337" s="2290"/>
      <c r="AD337" s="2290"/>
      <c r="AE337" s="2290"/>
      <c r="AF337" s="2290"/>
      <c r="AG337" s="2290"/>
      <c r="AH337" s="2290"/>
      <c r="AI337" s="2290"/>
      <c r="AJ337" s="2290"/>
      <c r="AK337" s="2290"/>
      <c r="AL337" s="2290"/>
      <c r="AM337" s="2290"/>
      <c r="AN337" s="2290"/>
      <c r="AO337" s="2290"/>
      <c r="AP337" s="2290"/>
      <c r="AQ337" s="2290"/>
      <c r="AR337" s="2290"/>
      <c r="AS337" s="2290"/>
      <c r="AT337" s="2290"/>
      <c r="AU337" s="2290"/>
      <c r="AV337" s="2290"/>
      <c r="AW337" s="2290"/>
      <c r="AX337" s="2290"/>
      <c r="AY337" s="2290"/>
      <c r="AZ337" s="2290"/>
      <c r="BA337" s="2290"/>
      <c r="BB337" s="2290"/>
      <c r="BC337" s="2290"/>
      <c r="BD337" s="2290"/>
      <c r="BE337" s="2290"/>
      <c r="BF337" s="2290"/>
      <c r="BG337" s="2290"/>
      <c r="BH337" s="2290"/>
      <c r="BI337" s="2290"/>
      <c r="BJ337" s="2290"/>
      <c r="BK337" s="2290"/>
      <c r="BL337" s="2290"/>
      <c r="BM337" s="2290"/>
      <c r="BN337" s="2290"/>
      <c r="BO337" s="2290"/>
      <c r="BP337" s="2290"/>
      <c r="BQ337" s="2290"/>
      <c r="BR337" s="2290"/>
      <c r="BS337" s="2290"/>
      <c r="BT337" s="2290"/>
      <c r="BU337" s="2290"/>
      <c r="BV337" s="2290"/>
      <c r="BW337" s="2290"/>
      <c r="BX337" s="2290"/>
      <c r="BY337" s="2290"/>
      <c r="BZ337" s="2290"/>
      <c r="CA337" s="2290"/>
    </row>
    <row r="338" spans="1:79">
      <c r="A338" s="2290"/>
      <c r="B338" s="2290"/>
      <c r="C338" s="2290"/>
      <c r="D338" s="2290"/>
      <c r="E338" s="2290"/>
      <c r="F338" s="2290"/>
      <c r="G338" s="2290"/>
      <c r="H338" s="2290"/>
      <c r="I338" s="2290"/>
      <c r="J338" s="2290"/>
      <c r="K338" s="2290"/>
      <c r="L338" s="2290"/>
      <c r="M338" s="2290"/>
      <c r="N338" s="2290"/>
      <c r="O338" s="2290"/>
      <c r="P338" s="2290"/>
      <c r="Q338" s="2290"/>
      <c r="R338" s="2290"/>
      <c r="S338" s="2290"/>
      <c r="T338" s="2290"/>
      <c r="U338" s="2290"/>
      <c r="V338" s="2290"/>
      <c r="W338" s="2290"/>
      <c r="X338" s="2290"/>
      <c r="Y338" s="2290"/>
      <c r="Z338" s="2290"/>
      <c r="AA338" s="2290"/>
      <c r="AB338" s="2290"/>
      <c r="AC338" s="2290"/>
      <c r="AD338" s="2290"/>
      <c r="AE338" s="2290"/>
      <c r="AF338" s="2290"/>
      <c r="AG338" s="2290"/>
      <c r="AH338" s="2290"/>
      <c r="AI338" s="2290"/>
      <c r="AJ338" s="2290"/>
      <c r="AK338" s="2290"/>
      <c r="AL338" s="2290"/>
      <c r="AM338" s="2290"/>
      <c r="AN338" s="2290"/>
      <c r="AO338" s="2290"/>
      <c r="AP338" s="2290"/>
      <c r="AQ338" s="2290"/>
      <c r="AR338" s="2290"/>
      <c r="AS338" s="2290"/>
      <c r="AT338" s="2290"/>
      <c r="AU338" s="2290"/>
      <c r="AV338" s="2290"/>
      <c r="AW338" s="2290"/>
      <c r="AX338" s="2290"/>
      <c r="AY338" s="2290"/>
      <c r="AZ338" s="2290"/>
      <c r="BA338" s="2290"/>
      <c r="BB338" s="2290"/>
      <c r="BC338" s="2290"/>
      <c r="BD338" s="2290"/>
      <c r="BE338" s="2290"/>
      <c r="BF338" s="2290"/>
      <c r="BG338" s="2290"/>
      <c r="BH338" s="2290"/>
      <c r="BI338" s="2290"/>
      <c r="BJ338" s="2290"/>
      <c r="BK338" s="2290"/>
      <c r="BL338" s="2290"/>
      <c r="BM338" s="2290"/>
      <c r="BN338" s="2290"/>
      <c r="BO338" s="2290"/>
      <c r="BP338" s="2290"/>
      <c r="BQ338" s="2290"/>
      <c r="BR338" s="2290"/>
      <c r="BS338" s="2290"/>
      <c r="BT338" s="2290"/>
      <c r="BU338" s="2290"/>
      <c r="BV338" s="2290"/>
      <c r="BW338" s="2290"/>
      <c r="BX338" s="2290"/>
      <c r="BY338" s="2290"/>
      <c r="BZ338" s="2290"/>
      <c r="CA338" s="2290"/>
    </row>
    <row r="339" spans="1:79">
      <c r="A339" s="2290"/>
      <c r="B339" s="2290"/>
      <c r="C339" s="2290"/>
      <c r="D339" s="2290"/>
      <c r="E339" s="2290"/>
      <c r="F339" s="2290"/>
      <c r="G339" s="2290"/>
      <c r="H339" s="2290"/>
      <c r="I339" s="2290"/>
      <c r="J339" s="2290"/>
      <c r="K339" s="2290"/>
      <c r="L339" s="2290"/>
      <c r="M339" s="2290"/>
      <c r="N339" s="2290"/>
      <c r="O339" s="2290"/>
      <c r="P339" s="2290"/>
      <c r="Q339" s="2290"/>
      <c r="R339" s="2290"/>
      <c r="S339" s="2290"/>
      <c r="T339" s="2290"/>
      <c r="U339" s="2290"/>
      <c r="V339" s="2290"/>
      <c r="W339" s="2290"/>
      <c r="X339" s="2290"/>
      <c r="Y339" s="2290"/>
      <c r="Z339" s="2290"/>
      <c r="AA339" s="2290"/>
      <c r="AB339" s="2290"/>
      <c r="AC339" s="2290"/>
      <c r="AD339" s="2290"/>
      <c r="AE339" s="2290"/>
      <c r="AF339" s="2290"/>
      <c r="AG339" s="2290"/>
      <c r="AH339" s="2290"/>
      <c r="AI339" s="2290"/>
      <c r="AJ339" s="2290"/>
      <c r="AK339" s="2290"/>
      <c r="AL339" s="2290"/>
      <c r="AM339" s="2290"/>
      <c r="AN339" s="2290"/>
      <c r="AO339" s="2290"/>
      <c r="AP339" s="2290"/>
      <c r="AQ339" s="2290"/>
      <c r="AR339" s="2290"/>
      <c r="AS339" s="2290"/>
      <c r="AT339" s="2290"/>
      <c r="AU339" s="2290"/>
      <c r="AV339" s="2290"/>
      <c r="AW339" s="2290"/>
      <c r="AX339" s="2290"/>
      <c r="AY339" s="2290"/>
      <c r="AZ339" s="2290"/>
      <c r="BA339" s="2290"/>
      <c r="BB339" s="2290"/>
      <c r="BC339" s="2290"/>
      <c r="BD339" s="2290"/>
      <c r="BE339" s="2290"/>
      <c r="BF339" s="2290"/>
      <c r="BG339" s="2290"/>
      <c r="BH339" s="2290"/>
      <c r="BI339" s="2290"/>
      <c r="BJ339" s="2290"/>
      <c r="BK339" s="2290"/>
      <c r="BL339" s="2290"/>
      <c r="BM339" s="2290"/>
      <c r="BN339" s="2290"/>
      <c r="BO339" s="2290"/>
      <c r="BP339" s="2290"/>
      <c r="BQ339" s="2290"/>
      <c r="BR339" s="2290"/>
      <c r="BS339" s="2290"/>
      <c r="BT339" s="2290"/>
      <c r="BU339" s="2290"/>
      <c r="BV339" s="2290"/>
      <c r="BW339" s="2290"/>
      <c r="BX339" s="2290"/>
      <c r="BY339" s="2290"/>
      <c r="BZ339" s="2290"/>
      <c r="CA339" s="2290"/>
    </row>
    <row r="340" spans="1:79">
      <c r="A340" s="2290"/>
      <c r="B340" s="2290"/>
      <c r="C340" s="2290"/>
      <c r="D340" s="2290"/>
      <c r="E340" s="2290"/>
      <c r="F340" s="2290"/>
      <c r="G340" s="2290"/>
      <c r="H340" s="2290"/>
      <c r="I340" s="2290"/>
      <c r="J340" s="2290"/>
      <c r="K340" s="2290"/>
      <c r="L340" s="2290"/>
      <c r="M340" s="2290"/>
      <c r="N340" s="2290"/>
      <c r="O340" s="2290"/>
      <c r="P340" s="2290"/>
      <c r="Q340" s="2290"/>
      <c r="R340" s="2290"/>
      <c r="S340" s="2290"/>
      <c r="T340" s="2290"/>
      <c r="U340" s="2290"/>
      <c r="V340" s="2290"/>
      <c r="W340" s="2290"/>
      <c r="X340" s="2290"/>
      <c r="Y340" s="2290"/>
      <c r="Z340" s="2290"/>
      <c r="AA340" s="2290"/>
      <c r="AB340" s="2290"/>
      <c r="AC340" s="2290"/>
      <c r="AD340" s="2290"/>
      <c r="AE340" s="2290"/>
      <c r="AF340" s="2290"/>
      <c r="AG340" s="2290"/>
      <c r="AH340" s="2290"/>
      <c r="AI340" s="2290"/>
      <c r="AJ340" s="2290"/>
      <c r="AK340" s="2290"/>
      <c r="AL340" s="2290"/>
      <c r="AM340" s="2290"/>
      <c r="AN340" s="2290"/>
      <c r="AO340" s="2290"/>
      <c r="AP340" s="2290"/>
      <c r="AQ340" s="2290"/>
      <c r="AR340" s="2290"/>
      <c r="AS340" s="2290"/>
      <c r="AT340" s="2290"/>
      <c r="AU340" s="2290"/>
      <c r="AV340" s="2290"/>
      <c r="AW340" s="2290"/>
      <c r="AX340" s="2290"/>
      <c r="AY340" s="2290"/>
      <c r="AZ340" s="2290"/>
      <c r="BA340" s="2290"/>
      <c r="BB340" s="2290"/>
      <c r="BC340" s="2290"/>
      <c r="BD340" s="2290"/>
      <c r="BE340" s="2290"/>
      <c r="BF340" s="2290"/>
      <c r="BG340" s="2290"/>
      <c r="BH340" s="2290"/>
      <c r="BI340" s="2290"/>
      <c r="BJ340" s="2290"/>
      <c r="BK340" s="2290"/>
      <c r="BL340" s="2290"/>
      <c r="BM340" s="2290"/>
      <c r="BN340" s="2290"/>
      <c r="BO340" s="2290"/>
      <c r="BP340" s="2290"/>
      <c r="BQ340" s="2290"/>
      <c r="BR340" s="2290"/>
      <c r="BS340" s="2290"/>
      <c r="BT340" s="2290"/>
      <c r="BU340" s="2290"/>
      <c r="BV340" s="2290"/>
      <c r="BW340" s="2290"/>
      <c r="BX340" s="2290"/>
      <c r="BY340" s="2290"/>
      <c r="BZ340" s="2290"/>
      <c r="CA340" s="2290"/>
    </row>
    <row r="341" spans="1:79">
      <c r="A341" s="2290"/>
      <c r="B341" s="2290"/>
      <c r="C341" s="2290"/>
      <c r="D341" s="2290"/>
      <c r="E341" s="2290"/>
      <c r="F341" s="2290"/>
      <c r="G341" s="2290"/>
      <c r="H341" s="2290"/>
      <c r="I341" s="2290"/>
      <c r="J341" s="2290"/>
      <c r="K341" s="2290"/>
      <c r="L341" s="2290"/>
      <c r="M341" s="2290"/>
      <c r="N341" s="2290"/>
      <c r="O341" s="2290"/>
      <c r="P341" s="2290"/>
      <c r="Q341" s="2290"/>
      <c r="R341" s="2290"/>
      <c r="S341" s="2290"/>
      <c r="T341" s="2290"/>
      <c r="U341" s="2290"/>
      <c r="V341" s="2290"/>
      <c r="W341" s="2290"/>
      <c r="X341" s="2290"/>
      <c r="Y341" s="2290"/>
      <c r="Z341" s="2290"/>
      <c r="AA341" s="2290"/>
      <c r="AB341" s="2290"/>
      <c r="AC341" s="2290"/>
      <c r="AD341" s="2290"/>
      <c r="AE341" s="2290"/>
      <c r="AF341" s="2290"/>
      <c r="AG341" s="2290"/>
      <c r="AH341" s="2290"/>
      <c r="AI341" s="2290"/>
      <c r="AJ341" s="2290"/>
      <c r="AK341" s="2290"/>
      <c r="AL341" s="2290"/>
      <c r="AM341" s="2290"/>
      <c r="AN341" s="2290"/>
      <c r="AO341" s="2290"/>
      <c r="AP341" s="2290"/>
      <c r="AQ341" s="2290"/>
      <c r="AR341" s="2290"/>
      <c r="AS341" s="2290"/>
      <c r="AT341" s="2290"/>
      <c r="AU341" s="2290"/>
      <c r="AV341" s="2290"/>
      <c r="AW341" s="2290"/>
      <c r="AX341" s="2290"/>
      <c r="AY341" s="2290"/>
      <c r="AZ341" s="2290"/>
      <c r="BA341" s="2290"/>
      <c r="BB341" s="2290"/>
      <c r="BC341" s="2290"/>
      <c r="BD341" s="2290"/>
      <c r="BE341" s="2290"/>
      <c r="BF341" s="2290"/>
      <c r="BG341" s="2290"/>
      <c r="BH341" s="2290"/>
      <c r="BI341" s="2290"/>
      <c r="BJ341" s="2290"/>
      <c r="BK341" s="2290"/>
      <c r="BL341" s="2290"/>
      <c r="BM341" s="2290"/>
      <c r="BN341" s="2290"/>
      <c r="BO341" s="2290"/>
      <c r="BP341" s="2290"/>
      <c r="BQ341" s="2290"/>
      <c r="BR341" s="2290"/>
      <c r="BS341" s="2290"/>
      <c r="BT341" s="2290"/>
      <c r="BU341" s="2290"/>
      <c r="BV341" s="2290"/>
      <c r="BW341" s="2290"/>
      <c r="BX341" s="2290"/>
      <c r="BY341" s="2290"/>
      <c r="BZ341" s="2290"/>
      <c r="CA341" s="2290"/>
    </row>
    <row r="342" spans="1:79">
      <c r="A342" s="2290"/>
      <c r="B342" s="2290"/>
      <c r="C342" s="2290"/>
      <c r="D342" s="2290"/>
      <c r="E342" s="2290"/>
      <c r="F342" s="2290"/>
      <c r="G342" s="2290"/>
      <c r="H342" s="2290"/>
      <c r="I342" s="2290"/>
      <c r="J342" s="2290"/>
      <c r="K342" s="2290"/>
      <c r="L342" s="2290"/>
      <c r="M342" s="2290"/>
      <c r="N342" s="2290"/>
      <c r="O342" s="2290"/>
      <c r="P342" s="2290"/>
      <c r="Q342" s="2290"/>
      <c r="R342" s="2290"/>
      <c r="S342" s="2290"/>
      <c r="T342" s="2290"/>
      <c r="U342" s="2290"/>
      <c r="V342" s="2290"/>
      <c r="W342" s="2290"/>
      <c r="X342" s="2290"/>
      <c r="Y342" s="2290"/>
      <c r="Z342" s="2290"/>
      <c r="AA342" s="2290"/>
      <c r="AB342" s="2290"/>
      <c r="AC342" s="2290"/>
      <c r="AD342" s="2290"/>
      <c r="AE342" s="2290"/>
      <c r="AF342" s="2290"/>
      <c r="AG342" s="2290"/>
      <c r="AH342" s="2290"/>
      <c r="AI342" s="2290"/>
      <c r="AJ342" s="2290"/>
      <c r="AK342" s="2290"/>
      <c r="AL342" s="2290"/>
      <c r="AM342" s="2290"/>
      <c r="AN342" s="2290"/>
      <c r="AO342" s="2290"/>
      <c r="AP342" s="2290"/>
      <c r="AQ342" s="2290"/>
      <c r="AR342" s="2290"/>
      <c r="AS342" s="2290"/>
      <c r="AT342" s="2290"/>
      <c r="AU342" s="2290"/>
      <c r="AV342" s="2290"/>
      <c r="AW342" s="2290"/>
      <c r="AX342" s="2290"/>
      <c r="AY342" s="2290"/>
      <c r="AZ342" s="2290"/>
      <c r="BA342" s="2290"/>
      <c r="BB342" s="2290"/>
      <c r="BC342" s="2290"/>
      <c r="BD342" s="2290"/>
      <c r="BE342" s="2290"/>
      <c r="BF342" s="2290"/>
      <c r="BG342" s="2290"/>
      <c r="BH342" s="2290"/>
      <c r="BI342" s="2290"/>
      <c r="BJ342" s="2290"/>
      <c r="BK342" s="2290"/>
      <c r="BL342" s="2290"/>
      <c r="BM342" s="2290"/>
      <c r="BN342" s="2290"/>
      <c r="BO342" s="2290"/>
      <c r="BP342" s="2290"/>
      <c r="BQ342" s="2290"/>
      <c r="BR342" s="2290"/>
      <c r="BS342" s="2290"/>
      <c r="BT342" s="2290"/>
      <c r="BU342" s="2290"/>
      <c r="BV342" s="2290"/>
      <c r="BW342" s="2290"/>
      <c r="BX342" s="2290"/>
      <c r="BY342" s="2290"/>
      <c r="BZ342" s="2290"/>
      <c r="CA342" s="2290"/>
    </row>
    <row r="343" spans="1:79">
      <c r="A343" s="2290"/>
      <c r="B343" s="2290"/>
      <c r="C343" s="2290"/>
      <c r="D343" s="2290"/>
      <c r="E343" s="2290"/>
      <c r="F343" s="2290"/>
      <c r="G343" s="2290"/>
      <c r="H343" s="2290"/>
      <c r="I343" s="2290"/>
      <c r="J343" s="2290"/>
      <c r="K343" s="2290"/>
      <c r="L343" s="2290"/>
      <c r="M343" s="2290"/>
      <c r="N343" s="2290"/>
      <c r="O343" s="2290"/>
      <c r="P343" s="2290"/>
      <c r="Q343" s="2290"/>
      <c r="R343" s="2290"/>
      <c r="S343" s="2290"/>
      <c r="T343" s="2290"/>
      <c r="U343" s="2290"/>
      <c r="V343" s="2290"/>
      <c r="W343" s="2290"/>
      <c r="X343" s="2290"/>
      <c r="Y343" s="2290"/>
      <c r="Z343" s="2290"/>
      <c r="AA343" s="2290"/>
      <c r="AB343" s="2290"/>
      <c r="AC343" s="2290"/>
      <c r="AD343" s="2290"/>
      <c r="AE343" s="2290"/>
      <c r="AF343" s="2290"/>
      <c r="AG343" s="2290"/>
      <c r="AH343" s="2290"/>
      <c r="AI343" s="2290"/>
      <c r="AJ343" s="2290"/>
      <c r="AK343" s="2290"/>
      <c r="AL343" s="2290"/>
      <c r="AM343" s="2290"/>
      <c r="AN343" s="2290"/>
      <c r="AO343" s="2290"/>
      <c r="AP343" s="2290"/>
      <c r="AQ343" s="2290"/>
      <c r="AR343" s="2290"/>
      <c r="AS343" s="2290"/>
      <c r="AT343" s="2290"/>
      <c r="AU343" s="2290"/>
      <c r="AV343" s="2290"/>
      <c r="AW343" s="2290"/>
      <c r="AX343" s="2290"/>
      <c r="AY343" s="2290"/>
      <c r="AZ343" s="2290"/>
      <c r="BA343" s="2290"/>
      <c r="BB343" s="2290"/>
      <c r="BC343" s="2290"/>
      <c r="BD343" s="2290"/>
      <c r="BE343" s="2290"/>
      <c r="BF343" s="2290"/>
      <c r="BG343" s="2290"/>
      <c r="BH343" s="2290"/>
      <c r="BI343" s="2290"/>
      <c r="BJ343" s="2290"/>
      <c r="BK343" s="2290"/>
      <c r="BL343" s="2290"/>
      <c r="BM343" s="2290"/>
      <c r="BN343" s="2290"/>
      <c r="BO343" s="2290"/>
      <c r="BP343" s="2290"/>
      <c r="BQ343" s="2290"/>
      <c r="BR343" s="2290"/>
      <c r="BS343" s="2290"/>
      <c r="BT343" s="2290"/>
      <c r="BU343" s="2290"/>
      <c r="BV343" s="2290"/>
      <c r="BW343" s="2290"/>
      <c r="BX343" s="2290"/>
      <c r="BY343" s="2290"/>
      <c r="BZ343" s="2290"/>
      <c r="CA343" s="2290"/>
    </row>
    <row r="344" spans="1:79">
      <c r="A344" s="2290"/>
      <c r="B344" s="2290"/>
      <c r="C344" s="2290"/>
      <c r="D344" s="2290"/>
      <c r="E344" s="2290"/>
      <c r="F344" s="2290"/>
      <c r="G344" s="2290"/>
      <c r="H344" s="2290"/>
      <c r="I344" s="2290"/>
      <c r="J344" s="2290"/>
      <c r="K344" s="2290"/>
      <c r="L344" s="2290"/>
      <c r="M344" s="2290"/>
      <c r="N344" s="2290"/>
      <c r="O344" s="2290"/>
      <c r="P344" s="2290"/>
      <c r="Q344" s="2290"/>
      <c r="R344" s="2290"/>
      <c r="S344" s="2290"/>
      <c r="T344" s="2290"/>
      <c r="U344" s="2290"/>
      <c r="V344" s="2290"/>
      <c r="W344" s="2290"/>
      <c r="X344" s="2290"/>
      <c r="Y344" s="2290"/>
      <c r="Z344" s="2290"/>
      <c r="AA344" s="2290"/>
      <c r="AB344" s="2290"/>
      <c r="AC344" s="2290"/>
      <c r="AD344" s="2290"/>
      <c r="AE344" s="2290"/>
      <c r="AF344" s="2290"/>
      <c r="AG344" s="2290"/>
      <c r="AH344" s="2290"/>
      <c r="AI344" s="2290"/>
      <c r="AJ344" s="2290"/>
      <c r="AK344" s="2290"/>
      <c r="AL344" s="2290"/>
      <c r="AM344" s="2290"/>
      <c r="AN344" s="2290"/>
      <c r="AO344" s="2290"/>
      <c r="AP344" s="2290"/>
      <c r="AQ344" s="2290"/>
      <c r="AR344" s="2290"/>
      <c r="AS344" s="2290"/>
      <c r="AT344" s="2290"/>
      <c r="AU344" s="2290"/>
      <c r="AV344" s="2290"/>
      <c r="AW344" s="2290"/>
      <c r="AX344" s="2290"/>
      <c r="AY344" s="2290"/>
      <c r="AZ344" s="2290"/>
      <c r="BA344" s="2290"/>
      <c r="BB344" s="2290"/>
      <c r="BC344" s="2290"/>
      <c r="BD344" s="2290"/>
      <c r="BE344" s="2290"/>
      <c r="BF344" s="2290"/>
      <c r="BG344" s="2290"/>
      <c r="BH344" s="2290"/>
      <c r="BI344" s="2290"/>
      <c r="BJ344" s="2290"/>
      <c r="BK344" s="2290"/>
      <c r="BL344" s="2290"/>
      <c r="BM344" s="2290"/>
      <c r="BN344" s="2290"/>
      <c r="BO344" s="2290"/>
      <c r="BP344" s="2290"/>
      <c r="BQ344" s="2290"/>
      <c r="BR344" s="2290"/>
      <c r="BS344" s="2290"/>
      <c r="BT344" s="2290"/>
      <c r="BU344" s="2290"/>
      <c r="BV344" s="2290"/>
      <c r="BW344" s="2290"/>
      <c r="BX344" s="2290"/>
      <c r="BY344" s="2290"/>
      <c r="BZ344" s="2290"/>
      <c r="CA344" s="2290"/>
    </row>
    <row r="345" spans="1:79">
      <c r="A345" s="2290"/>
      <c r="B345" s="2290"/>
      <c r="C345" s="2290"/>
      <c r="D345" s="2290"/>
      <c r="E345" s="2290"/>
      <c r="F345" s="2290"/>
      <c r="G345" s="2290"/>
      <c r="H345" s="2290"/>
      <c r="I345" s="2290"/>
      <c r="J345" s="2290"/>
      <c r="K345" s="2290"/>
      <c r="L345" s="2290"/>
      <c r="M345" s="2290"/>
      <c r="N345" s="2290"/>
      <c r="O345" s="2290"/>
      <c r="P345" s="2290"/>
      <c r="Q345" s="2290"/>
      <c r="R345" s="2290"/>
      <c r="S345" s="2290"/>
      <c r="T345" s="2290"/>
      <c r="U345" s="2290"/>
      <c r="V345" s="2290"/>
      <c r="W345" s="2290"/>
      <c r="X345" s="2290"/>
      <c r="Y345" s="2290"/>
      <c r="Z345" s="2290"/>
      <c r="AA345" s="2290"/>
      <c r="AB345" s="2290"/>
      <c r="AC345" s="2290"/>
      <c r="AD345" s="2290"/>
      <c r="AE345" s="2290"/>
      <c r="AF345" s="2290"/>
      <c r="AG345" s="2290"/>
      <c r="AH345" s="2290"/>
      <c r="AI345" s="2290"/>
      <c r="AJ345" s="2290"/>
      <c r="AK345" s="2290"/>
      <c r="AL345" s="2290"/>
      <c r="AM345" s="2290"/>
      <c r="AN345" s="2290"/>
      <c r="AO345" s="2290"/>
      <c r="AP345" s="2290"/>
      <c r="AQ345" s="2290"/>
      <c r="AR345" s="2290"/>
      <c r="AS345" s="2290"/>
      <c r="AT345" s="2290"/>
      <c r="AU345" s="2290"/>
      <c r="AV345" s="2290"/>
      <c r="AW345" s="2290"/>
      <c r="AX345" s="2290"/>
      <c r="AY345" s="2290"/>
      <c r="AZ345" s="2290"/>
      <c r="BA345" s="2290"/>
      <c r="BB345" s="2290"/>
      <c r="BC345" s="2290"/>
      <c r="BD345" s="2290"/>
      <c r="BE345" s="2290"/>
      <c r="BF345" s="2290"/>
      <c r="BG345" s="2290"/>
      <c r="BH345" s="2290"/>
      <c r="BI345" s="2290"/>
      <c r="BJ345" s="2290"/>
      <c r="BK345" s="2290"/>
      <c r="BL345" s="2290"/>
      <c r="BM345" s="2290"/>
      <c r="BN345" s="2290"/>
      <c r="BO345" s="2290"/>
      <c r="BP345" s="2290"/>
      <c r="BQ345" s="2290"/>
      <c r="BR345" s="2290"/>
      <c r="BS345" s="2290"/>
      <c r="BT345" s="2290"/>
      <c r="BU345" s="2290"/>
      <c r="BV345" s="2290"/>
      <c r="BW345" s="2290"/>
      <c r="BX345" s="2290"/>
      <c r="BY345" s="2290"/>
      <c r="BZ345" s="2290"/>
      <c r="CA345" s="2290"/>
    </row>
    <row r="346" spans="1:79">
      <c r="A346" s="2290"/>
      <c r="B346" s="2290"/>
      <c r="C346" s="2290"/>
      <c r="D346" s="2290"/>
      <c r="E346" s="2290"/>
      <c r="F346" s="2290"/>
      <c r="G346" s="2290"/>
      <c r="H346" s="2290"/>
      <c r="I346" s="2290"/>
      <c r="J346" s="2290"/>
      <c r="K346" s="2290"/>
      <c r="L346" s="2290"/>
      <c r="M346" s="2290"/>
      <c r="N346" s="2290"/>
      <c r="O346" s="2290"/>
      <c r="P346" s="2290"/>
      <c r="Q346" s="2290"/>
      <c r="R346" s="2290"/>
      <c r="S346" s="2290"/>
      <c r="T346" s="2290"/>
      <c r="U346" s="2290"/>
      <c r="V346" s="2290"/>
      <c r="W346" s="2290"/>
      <c r="X346" s="2290"/>
      <c r="Y346" s="2290"/>
      <c r="Z346" s="2290"/>
      <c r="AA346" s="2290"/>
      <c r="AB346" s="2290"/>
      <c r="AC346" s="2290"/>
      <c r="AD346" s="2290"/>
      <c r="AE346" s="2290"/>
      <c r="AF346" s="2290"/>
      <c r="AG346" s="2290"/>
      <c r="AH346" s="2290"/>
      <c r="AI346" s="2290"/>
      <c r="AJ346" s="2290"/>
      <c r="AK346" s="2290"/>
      <c r="AL346" s="2290"/>
      <c r="AM346" s="2290"/>
      <c r="AN346" s="2290"/>
      <c r="AO346" s="2290"/>
      <c r="AP346" s="2290"/>
      <c r="AQ346" s="2290"/>
      <c r="AR346" s="2290"/>
      <c r="AS346" s="2290"/>
      <c r="AT346" s="2290"/>
      <c r="AU346" s="2290"/>
      <c r="AV346" s="2290"/>
      <c r="AW346" s="2290"/>
      <c r="AX346" s="2290"/>
      <c r="AY346" s="2290"/>
      <c r="AZ346" s="2290"/>
      <c r="BA346" s="2290"/>
      <c r="BB346" s="2290"/>
      <c r="BC346" s="2290"/>
      <c r="BD346" s="2290"/>
      <c r="BE346" s="2290"/>
      <c r="BF346" s="2290"/>
      <c r="BG346" s="2290"/>
      <c r="BH346" s="2290"/>
      <c r="BI346" s="2290"/>
      <c r="BJ346" s="2290"/>
      <c r="BK346" s="2290"/>
      <c r="BL346" s="2290"/>
      <c r="BM346" s="2290"/>
      <c r="BN346" s="2290"/>
      <c r="BO346" s="2290"/>
      <c r="BP346" s="2290"/>
      <c r="BQ346" s="2290"/>
      <c r="BR346" s="2290"/>
      <c r="BS346" s="2290"/>
      <c r="BT346" s="2290"/>
      <c r="BU346" s="2290"/>
      <c r="BV346" s="2290"/>
      <c r="BW346" s="2290"/>
      <c r="BX346" s="2290"/>
      <c r="BY346" s="2290"/>
      <c r="BZ346" s="2290"/>
      <c r="CA346" s="2290"/>
    </row>
    <row r="347" spans="1:79">
      <c r="A347" s="2290"/>
      <c r="B347" s="2290"/>
      <c r="C347" s="2290"/>
      <c r="D347" s="2290"/>
      <c r="E347" s="2290"/>
      <c r="F347" s="2290"/>
      <c r="G347" s="2290"/>
      <c r="H347" s="2290"/>
      <c r="I347" s="2290"/>
      <c r="J347" s="2290"/>
      <c r="K347" s="2290"/>
      <c r="L347" s="2290"/>
      <c r="M347" s="2290"/>
      <c r="N347" s="2290"/>
      <c r="O347" s="2290"/>
      <c r="P347" s="2290"/>
      <c r="Q347" s="2290"/>
      <c r="R347" s="2290"/>
      <c r="S347" s="2290"/>
      <c r="T347" s="2290"/>
      <c r="U347" s="2290"/>
      <c r="V347" s="2290"/>
      <c r="W347" s="2290"/>
      <c r="X347" s="2290"/>
      <c r="Y347" s="2290"/>
      <c r="Z347" s="2290"/>
      <c r="AA347" s="2290"/>
      <c r="AB347" s="2290"/>
      <c r="AC347" s="2290"/>
      <c r="AD347" s="2290"/>
      <c r="AE347" s="2290"/>
      <c r="AF347" s="2290"/>
      <c r="AG347" s="2290"/>
      <c r="AH347" s="2290"/>
      <c r="AI347" s="2290"/>
      <c r="AJ347" s="2290"/>
      <c r="AK347" s="2290"/>
      <c r="AL347" s="2290"/>
      <c r="AM347" s="2290"/>
      <c r="AN347" s="2290"/>
      <c r="AO347" s="2290"/>
      <c r="AP347" s="2290"/>
      <c r="AQ347" s="2290"/>
      <c r="AR347" s="2290"/>
      <c r="AS347" s="2290"/>
      <c r="AT347" s="2290"/>
      <c r="AU347" s="2290"/>
      <c r="AV347" s="2290"/>
      <c r="AW347" s="2290"/>
      <c r="AX347" s="2290"/>
      <c r="AY347" s="2290"/>
      <c r="AZ347" s="2290"/>
      <c r="BA347" s="2290"/>
      <c r="BB347" s="2290"/>
      <c r="BC347" s="2290"/>
      <c r="BD347" s="2290"/>
      <c r="BE347" s="2290"/>
      <c r="BF347" s="2290"/>
      <c r="BG347" s="2290"/>
      <c r="BH347" s="2290"/>
      <c r="BI347" s="2290"/>
      <c r="BJ347" s="2290"/>
      <c r="BK347" s="2290"/>
      <c r="BL347" s="2290"/>
      <c r="BM347" s="2290"/>
      <c r="BN347" s="2290"/>
      <c r="BO347" s="2290"/>
      <c r="BP347" s="2290"/>
      <c r="BQ347" s="2290"/>
      <c r="BR347" s="2290"/>
      <c r="BS347" s="2290"/>
      <c r="BT347" s="2290"/>
      <c r="BU347" s="2290"/>
      <c r="BV347" s="2290"/>
      <c r="BW347" s="2290"/>
      <c r="BX347" s="2290"/>
      <c r="BY347" s="2290"/>
      <c r="BZ347" s="2290"/>
      <c r="CA347" s="2290"/>
    </row>
    <row r="348" spans="1:79">
      <c r="A348" s="2290"/>
      <c r="B348" s="2290"/>
      <c r="C348" s="2290"/>
      <c r="D348" s="2290"/>
      <c r="E348" s="2290"/>
      <c r="F348" s="2290"/>
      <c r="G348" s="2290"/>
      <c r="H348" s="2290"/>
      <c r="I348" s="2290"/>
      <c r="J348" s="2290"/>
      <c r="K348" s="2290"/>
      <c r="L348" s="2290"/>
      <c r="M348" s="2290"/>
      <c r="N348" s="2290"/>
      <c r="O348" s="2290"/>
      <c r="P348" s="2290"/>
      <c r="Q348" s="2290"/>
      <c r="R348" s="2290"/>
      <c r="S348" s="2290"/>
      <c r="T348" s="2290"/>
      <c r="U348" s="2290"/>
      <c r="V348" s="2290"/>
      <c r="W348" s="2290"/>
      <c r="X348" s="2290"/>
      <c r="Y348" s="2290"/>
      <c r="Z348" s="2290"/>
      <c r="AA348" s="2290"/>
      <c r="AB348" s="2290"/>
      <c r="AC348" s="2290"/>
      <c r="AD348" s="2290"/>
      <c r="AE348" s="2290"/>
      <c r="AF348" s="2290"/>
      <c r="AG348" s="2290"/>
      <c r="AH348" s="2290"/>
      <c r="AI348" s="2290"/>
      <c r="AJ348" s="2290"/>
      <c r="AK348" s="2290"/>
      <c r="AL348" s="2290"/>
      <c r="AM348" s="2290"/>
      <c r="AN348" s="2290"/>
      <c r="AO348" s="2290"/>
      <c r="AP348" s="2290"/>
      <c r="AQ348" s="2290"/>
      <c r="AR348" s="2290"/>
      <c r="AS348" s="2290"/>
      <c r="AT348" s="2290"/>
      <c r="AU348" s="2290"/>
      <c r="AV348" s="2290"/>
      <c r="AW348" s="2290"/>
      <c r="AX348" s="2290"/>
      <c r="AY348" s="2290"/>
      <c r="AZ348" s="2290"/>
      <c r="BA348" s="2290"/>
      <c r="BB348" s="2290"/>
      <c r="BC348" s="2290"/>
      <c r="BD348" s="2290"/>
      <c r="BE348" s="2290"/>
      <c r="BF348" s="2290"/>
      <c r="BG348" s="2290"/>
      <c r="BH348" s="2290"/>
      <c r="BI348" s="2290"/>
      <c r="BJ348" s="2290"/>
      <c r="BK348" s="2290"/>
      <c r="BL348" s="2290"/>
      <c r="BM348" s="2290"/>
      <c r="BN348" s="2290"/>
      <c r="BO348" s="2290"/>
      <c r="BP348" s="2290"/>
      <c r="BQ348" s="2290"/>
      <c r="BR348" s="2290"/>
      <c r="BS348" s="2290"/>
      <c r="BT348" s="2290"/>
      <c r="BU348" s="2290"/>
      <c r="BV348" s="2290"/>
      <c r="BW348" s="2290"/>
      <c r="BX348" s="2290"/>
      <c r="BY348" s="2290"/>
      <c r="BZ348" s="2290"/>
      <c r="CA348" s="2290"/>
    </row>
    <row r="349" spans="1:79">
      <c r="A349" s="2290"/>
      <c r="B349" s="2290"/>
      <c r="C349" s="2290"/>
      <c r="D349" s="2290"/>
      <c r="E349" s="2290"/>
      <c r="F349" s="2290"/>
      <c r="G349" s="2290"/>
      <c r="H349" s="2290"/>
      <c r="I349" s="2290"/>
      <c r="J349" s="2290"/>
      <c r="K349" s="2290"/>
      <c r="L349" s="2290"/>
      <c r="M349" s="2290"/>
      <c r="N349" s="2290"/>
      <c r="O349" s="2290"/>
      <c r="P349" s="2290"/>
      <c r="Q349" s="2290"/>
      <c r="R349" s="2290"/>
      <c r="S349" s="2290"/>
      <c r="T349" s="2290"/>
      <c r="U349" s="2290"/>
      <c r="V349" s="2290"/>
      <c r="W349" s="2290"/>
      <c r="X349" s="2290"/>
      <c r="Y349" s="2290"/>
      <c r="Z349" s="2290"/>
      <c r="AA349" s="2290"/>
      <c r="AB349" s="2290"/>
      <c r="AC349" s="2290"/>
      <c r="AD349" s="2290"/>
      <c r="AE349" s="2290"/>
      <c r="AF349" s="2290"/>
      <c r="AG349" s="2290"/>
      <c r="AH349" s="2290"/>
      <c r="AI349" s="2290"/>
      <c r="AJ349" s="2290"/>
      <c r="AK349" s="2290"/>
      <c r="AL349" s="2290"/>
      <c r="AM349" s="2290"/>
      <c r="AN349" s="2290"/>
      <c r="AO349" s="2290"/>
      <c r="AP349" s="2290"/>
      <c r="AQ349" s="2290"/>
      <c r="AR349" s="2290"/>
      <c r="AS349" s="2290"/>
      <c r="AT349" s="2290"/>
      <c r="AU349" s="2290"/>
      <c r="AV349" s="2290"/>
      <c r="AW349" s="2290"/>
      <c r="AX349" s="2290"/>
      <c r="AY349" s="2290"/>
      <c r="AZ349" s="2290"/>
      <c r="BA349" s="2290"/>
      <c r="BB349" s="2290"/>
      <c r="BC349" s="2290"/>
      <c r="BD349" s="2290"/>
      <c r="BE349" s="2290"/>
      <c r="BF349" s="2290"/>
      <c r="BG349" s="2290"/>
      <c r="BH349" s="2290"/>
      <c r="BI349" s="2290"/>
      <c r="BJ349" s="2290"/>
      <c r="BK349" s="2290"/>
      <c r="BL349" s="2290"/>
      <c r="BM349" s="2290"/>
      <c r="BN349" s="2290"/>
      <c r="BO349" s="2290"/>
      <c r="BP349" s="2290"/>
      <c r="BQ349" s="2290"/>
      <c r="BR349" s="2290"/>
      <c r="BS349" s="2290"/>
      <c r="BT349" s="2290"/>
      <c r="BU349" s="2290"/>
      <c r="BV349" s="2290"/>
      <c r="BW349" s="2290"/>
      <c r="BX349" s="2290"/>
      <c r="BY349" s="2290"/>
      <c r="BZ349" s="2290"/>
      <c r="CA349" s="2290"/>
    </row>
    <row r="350" spans="1:79">
      <c r="A350" s="2290"/>
      <c r="B350" s="2290"/>
      <c r="C350" s="2290"/>
      <c r="D350" s="2290"/>
      <c r="E350" s="2290"/>
      <c r="F350" s="2290"/>
      <c r="G350" s="2290"/>
      <c r="H350" s="2290"/>
      <c r="I350" s="2290"/>
      <c r="J350" s="2290"/>
      <c r="K350" s="2290"/>
      <c r="L350" s="2290"/>
      <c r="M350" s="2290"/>
      <c r="N350" s="2290"/>
      <c r="O350" s="2290"/>
      <c r="P350" s="2290"/>
      <c r="Q350" s="2290"/>
      <c r="R350" s="2290"/>
      <c r="S350" s="2290"/>
      <c r="T350" s="2290"/>
      <c r="U350" s="2290"/>
      <c r="V350" s="2290"/>
      <c r="W350" s="2290"/>
      <c r="X350" s="2290"/>
      <c r="Y350" s="2290"/>
      <c r="Z350" s="2290"/>
      <c r="AA350" s="2290"/>
      <c r="AB350" s="2290"/>
      <c r="AC350" s="2290"/>
      <c r="AD350" s="2290"/>
      <c r="AE350" s="2290"/>
      <c r="AF350" s="2290"/>
      <c r="AG350" s="2290"/>
      <c r="AH350" s="2290"/>
      <c r="AI350" s="2290"/>
      <c r="AJ350" s="2290"/>
      <c r="AK350" s="2290"/>
      <c r="AL350" s="2290"/>
      <c r="AM350" s="2290"/>
      <c r="AN350" s="2290"/>
      <c r="AO350" s="2290"/>
      <c r="AP350" s="2290"/>
      <c r="AQ350" s="2290"/>
      <c r="AR350" s="2290"/>
      <c r="AS350" s="2290"/>
      <c r="AT350" s="2290"/>
      <c r="AU350" s="2290"/>
      <c r="AV350" s="2290"/>
      <c r="AW350" s="2290"/>
      <c r="AX350" s="2290"/>
      <c r="AY350" s="2290"/>
      <c r="AZ350" s="2290"/>
      <c r="BA350" s="2290"/>
      <c r="BB350" s="2290"/>
      <c r="BC350" s="2290"/>
      <c r="BD350" s="2290"/>
      <c r="BE350" s="2290"/>
      <c r="BF350" s="2290"/>
      <c r="BG350" s="2290"/>
      <c r="BH350" s="2290"/>
      <c r="BI350" s="2290"/>
      <c r="BJ350" s="2290"/>
      <c r="BK350" s="2290"/>
      <c r="BL350" s="2290"/>
      <c r="BM350" s="2290"/>
      <c r="BN350" s="2290"/>
      <c r="BO350" s="2290"/>
      <c r="BP350" s="2290"/>
      <c r="BQ350" s="2290"/>
      <c r="BR350" s="2290"/>
      <c r="BS350" s="2290"/>
      <c r="BT350" s="2290"/>
      <c r="BU350" s="2290"/>
      <c r="BV350" s="2290"/>
      <c r="BW350" s="2290"/>
      <c r="BX350" s="2290"/>
      <c r="BY350" s="2290"/>
      <c r="BZ350" s="2290"/>
      <c r="CA350" s="2290"/>
    </row>
    <row r="351" spans="1:79">
      <c r="A351" s="2290"/>
      <c r="B351" s="2290"/>
      <c r="C351" s="2290"/>
      <c r="D351" s="2290"/>
      <c r="E351" s="2290"/>
      <c r="F351" s="2290"/>
      <c r="G351" s="2290"/>
      <c r="H351" s="2290"/>
      <c r="I351" s="2290"/>
      <c r="J351" s="2290"/>
      <c r="K351" s="2290"/>
      <c r="L351" s="2290"/>
      <c r="M351" s="2290"/>
      <c r="N351" s="2290"/>
      <c r="O351" s="2290"/>
      <c r="P351" s="2290"/>
      <c r="Q351" s="2290"/>
      <c r="R351" s="2290"/>
      <c r="S351" s="2290"/>
      <c r="T351" s="2290"/>
      <c r="U351" s="2290"/>
      <c r="V351" s="2290"/>
      <c r="W351" s="2290"/>
      <c r="X351" s="2290"/>
      <c r="Y351" s="2290"/>
      <c r="Z351" s="2290"/>
      <c r="AA351" s="2290"/>
      <c r="AB351" s="2290"/>
      <c r="AC351" s="2290"/>
      <c r="AD351" s="2290"/>
      <c r="AE351" s="2290"/>
      <c r="AF351" s="2290"/>
      <c r="AG351" s="2290"/>
      <c r="AH351" s="2290"/>
      <c r="AI351" s="2290"/>
      <c r="AJ351" s="2290"/>
      <c r="AK351" s="2290"/>
      <c r="AL351" s="2290"/>
      <c r="AM351" s="2290"/>
      <c r="AN351" s="2290"/>
      <c r="AO351" s="2290"/>
      <c r="AP351" s="2290"/>
      <c r="AQ351" s="2290"/>
      <c r="AR351" s="2290"/>
      <c r="AS351" s="2290"/>
      <c r="AT351" s="2290"/>
      <c r="AU351" s="2290"/>
      <c r="AV351" s="2290"/>
      <c r="AW351" s="2290"/>
      <c r="AX351" s="2290"/>
      <c r="AY351" s="2290"/>
      <c r="AZ351" s="2290"/>
      <c r="BA351" s="2290"/>
      <c r="BB351" s="2290"/>
      <c r="BC351" s="2290"/>
      <c r="BD351" s="2290"/>
      <c r="BE351" s="2290"/>
      <c r="BF351" s="2290"/>
      <c r="BG351" s="2290"/>
      <c r="BH351" s="2290"/>
      <c r="BI351" s="2290"/>
      <c r="BJ351" s="2290"/>
      <c r="BK351" s="2290"/>
      <c r="BL351" s="2290"/>
      <c r="BM351" s="2290"/>
      <c r="BN351" s="2290"/>
      <c r="BO351" s="2290"/>
      <c r="BP351" s="2290"/>
      <c r="BQ351" s="2290"/>
      <c r="BR351" s="2290"/>
      <c r="BS351" s="2290"/>
      <c r="BT351" s="2290"/>
      <c r="BU351" s="2290"/>
      <c r="BV351" s="2290"/>
      <c r="BW351" s="2290"/>
      <c r="BX351" s="2290"/>
      <c r="BY351" s="2290"/>
      <c r="BZ351" s="2290"/>
      <c r="CA351" s="2290"/>
    </row>
    <row r="352" spans="1:79">
      <c r="A352" s="2290"/>
      <c r="B352" s="2290"/>
      <c r="C352" s="2290"/>
      <c r="D352" s="2290"/>
      <c r="E352" s="2290"/>
      <c r="F352" s="2290"/>
      <c r="G352" s="2290"/>
      <c r="H352" s="2290"/>
      <c r="I352" s="2290"/>
      <c r="J352" s="2290"/>
      <c r="K352" s="2290"/>
      <c r="L352" s="2290"/>
      <c r="M352" s="2290"/>
      <c r="N352" s="2290"/>
      <c r="O352" s="2290"/>
      <c r="P352" s="2290"/>
      <c r="Q352" s="2290"/>
      <c r="R352" s="2290"/>
      <c r="S352" s="2290"/>
      <c r="T352" s="2290"/>
      <c r="U352" s="2290"/>
      <c r="V352" s="2290"/>
      <c r="W352" s="2290"/>
      <c r="X352" s="2290"/>
      <c r="Y352" s="2290"/>
      <c r="Z352" s="2290"/>
      <c r="AA352" s="2290"/>
      <c r="AB352" s="2290"/>
      <c r="AC352" s="2290"/>
      <c r="AD352" s="2290"/>
      <c r="AE352" s="2290"/>
      <c r="AF352" s="2290"/>
      <c r="AG352" s="2290"/>
      <c r="AH352" s="2290"/>
      <c r="AI352" s="2290"/>
      <c r="AJ352" s="2290"/>
      <c r="AK352" s="2290"/>
      <c r="AL352" s="2290"/>
      <c r="AM352" s="2290"/>
      <c r="AN352" s="2290"/>
      <c r="AO352" s="2290"/>
      <c r="AP352" s="2290"/>
      <c r="AQ352" s="2290"/>
      <c r="AR352" s="2290"/>
      <c r="AS352" s="2290"/>
      <c r="AT352" s="2290"/>
      <c r="AU352" s="2290"/>
      <c r="AV352" s="2290"/>
      <c r="AW352" s="2290"/>
      <c r="AX352" s="2290"/>
      <c r="AY352" s="2290"/>
      <c r="AZ352" s="2290"/>
      <c r="BA352" s="2290"/>
      <c r="BB352" s="2290"/>
      <c r="BC352" s="2290"/>
      <c r="BD352" s="2290"/>
      <c r="BE352" s="2290"/>
      <c r="BF352" s="2290"/>
      <c r="BG352" s="2290"/>
      <c r="BH352" s="2290"/>
      <c r="BI352" s="2290"/>
      <c r="BJ352" s="2290"/>
      <c r="BK352" s="2290"/>
      <c r="BL352" s="2290"/>
      <c r="BM352" s="2290"/>
      <c r="BN352" s="2290"/>
      <c r="BO352" s="2290"/>
      <c r="BP352" s="2290"/>
      <c r="BQ352" s="2290"/>
      <c r="BR352" s="2290"/>
      <c r="BS352" s="2290"/>
      <c r="BT352" s="2290"/>
      <c r="BU352" s="2290"/>
      <c r="BV352" s="2290"/>
      <c r="BW352" s="2290"/>
      <c r="BX352" s="2290"/>
      <c r="BY352" s="2290"/>
      <c r="BZ352" s="2290"/>
      <c r="CA352" s="2290"/>
    </row>
    <row r="353" spans="1:79">
      <c r="A353" s="2290"/>
      <c r="B353" s="2290"/>
      <c r="C353" s="2290"/>
      <c r="D353" s="2290"/>
      <c r="E353" s="2290"/>
      <c r="F353" s="2290"/>
      <c r="G353" s="2290"/>
      <c r="H353" s="2290"/>
      <c r="I353" s="2290"/>
      <c r="J353" s="2290"/>
      <c r="K353" s="2290"/>
      <c r="L353" s="2290"/>
      <c r="M353" s="2290"/>
      <c r="N353" s="2290"/>
      <c r="O353" s="2290"/>
      <c r="P353" s="2290"/>
      <c r="Q353" s="2290"/>
      <c r="R353" s="2290"/>
      <c r="S353" s="2290"/>
      <c r="T353" s="2290"/>
      <c r="U353" s="2290"/>
      <c r="V353" s="2290"/>
      <c r="W353" s="2290"/>
      <c r="X353" s="2290"/>
      <c r="Y353" s="2290"/>
      <c r="Z353" s="2290"/>
      <c r="AA353" s="2290"/>
      <c r="AB353" s="2290"/>
      <c r="AC353" s="2290"/>
      <c r="AD353" s="2290"/>
      <c r="AE353" s="2290"/>
      <c r="AF353" s="2290"/>
      <c r="AG353" s="2290"/>
      <c r="AH353" s="2290"/>
      <c r="AI353" s="2290"/>
      <c r="AJ353" s="2290"/>
      <c r="AK353" s="2290"/>
      <c r="AL353" s="2290"/>
      <c r="AM353" s="2290"/>
      <c r="AN353" s="2290"/>
      <c r="AO353" s="2290"/>
      <c r="AP353" s="2290"/>
      <c r="AQ353" s="2290"/>
      <c r="AR353" s="2290"/>
      <c r="AS353" s="2290"/>
      <c r="AT353" s="2290"/>
      <c r="AU353" s="2290"/>
      <c r="AV353" s="2290"/>
      <c r="AW353" s="2290"/>
      <c r="AX353" s="2290"/>
      <c r="AY353" s="2290"/>
      <c r="AZ353" s="2290"/>
      <c r="BA353" s="2290"/>
      <c r="BB353" s="2290"/>
      <c r="BC353" s="2290"/>
      <c r="BD353" s="2290"/>
      <c r="BE353" s="2290"/>
      <c r="BF353" s="2290"/>
      <c r="BG353" s="2290"/>
      <c r="BH353" s="2290"/>
      <c r="BI353" s="2290"/>
      <c r="BJ353" s="2290"/>
      <c r="BK353" s="2290"/>
      <c r="BL353" s="2290"/>
      <c r="BM353" s="2290"/>
      <c r="BN353" s="2290"/>
      <c r="BO353" s="2290"/>
      <c r="BP353" s="2290"/>
      <c r="BQ353" s="2290"/>
      <c r="BR353" s="2290"/>
      <c r="BS353" s="2290"/>
      <c r="BT353" s="2290"/>
      <c r="BU353" s="2290"/>
      <c r="BV353" s="2290"/>
      <c r="BW353" s="2290"/>
      <c r="BX353" s="2290"/>
      <c r="BY353" s="2290"/>
      <c r="BZ353" s="2290"/>
      <c r="CA353" s="2290"/>
    </row>
    <row r="354" spans="1:79">
      <c r="A354" s="2290"/>
      <c r="B354" s="2290"/>
      <c r="C354" s="2290"/>
      <c r="D354" s="2290"/>
      <c r="E354" s="2290"/>
      <c r="F354" s="2290"/>
      <c r="G354" s="2290"/>
      <c r="H354" s="2290"/>
      <c r="I354" s="2290"/>
      <c r="J354" s="2290"/>
      <c r="K354" s="2290"/>
      <c r="L354" s="2290"/>
      <c r="M354" s="2290"/>
      <c r="N354" s="2290"/>
      <c r="O354" s="2290"/>
      <c r="P354" s="2290"/>
      <c r="Q354" s="2290"/>
      <c r="R354" s="2290"/>
      <c r="S354" s="2290"/>
      <c r="T354" s="2290"/>
      <c r="U354" s="2290"/>
      <c r="V354" s="2290"/>
      <c r="W354" s="2290"/>
      <c r="X354" s="2290"/>
      <c r="Y354" s="2290"/>
      <c r="Z354" s="2290"/>
      <c r="AA354" s="2290"/>
      <c r="AB354" s="2290"/>
      <c r="AC354" s="2290"/>
      <c r="AD354" s="2290"/>
      <c r="AE354" s="2290"/>
      <c r="AF354" s="2290"/>
      <c r="AG354" s="2290"/>
      <c r="AH354" s="2290"/>
      <c r="AI354" s="2290"/>
      <c r="AJ354" s="2290"/>
      <c r="AK354" s="2290"/>
      <c r="AL354" s="2290"/>
      <c r="AM354" s="2290"/>
      <c r="AN354" s="2290"/>
      <c r="AO354" s="2290"/>
      <c r="AP354" s="2290"/>
      <c r="AQ354" s="2290"/>
      <c r="AR354" s="2290"/>
      <c r="AS354" s="2290"/>
      <c r="AT354" s="2290"/>
      <c r="AU354" s="2290"/>
      <c r="AV354" s="2290"/>
      <c r="AW354" s="2290"/>
      <c r="AX354" s="2290"/>
      <c r="AY354" s="2290"/>
      <c r="AZ354" s="2290"/>
      <c r="BA354" s="2290"/>
      <c r="BB354" s="2290"/>
      <c r="BC354" s="2290"/>
      <c r="BD354" s="2290"/>
      <c r="BE354" s="2290"/>
      <c r="BF354" s="2290"/>
      <c r="BG354" s="2290"/>
      <c r="BH354" s="2290"/>
      <c r="BI354" s="2290"/>
      <c r="BJ354" s="2290"/>
      <c r="BK354" s="2290"/>
      <c r="BL354" s="2290"/>
      <c r="BM354" s="2290"/>
      <c r="BN354" s="2290"/>
      <c r="BO354" s="2290"/>
      <c r="BP354" s="2290"/>
      <c r="BQ354" s="2290"/>
      <c r="BR354" s="2290"/>
      <c r="BS354" s="2290"/>
      <c r="BT354" s="2290"/>
      <c r="BU354" s="2290"/>
      <c r="BV354" s="2290"/>
      <c r="BW354" s="2290"/>
      <c r="BX354" s="2290"/>
      <c r="BY354" s="2290"/>
      <c r="BZ354" s="2290"/>
      <c r="CA354" s="2290"/>
    </row>
    <row r="355" spans="1:79">
      <c r="A355" s="2290"/>
      <c r="B355" s="2290"/>
      <c r="C355" s="2290"/>
      <c r="D355" s="2290"/>
      <c r="E355" s="2290"/>
      <c r="F355" s="2290"/>
      <c r="G355" s="2290"/>
      <c r="H355" s="2290"/>
      <c r="I355" s="2290"/>
      <c r="J355" s="2290"/>
      <c r="K355" s="2290"/>
      <c r="L355" s="2290"/>
      <c r="M355" s="2290"/>
      <c r="N355" s="2290"/>
      <c r="O355" s="2290"/>
      <c r="P355" s="2290"/>
      <c r="Q355" s="2290"/>
      <c r="R355" s="2290"/>
      <c r="S355" s="2290"/>
      <c r="T355" s="2290"/>
      <c r="U355" s="2290"/>
      <c r="V355" s="2290"/>
      <c r="W355" s="2290"/>
      <c r="X355" s="2290"/>
      <c r="Y355" s="2290"/>
      <c r="Z355" s="2290"/>
      <c r="AA355" s="2290"/>
      <c r="AB355" s="2290"/>
      <c r="AC355" s="2290"/>
      <c r="AD355" s="2290"/>
      <c r="AE355" s="2290"/>
      <c r="AF355" s="2290"/>
      <c r="AG355" s="2290"/>
      <c r="AH355" s="2290"/>
      <c r="AI355" s="2290"/>
      <c r="AJ355" s="2290"/>
      <c r="AK355" s="2290"/>
      <c r="AL355" s="2290"/>
      <c r="AM355" s="2290"/>
      <c r="AN355" s="2290"/>
      <c r="AO355" s="2290"/>
      <c r="AP355" s="2290"/>
      <c r="AQ355" s="2290"/>
      <c r="AR355" s="2290"/>
      <c r="AS355" s="2290"/>
      <c r="AT355" s="2290"/>
      <c r="AU355" s="2290"/>
      <c r="AV355" s="2290"/>
      <c r="AW355" s="2290"/>
      <c r="AX355" s="2290"/>
      <c r="AY355" s="2290"/>
      <c r="AZ355" s="2290"/>
      <c r="BA355" s="2290"/>
      <c r="BB355" s="2290"/>
      <c r="BC355" s="2290"/>
      <c r="BD355" s="2290"/>
      <c r="BE355" s="2290"/>
      <c r="BF355" s="2290"/>
      <c r="BG355" s="2290"/>
      <c r="BH355" s="2290"/>
      <c r="BI355" s="2290"/>
      <c r="BJ355" s="2290"/>
      <c r="BK355" s="2290"/>
      <c r="BL355" s="2290"/>
      <c r="BM355" s="2290"/>
      <c r="BN355" s="2290"/>
      <c r="BO355" s="2290"/>
      <c r="BP355" s="2290"/>
      <c r="BQ355" s="2290"/>
      <c r="BR355" s="2290"/>
      <c r="BS355" s="2290"/>
      <c r="BT355" s="2290"/>
      <c r="BU355" s="2290"/>
      <c r="BV355" s="2290"/>
      <c r="BW355" s="2290"/>
      <c r="BX355" s="2290"/>
      <c r="BY355" s="2290"/>
      <c r="BZ355" s="2290"/>
      <c r="CA355" s="2290"/>
    </row>
    <row r="356" spans="1:79">
      <c r="A356" s="2290"/>
      <c r="B356" s="2290"/>
      <c r="C356" s="2290"/>
      <c r="D356" s="2290"/>
      <c r="E356" s="2290"/>
      <c r="F356" s="2290"/>
      <c r="G356" s="2290"/>
      <c r="H356" s="2290"/>
      <c r="I356" s="2290"/>
      <c r="J356" s="2290"/>
      <c r="K356" s="2290"/>
      <c r="L356" s="2290"/>
      <c r="M356" s="2290"/>
      <c r="N356" s="2290"/>
      <c r="O356" s="2290"/>
      <c r="P356" s="2290"/>
      <c r="Q356" s="2290"/>
      <c r="R356" s="2290"/>
      <c r="S356" s="2290"/>
      <c r="T356" s="2290"/>
      <c r="U356" s="2290"/>
      <c r="V356" s="2290"/>
      <c r="W356" s="2290"/>
      <c r="X356" s="2290"/>
      <c r="Y356" s="2290"/>
      <c r="Z356" s="2290"/>
      <c r="AA356" s="2290"/>
      <c r="AB356" s="2290"/>
      <c r="AC356" s="2290"/>
      <c r="AD356" s="2290"/>
      <c r="AE356" s="2290"/>
      <c r="AF356" s="2290"/>
      <c r="AG356" s="2290"/>
      <c r="AH356" s="2290"/>
      <c r="AI356" s="2290"/>
      <c r="AJ356" s="2290"/>
      <c r="AK356" s="2290"/>
      <c r="AL356" s="2290"/>
      <c r="AM356" s="2290"/>
      <c r="AN356" s="2290"/>
      <c r="AO356" s="2290"/>
      <c r="AP356" s="2290"/>
      <c r="AQ356" s="2290"/>
      <c r="AR356" s="2290"/>
      <c r="AS356" s="2290"/>
      <c r="AT356" s="2290"/>
      <c r="AU356" s="2290"/>
      <c r="AV356" s="2290"/>
      <c r="AW356" s="2290"/>
      <c r="AX356" s="2290"/>
      <c r="AY356" s="2290"/>
      <c r="AZ356" s="2290"/>
      <c r="BA356" s="2290"/>
      <c r="BB356" s="2290"/>
      <c r="BC356" s="2290"/>
      <c r="BD356" s="2290"/>
      <c r="BE356" s="2290"/>
      <c r="BF356" s="2290"/>
      <c r="BG356" s="2290"/>
      <c r="BH356" s="2290"/>
      <c r="BI356" s="2290"/>
      <c r="BJ356" s="2290"/>
      <c r="BK356" s="2290"/>
      <c r="BL356" s="2290"/>
      <c r="BM356" s="2290"/>
      <c r="BN356" s="2290"/>
      <c r="BO356" s="2290"/>
      <c r="BP356" s="2290"/>
      <c r="BQ356" s="2290"/>
      <c r="BR356" s="2290"/>
      <c r="BS356" s="2290"/>
      <c r="BT356" s="2290"/>
      <c r="BU356" s="2290"/>
      <c r="BV356" s="2290"/>
      <c r="BW356" s="2290"/>
      <c r="BX356" s="2290"/>
      <c r="BY356" s="2290"/>
      <c r="BZ356" s="2290"/>
      <c r="CA356" s="2290"/>
    </row>
    <row r="357" spans="1:79">
      <c r="A357" s="2290"/>
      <c r="B357" s="2290"/>
      <c r="C357" s="2290"/>
      <c r="D357" s="2290"/>
      <c r="E357" s="2290"/>
      <c r="F357" s="2290"/>
      <c r="G357" s="2290"/>
      <c r="H357" s="2290"/>
      <c r="I357" s="2290"/>
      <c r="J357" s="2290"/>
      <c r="K357" s="2290"/>
      <c r="L357" s="2290"/>
      <c r="M357" s="2290"/>
      <c r="N357" s="2290"/>
      <c r="O357" s="2290"/>
      <c r="P357" s="2290"/>
      <c r="Q357" s="2290"/>
      <c r="R357" s="2290"/>
      <c r="S357" s="2290"/>
      <c r="T357" s="2290"/>
      <c r="U357" s="2290"/>
      <c r="V357" s="2290"/>
      <c r="W357" s="2290"/>
      <c r="X357" s="2290"/>
      <c r="Y357" s="2290"/>
      <c r="Z357" s="2290"/>
      <c r="AA357" s="2290"/>
      <c r="AB357" s="2290"/>
      <c r="AC357" s="2290"/>
      <c r="AD357" s="2290"/>
      <c r="AE357" s="2290"/>
      <c r="AF357" s="2290"/>
      <c r="AG357" s="2290"/>
      <c r="AH357" s="2290"/>
      <c r="AI357" s="2290"/>
      <c r="AJ357" s="2290"/>
      <c r="AK357" s="2290"/>
      <c r="AL357" s="2290"/>
      <c r="AM357" s="2290"/>
      <c r="AN357" s="2290"/>
      <c r="AO357" s="2290"/>
      <c r="AP357" s="2290"/>
      <c r="AQ357" s="2290"/>
      <c r="AR357" s="2290"/>
      <c r="AS357" s="2290"/>
      <c r="AT357" s="2290"/>
      <c r="AU357" s="2290"/>
      <c r="AV357" s="2290"/>
      <c r="AW357" s="2290"/>
      <c r="AX357" s="2290"/>
      <c r="AY357" s="2290"/>
      <c r="AZ357" s="2290"/>
      <c r="BA357" s="2290"/>
      <c r="BB357" s="2290"/>
      <c r="BC357" s="2290"/>
      <c r="BD357" s="2290"/>
      <c r="BE357" s="2290"/>
      <c r="BF357" s="2290"/>
      <c r="BG357" s="2290"/>
      <c r="BH357" s="2290"/>
      <c r="BI357" s="2290"/>
      <c r="BJ357" s="2290"/>
      <c r="BK357" s="2290"/>
      <c r="BL357" s="2290"/>
      <c r="BM357" s="2290"/>
      <c r="BN357" s="2290"/>
      <c r="BO357" s="2290"/>
      <c r="BP357" s="2290"/>
      <c r="BQ357" s="2290"/>
      <c r="BR357" s="2290"/>
      <c r="BS357" s="2290"/>
      <c r="BT357" s="2290"/>
      <c r="BU357" s="2290"/>
      <c r="BV357" s="2290"/>
      <c r="BW357" s="2290"/>
      <c r="BX357" s="2290"/>
      <c r="BY357" s="2290"/>
      <c r="BZ357" s="2290"/>
      <c r="CA357" s="2290"/>
    </row>
    <row r="358" spans="1:79">
      <c r="A358" s="2290"/>
      <c r="B358" s="2290"/>
      <c r="C358" s="2290"/>
      <c r="D358" s="2290"/>
      <c r="E358" s="2290"/>
      <c r="F358" s="2290"/>
      <c r="G358" s="2290"/>
      <c r="H358" s="2290"/>
      <c r="I358" s="2290"/>
      <c r="J358" s="2290"/>
      <c r="K358" s="2290"/>
      <c r="L358" s="2290"/>
      <c r="M358" s="2290"/>
      <c r="N358" s="2290"/>
      <c r="O358" s="2290"/>
      <c r="P358" s="2290"/>
      <c r="Q358" s="2290"/>
      <c r="R358" s="2290"/>
      <c r="S358" s="2290"/>
      <c r="T358" s="2290"/>
      <c r="U358" s="2290"/>
      <c r="V358" s="2290"/>
      <c r="W358" s="2290"/>
      <c r="X358" s="2290"/>
      <c r="Y358" s="2290"/>
      <c r="Z358" s="2290"/>
      <c r="AA358" s="2290"/>
      <c r="AB358" s="2290"/>
      <c r="AC358" s="2290"/>
      <c r="AD358" s="2290"/>
      <c r="AE358" s="2290"/>
      <c r="AF358" s="2290"/>
      <c r="AG358" s="2290"/>
      <c r="AH358" s="2290"/>
      <c r="AI358" s="2290"/>
      <c r="AJ358" s="2290"/>
      <c r="AK358" s="2290"/>
      <c r="AL358" s="2290"/>
      <c r="AM358" s="2290"/>
      <c r="AN358" s="2290"/>
      <c r="AO358" s="2290"/>
      <c r="AP358" s="2290"/>
      <c r="AQ358" s="2290"/>
      <c r="AR358" s="2290"/>
      <c r="AS358" s="2290"/>
      <c r="AT358" s="2290"/>
      <c r="AU358" s="2290"/>
      <c r="AV358" s="2290"/>
      <c r="AW358" s="2290"/>
      <c r="AX358" s="2290"/>
      <c r="AY358" s="2290"/>
      <c r="AZ358" s="2290"/>
      <c r="BA358" s="2290"/>
      <c r="BB358" s="2290"/>
      <c r="BC358" s="2290"/>
      <c r="BD358" s="2290"/>
      <c r="BE358" s="2290"/>
      <c r="BF358" s="2290"/>
      <c r="BG358" s="2290"/>
      <c r="BH358" s="2290"/>
      <c r="BI358" s="2290"/>
      <c r="BJ358" s="2290"/>
      <c r="BK358" s="2290"/>
      <c r="BL358" s="2290"/>
      <c r="BM358" s="2290"/>
      <c r="BN358" s="2290"/>
      <c r="BO358" s="2290"/>
      <c r="BP358" s="2290"/>
      <c r="BQ358" s="2290"/>
      <c r="BR358" s="2290"/>
      <c r="BS358" s="2290"/>
      <c r="BT358" s="2290"/>
      <c r="BU358" s="2290"/>
      <c r="BV358" s="2290"/>
      <c r="BW358" s="2290"/>
      <c r="BX358" s="2290"/>
      <c r="BY358" s="2290"/>
      <c r="BZ358" s="2290"/>
      <c r="CA358" s="2290"/>
    </row>
    <row r="359" spans="1:79">
      <c r="A359" s="2290"/>
      <c r="B359" s="2290"/>
      <c r="C359" s="2290"/>
      <c r="D359" s="2290"/>
      <c r="E359" s="2290"/>
      <c r="F359" s="2290"/>
      <c r="G359" s="2290"/>
      <c r="H359" s="2290"/>
      <c r="I359" s="2290"/>
      <c r="J359" s="2290"/>
      <c r="K359" s="2290"/>
      <c r="L359" s="2290"/>
      <c r="M359" s="2290"/>
      <c r="N359" s="2290"/>
      <c r="O359" s="2290"/>
      <c r="P359" s="2290"/>
      <c r="Q359" s="2290"/>
      <c r="R359" s="2290"/>
      <c r="S359" s="2290"/>
      <c r="T359" s="2290"/>
      <c r="U359" s="2290"/>
      <c r="V359" s="2290"/>
      <c r="W359" s="2290"/>
      <c r="X359" s="2290"/>
      <c r="Y359" s="2290"/>
      <c r="Z359" s="2290"/>
      <c r="AA359" s="2290"/>
      <c r="AB359" s="2290"/>
      <c r="AC359" s="2290"/>
      <c r="AD359" s="2290"/>
      <c r="AE359" s="2290"/>
      <c r="AF359" s="2290"/>
      <c r="AG359" s="2290"/>
      <c r="AH359" s="2290"/>
      <c r="AI359" s="2290"/>
      <c r="AJ359" s="2290"/>
      <c r="AK359" s="2290"/>
      <c r="AL359" s="2290"/>
      <c r="AM359" s="2290"/>
      <c r="AN359" s="2290"/>
      <c r="AO359" s="2290"/>
      <c r="AP359" s="2290"/>
      <c r="AQ359" s="2290"/>
      <c r="AR359" s="2290"/>
      <c r="AS359" s="2290"/>
      <c r="AT359" s="2290"/>
      <c r="AU359" s="2290"/>
      <c r="AV359" s="2290"/>
      <c r="AW359" s="2290"/>
      <c r="AX359" s="2290"/>
      <c r="AY359" s="2290"/>
      <c r="AZ359" s="2290"/>
      <c r="BA359" s="2290"/>
      <c r="BB359" s="2290"/>
      <c r="BC359" s="2290"/>
      <c r="BD359" s="2290"/>
      <c r="BE359" s="2290"/>
      <c r="BF359" s="2290"/>
      <c r="BG359" s="2290"/>
      <c r="BH359" s="2290"/>
      <c r="BI359" s="2290"/>
      <c r="BJ359" s="2290"/>
      <c r="BK359" s="2290"/>
      <c r="BL359" s="2290"/>
      <c r="BM359" s="2290"/>
      <c r="BN359" s="2290"/>
      <c r="BO359" s="2290"/>
      <c r="BP359" s="2290"/>
      <c r="BQ359" s="2290"/>
      <c r="BR359" s="2290"/>
      <c r="BS359" s="2290"/>
      <c r="BT359" s="2290"/>
      <c r="BU359" s="2290"/>
      <c r="BV359" s="2290"/>
      <c r="BW359" s="2290"/>
      <c r="BX359" s="2290"/>
      <c r="BY359" s="2290"/>
      <c r="BZ359" s="2290"/>
      <c r="CA359" s="2290"/>
    </row>
    <row r="360" spans="1:79">
      <c r="A360" s="2290"/>
      <c r="B360" s="2290"/>
      <c r="C360" s="2290"/>
      <c r="D360" s="2290"/>
      <c r="E360" s="2290"/>
      <c r="F360" s="2290"/>
      <c r="G360" s="2290"/>
      <c r="H360" s="2290"/>
      <c r="I360" s="2290"/>
      <c r="J360" s="2290"/>
      <c r="K360" s="2290"/>
      <c r="L360" s="2290"/>
      <c r="M360" s="2290"/>
      <c r="N360" s="2290"/>
      <c r="O360" s="2290"/>
      <c r="P360" s="2290"/>
      <c r="Q360" s="2290"/>
      <c r="R360" s="2290"/>
      <c r="S360" s="2290"/>
      <c r="T360" s="2290"/>
      <c r="U360" s="2290"/>
      <c r="V360" s="2290"/>
      <c r="W360" s="2290"/>
      <c r="X360" s="2290"/>
      <c r="Y360" s="2290"/>
      <c r="Z360" s="2290"/>
      <c r="AA360" s="2290"/>
      <c r="AB360" s="2290"/>
      <c r="AC360" s="2290"/>
      <c r="AD360" s="2290"/>
      <c r="AE360" s="2290"/>
      <c r="AF360" s="2290"/>
      <c r="AG360" s="2290"/>
      <c r="AH360" s="2290"/>
      <c r="AI360" s="2290"/>
      <c r="AJ360" s="2290"/>
      <c r="AK360" s="2290"/>
      <c r="AL360" s="2290"/>
      <c r="AM360" s="2290"/>
      <c r="AN360" s="2290"/>
      <c r="AO360" s="2290"/>
      <c r="AP360" s="2290"/>
      <c r="AQ360" s="2290"/>
      <c r="AR360" s="2290"/>
      <c r="AS360" s="2290"/>
      <c r="AT360" s="2290"/>
      <c r="AU360" s="2290"/>
      <c r="AV360" s="2290"/>
      <c r="AW360" s="2290"/>
      <c r="AX360" s="2290"/>
      <c r="AY360" s="2290"/>
      <c r="AZ360" s="2290"/>
      <c r="BA360" s="2290"/>
      <c r="BB360" s="2290"/>
      <c r="BC360" s="2290"/>
      <c r="BD360" s="2290"/>
      <c r="BE360" s="2290"/>
      <c r="BF360" s="2290"/>
      <c r="BG360" s="2290"/>
      <c r="BH360" s="2290"/>
      <c r="BI360" s="2290"/>
      <c r="BJ360" s="2290"/>
      <c r="BK360" s="2290"/>
      <c r="BL360" s="2290"/>
      <c r="BM360" s="2290"/>
      <c r="BN360" s="2290"/>
      <c r="BO360" s="2290"/>
      <c r="BP360" s="2290"/>
      <c r="BQ360" s="2290"/>
      <c r="BR360" s="2290"/>
      <c r="BS360" s="2290"/>
      <c r="BT360" s="2290"/>
      <c r="BU360" s="2290"/>
      <c r="BV360" s="2290"/>
      <c r="BW360" s="2290"/>
      <c r="BX360" s="2290"/>
      <c r="BY360" s="2290"/>
      <c r="BZ360" s="2290"/>
      <c r="CA360" s="2290"/>
    </row>
    <row r="361" spans="1:79">
      <c r="A361" s="2290"/>
      <c r="B361" s="2290"/>
      <c r="C361" s="2290"/>
      <c r="D361" s="2290"/>
      <c r="E361" s="2290"/>
      <c r="F361" s="2290"/>
      <c r="G361" s="2290"/>
      <c r="H361" s="2290"/>
      <c r="I361" s="2290"/>
      <c r="J361" s="2290"/>
      <c r="K361" s="2290"/>
      <c r="L361" s="2290"/>
      <c r="M361" s="2290"/>
      <c r="N361" s="2290"/>
      <c r="O361" s="2290"/>
      <c r="P361" s="2290"/>
      <c r="Q361" s="2290"/>
      <c r="R361" s="2290"/>
      <c r="S361" s="2290"/>
      <c r="T361" s="2290"/>
      <c r="U361" s="2290"/>
      <c r="V361" s="2290"/>
      <c r="W361" s="2290"/>
      <c r="X361" s="2290"/>
      <c r="Y361" s="2290"/>
      <c r="Z361" s="2290"/>
      <c r="AA361" s="2290"/>
      <c r="AB361" s="2290"/>
      <c r="AC361" s="2290"/>
      <c r="AD361" s="2290"/>
      <c r="AE361" s="2290"/>
      <c r="AF361" s="2290"/>
      <c r="AG361" s="2290"/>
      <c r="AH361" s="2290"/>
      <c r="AI361" s="2290"/>
      <c r="AJ361" s="2290"/>
      <c r="AK361" s="2290"/>
      <c r="AL361" s="2290"/>
      <c r="AM361" s="2290"/>
      <c r="AN361" s="2290"/>
      <c r="AO361" s="2290"/>
      <c r="AP361" s="2290"/>
      <c r="AQ361" s="2290"/>
      <c r="AR361" s="2290"/>
      <c r="AS361" s="2290"/>
      <c r="AT361" s="2290"/>
      <c r="AU361" s="2290"/>
      <c r="AV361" s="2290"/>
      <c r="AW361" s="2290"/>
      <c r="AX361" s="2290"/>
      <c r="AY361" s="2290"/>
      <c r="AZ361" s="2290"/>
      <c r="BA361" s="2290"/>
      <c r="BB361" s="2290"/>
      <c r="BC361" s="2290"/>
      <c r="BD361" s="2290"/>
      <c r="BE361" s="2290"/>
      <c r="BF361" s="2290"/>
      <c r="BG361" s="2290"/>
      <c r="BH361" s="2290"/>
      <c r="BI361" s="2290"/>
      <c r="BJ361" s="2290"/>
      <c r="BK361" s="2290"/>
      <c r="BL361" s="2290"/>
      <c r="BM361" s="2290"/>
      <c r="BN361" s="2290"/>
      <c r="BO361" s="2290"/>
      <c r="BP361" s="2290"/>
      <c r="BQ361" s="2290"/>
      <c r="BR361" s="2290"/>
      <c r="BS361" s="2290"/>
      <c r="BT361" s="2290"/>
      <c r="BU361" s="2290"/>
      <c r="BV361" s="2290"/>
      <c r="BW361" s="2290"/>
      <c r="BX361" s="2290"/>
      <c r="BY361" s="2290"/>
      <c r="BZ361" s="2290"/>
      <c r="CA361" s="2290"/>
    </row>
    <row r="362" spans="1:79">
      <c r="A362" s="2290"/>
      <c r="B362" s="2290"/>
      <c r="C362" s="2290"/>
      <c r="D362" s="2290"/>
      <c r="E362" s="2290"/>
      <c r="F362" s="2290"/>
      <c r="G362" s="2290"/>
      <c r="H362" s="2290"/>
      <c r="I362" s="2290"/>
      <c r="J362" s="2290"/>
      <c r="K362" s="2290"/>
      <c r="L362" s="2290"/>
      <c r="M362" s="2290"/>
      <c r="N362" s="2290"/>
      <c r="O362" s="2290"/>
      <c r="P362" s="2290"/>
      <c r="Q362" s="2290"/>
      <c r="R362" s="2290"/>
      <c r="S362" s="2290"/>
      <c r="T362" s="2290"/>
      <c r="U362" s="2290"/>
      <c r="V362" s="2290"/>
      <c r="W362" s="2290"/>
      <c r="X362" s="2290"/>
      <c r="Y362" s="2290"/>
      <c r="Z362" s="2290"/>
      <c r="AA362" s="2290"/>
      <c r="AB362" s="2290"/>
      <c r="AC362" s="2290"/>
      <c r="AD362" s="2290"/>
      <c r="AE362" s="2290"/>
      <c r="AF362" s="2290"/>
      <c r="AG362" s="2290"/>
      <c r="AH362" s="2290"/>
      <c r="AI362" s="2290"/>
      <c r="AJ362" s="2290"/>
      <c r="AK362" s="2290"/>
      <c r="AL362" s="2290"/>
      <c r="AM362" s="2290"/>
      <c r="AN362" s="2290"/>
      <c r="AO362" s="2290"/>
      <c r="AP362" s="2290"/>
      <c r="AQ362" s="2290"/>
      <c r="AR362" s="2290"/>
      <c r="AS362" s="2290"/>
      <c r="AT362" s="2290"/>
      <c r="AU362" s="2290"/>
      <c r="AV362" s="2290"/>
      <c r="AW362" s="2290"/>
      <c r="AX362" s="2290"/>
      <c r="AY362" s="2290"/>
      <c r="AZ362" s="2290"/>
      <c r="BA362" s="2290"/>
      <c r="BB362" s="2290"/>
      <c r="BC362" s="2290"/>
      <c r="BD362" s="2290"/>
      <c r="BE362" s="2290"/>
      <c r="BF362" s="2290"/>
      <c r="BG362" s="2290"/>
      <c r="BH362" s="2290"/>
      <c r="BI362" s="2290"/>
      <c r="BJ362" s="2290"/>
      <c r="BK362" s="2290"/>
      <c r="BL362" s="2290"/>
      <c r="BM362" s="2290"/>
      <c r="BN362" s="2290"/>
      <c r="BO362" s="2290"/>
      <c r="BP362" s="2290"/>
      <c r="BQ362" s="2290"/>
      <c r="BR362" s="2290"/>
      <c r="BS362" s="2290"/>
      <c r="BT362" s="2290"/>
      <c r="BU362" s="2290"/>
      <c r="BV362" s="2290"/>
      <c r="BW362" s="2290"/>
      <c r="BX362" s="2290"/>
      <c r="BY362" s="2290"/>
      <c r="BZ362" s="2290"/>
      <c r="CA362" s="2290"/>
    </row>
    <row r="363" spans="1:79">
      <c r="A363" s="2290"/>
      <c r="B363" s="2290"/>
      <c r="C363" s="2290"/>
      <c r="D363" s="2290"/>
      <c r="E363" s="2290"/>
      <c r="F363" s="2290"/>
      <c r="G363" s="2290"/>
      <c r="H363" s="2290"/>
      <c r="I363" s="2290"/>
      <c r="J363" s="2290"/>
      <c r="K363" s="2290"/>
      <c r="L363" s="2290"/>
      <c r="M363" s="2290"/>
      <c r="N363" s="2290"/>
      <c r="O363" s="2290"/>
      <c r="P363" s="2290"/>
      <c r="Q363" s="2290"/>
      <c r="R363" s="2290"/>
      <c r="S363" s="2290"/>
      <c r="T363" s="2290"/>
      <c r="U363" s="2290"/>
      <c r="V363" s="2290"/>
      <c r="W363" s="2290"/>
      <c r="X363" s="2290"/>
      <c r="Y363" s="2290"/>
      <c r="Z363" s="2290"/>
      <c r="AA363" s="2290"/>
      <c r="AB363" s="2290"/>
      <c r="AC363" s="2290"/>
      <c r="AD363" s="2290"/>
      <c r="AE363" s="2290"/>
      <c r="AF363" s="2290"/>
      <c r="AG363" s="2290"/>
      <c r="AH363" s="2290"/>
      <c r="AI363" s="2290"/>
      <c r="AJ363" s="2290"/>
      <c r="AK363" s="2290"/>
      <c r="AL363" s="2290"/>
      <c r="AM363" s="2290"/>
      <c r="AN363" s="2290"/>
      <c r="AO363" s="2290"/>
      <c r="AP363" s="2290"/>
      <c r="AQ363" s="2290"/>
      <c r="AR363" s="2290"/>
      <c r="AS363" s="2290"/>
      <c r="AT363" s="2290"/>
      <c r="AU363" s="2290"/>
      <c r="AV363" s="2290"/>
      <c r="AW363" s="2290"/>
      <c r="AX363" s="2290"/>
      <c r="AY363" s="2290"/>
      <c r="AZ363" s="2290"/>
      <c r="BA363" s="2290"/>
      <c r="BB363" s="2290"/>
      <c r="BC363" s="2290"/>
      <c r="BD363" s="2290"/>
      <c r="BE363" s="2290"/>
      <c r="BF363" s="2290"/>
      <c r="BG363" s="2290"/>
      <c r="BH363" s="2290"/>
      <c r="BI363" s="2290"/>
      <c r="BJ363" s="2290"/>
      <c r="BK363" s="2290"/>
      <c r="BL363" s="2290"/>
      <c r="BM363" s="2290"/>
      <c r="BN363" s="2290"/>
      <c r="BO363" s="2290"/>
      <c r="BP363" s="2290"/>
      <c r="BQ363" s="2290"/>
      <c r="BR363" s="2290"/>
      <c r="BS363" s="2290"/>
      <c r="BT363" s="2290"/>
      <c r="BU363" s="2290"/>
      <c r="BV363" s="2290"/>
      <c r="BW363" s="2290"/>
      <c r="BX363" s="2290"/>
      <c r="BY363" s="2290"/>
      <c r="BZ363" s="2290"/>
      <c r="CA363" s="2290"/>
    </row>
    <row r="364" spans="1:79">
      <c r="A364" s="2290"/>
      <c r="B364" s="2290"/>
      <c r="C364" s="2290"/>
      <c r="D364" s="2290"/>
      <c r="E364" s="2290"/>
      <c r="F364" s="2290"/>
      <c r="G364" s="2290"/>
      <c r="H364" s="2290"/>
      <c r="I364" s="2290"/>
      <c r="J364" s="2290"/>
      <c r="K364" s="2290"/>
      <c r="L364" s="2290"/>
      <c r="M364" s="2290"/>
      <c r="N364" s="2290"/>
      <c r="O364" s="2290"/>
      <c r="P364" s="2290"/>
      <c r="Q364" s="2290"/>
      <c r="R364" s="2290"/>
      <c r="S364" s="2290"/>
      <c r="T364" s="2290"/>
      <c r="U364" s="2290"/>
      <c r="V364" s="2290"/>
      <c r="W364" s="2290"/>
      <c r="X364" s="2290"/>
      <c r="Y364" s="2290"/>
      <c r="Z364" s="2290"/>
      <c r="AA364" s="2290"/>
      <c r="AB364" s="2290"/>
      <c r="AC364" s="2290"/>
      <c r="AD364" s="2290"/>
      <c r="AE364" s="2290"/>
      <c r="AF364" s="2290"/>
      <c r="AG364" s="2290"/>
      <c r="AH364" s="2290"/>
      <c r="AI364" s="2290"/>
      <c r="AJ364" s="2290"/>
      <c r="AK364" s="2290"/>
      <c r="AL364" s="2290"/>
      <c r="AM364" s="2290"/>
      <c r="AN364" s="2290"/>
      <c r="AO364" s="2290"/>
      <c r="AP364" s="2290"/>
      <c r="AQ364" s="2290"/>
      <c r="AR364" s="2290"/>
      <c r="AS364" s="2290"/>
      <c r="AT364" s="2290"/>
      <c r="AU364" s="2290"/>
      <c r="AV364" s="2290"/>
      <c r="AW364" s="2290"/>
      <c r="AX364" s="2290"/>
      <c r="AY364" s="2290"/>
      <c r="AZ364" s="2290"/>
      <c r="BA364" s="2290"/>
      <c r="BB364" s="2290"/>
      <c r="BC364" s="2290"/>
      <c r="BD364" s="2290"/>
      <c r="BE364" s="2290"/>
      <c r="BF364" s="2290"/>
      <c r="BG364" s="2290"/>
      <c r="BH364" s="2290"/>
      <c r="BI364" s="2290"/>
      <c r="BJ364" s="2290"/>
      <c r="BK364" s="2290"/>
      <c r="BL364" s="2290"/>
      <c r="BM364" s="2290"/>
      <c r="BN364" s="2290"/>
      <c r="BO364" s="2290"/>
      <c r="BP364" s="2290"/>
      <c r="BQ364" s="2290"/>
      <c r="BR364" s="2290"/>
      <c r="BS364" s="2290"/>
      <c r="BT364" s="2290"/>
      <c r="BU364" s="2290"/>
      <c r="BV364" s="2290"/>
      <c r="BW364" s="2290"/>
      <c r="BX364" s="2290"/>
      <c r="BY364" s="2290"/>
      <c r="BZ364" s="2290"/>
      <c r="CA364" s="2290"/>
    </row>
    <row r="365" spans="1:79">
      <c r="A365" s="2290"/>
      <c r="B365" s="2290"/>
      <c r="C365" s="2290"/>
      <c r="D365" s="2290"/>
      <c r="E365" s="2290"/>
      <c r="F365" s="2290"/>
      <c r="G365" s="2290"/>
      <c r="H365" s="2290"/>
      <c r="I365" s="2290"/>
      <c r="J365" s="2290"/>
      <c r="K365" s="2290"/>
      <c r="L365" s="2290"/>
      <c r="M365" s="2290"/>
      <c r="N365" s="2290"/>
      <c r="O365" s="2290"/>
      <c r="P365" s="2290"/>
      <c r="Q365" s="2290"/>
      <c r="R365" s="2290"/>
      <c r="S365" s="2290"/>
      <c r="T365" s="2290"/>
      <c r="U365" s="2290"/>
      <c r="V365" s="2290"/>
      <c r="W365" s="2290"/>
      <c r="X365" s="2290"/>
      <c r="Y365" s="2290"/>
      <c r="Z365" s="2290"/>
      <c r="AA365" s="2290"/>
      <c r="AB365" s="2290"/>
      <c r="AC365" s="2290"/>
      <c r="AD365" s="2290"/>
      <c r="AE365" s="2290"/>
      <c r="AF365" s="2290"/>
      <c r="AG365" s="2290"/>
      <c r="AH365" s="2290"/>
      <c r="AI365" s="2290"/>
      <c r="AJ365" s="2290"/>
      <c r="AK365" s="2290"/>
      <c r="AL365" s="2290"/>
      <c r="AM365" s="2290"/>
      <c r="AN365" s="2290"/>
      <c r="AO365" s="2290"/>
      <c r="AP365" s="2290"/>
      <c r="AQ365" s="2290"/>
      <c r="AR365" s="2290"/>
      <c r="AS365" s="2290"/>
      <c r="AT365" s="2290"/>
      <c r="AU365" s="2290"/>
      <c r="AV365" s="2290"/>
      <c r="AW365" s="2290"/>
      <c r="AX365" s="2290"/>
      <c r="AY365" s="2290"/>
      <c r="AZ365" s="2290"/>
      <c r="BA365" s="2290"/>
      <c r="BB365" s="2290"/>
      <c r="BC365" s="2290"/>
      <c r="BD365" s="2290"/>
      <c r="BE365" s="2290"/>
      <c r="BF365" s="2290"/>
      <c r="BG365" s="2290"/>
      <c r="BH365" s="2290"/>
      <c r="BI365" s="2290"/>
      <c r="BJ365" s="2290"/>
      <c r="BK365" s="2290"/>
      <c r="BL365" s="2290"/>
      <c r="BM365" s="2290"/>
      <c r="BN365" s="2290"/>
      <c r="BO365" s="2290"/>
      <c r="BP365" s="2290"/>
      <c r="BQ365" s="2290"/>
      <c r="BR365" s="2290"/>
      <c r="BS365" s="2290"/>
      <c r="BT365" s="2290"/>
      <c r="BU365" s="2290"/>
      <c r="BV365" s="2290"/>
      <c r="BW365" s="2290"/>
      <c r="BX365" s="2290"/>
      <c r="BY365" s="2290"/>
      <c r="BZ365" s="2290"/>
      <c r="CA365" s="2290"/>
    </row>
    <row r="366" spans="1:79">
      <c r="A366" s="2290"/>
      <c r="B366" s="2290"/>
      <c r="C366" s="2290"/>
      <c r="D366" s="2290"/>
      <c r="E366" s="2290"/>
      <c r="F366" s="2290"/>
      <c r="G366" s="2290"/>
      <c r="H366" s="2290"/>
      <c r="I366" s="2290"/>
      <c r="J366" s="2290"/>
      <c r="K366" s="2290"/>
      <c r="L366" s="2290"/>
      <c r="M366" s="2290"/>
      <c r="N366" s="2290"/>
      <c r="O366" s="2290"/>
      <c r="P366" s="2290"/>
      <c r="Q366" s="2290"/>
      <c r="R366" s="2290"/>
      <c r="S366" s="2290"/>
      <c r="T366" s="2290"/>
      <c r="U366" s="2290"/>
      <c r="V366" s="2290"/>
      <c r="W366" s="2290"/>
      <c r="X366" s="2290"/>
      <c r="Y366" s="2290"/>
      <c r="Z366" s="2290"/>
      <c r="AA366" s="2290"/>
      <c r="AB366" s="2290"/>
      <c r="AC366" s="2290"/>
      <c r="AD366" s="2290"/>
      <c r="AE366" s="2290"/>
      <c r="AF366" s="2290"/>
      <c r="AG366" s="2290"/>
      <c r="AH366" s="2290"/>
      <c r="AI366" s="2290"/>
      <c r="AJ366" s="2290"/>
      <c r="AK366" s="2290"/>
      <c r="AL366" s="2290"/>
      <c r="AM366" s="2290"/>
      <c r="AN366" s="2290"/>
      <c r="AO366" s="2290"/>
      <c r="AP366" s="2290"/>
      <c r="AQ366" s="2290"/>
      <c r="AR366" s="2290"/>
      <c r="AS366" s="2290"/>
      <c r="AT366" s="2290"/>
      <c r="AU366" s="2290"/>
      <c r="AV366" s="2290"/>
      <c r="AW366" s="2290"/>
      <c r="AX366" s="2290"/>
      <c r="AY366" s="2290"/>
      <c r="AZ366" s="2290"/>
      <c r="BA366" s="2290"/>
      <c r="BB366" s="2290"/>
      <c r="BC366" s="2290"/>
      <c r="BD366" s="2290"/>
      <c r="BE366" s="2290"/>
      <c r="BF366" s="2290"/>
      <c r="BG366" s="2290"/>
      <c r="BH366" s="2290"/>
      <c r="BI366" s="2290"/>
      <c r="BJ366" s="2290"/>
      <c r="BK366" s="2290"/>
      <c r="BL366" s="2290"/>
      <c r="BM366" s="2290"/>
      <c r="BN366" s="2290"/>
      <c r="BO366" s="2290"/>
      <c r="BP366" s="2290"/>
      <c r="BQ366" s="2290"/>
      <c r="BR366" s="2290"/>
      <c r="BS366" s="2290"/>
      <c r="BT366" s="2290"/>
      <c r="BU366" s="2290"/>
      <c r="BV366" s="2290"/>
      <c r="BW366" s="2290"/>
      <c r="BX366" s="2290"/>
      <c r="BY366" s="2290"/>
      <c r="BZ366" s="2290"/>
      <c r="CA366" s="2290"/>
    </row>
    <row r="367" spans="1:79">
      <c r="A367" s="2290"/>
      <c r="B367" s="2290"/>
      <c r="C367" s="2290"/>
      <c r="D367" s="2290"/>
      <c r="E367" s="2290"/>
      <c r="F367" s="2290"/>
      <c r="G367" s="2290"/>
      <c r="H367" s="2290"/>
      <c r="I367" s="2290"/>
      <c r="J367" s="2290"/>
      <c r="K367" s="2290"/>
      <c r="L367" s="2290"/>
      <c r="M367" s="2290"/>
      <c r="N367" s="2290"/>
      <c r="O367" s="2290"/>
      <c r="P367" s="2290"/>
      <c r="Q367" s="2290"/>
      <c r="R367" s="2290"/>
      <c r="S367" s="2290"/>
      <c r="T367" s="2290"/>
      <c r="U367" s="2290"/>
      <c r="V367" s="2290"/>
      <c r="W367" s="2290"/>
      <c r="X367" s="2290"/>
      <c r="Y367" s="2290"/>
      <c r="Z367" s="2290"/>
      <c r="AA367" s="2290"/>
      <c r="AB367" s="2290"/>
      <c r="AC367" s="2290"/>
      <c r="AD367" s="2290"/>
      <c r="AE367" s="2290"/>
      <c r="AF367" s="2290"/>
      <c r="AG367" s="2290"/>
      <c r="AH367" s="2290"/>
      <c r="AI367" s="2290"/>
      <c r="AJ367" s="2290"/>
      <c r="AK367" s="2290"/>
      <c r="AL367" s="2290"/>
      <c r="AM367" s="2290"/>
      <c r="AN367" s="2290"/>
      <c r="AO367" s="2290"/>
      <c r="AP367" s="2290"/>
      <c r="AQ367" s="2290"/>
      <c r="AR367" s="2290"/>
      <c r="AS367" s="2290"/>
      <c r="AT367" s="2290"/>
      <c r="AU367" s="2290"/>
      <c r="AV367" s="2290"/>
      <c r="AW367" s="2290"/>
      <c r="AX367" s="2290"/>
      <c r="AY367" s="2290"/>
      <c r="AZ367" s="2290"/>
      <c r="BA367" s="2290"/>
      <c r="BB367" s="2290"/>
      <c r="BC367" s="2290"/>
      <c r="BD367" s="2290"/>
      <c r="BE367" s="2290"/>
      <c r="BF367" s="2290"/>
      <c r="BG367" s="2290"/>
      <c r="BH367" s="2290"/>
      <c r="BI367" s="2290"/>
      <c r="BJ367" s="2290"/>
      <c r="BK367" s="2290"/>
      <c r="BL367" s="2290"/>
      <c r="BM367" s="2290"/>
      <c r="BN367" s="2290"/>
      <c r="BO367" s="2290"/>
      <c r="BP367" s="2290"/>
      <c r="BQ367" s="2290"/>
      <c r="BR367" s="2290"/>
      <c r="BS367" s="2290"/>
      <c r="BT367" s="2290"/>
      <c r="BU367" s="2290"/>
      <c r="BV367" s="2290"/>
      <c r="BW367" s="2290"/>
      <c r="BX367" s="2290"/>
      <c r="BY367" s="2290"/>
      <c r="BZ367" s="2290"/>
      <c r="CA367" s="2290"/>
    </row>
    <row r="368" spans="1:79">
      <c r="A368" s="2290"/>
      <c r="B368" s="2290"/>
      <c r="C368" s="2290"/>
      <c r="D368" s="2290"/>
      <c r="E368" s="2290"/>
      <c r="F368" s="2290"/>
      <c r="G368" s="2290"/>
      <c r="H368" s="2290"/>
      <c r="I368" s="2290"/>
      <c r="J368" s="2290"/>
      <c r="K368" s="2290"/>
      <c r="L368" s="2290"/>
      <c r="M368" s="2290"/>
      <c r="N368" s="2290"/>
      <c r="O368" s="2290"/>
      <c r="P368" s="2290"/>
      <c r="Q368" s="2290"/>
      <c r="R368" s="2290"/>
      <c r="S368" s="2290"/>
      <c r="T368" s="2290"/>
      <c r="U368" s="2290"/>
      <c r="V368" s="2290"/>
      <c r="W368" s="2290"/>
      <c r="X368" s="2290"/>
      <c r="Y368" s="2290"/>
      <c r="Z368" s="2290"/>
      <c r="AA368" s="2290"/>
      <c r="AB368" s="2290"/>
      <c r="AC368" s="2290"/>
      <c r="AD368" s="2290"/>
      <c r="AE368" s="2290"/>
      <c r="AF368" s="2290"/>
      <c r="AG368" s="2290"/>
      <c r="AH368" s="2290"/>
      <c r="AI368" s="2290"/>
      <c r="AJ368" s="2290"/>
      <c r="AK368" s="2290"/>
      <c r="AL368" s="2290"/>
      <c r="AM368" s="2290"/>
      <c r="AN368" s="2290"/>
      <c r="AO368" s="2290"/>
      <c r="AP368" s="2290"/>
      <c r="AQ368" s="2290"/>
      <c r="AR368" s="2290"/>
      <c r="AS368" s="2290"/>
      <c r="AT368" s="2290"/>
      <c r="AU368" s="2290"/>
      <c r="AV368" s="2290"/>
      <c r="AW368" s="2290"/>
      <c r="AX368" s="2290"/>
      <c r="AY368" s="2290"/>
      <c r="AZ368" s="2290"/>
      <c r="BA368" s="2290"/>
      <c r="BB368" s="2290"/>
      <c r="BC368" s="2290"/>
      <c r="BD368" s="2290"/>
      <c r="BE368" s="2290"/>
      <c r="BF368" s="2290"/>
      <c r="BG368" s="2290"/>
      <c r="BH368" s="2290"/>
      <c r="BI368" s="2290"/>
      <c r="BJ368" s="2290"/>
      <c r="BK368" s="2290"/>
      <c r="BL368" s="2290"/>
      <c r="BM368" s="2290"/>
      <c r="BN368" s="2290"/>
      <c r="BO368" s="2290"/>
      <c r="BP368" s="2290"/>
      <c r="BQ368" s="2290"/>
      <c r="BR368" s="2290"/>
      <c r="BS368" s="2290"/>
      <c r="BT368" s="2290"/>
      <c r="BU368" s="2290"/>
      <c r="BV368" s="2290"/>
      <c r="BW368" s="2290"/>
      <c r="BX368" s="2290"/>
      <c r="BY368" s="2290"/>
      <c r="BZ368" s="2290"/>
      <c r="CA368" s="2290"/>
    </row>
    <row r="369" spans="1:79">
      <c r="A369" s="2290"/>
      <c r="B369" s="2290"/>
      <c r="C369" s="2290"/>
      <c r="D369" s="2290"/>
      <c r="E369" s="2290"/>
      <c r="F369" s="2290"/>
      <c r="G369" s="2290"/>
      <c r="H369" s="2290"/>
      <c r="I369" s="2290"/>
      <c r="J369" s="2290"/>
      <c r="K369" s="2290"/>
      <c r="L369" s="2290"/>
      <c r="M369" s="2290"/>
      <c r="N369" s="2290"/>
      <c r="O369" s="2290"/>
      <c r="P369" s="2290"/>
      <c r="Q369" s="2290"/>
      <c r="R369" s="2290"/>
      <c r="S369" s="2290"/>
      <c r="T369" s="2290"/>
      <c r="U369" s="2290"/>
      <c r="V369" s="2290"/>
      <c r="W369" s="2290"/>
      <c r="X369" s="2290"/>
      <c r="Y369" s="2290"/>
      <c r="Z369" s="2290"/>
      <c r="AA369" s="2290"/>
      <c r="AB369" s="2290"/>
      <c r="AC369" s="2290"/>
      <c r="AD369" s="2290"/>
      <c r="AE369" s="2290"/>
      <c r="AF369" s="2290"/>
      <c r="AG369" s="2290"/>
      <c r="AH369" s="2290"/>
      <c r="AI369" s="2290"/>
      <c r="AJ369" s="2290"/>
      <c r="AK369" s="2290"/>
      <c r="AL369" s="2290"/>
      <c r="AM369" s="2290"/>
      <c r="AN369" s="2290"/>
      <c r="AO369" s="2290"/>
      <c r="AP369" s="2290"/>
      <c r="AQ369" s="2290"/>
      <c r="AR369" s="2290"/>
      <c r="AS369" s="2290"/>
      <c r="AT369" s="2290"/>
      <c r="AU369" s="2290"/>
      <c r="AV369" s="2290"/>
      <c r="AW369" s="2290"/>
      <c r="AX369" s="2290"/>
      <c r="AY369" s="2290"/>
      <c r="AZ369" s="2290"/>
      <c r="BA369" s="2290"/>
      <c r="BB369" s="2290"/>
      <c r="BC369" s="2290"/>
      <c r="BD369" s="2290"/>
      <c r="BE369" s="2290"/>
      <c r="BF369" s="2290"/>
      <c r="BG369" s="2290"/>
      <c r="BH369" s="2290"/>
      <c r="BI369" s="2290"/>
      <c r="BJ369" s="2290"/>
      <c r="BK369" s="2290"/>
      <c r="BL369" s="2290"/>
      <c r="BM369" s="2290"/>
      <c r="BN369" s="2290"/>
      <c r="BO369" s="2290"/>
      <c r="BP369" s="2290"/>
      <c r="BQ369" s="2290"/>
      <c r="BR369" s="2290"/>
      <c r="BS369" s="2290"/>
      <c r="BT369" s="2290"/>
      <c r="BU369" s="2290"/>
      <c r="BV369" s="2290"/>
      <c r="BW369" s="2290"/>
      <c r="BX369" s="2290"/>
      <c r="BY369" s="2290"/>
      <c r="BZ369" s="2290"/>
      <c r="CA369" s="2290"/>
    </row>
    <row r="370" spans="1:79">
      <c r="A370" s="2290"/>
      <c r="B370" s="2290"/>
      <c r="C370" s="2290"/>
      <c r="D370" s="2290"/>
      <c r="E370" s="2290"/>
      <c r="F370" s="2290"/>
      <c r="G370" s="2290"/>
      <c r="H370" s="2290"/>
      <c r="I370" s="2290"/>
      <c r="J370" s="2290"/>
      <c r="K370" s="2290"/>
      <c r="L370" s="2290"/>
      <c r="M370" s="2290"/>
      <c r="N370" s="2290"/>
      <c r="O370" s="2290"/>
      <c r="P370" s="2290"/>
      <c r="Q370" s="2290"/>
      <c r="R370" s="2290"/>
      <c r="S370" s="2290"/>
      <c r="T370" s="2290"/>
      <c r="U370" s="2290"/>
      <c r="V370" s="2290"/>
      <c r="W370" s="2290"/>
      <c r="X370" s="2290"/>
      <c r="Y370" s="2290"/>
      <c r="Z370" s="2290"/>
      <c r="AA370" s="2290"/>
      <c r="AB370" s="2290"/>
      <c r="AC370" s="2290"/>
      <c r="AD370" s="2290"/>
      <c r="AE370" s="2290"/>
      <c r="AF370" s="2290"/>
      <c r="AG370" s="2290"/>
      <c r="AH370" s="2290"/>
      <c r="AI370" s="2290"/>
      <c r="AJ370" s="2290"/>
      <c r="AK370" s="2290"/>
      <c r="AL370" s="2290"/>
      <c r="AM370" s="2290"/>
      <c r="AN370" s="2290"/>
      <c r="AO370" s="2290"/>
      <c r="AP370" s="2290"/>
      <c r="AQ370" s="2290"/>
      <c r="AR370" s="2290"/>
      <c r="AS370" s="2290"/>
      <c r="AT370" s="2290"/>
      <c r="AU370" s="2290"/>
      <c r="AV370" s="2290"/>
      <c r="AW370" s="2290"/>
      <c r="AX370" s="2290"/>
      <c r="AY370" s="2290"/>
      <c r="AZ370" s="2290"/>
      <c r="BA370" s="2290"/>
      <c r="BB370" s="2290"/>
      <c r="BC370" s="2290"/>
      <c r="BD370" s="2290"/>
      <c r="BE370" s="2290"/>
      <c r="BF370" s="2290"/>
      <c r="BG370" s="2290"/>
      <c r="BH370" s="2290"/>
      <c r="BI370" s="2290"/>
      <c r="BJ370" s="2290"/>
      <c r="BK370" s="2290"/>
      <c r="BL370" s="2290"/>
      <c r="BM370" s="2290"/>
      <c r="BN370" s="2290"/>
      <c r="BO370" s="2290"/>
      <c r="BP370" s="2290"/>
      <c r="BQ370" s="2290"/>
      <c r="BR370" s="2290"/>
      <c r="BS370" s="2290"/>
      <c r="BT370" s="2290"/>
      <c r="BU370" s="2290"/>
      <c r="BV370" s="2290"/>
      <c r="BW370" s="2290"/>
      <c r="BX370" s="2290"/>
      <c r="BY370" s="2290"/>
      <c r="BZ370" s="2290"/>
      <c r="CA370" s="2290"/>
    </row>
    <row r="371" spans="1:79">
      <c r="A371" s="2290"/>
      <c r="B371" s="2290"/>
      <c r="C371" s="2290"/>
      <c r="D371" s="2290"/>
      <c r="E371" s="2290"/>
      <c r="F371" s="2290"/>
      <c r="G371" s="2290"/>
      <c r="H371" s="2290"/>
      <c r="I371" s="2290"/>
      <c r="J371" s="2290"/>
      <c r="K371" s="2290"/>
      <c r="L371" s="2290"/>
      <c r="M371" s="2290"/>
      <c r="N371" s="2290"/>
      <c r="O371" s="2290"/>
      <c r="P371" s="2290"/>
      <c r="Q371" s="2290"/>
      <c r="R371" s="2290"/>
      <c r="S371" s="2290"/>
      <c r="T371" s="2290"/>
      <c r="U371" s="2290"/>
      <c r="V371" s="2290"/>
      <c r="W371" s="2290"/>
      <c r="X371" s="2290"/>
      <c r="Y371" s="2290"/>
      <c r="Z371" s="2290"/>
      <c r="AA371" s="2290"/>
      <c r="AB371" s="2290"/>
      <c r="AC371" s="2290"/>
      <c r="AD371" s="2290"/>
      <c r="AE371" s="2290"/>
      <c r="AF371" s="2290"/>
      <c r="AG371" s="2290"/>
      <c r="AH371" s="2290"/>
      <c r="AI371" s="2290"/>
      <c r="AJ371" s="2290"/>
      <c r="AK371" s="2290"/>
      <c r="AL371" s="2290"/>
      <c r="AM371" s="2290"/>
      <c r="AN371" s="2290"/>
      <c r="AO371" s="2290"/>
      <c r="AP371" s="2290"/>
      <c r="AQ371" s="2290"/>
      <c r="AR371" s="2290"/>
      <c r="AS371" s="2290"/>
      <c r="AT371" s="2290"/>
      <c r="AU371" s="2290"/>
      <c r="AV371" s="2290"/>
      <c r="AW371" s="2290"/>
      <c r="AX371" s="2290"/>
      <c r="AY371" s="2290"/>
      <c r="AZ371" s="2290"/>
      <c r="BA371" s="2290"/>
      <c r="BB371" s="2290"/>
      <c r="BC371" s="2290"/>
      <c r="BD371" s="2290"/>
      <c r="BE371" s="2290"/>
      <c r="BF371" s="2290"/>
      <c r="BG371" s="2290"/>
      <c r="BH371" s="2290"/>
      <c r="BI371" s="2290"/>
      <c r="BJ371" s="2290"/>
      <c r="BK371" s="2290"/>
      <c r="BL371" s="2290"/>
      <c r="BM371" s="2290"/>
      <c r="BN371" s="2290"/>
      <c r="BO371" s="2290"/>
      <c r="BP371" s="2290"/>
      <c r="BQ371" s="2290"/>
      <c r="BR371" s="2290"/>
      <c r="BS371" s="2290"/>
      <c r="BT371" s="2290"/>
      <c r="BU371" s="2290"/>
      <c r="BV371" s="2290"/>
      <c r="BW371" s="2290"/>
      <c r="BX371" s="2290"/>
      <c r="BY371" s="2290"/>
      <c r="BZ371" s="2290"/>
      <c r="CA371" s="2290"/>
    </row>
    <row r="372" spans="1:79">
      <c r="A372" s="2290"/>
      <c r="B372" s="2290"/>
      <c r="C372" s="2290"/>
      <c r="D372" s="2290"/>
      <c r="E372" s="2290"/>
      <c r="F372" s="2290"/>
      <c r="G372" s="2290"/>
      <c r="H372" s="2290"/>
      <c r="I372" s="2290"/>
      <c r="J372" s="2290"/>
      <c r="K372" s="2290"/>
      <c r="L372" s="2290"/>
      <c r="M372" s="2290"/>
      <c r="N372" s="2290"/>
      <c r="O372" s="2290"/>
      <c r="P372" s="2290"/>
      <c r="Q372" s="2290"/>
      <c r="R372" s="2290"/>
      <c r="S372" s="2290"/>
      <c r="T372" s="2290"/>
      <c r="U372" s="2290"/>
      <c r="V372" s="2290"/>
      <c r="W372" s="2290"/>
      <c r="X372" s="2290"/>
      <c r="Y372" s="2290"/>
      <c r="Z372" s="2290"/>
      <c r="AA372" s="2290"/>
      <c r="AB372" s="2290"/>
      <c r="AC372" s="2290"/>
      <c r="AD372" s="2290"/>
      <c r="AE372" s="2290"/>
      <c r="AF372" s="2290"/>
      <c r="AG372" s="2290"/>
      <c r="AH372" s="2290"/>
      <c r="AI372" s="2290"/>
      <c r="AJ372" s="2290"/>
      <c r="AK372" s="2290"/>
      <c r="AL372" s="2290"/>
      <c r="AM372" s="2290"/>
      <c r="AN372" s="2290"/>
      <c r="AO372" s="2290"/>
      <c r="AP372" s="2290"/>
      <c r="AQ372" s="2290"/>
      <c r="AR372" s="2290"/>
      <c r="AS372" s="2290"/>
      <c r="AT372" s="2290"/>
      <c r="AU372" s="2290"/>
      <c r="AV372" s="2290"/>
      <c r="AW372" s="2290"/>
      <c r="AX372" s="2290"/>
      <c r="AY372" s="2290"/>
      <c r="AZ372" s="2290"/>
      <c r="BA372" s="2290"/>
      <c r="BB372" s="2290"/>
      <c r="BC372" s="2290"/>
      <c r="BD372" s="2290"/>
      <c r="BE372" s="2290"/>
      <c r="BF372" s="2290"/>
      <c r="BG372" s="2290"/>
      <c r="BH372" s="2290"/>
      <c r="BI372" s="2290"/>
      <c r="BJ372" s="2290"/>
      <c r="BK372" s="2290"/>
      <c r="BL372" s="2290"/>
      <c r="BM372" s="2290"/>
      <c r="BN372" s="2290"/>
      <c r="BO372" s="2290"/>
      <c r="BP372" s="2290"/>
      <c r="BQ372" s="2290"/>
      <c r="BR372" s="2290"/>
      <c r="BS372" s="2290"/>
      <c r="BT372" s="2290"/>
      <c r="BU372" s="2290"/>
      <c r="BV372" s="2290"/>
      <c r="BW372" s="2290"/>
      <c r="BX372" s="2290"/>
      <c r="BY372" s="2290"/>
      <c r="BZ372" s="2290"/>
      <c r="CA372" s="2290"/>
    </row>
    <row r="373" spans="1:79">
      <c r="A373" s="2290"/>
      <c r="B373" s="2290"/>
      <c r="C373" s="2290"/>
      <c r="D373" s="2290"/>
      <c r="E373" s="2290"/>
      <c r="F373" s="2290"/>
      <c r="G373" s="2290"/>
      <c r="H373" s="2290"/>
      <c r="I373" s="2290"/>
      <c r="J373" s="2290"/>
      <c r="K373" s="2290"/>
      <c r="L373" s="2290"/>
      <c r="M373" s="2290"/>
      <c r="N373" s="2290"/>
      <c r="O373" s="2290"/>
      <c r="P373" s="2290"/>
      <c r="Q373" s="2290"/>
      <c r="R373" s="2290"/>
      <c r="S373" s="2290"/>
      <c r="T373" s="2290"/>
      <c r="U373" s="2290"/>
      <c r="V373" s="2290"/>
      <c r="W373" s="2290"/>
      <c r="X373" s="2290"/>
      <c r="Y373" s="2290"/>
      <c r="Z373" s="2290"/>
      <c r="AA373" s="2290"/>
      <c r="AB373" s="2290"/>
      <c r="AC373" s="2290"/>
      <c r="AD373" s="2290"/>
      <c r="AE373" s="2290"/>
      <c r="AF373" s="2290"/>
      <c r="AG373" s="2290"/>
      <c r="AH373" s="2290"/>
      <c r="AI373" s="2290"/>
      <c r="AJ373" s="2290"/>
      <c r="AK373" s="2290"/>
      <c r="AL373" s="2290"/>
      <c r="AM373" s="2290"/>
      <c r="AN373" s="2290"/>
      <c r="AO373" s="2290"/>
      <c r="AP373" s="2290"/>
      <c r="AQ373" s="2290"/>
      <c r="AR373" s="2290"/>
      <c r="AS373" s="2290"/>
      <c r="AT373" s="2290"/>
      <c r="AU373" s="2290"/>
      <c r="AV373" s="2290"/>
      <c r="AW373" s="2290"/>
      <c r="AX373" s="2290"/>
      <c r="AY373" s="2290"/>
      <c r="AZ373" s="2290"/>
      <c r="BA373" s="2290"/>
      <c r="BB373" s="2290"/>
      <c r="BC373" s="2290"/>
      <c r="BD373" s="2290"/>
      <c r="BE373" s="2290"/>
      <c r="BF373" s="2290"/>
      <c r="BG373" s="2290"/>
      <c r="BH373" s="2290"/>
      <c r="BI373" s="2290"/>
      <c r="BJ373" s="2290"/>
      <c r="BK373" s="2290"/>
      <c r="BL373" s="2290"/>
      <c r="BM373" s="2290"/>
      <c r="BN373" s="2290"/>
      <c r="BO373" s="2290"/>
      <c r="BP373" s="2290"/>
      <c r="BQ373" s="2290"/>
      <c r="BR373" s="2290"/>
      <c r="BS373" s="2290"/>
      <c r="BT373" s="2290"/>
      <c r="BU373" s="2290"/>
      <c r="BV373" s="2290"/>
      <c r="BW373" s="2290"/>
      <c r="BX373" s="2290"/>
      <c r="BY373" s="2290"/>
      <c r="BZ373" s="2290"/>
      <c r="CA373" s="2290"/>
    </row>
    <row r="374" spans="1:79">
      <c r="A374" s="2290"/>
      <c r="B374" s="2290"/>
      <c r="C374" s="2290"/>
      <c r="D374" s="2290"/>
      <c r="E374" s="2290"/>
      <c r="F374" s="2290"/>
      <c r="G374" s="2290"/>
      <c r="H374" s="2290"/>
      <c r="I374" s="2290"/>
      <c r="J374" s="2290"/>
      <c r="K374" s="2290"/>
      <c r="L374" s="2290"/>
      <c r="M374" s="2290"/>
      <c r="N374" s="2290"/>
      <c r="O374" s="2290"/>
      <c r="P374" s="2290"/>
      <c r="Q374" s="2290"/>
      <c r="R374" s="2290"/>
      <c r="S374" s="2290"/>
      <c r="T374" s="2290"/>
      <c r="U374" s="2290"/>
      <c r="V374" s="2290"/>
      <c r="W374" s="2290"/>
      <c r="X374" s="2290"/>
      <c r="Y374" s="2290"/>
      <c r="Z374" s="2290"/>
      <c r="AA374" s="2290"/>
      <c r="AB374" s="2290"/>
      <c r="AC374" s="2290"/>
      <c r="AD374" s="2290"/>
      <c r="AE374" s="2290"/>
      <c r="AF374" s="2290"/>
      <c r="AG374" s="2290"/>
      <c r="AH374" s="2290"/>
      <c r="AI374" s="2290"/>
      <c r="AJ374" s="2290"/>
      <c r="AK374" s="2290"/>
      <c r="AL374" s="2290"/>
      <c r="AM374" s="2290"/>
      <c r="AN374" s="2290"/>
      <c r="AO374" s="2290"/>
      <c r="AP374" s="2290"/>
      <c r="AQ374" s="2290"/>
      <c r="AR374" s="2290"/>
      <c r="AS374" s="2290"/>
      <c r="AT374" s="2290"/>
      <c r="AU374" s="2290"/>
      <c r="AV374" s="2290"/>
      <c r="AW374" s="2290"/>
      <c r="AX374" s="2290"/>
      <c r="AY374" s="2290"/>
      <c r="AZ374" s="2290"/>
      <c r="BA374" s="2290"/>
      <c r="BB374" s="2290"/>
      <c r="BC374" s="2290"/>
      <c r="BD374" s="2290"/>
      <c r="BE374" s="2290"/>
      <c r="BF374" s="2290"/>
      <c r="BG374" s="2290"/>
      <c r="BH374" s="2290"/>
      <c r="BI374" s="2290"/>
      <c r="BJ374" s="2290"/>
      <c r="BK374" s="2290"/>
      <c r="BL374" s="2290"/>
      <c r="BM374" s="2290"/>
      <c r="BN374" s="2290"/>
      <c r="BO374" s="2290"/>
      <c r="BP374" s="2290"/>
      <c r="BQ374" s="2290"/>
      <c r="BR374" s="2290"/>
      <c r="BS374" s="2290"/>
      <c r="BT374" s="2290"/>
      <c r="BU374" s="2290"/>
      <c r="BV374" s="2290"/>
      <c r="BW374" s="2290"/>
      <c r="BX374" s="2290"/>
      <c r="BY374" s="2290"/>
      <c r="BZ374" s="2290"/>
      <c r="CA374" s="2290"/>
    </row>
    <row r="375" spans="1:79">
      <c r="A375" s="2290"/>
      <c r="B375" s="2290"/>
      <c r="C375" s="2290"/>
      <c r="D375" s="2290"/>
      <c r="E375" s="2290"/>
      <c r="F375" s="2290"/>
      <c r="G375" s="2290"/>
      <c r="H375" s="2290"/>
      <c r="I375" s="2290"/>
      <c r="J375" s="2290"/>
      <c r="K375" s="2290"/>
      <c r="L375" s="2290"/>
      <c r="M375" s="2290"/>
      <c r="N375" s="2290"/>
      <c r="O375" s="2290"/>
      <c r="P375" s="2290"/>
      <c r="Q375" s="2290"/>
      <c r="R375" s="2290"/>
      <c r="S375" s="2290"/>
      <c r="T375" s="2290"/>
      <c r="U375" s="2290"/>
      <c r="V375" s="2290"/>
      <c r="W375" s="2290"/>
      <c r="X375" s="2290"/>
      <c r="Y375" s="2290"/>
      <c r="Z375" s="2290"/>
      <c r="AA375" s="2290"/>
      <c r="AB375" s="2290"/>
      <c r="AC375" s="2290"/>
      <c r="AD375" s="2290"/>
      <c r="AE375" s="2290"/>
      <c r="AF375" s="2290"/>
      <c r="AG375" s="2290"/>
      <c r="AH375" s="2290"/>
      <c r="AI375" s="2290"/>
      <c r="AJ375" s="2290"/>
      <c r="AK375" s="2290"/>
      <c r="AL375" s="2290"/>
      <c r="AM375" s="2290"/>
      <c r="AN375" s="2290"/>
      <c r="AO375" s="2290"/>
      <c r="AP375" s="2290"/>
      <c r="AQ375" s="2290"/>
      <c r="AR375" s="2290"/>
      <c r="AS375" s="2290"/>
      <c r="AT375" s="2290"/>
      <c r="AU375" s="2290"/>
      <c r="AV375" s="2290"/>
      <c r="AW375" s="2290"/>
      <c r="AX375" s="2290"/>
      <c r="AY375" s="2290"/>
      <c r="AZ375" s="2290"/>
      <c r="BA375" s="2290"/>
      <c r="BB375" s="2290"/>
      <c r="BC375" s="2290"/>
      <c r="BD375" s="2290"/>
      <c r="BE375" s="2290"/>
      <c r="BF375" s="2290"/>
      <c r="BG375" s="2290"/>
      <c r="BH375" s="2290"/>
      <c r="BI375" s="2290"/>
      <c r="BJ375" s="2290"/>
      <c r="BK375" s="2290"/>
      <c r="BL375" s="2290"/>
      <c r="BM375" s="2290"/>
      <c r="BN375" s="2290"/>
      <c r="BO375" s="2290"/>
      <c r="BP375" s="2290"/>
      <c r="BQ375" s="2290"/>
      <c r="BR375" s="2290"/>
      <c r="BS375" s="2290"/>
      <c r="BT375" s="2290"/>
      <c r="BU375" s="2290"/>
      <c r="BV375" s="2290"/>
      <c r="BW375" s="2290"/>
      <c r="BX375" s="2290"/>
      <c r="BY375" s="2290"/>
      <c r="BZ375" s="2290"/>
      <c r="CA375" s="2290"/>
    </row>
    <row r="376" spans="1:79">
      <c r="A376" s="2290"/>
      <c r="B376" s="2290"/>
      <c r="C376" s="2290"/>
      <c r="D376" s="2290"/>
      <c r="E376" s="2290"/>
      <c r="F376" s="2290"/>
      <c r="G376" s="2290"/>
      <c r="H376" s="2290"/>
      <c r="I376" s="2290"/>
      <c r="J376" s="2290"/>
      <c r="K376" s="2290"/>
      <c r="L376" s="2290"/>
      <c r="M376" s="2290"/>
      <c r="N376" s="2290"/>
      <c r="O376" s="2290"/>
      <c r="P376" s="2290"/>
      <c r="Q376" s="2290"/>
      <c r="R376" s="2290"/>
      <c r="S376" s="2290"/>
      <c r="T376" s="2290"/>
      <c r="U376" s="2290"/>
      <c r="V376" s="2290"/>
      <c r="W376" s="2290"/>
      <c r="X376" s="2290"/>
      <c r="Y376" s="2290"/>
      <c r="Z376" s="2290"/>
      <c r="AA376" s="2290"/>
      <c r="AB376" s="2290"/>
      <c r="AC376" s="2290"/>
      <c r="AD376" s="2290"/>
      <c r="AE376" s="2290"/>
      <c r="AF376" s="2290"/>
      <c r="AG376" s="2290"/>
      <c r="AH376" s="2290"/>
      <c r="AI376" s="2290"/>
      <c r="AJ376" s="2290"/>
      <c r="AK376" s="2290"/>
      <c r="AL376" s="2290"/>
      <c r="AM376" s="2290"/>
      <c r="AN376" s="2290"/>
      <c r="AO376" s="2290"/>
      <c r="AP376" s="2290"/>
      <c r="AQ376" s="2290"/>
      <c r="AR376" s="2290"/>
      <c r="AS376" s="2290"/>
      <c r="AT376" s="2290"/>
      <c r="AU376" s="2290"/>
      <c r="AV376" s="2290"/>
      <c r="AW376" s="2290"/>
      <c r="AX376" s="2290"/>
      <c r="AY376" s="2290"/>
      <c r="AZ376" s="2290"/>
      <c r="BA376" s="2290"/>
      <c r="BB376" s="2290"/>
      <c r="BC376" s="2290"/>
      <c r="BD376" s="2290"/>
      <c r="BE376" s="2290"/>
      <c r="BF376" s="2290"/>
      <c r="BG376" s="2290"/>
      <c r="BH376" s="2290"/>
      <c r="BI376" s="2290"/>
      <c r="BJ376" s="2290"/>
      <c r="BK376" s="2290"/>
      <c r="BL376" s="2290"/>
      <c r="BM376" s="2290"/>
      <c r="BN376" s="2290"/>
      <c r="BO376" s="2290"/>
      <c r="BP376" s="2290"/>
      <c r="BQ376" s="2290"/>
      <c r="BR376" s="2290"/>
      <c r="BS376" s="2290"/>
      <c r="BT376" s="2290"/>
      <c r="BU376" s="2290"/>
      <c r="BV376" s="2290"/>
      <c r="BW376" s="2290"/>
      <c r="BX376" s="2290"/>
      <c r="BY376" s="2290"/>
      <c r="BZ376" s="2290"/>
      <c r="CA376" s="2290"/>
    </row>
    <row r="377" spans="1:79">
      <c r="A377" s="2290"/>
      <c r="B377" s="2290"/>
      <c r="C377" s="2290"/>
      <c r="D377" s="2290"/>
      <c r="E377" s="2290"/>
      <c r="F377" s="2290"/>
      <c r="G377" s="2290"/>
      <c r="H377" s="2290"/>
      <c r="I377" s="2290"/>
      <c r="J377" s="2290"/>
      <c r="K377" s="2290"/>
      <c r="L377" s="2290"/>
      <c r="M377" s="2290"/>
      <c r="N377" s="2290"/>
      <c r="O377" s="2290"/>
      <c r="P377" s="2290"/>
      <c r="Q377" s="2290"/>
      <c r="R377" s="2290"/>
      <c r="S377" s="2290"/>
      <c r="T377" s="2290"/>
      <c r="U377" s="2290"/>
      <c r="V377" s="2290"/>
      <c r="W377" s="2290"/>
      <c r="X377" s="2290"/>
      <c r="Y377" s="2290"/>
      <c r="Z377" s="2290"/>
      <c r="AA377" s="2290"/>
      <c r="AB377" s="2290"/>
      <c r="AC377" s="2290"/>
      <c r="AD377" s="2290"/>
      <c r="AE377" s="2290"/>
      <c r="AF377" s="2290"/>
      <c r="AG377" s="2290"/>
      <c r="AH377" s="2290"/>
      <c r="AI377" s="2290"/>
      <c r="AJ377" s="2290"/>
      <c r="AK377" s="2290"/>
      <c r="AL377" s="2290"/>
      <c r="AM377" s="2290"/>
      <c r="AN377" s="2290"/>
      <c r="AO377" s="2290"/>
      <c r="AP377" s="2290"/>
      <c r="AQ377" s="2290"/>
      <c r="AR377" s="2290"/>
      <c r="AS377" s="2290"/>
      <c r="AT377" s="2290"/>
      <c r="AU377" s="2290"/>
      <c r="AV377" s="2290"/>
      <c r="AW377" s="2290"/>
      <c r="AX377" s="2290"/>
      <c r="AY377" s="2290"/>
      <c r="AZ377" s="2290"/>
      <c r="BA377" s="2290"/>
      <c r="BB377" s="2290"/>
      <c r="BC377" s="2290"/>
      <c r="BD377" s="2290"/>
      <c r="BE377" s="2290"/>
      <c r="BF377" s="2290"/>
      <c r="BG377" s="2290"/>
      <c r="BH377" s="2290"/>
      <c r="BI377" s="2290"/>
      <c r="BJ377" s="2290"/>
      <c r="BK377" s="2290"/>
      <c r="BL377" s="2290"/>
      <c r="BM377" s="2290"/>
      <c r="BN377" s="2290"/>
      <c r="BO377" s="2290"/>
      <c r="BP377" s="2290"/>
      <c r="BQ377" s="2290"/>
      <c r="BR377" s="2290"/>
      <c r="BS377" s="2290"/>
      <c r="BT377" s="2290"/>
      <c r="BU377" s="2290"/>
      <c r="BV377" s="2290"/>
      <c r="BW377" s="2290"/>
      <c r="BX377" s="2290"/>
      <c r="BY377" s="2290"/>
      <c r="BZ377" s="2290"/>
      <c r="CA377" s="2290"/>
    </row>
    <row r="378" spans="1:79">
      <c r="A378" s="2290"/>
      <c r="B378" s="2290"/>
      <c r="C378" s="2290"/>
      <c r="D378" s="2290"/>
      <c r="E378" s="2290"/>
      <c r="F378" s="2290"/>
      <c r="G378" s="2290"/>
      <c r="H378" s="2290"/>
      <c r="I378" s="2290"/>
      <c r="J378" s="2290"/>
      <c r="K378" s="2290"/>
      <c r="L378" s="2290"/>
      <c r="M378" s="2290"/>
      <c r="N378" s="2290"/>
      <c r="O378" s="2290"/>
      <c r="P378" s="2290"/>
      <c r="Q378" s="2290"/>
      <c r="R378" s="2290"/>
      <c r="S378" s="2290"/>
      <c r="T378" s="2290"/>
      <c r="U378" s="2290"/>
      <c r="V378" s="2290"/>
      <c r="W378" s="2290"/>
      <c r="X378" s="2290"/>
      <c r="Y378" s="2290"/>
      <c r="Z378" s="2290"/>
      <c r="AA378" s="2290"/>
      <c r="AB378" s="2290"/>
      <c r="AC378" s="2290"/>
      <c r="AD378" s="2290"/>
      <c r="AE378" s="2290"/>
      <c r="AF378" s="2290"/>
      <c r="AG378" s="2290"/>
      <c r="AH378" s="2290"/>
      <c r="AI378" s="2290"/>
      <c r="AJ378" s="2290"/>
      <c r="AK378" s="2290"/>
      <c r="AL378" s="2290"/>
      <c r="AM378" s="2290"/>
      <c r="AN378" s="2290"/>
      <c r="AO378" s="2290"/>
      <c r="AP378" s="2290"/>
      <c r="AQ378" s="2290"/>
      <c r="AR378" s="2290"/>
      <c r="AS378" s="2290"/>
      <c r="AT378" s="2290"/>
      <c r="AU378" s="2290"/>
      <c r="AV378" s="2290"/>
      <c r="AW378" s="2290"/>
      <c r="AX378" s="2290"/>
      <c r="AY378" s="2290"/>
      <c r="AZ378" s="2290"/>
      <c r="BA378" s="2290"/>
      <c r="BB378" s="2290"/>
      <c r="BC378" s="2290"/>
      <c r="BD378" s="2290"/>
      <c r="BE378" s="2290"/>
      <c r="BF378" s="2290"/>
      <c r="BG378" s="2290"/>
      <c r="BH378" s="2290"/>
      <c r="BI378" s="2290"/>
      <c r="BJ378" s="2290"/>
      <c r="BK378" s="2290"/>
      <c r="BL378" s="2290"/>
      <c r="BM378" s="2290"/>
      <c r="BN378" s="2290"/>
      <c r="BO378" s="2290"/>
      <c r="BP378" s="2290"/>
      <c r="BQ378" s="2290"/>
      <c r="BR378" s="2290"/>
      <c r="BS378" s="2290"/>
      <c r="BT378" s="2290"/>
      <c r="BU378" s="2290"/>
      <c r="BV378" s="2290"/>
      <c r="BW378" s="2290"/>
      <c r="BX378" s="2290"/>
      <c r="BY378" s="2290"/>
      <c r="BZ378" s="2290"/>
      <c r="CA378" s="2290"/>
    </row>
    <row r="379" spans="1:79">
      <c r="A379" s="2290"/>
      <c r="B379" s="2290"/>
      <c r="C379" s="2290"/>
      <c r="D379" s="2290"/>
      <c r="E379" s="2290"/>
      <c r="F379" s="2290"/>
      <c r="G379" s="2290"/>
      <c r="H379" s="2290"/>
      <c r="I379" s="2290"/>
      <c r="J379" s="2290"/>
      <c r="K379" s="2290"/>
      <c r="L379" s="2290"/>
      <c r="M379" s="2290"/>
      <c r="N379" s="2290"/>
      <c r="O379" s="2290"/>
      <c r="P379" s="2290"/>
      <c r="Q379" s="2290"/>
      <c r="R379" s="2290"/>
      <c r="S379" s="2290"/>
      <c r="T379" s="2290"/>
      <c r="U379" s="2290"/>
      <c r="V379" s="2290"/>
      <c r="W379" s="2290"/>
      <c r="X379" s="2290"/>
      <c r="Y379" s="2290"/>
      <c r="Z379" s="2290"/>
      <c r="AA379" s="2290"/>
      <c r="AB379" s="2290"/>
      <c r="AC379" s="2290"/>
      <c r="AD379" s="2290"/>
      <c r="AE379" s="2290"/>
      <c r="AF379" s="2290"/>
      <c r="AG379" s="2290"/>
      <c r="AH379" s="2290"/>
      <c r="AI379" s="2290"/>
      <c r="AJ379" s="2290"/>
      <c r="AK379" s="2290"/>
      <c r="AL379" s="2290"/>
      <c r="AM379" s="2290"/>
      <c r="AN379" s="2290"/>
      <c r="AO379" s="2290"/>
      <c r="AP379" s="2290"/>
      <c r="AQ379" s="2290"/>
      <c r="AR379" s="2290"/>
      <c r="AS379" s="2290"/>
      <c r="AT379" s="2290"/>
      <c r="AU379" s="2290"/>
      <c r="AV379" s="2290"/>
      <c r="AW379" s="2290"/>
      <c r="AX379" s="2290"/>
      <c r="AY379" s="2290"/>
      <c r="AZ379" s="2290"/>
      <c r="BA379" s="2290"/>
      <c r="BB379" s="2290"/>
      <c r="BC379" s="2290"/>
      <c r="BD379" s="2290"/>
      <c r="BE379" s="2290"/>
      <c r="BF379" s="2290"/>
      <c r="BG379" s="2290"/>
      <c r="BH379" s="2290"/>
      <c r="BI379" s="2290"/>
      <c r="BJ379" s="2290"/>
      <c r="BK379" s="2290"/>
      <c r="BL379" s="2290"/>
      <c r="BM379" s="2290"/>
      <c r="BN379" s="2290"/>
      <c r="BO379" s="2290"/>
      <c r="BP379" s="2290"/>
      <c r="BQ379" s="2290"/>
      <c r="BR379" s="2290"/>
      <c r="BS379" s="2290"/>
      <c r="BT379" s="2290"/>
      <c r="BU379" s="2290"/>
      <c r="BV379" s="2290"/>
      <c r="BW379" s="2290"/>
      <c r="BX379" s="2290"/>
      <c r="BY379" s="2290"/>
      <c r="BZ379" s="2290"/>
      <c r="CA379" s="2290"/>
    </row>
    <row r="380" spans="1:79">
      <c r="A380" s="2290"/>
      <c r="B380" s="2290"/>
      <c r="C380" s="2290"/>
      <c r="D380" s="2290"/>
      <c r="E380" s="2290"/>
      <c r="F380" s="2290"/>
      <c r="G380" s="2290"/>
      <c r="H380" s="2290"/>
      <c r="I380" s="2290"/>
      <c r="J380" s="2290"/>
      <c r="K380" s="2290"/>
      <c r="L380" s="2290"/>
      <c r="M380" s="2290"/>
      <c r="N380" s="2290"/>
      <c r="O380" s="2290"/>
      <c r="P380" s="2290"/>
      <c r="Q380" s="2290"/>
      <c r="R380" s="2290"/>
      <c r="S380" s="2290"/>
      <c r="T380" s="2290"/>
      <c r="U380" s="2290"/>
      <c r="V380" s="2290"/>
      <c r="W380" s="2290"/>
      <c r="X380" s="2290"/>
      <c r="Y380" s="2290"/>
      <c r="Z380" s="2290"/>
      <c r="AA380" s="2290"/>
      <c r="AB380" s="2290"/>
      <c r="AC380" s="2290"/>
      <c r="AD380" s="2290"/>
      <c r="AE380" s="2290"/>
      <c r="AF380" s="2290"/>
      <c r="AG380" s="2290"/>
      <c r="AH380" s="2290"/>
      <c r="AI380" s="2290"/>
      <c r="AJ380" s="2290"/>
      <c r="AK380" s="2290"/>
      <c r="AL380" s="2290"/>
      <c r="AM380" s="2290"/>
      <c r="AN380" s="2290"/>
      <c r="AO380" s="2290"/>
      <c r="AP380" s="2290"/>
      <c r="AQ380" s="2290"/>
      <c r="AR380" s="2290"/>
      <c r="AS380" s="2290"/>
      <c r="AT380" s="2290"/>
      <c r="AU380" s="2290"/>
      <c r="AV380" s="2290"/>
      <c r="AW380" s="2290"/>
      <c r="AX380" s="2290"/>
      <c r="AY380" s="2290"/>
      <c r="AZ380" s="2290"/>
      <c r="BA380" s="2290"/>
      <c r="BB380" s="2290"/>
      <c r="BC380" s="2290"/>
      <c r="BD380" s="2290"/>
      <c r="BE380" s="2290"/>
      <c r="BF380" s="2290"/>
      <c r="BG380" s="2290"/>
      <c r="BH380" s="2290"/>
      <c r="BI380" s="2290"/>
      <c r="BJ380" s="2290"/>
      <c r="BK380" s="2290"/>
      <c r="BL380" s="2290"/>
      <c r="BM380" s="2290"/>
      <c r="BN380" s="2290"/>
      <c r="BO380" s="2290"/>
      <c r="BP380" s="2290"/>
      <c r="BQ380" s="2290"/>
      <c r="BR380" s="2290"/>
      <c r="BS380" s="2290"/>
      <c r="BT380" s="2290"/>
      <c r="BU380" s="2290"/>
      <c r="BV380" s="2290"/>
      <c r="BW380" s="2290"/>
      <c r="BX380" s="2290"/>
      <c r="BY380" s="2290"/>
      <c r="BZ380" s="2290"/>
      <c r="CA380" s="2290"/>
    </row>
    <row r="381" spans="1:79">
      <c r="A381" s="2290"/>
      <c r="B381" s="2290"/>
      <c r="C381" s="2290"/>
      <c r="D381" s="2290"/>
      <c r="E381" s="2290"/>
      <c r="F381" s="2290"/>
      <c r="G381" s="2290"/>
      <c r="H381" s="2290"/>
      <c r="I381" s="2290"/>
      <c r="J381" s="2290"/>
      <c r="K381" s="2290"/>
      <c r="L381" s="2290"/>
      <c r="M381" s="2290"/>
      <c r="N381" s="2290"/>
      <c r="O381" s="2290"/>
      <c r="P381" s="2290"/>
      <c r="Q381" s="2290"/>
      <c r="R381" s="2290"/>
      <c r="S381" s="2290"/>
      <c r="T381" s="2290"/>
      <c r="U381" s="2290"/>
      <c r="V381" s="2290"/>
      <c r="W381" s="2290"/>
      <c r="X381" s="2290"/>
      <c r="Y381" s="2290"/>
      <c r="Z381" s="2290"/>
      <c r="AA381" s="2290"/>
      <c r="AB381" s="2290"/>
      <c r="AC381" s="2290"/>
      <c r="AD381" s="2290"/>
      <c r="AE381" s="2290"/>
      <c r="AF381" s="2290"/>
      <c r="AG381" s="2290"/>
      <c r="AH381" s="2290"/>
      <c r="AI381" s="2290"/>
      <c r="AJ381" s="2290"/>
      <c r="AK381" s="2290"/>
      <c r="AL381" s="2290"/>
      <c r="AM381" s="2290"/>
      <c r="AN381" s="2290"/>
      <c r="AO381" s="2290"/>
      <c r="AP381" s="2290"/>
      <c r="AQ381" s="2290"/>
      <c r="AR381" s="2290"/>
      <c r="AS381" s="2290"/>
      <c r="AT381" s="2290"/>
      <c r="AU381" s="2290"/>
      <c r="AV381" s="2290"/>
      <c r="AW381" s="2290"/>
      <c r="AX381" s="2290"/>
      <c r="AY381" s="2290"/>
      <c r="AZ381" s="2290"/>
      <c r="BA381" s="2290"/>
      <c r="BB381" s="2290"/>
      <c r="BC381" s="2290"/>
      <c r="BD381" s="2290"/>
      <c r="BE381" s="2290"/>
      <c r="BF381" s="2290"/>
      <c r="BG381" s="2290"/>
      <c r="BH381" s="2290"/>
      <c r="BI381" s="2290"/>
      <c r="BJ381" s="2290"/>
      <c r="BK381" s="2290"/>
      <c r="BL381" s="2290"/>
      <c r="BM381" s="2290"/>
      <c r="BN381" s="2290"/>
      <c r="BO381" s="2290"/>
      <c r="BP381" s="2290"/>
      <c r="BQ381" s="2290"/>
      <c r="BR381" s="2290"/>
      <c r="BS381" s="2290"/>
      <c r="BT381" s="2290"/>
      <c r="BU381" s="2290"/>
      <c r="BV381" s="2290"/>
      <c r="BW381" s="2290"/>
      <c r="BX381" s="2290"/>
      <c r="BY381" s="2290"/>
      <c r="BZ381" s="2290"/>
      <c r="CA381" s="2290"/>
    </row>
    <row r="382" spans="1:79">
      <c r="A382" s="2290"/>
      <c r="B382" s="2290"/>
      <c r="C382" s="2290"/>
      <c r="D382" s="2290"/>
      <c r="E382" s="2290"/>
      <c r="F382" s="2290"/>
      <c r="G382" s="2290"/>
      <c r="H382" s="2290"/>
      <c r="I382" s="2290"/>
      <c r="J382" s="2290"/>
      <c r="K382" s="2290"/>
      <c r="L382" s="2290"/>
      <c r="M382" s="2290"/>
      <c r="N382" s="2290"/>
      <c r="O382" s="2290"/>
      <c r="P382" s="2290"/>
      <c r="Q382" s="2290"/>
      <c r="R382" s="2290"/>
      <c r="S382" s="2290"/>
      <c r="T382" s="2290"/>
      <c r="U382" s="2290"/>
      <c r="V382" s="2290"/>
      <c r="W382" s="2290"/>
      <c r="X382" s="2290"/>
      <c r="Y382" s="2290"/>
      <c r="Z382" s="2290"/>
      <c r="AA382" s="2290"/>
      <c r="AB382" s="2290"/>
      <c r="AC382" s="2290"/>
      <c r="AD382" s="2290"/>
      <c r="AE382" s="2290"/>
      <c r="AF382" s="2290"/>
      <c r="AG382" s="2290"/>
      <c r="AH382" s="2290"/>
      <c r="AI382" s="2290"/>
      <c r="AJ382" s="2290"/>
      <c r="AK382" s="2290"/>
      <c r="AL382" s="2290"/>
      <c r="AM382" s="2290"/>
      <c r="AN382" s="2290"/>
      <c r="AO382" s="2290"/>
      <c r="AP382" s="2290"/>
      <c r="AQ382" s="2290"/>
      <c r="AR382" s="2290"/>
      <c r="AS382" s="2290"/>
      <c r="AT382" s="2290"/>
      <c r="AU382" s="2290"/>
      <c r="AV382" s="2290"/>
      <c r="AW382" s="2290"/>
      <c r="AX382" s="2290"/>
      <c r="AY382" s="2290"/>
      <c r="AZ382" s="2290"/>
      <c r="BA382" s="2290"/>
      <c r="BB382" s="2290"/>
      <c r="BC382" s="2290"/>
      <c r="BD382" s="2290"/>
      <c r="BE382" s="2290"/>
      <c r="BF382" s="2290"/>
      <c r="BG382" s="2290"/>
      <c r="BH382" s="2290"/>
      <c r="BI382" s="2290"/>
      <c r="BJ382" s="2290"/>
      <c r="BK382" s="2290"/>
      <c r="BL382" s="2290"/>
      <c r="BM382" s="2290"/>
      <c r="BN382" s="2290"/>
      <c r="BO382" s="2290"/>
      <c r="BP382" s="2290"/>
      <c r="BQ382" s="2290"/>
      <c r="BR382" s="2290"/>
      <c r="BS382" s="2290"/>
      <c r="BT382" s="2290"/>
      <c r="BU382" s="2290"/>
      <c r="BV382" s="2290"/>
      <c r="BW382" s="2290"/>
      <c r="BX382" s="2290"/>
      <c r="BY382" s="2290"/>
      <c r="BZ382" s="2290"/>
      <c r="CA382" s="2290"/>
    </row>
    <row r="383" spans="1:79">
      <c r="A383" s="2290"/>
      <c r="B383" s="2290"/>
      <c r="C383" s="2290"/>
      <c r="D383" s="2290"/>
      <c r="E383" s="2290"/>
      <c r="F383" s="2290"/>
      <c r="G383" s="2290"/>
      <c r="H383" s="2290"/>
      <c r="I383" s="2290"/>
      <c r="J383" s="2290"/>
      <c r="K383" s="2290"/>
      <c r="L383" s="2290"/>
      <c r="M383" s="2290"/>
      <c r="N383" s="2290"/>
      <c r="O383" s="2290"/>
      <c r="P383" s="2290"/>
      <c r="Q383" s="2290"/>
      <c r="R383" s="2290"/>
      <c r="S383" s="2290"/>
      <c r="T383" s="2290"/>
      <c r="U383" s="2290"/>
      <c r="V383" s="2290"/>
      <c r="W383" s="2290"/>
      <c r="X383" s="2290"/>
      <c r="Y383" s="2290"/>
      <c r="Z383" s="2290"/>
      <c r="AA383" s="2290"/>
      <c r="AB383" s="2290"/>
      <c r="AC383" s="2290"/>
      <c r="AD383" s="2290"/>
      <c r="AE383" s="2290"/>
      <c r="AF383" s="2290"/>
      <c r="AG383" s="2290"/>
      <c r="AH383" s="2290"/>
      <c r="AI383" s="2290"/>
      <c r="AJ383" s="2290"/>
      <c r="AK383" s="2290"/>
      <c r="AL383" s="2290"/>
      <c r="AM383" s="2290"/>
      <c r="AN383" s="2290"/>
      <c r="AO383" s="2290"/>
      <c r="AP383" s="2290"/>
      <c r="AQ383" s="2290"/>
      <c r="AR383" s="2290"/>
      <c r="AS383" s="2290"/>
      <c r="AT383" s="2290"/>
      <c r="AU383" s="2290"/>
      <c r="AV383" s="2290"/>
      <c r="AW383" s="2290"/>
      <c r="AX383" s="2290"/>
      <c r="AY383" s="2290"/>
      <c r="AZ383" s="2290"/>
      <c r="BA383" s="2290"/>
      <c r="BB383" s="2290"/>
      <c r="BC383" s="2290"/>
      <c r="BD383" s="2290"/>
      <c r="BE383" s="2290"/>
      <c r="BF383" s="2290"/>
      <c r="BG383" s="2290"/>
      <c r="BH383" s="2290"/>
      <c r="BI383" s="2290"/>
      <c r="BJ383" s="2290"/>
      <c r="BK383" s="2290"/>
      <c r="BL383" s="2290"/>
      <c r="BM383" s="2290"/>
      <c r="BN383" s="2290"/>
      <c r="BO383" s="2290"/>
      <c r="BP383" s="2290"/>
      <c r="BQ383" s="2290"/>
      <c r="BR383" s="2290"/>
      <c r="BS383" s="2290"/>
      <c r="BT383" s="2290"/>
      <c r="BU383" s="2290"/>
      <c r="BV383" s="2290"/>
      <c r="BW383" s="2290"/>
      <c r="BX383" s="2290"/>
      <c r="BY383" s="2290"/>
      <c r="BZ383" s="2290"/>
      <c r="CA383" s="2290"/>
    </row>
    <row r="384" spans="1:79">
      <c r="A384" s="2290"/>
      <c r="B384" s="2290"/>
      <c r="C384" s="2290"/>
      <c r="D384" s="2290"/>
      <c r="E384" s="2290"/>
      <c r="F384" s="2290"/>
      <c r="G384" s="2290"/>
      <c r="H384" s="2290"/>
      <c r="I384" s="2290"/>
      <c r="J384" s="2290"/>
      <c r="K384" s="2290"/>
      <c r="L384" s="2290"/>
      <c r="M384" s="2290"/>
      <c r="N384" s="2290"/>
      <c r="O384" s="2290"/>
      <c r="P384" s="2290"/>
      <c r="Q384" s="2290"/>
      <c r="R384" s="2290"/>
      <c r="S384" s="2290"/>
      <c r="T384" s="2290"/>
      <c r="U384" s="2290"/>
      <c r="V384" s="2290"/>
      <c r="W384" s="2290"/>
      <c r="X384" s="2290"/>
      <c r="Y384" s="2290"/>
      <c r="Z384" s="2290"/>
      <c r="AA384" s="2290"/>
      <c r="AB384" s="2290"/>
      <c r="AC384" s="2290"/>
      <c r="AD384" s="2290"/>
      <c r="AE384" s="2290"/>
      <c r="AF384" s="2290"/>
      <c r="AG384" s="2290"/>
      <c r="AH384" s="2290"/>
      <c r="AI384" s="2290"/>
      <c r="AJ384" s="2290"/>
      <c r="AK384" s="2290"/>
      <c r="AL384" s="2290"/>
      <c r="AM384" s="2290"/>
      <c r="AN384" s="2290"/>
      <c r="AO384" s="2290"/>
      <c r="AP384" s="2290"/>
      <c r="AQ384" s="2290"/>
      <c r="AR384" s="2290"/>
      <c r="AS384" s="2290"/>
      <c r="AT384" s="2290"/>
      <c r="AU384" s="2290"/>
      <c r="AV384" s="2290"/>
      <c r="AW384" s="2290"/>
      <c r="AX384" s="2290"/>
      <c r="AY384" s="2290"/>
      <c r="AZ384" s="2290"/>
      <c r="BA384" s="2290"/>
      <c r="BB384" s="2290"/>
      <c r="BC384" s="2290"/>
      <c r="BD384" s="2290"/>
      <c r="BE384" s="2290"/>
      <c r="BF384" s="2290"/>
      <c r="BG384" s="2290"/>
      <c r="BH384" s="2290"/>
      <c r="BI384" s="2290"/>
      <c r="BJ384" s="2290"/>
      <c r="BK384" s="2290"/>
      <c r="BL384" s="2290"/>
      <c r="BM384" s="2290"/>
      <c r="BN384" s="2290"/>
      <c r="BO384" s="2290"/>
      <c r="BP384" s="2290"/>
      <c r="BQ384" s="2290"/>
      <c r="BR384" s="2290"/>
      <c r="BS384" s="2290"/>
      <c r="BT384" s="2290"/>
      <c r="BU384" s="2290"/>
      <c r="BV384" s="2290"/>
      <c r="BW384" s="2290"/>
      <c r="BX384" s="2290"/>
      <c r="BY384" s="2290"/>
      <c r="BZ384" s="2290"/>
      <c r="CA384" s="2290"/>
    </row>
    <row r="385" spans="1:79">
      <c r="A385" s="2290"/>
      <c r="B385" s="2290"/>
      <c r="C385" s="2290"/>
      <c r="D385" s="2290"/>
      <c r="E385" s="2290"/>
      <c r="F385" s="2290"/>
      <c r="G385" s="2290"/>
      <c r="H385" s="2290"/>
      <c r="I385" s="2290"/>
      <c r="J385" s="2290"/>
      <c r="K385" s="2290"/>
      <c r="L385" s="2290"/>
      <c r="M385" s="2290"/>
      <c r="N385" s="2290"/>
      <c r="O385" s="2290"/>
      <c r="P385" s="2290"/>
      <c r="Q385" s="2290"/>
      <c r="R385" s="2290"/>
      <c r="S385" s="2290"/>
      <c r="T385" s="2290"/>
      <c r="U385" s="2290"/>
      <c r="V385" s="2290"/>
      <c r="W385" s="2290"/>
      <c r="X385" s="2290"/>
      <c r="Y385" s="2290"/>
      <c r="Z385" s="2290"/>
      <c r="AA385" s="2290"/>
      <c r="AB385" s="2290"/>
      <c r="AC385" s="2290"/>
      <c r="AD385" s="2290"/>
      <c r="AE385" s="2290"/>
      <c r="AF385" s="2290"/>
      <c r="AG385" s="2290"/>
      <c r="AH385" s="2290"/>
      <c r="AI385" s="2290"/>
      <c r="AJ385" s="2290"/>
      <c r="AK385" s="2290"/>
      <c r="AL385" s="2290"/>
      <c r="AM385" s="2290"/>
      <c r="AN385" s="2290"/>
      <c r="AO385" s="2290"/>
      <c r="AP385" s="2290"/>
      <c r="AQ385" s="2290"/>
      <c r="AR385" s="2290"/>
      <c r="AS385" s="2290"/>
      <c r="AT385" s="2290"/>
      <c r="AU385" s="2290"/>
      <c r="AV385" s="2290"/>
      <c r="AW385" s="2290"/>
      <c r="AX385" s="2290"/>
      <c r="AY385" s="2290"/>
      <c r="AZ385" s="2290"/>
      <c r="BA385" s="2290"/>
      <c r="BB385" s="2290"/>
      <c r="BC385" s="2290"/>
      <c r="BD385" s="2290"/>
      <c r="BE385" s="2290"/>
      <c r="BF385" s="2290"/>
      <c r="BG385" s="2290"/>
      <c r="BH385" s="2290"/>
      <c r="BI385" s="2290"/>
      <c r="BJ385" s="2290"/>
      <c r="BK385" s="2290"/>
      <c r="BL385" s="2290"/>
      <c r="BM385" s="2290"/>
      <c r="BN385" s="2290"/>
      <c r="BO385" s="2290"/>
      <c r="BP385" s="2290"/>
      <c r="BQ385" s="2290"/>
      <c r="BR385" s="2290"/>
      <c r="BS385" s="2290"/>
      <c r="BT385" s="2290"/>
      <c r="BU385" s="2290"/>
      <c r="BV385" s="2290"/>
      <c r="BW385" s="2290"/>
      <c r="BX385" s="2290"/>
      <c r="BY385" s="2290"/>
      <c r="BZ385" s="2290"/>
      <c r="CA385" s="2290"/>
    </row>
    <row r="386" spans="1:79">
      <c r="A386" s="2290"/>
      <c r="B386" s="2290"/>
      <c r="C386" s="2290"/>
      <c r="D386" s="2290"/>
      <c r="E386" s="2290"/>
      <c r="F386" s="2290"/>
      <c r="G386" s="2290"/>
      <c r="H386" s="2290"/>
      <c r="I386" s="2290"/>
      <c r="J386" s="2290"/>
      <c r="K386" s="2290"/>
      <c r="L386" s="2290"/>
      <c r="M386" s="2290"/>
      <c r="N386" s="2290"/>
      <c r="O386" s="2290"/>
      <c r="P386" s="2290"/>
      <c r="Q386" s="2290"/>
      <c r="R386" s="2290"/>
      <c r="S386" s="2290"/>
      <c r="T386" s="2290"/>
      <c r="U386" s="2290"/>
      <c r="V386" s="2290"/>
      <c r="W386" s="2290"/>
      <c r="X386" s="2290"/>
      <c r="Y386" s="2290"/>
      <c r="Z386" s="2290"/>
      <c r="AA386" s="2290"/>
      <c r="AB386" s="2290"/>
      <c r="AC386" s="2290"/>
      <c r="AD386" s="2290"/>
      <c r="AE386" s="2290"/>
      <c r="AF386" s="2290"/>
      <c r="AG386" s="2290"/>
      <c r="AH386" s="2290"/>
      <c r="AI386" s="2290"/>
      <c r="AJ386" s="2290"/>
      <c r="AK386" s="2290"/>
      <c r="AL386" s="2290"/>
      <c r="AM386" s="2290"/>
      <c r="AN386" s="2290"/>
      <c r="AO386" s="2290"/>
      <c r="AP386" s="2290"/>
      <c r="AQ386" s="2290"/>
      <c r="AR386" s="2290"/>
      <c r="AS386" s="2290"/>
      <c r="AT386" s="2290"/>
      <c r="AU386" s="2290"/>
      <c r="AV386" s="2290"/>
      <c r="AW386" s="2290"/>
      <c r="AX386" s="2290"/>
      <c r="AY386" s="2290"/>
      <c r="AZ386" s="2290"/>
      <c r="BA386" s="2290"/>
      <c r="BB386" s="2290"/>
      <c r="BC386" s="2290"/>
      <c r="BD386" s="2290"/>
      <c r="BE386" s="2290"/>
      <c r="BF386" s="2290"/>
      <c r="BG386" s="2290"/>
      <c r="BH386" s="2290"/>
      <c r="BI386" s="2290"/>
      <c r="BJ386" s="2290"/>
      <c r="BK386" s="2290"/>
      <c r="BL386" s="2290"/>
      <c r="BM386" s="2290"/>
      <c r="BN386" s="2290"/>
      <c r="BO386" s="2290"/>
      <c r="BP386" s="2290"/>
      <c r="BQ386" s="2290"/>
      <c r="BR386" s="2290"/>
      <c r="BS386" s="2290"/>
      <c r="BT386" s="2290"/>
      <c r="BU386" s="2290"/>
      <c r="BV386" s="2290"/>
      <c r="BW386" s="2290"/>
      <c r="BX386" s="2290"/>
      <c r="BY386" s="2290"/>
      <c r="BZ386" s="2290"/>
      <c r="CA386" s="2290"/>
    </row>
    <row r="387" spans="1:79">
      <c r="A387" s="2290"/>
      <c r="B387" s="2290"/>
      <c r="C387" s="2290"/>
      <c r="D387" s="2290"/>
      <c r="E387" s="2290"/>
      <c r="F387" s="2290"/>
      <c r="G387" s="2290"/>
      <c r="H387" s="2290"/>
      <c r="I387" s="2290"/>
      <c r="J387" s="2290"/>
      <c r="K387" s="2290"/>
      <c r="L387" s="2290"/>
      <c r="M387" s="2290"/>
      <c r="N387" s="2290"/>
      <c r="O387" s="2290"/>
      <c r="P387" s="2290"/>
      <c r="Q387" s="2290"/>
      <c r="R387" s="2290"/>
      <c r="S387" s="2290"/>
      <c r="T387" s="2290"/>
      <c r="U387" s="2290"/>
      <c r="V387" s="2290"/>
      <c r="W387" s="2290"/>
      <c r="X387" s="2290"/>
      <c r="Y387" s="2290"/>
      <c r="Z387" s="2290"/>
      <c r="AA387" s="2290"/>
      <c r="AB387" s="2290"/>
      <c r="AC387" s="2290"/>
      <c r="AD387" s="2290"/>
      <c r="AE387" s="2290"/>
      <c r="AF387" s="2290"/>
      <c r="AG387" s="2290"/>
      <c r="AH387" s="2290"/>
      <c r="AI387" s="2290"/>
      <c r="AJ387" s="2290"/>
      <c r="AK387" s="2290"/>
      <c r="AL387" s="2290"/>
      <c r="AM387" s="2290"/>
      <c r="AN387" s="2290"/>
      <c r="AO387" s="2290"/>
      <c r="AP387" s="2290"/>
      <c r="AQ387" s="2290"/>
      <c r="AR387" s="2290"/>
      <c r="AS387" s="2290"/>
      <c r="AT387" s="2290"/>
      <c r="AU387" s="2290"/>
      <c r="AV387" s="2290"/>
      <c r="AW387" s="2290"/>
      <c r="AX387" s="2290"/>
      <c r="AY387" s="2290"/>
      <c r="AZ387" s="2290"/>
      <c r="BA387" s="2290"/>
      <c r="BB387" s="2290"/>
      <c r="BC387" s="2290"/>
      <c r="BD387" s="2290"/>
      <c r="BE387" s="2290"/>
      <c r="BF387" s="2290"/>
      <c r="BG387" s="2290"/>
      <c r="BH387" s="2290"/>
      <c r="BI387" s="2290"/>
      <c r="BJ387" s="2290"/>
      <c r="BK387" s="2290"/>
      <c r="BL387" s="2290"/>
      <c r="BM387" s="2290"/>
      <c r="BN387" s="2290"/>
      <c r="BO387" s="2290"/>
      <c r="BP387" s="2290"/>
      <c r="BQ387" s="2290"/>
      <c r="BR387" s="2290"/>
      <c r="BS387" s="2290"/>
      <c r="BT387" s="2290"/>
      <c r="BU387" s="2290"/>
      <c r="BV387" s="2290"/>
      <c r="BW387" s="2290"/>
      <c r="BX387" s="2290"/>
      <c r="BY387" s="2290"/>
      <c r="BZ387" s="2290"/>
      <c r="CA387" s="2290"/>
    </row>
    <row r="388" spans="1:79">
      <c r="A388" s="2290"/>
      <c r="B388" s="2290"/>
      <c r="C388" s="2290"/>
      <c r="D388" s="2290"/>
      <c r="E388" s="2290"/>
      <c r="F388" s="2290"/>
      <c r="G388" s="2290"/>
      <c r="H388" s="2290"/>
      <c r="I388" s="2290"/>
      <c r="J388" s="2290"/>
      <c r="K388" s="2290"/>
      <c r="L388" s="2290"/>
      <c r="M388" s="2290"/>
      <c r="N388" s="2290"/>
      <c r="O388" s="2290"/>
      <c r="P388" s="2290"/>
      <c r="Q388" s="2290"/>
      <c r="R388" s="2290"/>
      <c r="S388" s="2290"/>
      <c r="T388" s="2290"/>
      <c r="U388" s="2290"/>
      <c r="V388" s="2290"/>
      <c r="W388" s="2290"/>
      <c r="X388" s="2290"/>
      <c r="Y388" s="2290"/>
      <c r="Z388" s="2290"/>
      <c r="AA388" s="2290"/>
      <c r="AB388" s="2290"/>
      <c r="AC388" s="2290"/>
      <c r="AD388" s="2290"/>
      <c r="AE388" s="2290"/>
      <c r="AF388" s="2290"/>
      <c r="AG388" s="2290"/>
      <c r="AH388" s="2290"/>
      <c r="AI388" s="2290"/>
      <c r="AJ388" s="2290"/>
      <c r="AK388" s="2290"/>
      <c r="AL388" s="2290"/>
      <c r="AM388" s="2290"/>
      <c r="AN388" s="2290"/>
      <c r="AO388" s="2290"/>
      <c r="AP388" s="2290"/>
      <c r="AQ388" s="2290"/>
      <c r="AR388" s="2290"/>
      <c r="AS388" s="2290"/>
      <c r="AT388" s="2290"/>
      <c r="AU388" s="2290"/>
      <c r="AV388" s="2290"/>
      <c r="AW388" s="2290"/>
      <c r="AX388" s="2290"/>
      <c r="AY388" s="2290"/>
      <c r="AZ388" s="2290"/>
      <c r="BA388" s="2290"/>
      <c r="BB388" s="2290"/>
      <c r="BC388" s="2290"/>
      <c r="BD388" s="2290"/>
      <c r="BE388" s="2290"/>
      <c r="BF388" s="2290"/>
      <c r="BG388" s="2290"/>
      <c r="BH388" s="2290"/>
      <c r="BI388" s="2290"/>
      <c r="BJ388" s="2290"/>
      <c r="BK388" s="2290"/>
      <c r="BL388" s="2290"/>
      <c r="BM388" s="2290"/>
      <c r="BN388" s="2290"/>
      <c r="BO388" s="2290"/>
      <c r="BP388" s="2290"/>
      <c r="BQ388" s="2290"/>
      <c r="BR388" s="2290"/>
      <c r="BS388" s="2290"/>
      <c r="BT388" s="2290"/>
      <c r="BU388" s="2290"/>
      <c r="BV388" s="2290"/>
      <c r="BW388" s="2290"/>
      <c r="BX388" s="2290"/>
      <c r="BY388" s="2290"/>
      <c r="BZ388" s="2290"/>
      <c r="CA388" s="2290"/>
    </row>
    <row r="389" spans="1:79">
      <c r="A389" s="2290"/>
      <c r="B389" s="2290"/>
      <c r="C389" s="2290"/>
      <c r="D389" s="2290"/>
      <c r="E389" s="2290"/>
      <c r="F389" s="2290"/>
      <c r="G389" s="2290"/>
      <c r="H389" s="2290"/>
      <c r="I389" s="2290"/>
      <c r="J389" s="2290"/>
      <c r="K389" s="2290"/>
      <c r="L389" s="2290"/>
      <c r="M389" s="2290"/>
      <c r="N389" s="2290"/>
      <c r="O389" s="2290"/>
      <c r="P389" s="2290"/>
      <c r="Q389" s="2290"/>
      <c r="R389" s="2290"/>
      <c r="S389" s="2290"/>
      <c r="T389" s="2290"/>
      <c r="U389" s="2290"/>
      <c r="V389" s="2290"/>
      <c r="W389" s="2290"/>
      <c r="X389" s="2290"/>
      <c r="Y389" s="2290"/>
      <c r="Z389" s="2290"/>
      <c r="AA389" s="2290"/>
      <c r="AB389" s="2290"/>
      <c r="AC389" s="2290"/>
      <c r="AD389" s="2290"/>
      <c r="AE389" s="2290"/>
      <c r="AF389" s="2290"/>
      <c r="AG389" s="2290"/>
      <c r="AH389" s="2290"/>
      <c r="AI389" s="2290"/>
      <c r="AJ389" s="2290"/>
      <c r="AK389" s="2290"/>
      <c r="AL389" s="2290"/>
      <c r="AM389" s="2290"/>
      <c r="AN389" s="2290"/>
      <c r="AO389" s="2290"/>
      <c r="AP389" s="2290"/>
      <c r="AQ389" s="2290"/>
      <c r="AR389" s="2290"/>
      <c r="AS389" s="2290"/>
      <c r="AT389" s="2290"/>
      <c r="AU389" s="2290"/>
      <c r="AV389" s="2290"/>
      <c r="AW389" s="2290"/>
      <c r="AX389" s="2290"/>
      <c r="AY389" s="2290"/>
      <c r="AZ389" s="2290"/>
      <c r="BA389" s="2290"/>
      <c r="BB389" s="2290"/>
      <c r="BC389" s="2290"/>
      <c r="BD389" s="2290"/>
      <c r="BE389" s="2290"/>
      <c r="BF389" s="2290"/>
      <c r="BG389" s="2290"/>
      <c r="BH389" s="2290"/>
      <c r="BI389" s="2290"/>
      <c r="BJ389" s="2290"/>
      <c r="BK389" s="2290"/>
      <c r="BL389" s="2290"/>
      <c r="BM389" s="2290"/>
      <c r="BN389" s="2290"/>
      <c r="BO389" s="2290"/>
      <c r="BP389" s="2290"/>
      <c r="BQ389" s="2290"/>
      <c r="BR389" s="2290"/>
      <c r="BS389" s="2290"/>
      <c r="BT389" s="2290"/>
      <c r="BU389" s="2290"/>
      <c r="BV389" s="2290"/>
      <c r="BW389" s="2290"/>
      <c r="BX389" s="2290"/>
      <c r="BY389" s="2290"/>
      <c r="BZ389" s="2290"/>
      <c r="CA389" s="2290"/>
    </row>
    <row r="390" spans="1:79">
      <c r="A390" s="2290"/>
      <c r="B390" s="2290"/>
      <c r="C390" s="2290"/>
      <c r="D390" s="2290"/>
      <c r="E390" s="2290"/>
      <c r="F390" s="2290"/>
      <c r="G390" s="2290"/>
      <c r="H390" s="2290"/>
      <c r="I390" s="2290"/>
      <c r="J390" s="2290"/>
      <c r="K390" s="2290"/>
      <c r="L390" s="2290"/>
      <c r="M390" s="2290"/>
      <c r="N390" s="2290"/>
      <c r="O390" s="2290"/>
      <c r="P390" s="2290"/>
      <c r="Q390" s="2290"/>
      <c r="R390" s="2290"/>
      <c r="S390" s="2290"/>
      <c r="T390" s="2290"/>
      <c r="U390" s="2290"/>
      <c r="V390" s="2290"/>
      <c r="W390" s="2290"/>
      <c r="X390" s="2290"/>
      <c r="Y390" s="2290"/>
      <c r="Z390" s="2290"/>
      <c r="AA390" s="2290"/>
      <c r="AB390" s="2290"/>
      <c r="AC390" s="2290"/>
      <c r="AD390" s="2290"/>
      <c r="AE390" s="2290"/>
      <c r="AF390" s="2290"/>
      <c r="AG390" s="2290"/>
      <c r="AH390" s="2290"/>
      <c r="AI390" s="2290"/>
      <c r="AJ390" s="2290"/>
      <c r="AK390" s="2290"/>
      <c r="AL390" s="2290"/>
      <c r="AM390" s="2290"/>
      <c r="AN390" s="2290"/>
      <c r="AO390" s="2290"/>
      <c r="AP390" s="2290"/>
      <c r="AQ390" s="2290"/>
      <c r="AR390" s="2290"/>
      <c r="AS390" s="2290"/>
      <c r="AT390" s="2290"/>
      <c r="AU390" s="2290"/>
      <c r="AV390" s="2290"/>
      <c r="AW390" s="2290"/>
      <c r="AX390" s="2290"/>
      <c r="AY390" s="2290"/>
      <c r="AZ390" s="2290"/>
      <c r="BA390" s="2290"/>
      <c r="BB390" s="2290"/>
      <c r="BC390" s="2290"/>
      <c r="BD390" s="2290"/>
      <c r="BE390" s="2290"/>
      <c r="BF390" s="2290"/>
      <c r="BG390" s="2290"/>
      <c r="BH390" s="2290"/>
      <c r="BI390" s="2290"/>
      <c r="BJ390" s="2290"/>
      <c r="BK390" s="2290"/>
      <c r="BL390" s="2290"/>
      <c r="BM390" s="2290"/>
      <c r="BN390" s="2290"/>
      <c r="BO390" s="2290"/>
      <c r="BP390" s="2290"/>
      <c r="BQ390" s="2290"/>
      <c r="BR390" s="2290"/>
      <c r="BS390" s="2290"/>
      <c r="BT390" s="2290"/>
      <c r="BU390" s="2290"/>
      <c r="BV390" s="2290"/>
      <c r="BW390" s="2290"/>
      <c r="BX390" s="2290"/>
      <c r="BY390" s="2290"/>
      <c r="BZ390" s="2290"/>
      <c r="CA390" s="2290"/>
    </row>
    <row r="391" spans="1:79">
      <c r="A391" s="2290"/>
      <c r="B391" s="2290"/>
      <c r="C391" s="2290"/>
      <c r="D391" s="2290"/>
      <c r="E391" s="2290"/>
      <c r="F391" s="2290"/>
      <c r="G391" s="2290"/>
      <c r="H391" s="2290"/>
      <c r="I391" s="2290"/>
      <c r="J391" s="2290"/>
      <c r="K391" s="2290"/>
      <c r="L391" s="2290"/>
      <c r="M391" s="2290"/>
      <c r="N391" s="2290"/>
      <c r="O391" s="2290"/>
      <c r="P391" s="2290"/>
      <c r="Q391" s="2290"/>
      <c r="R391" s="2290"/>
      <c r="S391" s="2290"/>
      <c r="T391" s="2290"/>
      <c r="U391" s="2290"/>
      <c r="V391" s="2290"/>
      <c r="W391" s="2290"/>
      <c r="X391" s="2290"/>
      <c r="Y391" s="2290"/>
      <c r="Z391" s="2290"/>
      <c r="AA391" s="2290"/>
      <c r="AB391" s="2290"/>
      <c r="AC391" s="2290"/>
      <c r="AD391" s="2290"/>
      <c r="AE391" s="2290"/>
      <c r="AF391" s="2290"/>
      <c r="AG391" s="2290"/>
      <c r="AH391" s="2290"/>
      <c r="AI391" s="2290"/>
      <c r="AJ391" s="2290"/>
      <c r="AK391" s="2290"/>
      <c r="AL391" s="2290"/>
      <c r="AM391" s="2290"/>
      <c r="AN391" s="2290"/>
      <c r="AO391" s="2290"/>
      <c r="AP391" s="2290"/>
      <c r="AQ391" s="2290"/>
      <c r="AR391" s="2290"/>
      <c r="AS391" s="2290"/>
      <c r="AT391" s="2290"/>
      <c r="AU391" s="2290"/>
      <c r="AV391" s="2290"/>
      <c r="AW391" s="2290"/>
      <c r="AX391" s="2290"/>
      <c r="AY391" s="2290"/>
      <c r="AZ391" s="2290"/>
      <c r="BA391" s="2290"/>
      <c r="BB391" s="2290"/>
      <c r="BC391" s="2290"/>
      <c r="BD391" s="2290"/>
      <c r="BE391" s="2290"/>
      <c r="BF391" s="2290"/>
      <c r="BG391" s="2290"/>
      <c r="BH391" s="2290"/>
      <c r="BI391" s="2290"/>
      <c r="BJ391" s="2290"/>
      <c r="BK391" s="2290"/>
      <c r="BL391" s="2290"/>
      <c r="BM391" s="2290"/>
      <c r="BN391" s="2290"/>
      <c r="BO391" s="2290"/>
      <c r="BP391" s="2290"/>
      <c r="BQ391" s="2290"/>
      <c r="BR391" s="2290"/>
      <c r="BS391" s="2290"/>
      <c r="BT391" s="2290"/>
      <c r="BU391" s="2290"/>
      <c r="BV391" s="2290"/>
      <c r="BW391" s="2290"/>
      <c r="BX391" s="2290"/>
      <c r="BY391" s="2290"/>
      <c r="BZ391" s="2290"/>
      <c r="CA391" s="2290"/>
    </row>
    <row r="392" spans="1:79">
      <c r="A392" s="2290"/>
      <c r="B392" s="2290"/>
      <c r="C392" s="2290"/>
      <c r="D392" s="2290"/>
      <c r="E392" s="2290"/>
      <c r="F392" s="2290"/>
      <c r="G392" s="2290"/>
      <c r="H392" s="2290"/>
      <c r="I392" s="2290"/>
      <c r="J392" s="2290"/>
      <c r="K392" s="2290"/>
      <c r="L392" s="2290"/>
      <c r="M392" s="2290"/>
      <c r="N392" s="2290"/>
      <c r="O392" s="2290"/>
      <c r="P392" s="2290"/>
      <c r="Q392" s="2290"/>
      <c r="R392" s="2290"/>
      <c r="S392" s="2290"/>
      <c r="T392" s="2290"/>
      <c r="U392" s="2290"/>
      <c r="V392" s="2290"/>
      <c r="W392" s="2290"/>
      <c r="X392" s="2290"/>
      <c r="Y392" s="2290"/>
      <c r="Z392" s="2290"/>
      <c r="AA392" s="2290"/>
      <c r="AB392" s="2290"/>
      <c r="AC392" s="2290"/>
      <c r="AD392" s="2290"/>
      <c r="AE392" s="2290"/>
      <c r="AF392" s="2290"/>
      <c r="AG392" s="2290"/>
      <c r="AH392" s="2290"/>
      <c r="AI392" s="2290"/>
      <c r="AJ392" s="2290"/>
      <c r="AK392" s="2290"/>
      <c r="AL392" s="2290"/>
      <c r="AM392" s="2290"/>
      <c r="AN392" s="2290"/>
      <c r="AO392" s="2290"/>
      <c r="AP392" s="2290"/>
      <c r="AQ392" s="2290"/>
      <c r="AR392" s="2290"/>
      <c r="AS392" s="2290"/>
      <c r="AT392" s="2290"/>
      <c r="AU392" s="2290"/>
      <c r="AV392" s="2290"/>
      <c r="AW392" s="2290"/>
      <c r="AX392" s="2290"/>
      <c r="AY392" s="2290"/>
      <c r="AZ392" s="2290"/>
      <c r="BA392" s="2290"/>
      <c r="BB392" s="2290"/>
      <c r="BC392" s="2290"/>
      <c r="BD392" s="2290"/>
      <c r="BE392" s="2290"/>
      <c r="BF392" s="2290"/>
      <c r="BG392" s="2290"/>
      <c r="BH392" s="2290"/>
      <c r="BI392" s="2290"/>
      <c r="BJ392" s="2290"/>
      <c r="BK392" s="2290"/>
      <c r="BL392" s="2290"/>
      <c r="BM392" s="2290"/>
      <c r="BN392" s="2290"/>
      <c r="BO392" s="2290"/>
      <c r="BP392" s="2290"/>
      <c r="BQ392" s="2290"/>
      <c r="BR392" s="2290"/>
      <c r="BS392" s="2290"/>
      <c r="BT392" s="2290"/>
      <c r="BU392" s="2290"/>
      <c r="BV392" s="2290"/>
      <c r="BW392" s="2290"/>
      <c r="BX392" s="2290"/>
      <c r="BY392" s="2290"/>
      <c r="BZ392" s="2290"/>
      <c r="CA392" s="2290"/>
    </row>
    <row r="393" spans="1:79">
      <c r="A393" s="2290"/>
      <c r="B393" s="2290"/>
      <c r="C393" s="2290"/>
      <c r="D393" s="2290"/>
      <c r="E393" s="2290"/>
      <c r="F393" s="2290"/>
      <c r="G393" s="2290"/>
      <c r="H393" s="2290"/>
      <c r="I393" s="2290"/>
      <c r="J393" s="2290"/>
      <c r="K393" s="2290"/>
      <c r="L393" s="2290"/>
      <c r="M393" s="2290"/>
      <c r="N393" s="2290"/>
      <c r="O393" s="2290"/>
      <c r="P393" s="2290"/>
      <c r="Q393" s="2290"/>
      <c r="R393" s="2290"/>
      <c r="S393" s="2290"/>
      <c r="T393" s="2290"/>
      <c r="U393" s="2290"/>
      <c r="V393" s="2290"/>
      <c r="W393" s="2290"/>
      <c r="X393" s="2290"/>
      <c r="Y393" s="2290"/>
      <c r="Z393" s="2290"/>
      <c r="AA393" s="2290"/>
      <c r="AB393" s="2290"/>
      <c r="AC393" s="2290"/>
      <c r="AD393" s="2290"/>
      <c r="AE393" s="2290"/>
      <c r="AF393" s="2290"/>
      <c r="AG393" s="2290"/>
      <c r="AH393" s="2290"/>
      <c r="AI393" s="2290"/>
      <c r="AJ393" s="2290"/>
      <c r="AK393" s="2290"/>
      <c r="AL393" s="2290"/>
      <c r="AM393" s="2290"/>
      <c r="AN393" s="2290"/>
      <c r="AO393" s="2290"/>
      <c r="AP393" s="2290"/>
      <c r="AQ393" s="2290"/>
      <c r="AR393" s="2290"/>
      <c r="AS393" s="2290"/>
      <c r="AT393" s="2290"/>
      <c r="AU393" s="2290"/>
      <c r="AV393" s="2290"/>
      <c r="AW393" s="2290"/>
      <c r="AX393" s="2290"/>
      <c r="AY393" s="2290"/>
      <c r="AZ393" s="2290"/>
      <c r="BA393" s="2290"/>
      <c r="BB393" s="2290"/>
      <c r="BC393" s="2290"/>
      <c r="BD393" s="2290"/>
      <c r="BE393" s="2290"/>
      <c r="BF393" s="2290"/>
      <c r="BG393" s="2290"/>
      <c r="BH393" s="2290"/>
      <c r="BI393" s="2290"/>
      <c r="BJ393" s="2290"/>
      <c r="BK393" s="2290"/>
      <c r="BL393" s="2290"/>
      <c r="BM393" s="2290"/>
      <c r="BN393" s="2290"/>
      <c r="BO393" s="2290"/>
      <c r="BP393" s="2290"/>
      <c r="BQ393" s="2290"/>
      <c r="BR393" s="2290"/>
      <c r="BS393" s="2290"/>
      <c r="BT393" s="2290"/>
      <c r="BU393" s="2290"/>
      <c r="BV393" s="2290"/>
      <c r="BW393" s="2290"/>
      <c r="BX393" s="2290"/>
      <c r="BY393" s="2290"/>
      <c r="BZ393" s="2290"/>
      <c r="CA393" s="2290"/>
    </row>
    <row r="394" spans="1:79">
      <c r="A394" s="2290"/>
      <c r="B394" s="2290"/>
      <c r="C394" s="2290"/>
      <c r="D394" s="2290"/>
      <c r="E394" s="2290"/>
      <c r="F394" s="2290"/>
      <c r="G394" s="2290"/>
      <c r="H394" s="2290"/>
      <c r="I394" s="2290"/>
      <c r="J394" s="2290"/>
      <c r="K394" s="2290"/>
      <c r="L394" s="2290"/>
      <c r="M394" s="2290"/>
      <c r="N394" s="2290"/>
      <c r="O394" s="2290"/>
      <c r="P394" s="2290"/>
      <c r="Q394" s="2290"/>
      <c r="R394" s="2290"/>
      <c r="S394" s="2290"/>
      <c r="T394" s="2290"/>
      <c r="U394" s="2290"/>
      <c r="V394" s="2290"/>
      <c r="W394" s="2290"/>
      <c r="X394" s="2290"/>
      <c r="Y394" s="2290"/>
      <c r="Z394" s="2290"/>
      <c r="AA394" s="2290"/>
      <c r="AB394" s="2290"/>
      <c r="AC394" s="2290"/>
      <c r="AD394" s="2290"/>
      <c r="AE394" s="2290"/>
      <c r="AF394" s="2290"/>
      <c r="AG394" s="2290"/>
      <c r="AH394" s="2290"/>
      <c r="AI394" s="2290"/>
      <c r="AJ394" s="2290"/>
      <c r="AK394" s="2290"/>
      <c r="AL394" s="2290"/>
      <c r="AM394" s="2290"/>
      <c r="AN394" s="2290"/>
      <c r="AO394" s="2290"/>
      <c r="AP394" s="2290"/>
      <c r="AQ394" s="2290"/>
      <c r="AR394" s="2290"/>
      <c r="AS394" s="2290"/>
      <c r="AT394" s="2290"/>
      <c r="AU394" s="2290"/>
      <c r="AV394" s="2290"/>
      <c r="AW394" s="2290"/>
      <c r="AX394" s="2290"/>
      <c r="AY394" s="2290"/>
      <c r="AZ394" s="2290"/>
      <c r="BA394" s="2290"/>
      <c r="BB394" s="2290"/>
      <c r="BC394" s="2290"/>
      <c r="BD394" s="2290"/>
      <c r="BE394" s="2290"/>
      <c r="BF394" s="2290"/>
      <c r="BG394" s="2290"/>
      <c r="BH394" s="2290"/>
      <c r="BI394" s="2290"/>
      <c r="BJ394" s="2290"/>
      <c r="BK394" s="2290"/>
      <c r="BL394" s="2290"/>
      <c r="BM394" s="2290"/>
      <c r="BN394" s="2290"/>
      <c r="BO394" s="2290"/>
      <c r="BP394" s="2290"/>
      <c r="BQ394" s="2290"/>
      <c r="BR394" s="2290"/>
      <c r="BS394" s="2290"/>
      <c r="BT394" s="2290"/>
      <c r="BU394" s="2290"/>
      <c r="BV394" s="2290"/>
      <c r="BW394" s="2290"/>
      <c r="BX394" s="2290"/>
      <c r="BY394" s="2290"/>
      <c r="BZ394" s="2290"/>
      <c r="CA394" s="2290"/>
    </row>
    <row r="395" spans="1:79">
      <c r="A395" s="2290"/>
      <c r="B395" s="2290"/>
      <c r="C395" s="2290"/>
      <c r="D395" s="2290"/>
      <c r="E395" s="2290"/>
      <c r="F395" s="2290"/>
      <c r="G395" s="2290"/>
      <c r="H395" s="2290"/>
      <c r="I395" s="2290"/>
      <c r="J395" s="2290"/>
      <c r="K395" s="2290"/>
      <c r="L395" s="2290"/>
      <c r="M395" s="2290"/>
      <c r="N395" s="2290"/>
      <c r="O395" s="2290"/>
      <c r="P395" s="2290"/>
      <c r="Q395" s="2290"/>
      <c r="R395" s="2290"/>
      <c r="S395" s="2290"/>
      <c r="T395" s="2290"/>
      <c r="U395" s="2290"/>
      <c r="V395" s="2290"/>
      <c r="W395" s="2290"/>
      <c r="X395" s="2290"/>
      <c r="Y395" s="2290"/>
      <c r="Z395" s="2290"/>
      <c r="AA395" s="2290"/>
      <c r="AB395" s="2290"/>
      <c r="AC395" s="2290"/>
      <c r="AD395" s="2290"/>
      <c r="AE395" s="2290"/>
      <c r="AF395" s="2290"/>
      <c r="AG395" s="2290"/>
      <c r="AH395" s="2290"/>
      <c r="AI395" s="2290"/>
      <c r="AJ395" s="2290"/>
      <c r="AK395" s="2290"/>
      <c r="AL395" s="2290"/>
      <c r="AM395" s="2290"/>
      <c r="AN395" s="2290"/>
      <c r="AO395" s="2290"/>
      <c r="AP395" s="2290"/>
      <c r="AQ395" s="2290"/>
      <c r="AR395" s="2290"/>
      <c r="AS395" s="2290"/>
      <c r="AT395" s="2290"/>
      <c r="AU395" s="2290"/>
      <c r="AV395" s="2290"/>
      <c r="AW395" s="2290"/>
      <c r="AX395" s="2290"/>
      <c r="AY395" s="2290"/>
      <c r="AZ395" s="2290"/>
      <c r="BA395" s="2290"/>
      <c r="BB395" s="2290"/>
      <c r="BC395" s="2290"/>
      <c r="BD395" s="2290"/>
      <c r="BE395" s="2290"/>
      <c r="BF395" s="2290"/>
      <c r="BG395" s="2290"/>
      <c r="BH395" s="2290"/>
      <c r="BI395" s="2290"/>
      <c r="BJ395" s="2290"/>
      <c r="BK395" s="2290"/>
      <c r="BL395" s="2290"/>
      <c r="BM395" s="2290"/>
      <c r="BN395" s="2290"/>
      <c r="BO395" s="2290"/>
      <c r="BP395" s="2290"/>
      <c r="BQ395" s="2290"/>
      <c r="BR395" s="2290"/>
      <c r="BS395" s="2290"/>
      <c r="BT395" s="2290"/>
      <c r="BU395" s="2290"/>
      <c r="BV395" s="2290"/>
      <c r="BW395" s="2290"/>
      <c r="BX395" s="2290"/>
      <c r="BY395" s="2290"/>
      <c r="BZ395" s="2290"/>
      <c r="CA395" s="2290"/>
    </row>
    <row r="396" spans="1:79">
      <c r="A396" s="2290"/>
      <c r="B396" s="2290"/>
      <c r="C396" s="2290"/>
      <c r="D396" s="2290"/>
      <c r="E396" s="2290"/>
      <c r="F396" s="2290"/>
      <c r="G396" s="2290"/>
      <c r="H396" s="2290"/>
      <c r="I396" s="2290"/>
      <c r="J396" s="2290"/>
      <c r="K396" s="2290"/>
      <c r="L396" s="2290"/>
      <c r="M396" s="2290"/>
      <c r="N396" s="2290"/>
      <c r="O396" s="2290"/>
      <c r="P396" s="2290"/>
      <c r="Q396" s="2290"/>
      <c r="R396" s="2290"/>
      <c r="S396" s="2290"/>
      <c r="T396" s="2290"/>
      <c r="U396" s="2290"/>
      <c r="V396" s="2290"/>
      <c r="W396" s="2290"/>
      <c r="X396" s="2290"/>
      <c r="Y396" s="2290"/>
      <c r="Z396" s="2290"/>
      <c r="AA396" s="2290"/>
      <c r="AB396" s="2290"/>
      <c r="AC396" s="2290"/>
      <c r="AD396" s="2290"/>
      <c r="AE396" s="2290"/>
      <c r="AF396" s="2290"/>
      <c r="AG396" s="2290"/>
      <c r="AH396" s="2290"/>
      <c r="AI396" s="2290"/>
      <c r="AJ396" s="2290"/>
      <c r="AK396" s="2290"/>
      <c r="AL396" s="2290"/>
      <c r="AM396" s="2290"/>
      <c r="AN396" s="2290"/>
      <c r="AO396" s="2290"/>
      <c r="AP396" s="2290"/>
      <c r="AQ396" s="2290"/>
      <c r="AR396" s="2290"/>
      <c r="AS396" s="2290"/>
      <c r="AT396" s="2290"/>
      <c r="AU396" s="2290"/>
      <c r="AV396" s="2290"/>
      <c r="AW396" s="2290"/>
      <c r="AX396" s="2290"/>
      <c r="AY396" s="2290"/>
      <c r="AZ396" s="2290"/>
      <c r="BA396" s="2290"/>
      <c r="BB396" s="2290"/>
      <c r="BC396" s="2290"/>
      <c r="BD396" s="2290"/>
      <c r="BE396" s="2290"/>
      <c r="BF396" s="2290"/>
      <c r="BG396" s="2290"/>
      <c r="BH396" s="2290"/>
      <c r="BI396" s="2290"/>
      <c r="BJ396" s="2290"/>
      <c r="BK396" s="2290"/>
      <c r="BL396" s="2290"/>
      <c r="BM396" s="2290"/>
      <c r="BN396" s="2290"/>
      <c r="BO396" s="2290"/>
      <c r="BP396" s="2290"/>
      <c r="BQ396" s="2290"/>
      <c r="BR396" s="2290"/>
      <c r="BS396" s="2290"/>
      <c r="BT396" s="2290"/>
      <c r="BU396" s="2290"/>
      <c r="BV396" s="2290"/>
      <c r="BW396" s="2290"/>
      <c r="BX396" s="2290"/>
      <c r="BY396" s="2290"/>
      <c r="BZ396" s="2290"/>
      <c r="CA396" s="2290"/>
    </row>
    <row r="397" spans="1:79">
      <c r="A397" s="2290"/>
      <c r="B397" s="2290"/>
      <c r="C397" s="2290"/>
      <c r="D397" s="2290"/>
      <c r="E397" s="2290"/>
      <c r="F397" s="2290"/>
      <c r="G397" s="2290"/>
      <c r="H397" s="2290"/>
      <c r="I397" s="2290"/>
      <c r="J397" s="2290"/>
      <c r="K397" s="2290"/>
      <c r="L397" s="2290"/>
      <c r="M397" s="2290"/>
      <c r="N397" s="2290"/>
      <c r="O397" s="2290"/>
      <c r="P397" s="2290"/>
      <c r="Q397" s="2290"/>
      <c r="R397" s="2290"/>
      <c r="S397" s="2290"/>
      <c r="T397" s="2290"/>
      <c r="U397" s="2290"/>
      <c r="V397" s="2290"/>
      <c r="W397" s="2290"/>
      <c r="X397" s="2290"/>
      <c r="Y397" s="2290"/>
      <c r="Z397" s="2290"/>
      <c r="AA397" s="2290"/>
      <c r="AB397" s="2290"/>
      <c r="AC397" s="2290"/>
      <c r="AD397" s="2290"/>
      <c r="AE397" s="2290"/>
      <c r="AF397" s="2290"/>
      <c r="AG397" s="2290"/>
      <c r="AH397" s="2290"/>
      <c r="AI397" s="2290"/>
      <c r="AJ397" s="2290"/>
      <c r="AK397" s="2290"/>
      <c r="AL397" s="2290"/>
      <c r="AM397" s="2290"/>
      <c r="AN397" s="2290"/>
      <c r="AO397" s="2290"/>
      <c r="AP397" s="2290"/>
      <c r="AQ397" s="2290"/>
      <c r="AR397" s="2290"/>
      <c r="AS397" s="2290"/>
      <c r="AT397" s="2290"/>
      <c r="AU397" s="2290"/>
      <c r="AV397" s="2290"/>
      <c r="AW397" s="2290"/>
      <c r="AX397" s="2290"/>
      <c r="AY397" s="2290"/>
      <c r="AZ397" s="2290"/>
      <c r="BA397" s="2290"/>
      <c r="BB397" s="2290"/>
      <c r="BC397" s="2290"/>
      <c r="BD397" s="2290"/>
      <c r="BE397" s="2290"/>
      <c r="BF397" s="2290"/>
      <c r="BG397" s="2290"/>
      <c r="BH397" s="2290"/>
      <c r="BI397" s="2290"/>
      <c r="BJ397" s="2290"/>
      <c r="BK397" s="2290"/>
      <c r="BL397" s="2290"/>
      <c r="BM397" s="2290"/>
      <c r="BN397" s="2290"/>
      <c r="BO397" s="2290"/>
      <c r="BP397" s="2290"/>
      <c r="BQ397" s="2290"/>
      <c r="BR397" s="2290"/>
      <c r="BS397" s="2290"/>
      <c r="BT397" s="2290"/>
      <c r="BU397" s="2290"/>
      <c r="BV397" s="2290"/>
      <c r="BW397" s="2290"/>
      <c r="BX397" s="2290"/>
      <c r="BY397" s="2290"/>
      <c r="BZ397" s="2290"/>
      <c r="CA397" s="2290"/>
    </row>
    <row r="398" spans="1:79">
      <c r="A398" s="2290"/>
      <c r="B398" s="2290"/>
      <c r="C398" s="2290"/>
      <c r="D398" s="2290"/>
      <c r="E398" s="2290"/>
      <c r="F398" s="2290"/>
      <c r="G398" s="2290"/>
      <c r="H398" s="2290"/>
      <c r="I398" s="2290"/>
      <c r="J398" s="2290"/>
      <c r="K398" s="2290"/>
      <c r="L398" s="2290"/>
      <c r="M398" s="2290"/>
      <c r="N398" s="2290"/>
      <c r="O398" s="2290"/>
      <c r="P398" s="2290"/>
      <c r="Q398" s="2290"/>
      <c r="R398" s="2290"/>
      <c r="S398" s="2290"/>
      <c r="T398" s="2290"/>
      <c r="U398" s="2290"/>
      <c r="V398" s="2290"/>
      <c r="W398" s="2290"/>
      <c r="X398" s="2290"/>
      <c r="Y398" s="2290"/>
      <c r="Z398" s="2290"/>
      <c r="AA398" s="2290"/>
      <c r="AB398" s="2290"/>
      <c r="AC398" s="2290"/>
      <c r="AD398" s="2290"/>
      <c r="AE398" s="2290"/>
      <c r="AF398" s="2290"/>
      <c r="AG398" s="2290"/>
      <c r="AH398" s="2290"/>
      <c r="AI398" s="2290"/>
      <c r="AJ398" s="2290"/>
      <c r="AK398" s="2290"/>
      <c r="AL398" s="2290"/>
      <c r="AM398" s="2290"/>
      <c r="AN398" s="2290"/>
      <c r="AO398" s="2290"/>
      <c r="AP398" s="2290"/>
      <c r="AQ398" s="2290"/>
      <c r="AR398" s="2290"/>
      <c r="AS398" s="2290"/>
      <c r="AT398" s="2290"/>
      <c r="AU398" s="2290"/>
      <c r="AV398" s="2290"/>
      <c r="AW398" s="2290"/>
      <c r="AX398" s="2290"/>
      <c r="AY398" s="2290"/>
      <c r="AZ398" s="2290"/>
      <c r="BA398" s="2290"/>
      <c r="BB398" s="2290"/>
      <c r="BC398" s="2290"/>
      <c r="BD398" s="2290"/>
      <c r="BE398" s="2290"/>
      <c r="BF398" s="2290"/>
      <c r="BG398" s="2290"/>
      <c r="BH398" s="2290"/>
      <c r="BI398" s="2290"/>
      <c r="BJ398" s="2290"/>
      <c r="BK398" s="2290"/>
      <c r="BL398" s="2290"/>
      <c r="BM398" s="2290"/>
      <c r="BN398" s="2290"/>
      <c r="BO398" s="2290"/>
      <c r="BP398" s="2290"/>
      <c r="BQ398" s="2290"/>
      <c r="BR398" s="2290"/>
      <c r="BS398" s="2290"/>
      <c r="BT398" s="2290"/>
      <c r="BU398" s="2290"/>
      <c r="BV398" s="2290"/>
      <c r="BW398" s="2290"/>
      <c r="BX398" s="2290"/>
      <c r="BY398" s="2290"/>
      <c r="BZ398" s="2290"/>
      <c r="CA398" s="2290"/>
    </row>
    <row r="399" spans="1:79">
      <c r="A399" s="2290"/>
      <c r="B399" s="2290"/>
      <c r="C399" s="2290"/>
      <c r="D399" s="2290"/>
      <c r="E399" s="2290"/>
      <c r="F399" s="2290"/>
      <c r="G399" s="2290"/>
      <c r="H399" s="2290"/>
      <c r="I399" s="2290"/>
      <c r="J399" s="2290"/>
      <c r="K399" s="2290"/>
      <c r="L399" s="2290"/>
      <c r="M399" s="2290"/>
      <c r="N399" s="2290"/>
      <c r="O399" s="2290"/>
      <c r="P399" s="2290"/>
      <c r="Q399" s="2290"/>
      <c r="R399" s="2290"/>
      <c r="S399" s="2290"/>
      <c r="T399" s="2290"/>
      <c r="U399" s="2290"/>
      <c r="V399" s="2290"/>
      <c r="W399" s="2290"/>
      <c r="X399" s="2290"/>
      <c r="Y399" s="2290"/>
      <c r="Z399" s="2290"/>
      <c r="AA399" s="2290"/>
      <c r="AB399" s="2290"/>
      <c r="AC399" s="2290"/>
      <c r="AD399" s="2290"/>
      <c r="AE399" s="2290"/>
      <c r="AF399" s="2290"/>
      <c r="AG399" s="2290"/>
      <c r="AH399" s="2290"/>
      <c r="AI399" s="2290"/>
      <c r="AJ399" s="2290"/>
      <c r="AK399" s="2290"/>
      <c r="AL399" s="2290"/>
      <c r="AM399" s="2290"/>
      <c r="AN399" s="2290"/>
      <c r="AO399" s="2290"/>
      <c r="AP399" s="2290"/>
      <c r="AQ399" s="2290"/>
      <c r="AR399" s="2290"/>
      <c r="AS399" s="2290"/>
      <c r="AT399" s="2290"/>
      <c r="AU399" s="2290"/>
      <c r="AV399" s="2290"/>
      <c r="AW399" s="2290"/>
      <c r="AX399" s="2290"/>
      <c r="AY399" s="2290"/>
      <c r="AZ399" s="2290"/>
      <c r="BA399" s="2290"/>
      <c r="BB399" s="2290"/>
      <c r="BC399" s="2290"/>
      <c r="BD399" s="2290"/>
      <c r="BE399" s="2290"/>
      <c r="BF399" s="2290"/>
      <c r="BG399" s="2290"/>
      <c r="BH399" s="2290"/>
      <c r="BI399" s="2290"/>
      <c r="BJ399" s="2290"/>
      <c r="BK399" s="2290"/>
      <c r="BL399" s="2290"/>
      <c r="BM399" s="2290"/>
      <c r="BN399" s="2290"/>
      <c r="BO399" s="2290"/>
      <c r="BP399" s="2290"/>
      <c r="BQ399" s="2290"/>
      <c r="BR399" s="2290"/>
      <c r="BS399" s="2290"/>
      <c r="BT399" s="2290"/>
      <c r="BU399" s="2290"/>
      <c r="BV399" s="2290"/>
      <c r="BW399" s="2290"/>
      <c r="BX399" s="2290"/>
      <c r="BY399" s="2290"/>
      <c r="BZ399" s="2290"/>
      <c r="CA399" s="2290"/>
    </row>
    <row r="400" spans="1:79">
      <c r="A400" s="2290"/>
      <c r="B400" s="2290"/>
      <c r="C400" s="2290"/>
      <c r="D400" s="2290"/>
      <c r="E400" s="2290"/>
      <c r="F400" s="2290"/>
      <c r="G400" s="2290"/>
      <c r="H400" s="2290"/>
      <c r="I400" s="2290"/>
      <c r="J400" s="2290"/>
      <c r="K400" s="2290"/>
      <c r="L400" s="2290"/>
      <c r="M400" s="2290"/>
      <c r="N400" s="2290"/>
      <c r="O400" s="2290"/>
      <c r="P400" s="2290"/>
      <c r="Q400" s="2290"/>
      <c r="R400" s="2290"/>
      <c r="S400" s="2290"/>
      <c r="T400" s="2290"/>
      <c r="U400" s="2290"/>
      <c r="V400" s="2290"/>
      <c r="W400" s="2290"/>
      <c r="X400" s="2290"/>
      <c r="Y400" s="2290"/>
      <c r="Z400" s="2290"/>
      <c r="AA400" s="2290"/>
      <c r="AB400" s="2290"/>
      <c r="AC400" s="2290"/>
      <c r="AD400" s="2290"/>
      <c r="AE400" s="2290"/>
      <c r="AF400" s="2290"/>
      <c r="AG400" s="2290"/>
      <c r="AH400" s="2290"/>
      <c r="AI400" s="2290"/>
      <c r="AJ400" s="2290"/>
      <c r="AK400" s="2290"/>
      <c r="AL400" s="2290"/>
      <c r="AM400" s="2290"/>
      <c r="AN400" s="2290"/>
      <c r="AO400" s="2290"/>
      <c r="AP400" s="2290"/>
      <c r="AQ400" s="2290"/>
      <c r="AR400" s="2290"/>
      <c r="AS400" s="2290"/>
      <c r="AT400" s="2290"/>
      <c r="AU400" s="2290"/>
      <c r="AV400" s="2290"/>
      <c r="AW400" s="2290"/>
      <c r="AX400" s="2290"/>
      <c r="AY400" s="2290"/>
      <c r="AZ400" s="2290"/>
      <c r="BA400" s="2290"/>
      <c r="BB400" s="2290"/>
      <c r="BC400" s="2290"/>
      <c r="BD400" s="2290"/>
      <c r="BE400" s="2290"/>
      <c r="BF400" s="2290"/>
      <c r="BG400" s="2290"/>
      <c r="BH400" s="2290"/>
      <c r="BI400" s="2290"/>
      <c r="BJ400" s="2290"/>
      <c r="BK400" s="2290"/>
      <c r="BL400" s="2290"/>
      <c r="BM400" s="2290"/>
      <c r="BN400" s="2290"/>
      <c r="BO400" s="2290"/>
      <c r="BP400" s="2290"/>
      <c r="BQ400" s="2290"/>
      <c r="BR400" s="2290"/>
      <c r="BS400" s="2290"/>
      <c r="BT400" s="2290"/>
      <c r="BU400" s="2290"/>
      <c r="BV400" s="2290"/>
      <c r="BW400" s="2290"/>
      <c r="BX400" s="2290"/>
      <c r="BY400" s="2290"/>
      <c r="BZ400" s="2290"/>
      <c r="CA400" s="2290"/>
    </row>
    <row r="401" spans="1:79">
      <c r="A401" s="2290"/>
      <c r="B401" s="2290"/>
      <c r="C401" s="2290"/>
      <c r="D401" s="2290"/>
      <c r="E401" s="2290"/>
      <c r="F401" s="2290"/>
      <c r="G401" s="2290"/>
      <c r="H401" s="2290"/>
      <c r="I401" s="2290"/>
      <c r="J401" s="2290"/>
      <c r="K401" s="2290"/>
      <c r="L401" s="2290"/>
      <c r="M401" s="2290"/>
      <c r="N401" s="2290"/>
      <c r="O401" s="2290"/>
      <c r="P401" s="2290"/>
      <c r="Q401" s="2290"/>
      <c r="R401" s="2290"/>
      <c r="S401" s="2290"/>
      <c r="T401" s="2290"/>
      <c r="U401" s="2290"/>
      <c r="V401" s="2290"/>
      <c r="W401" s="2290"/>
      <c r="X401" s="2290"/>
      <c r="Y401" s="2290"/>
      <c r="Z401" s="2290"/>
      <c r="AA401" s="2290"/>
      <c r="AB401" s="2290"/>
      <c r="AC401" s="2290"/>
      <c r="AD401" s="2290"/>
      <c r="AE401" s="2290"/>
      <c r="AF401" s="2290"/>
      <c r="AG401" s="2290"/>
      <c r="AH401" s="2290"/>
      <c r="AI401" s="2290"/>
      <c r="AJ401" s="2290"/>
      <c r="AK401" s="2290"/>
      <c r="AL401" s="2290"/>
      <c r="AM401" s="2290"/>
      <c r="AN401" s="2290"/>
      <c r="AO401" s="2290"/>
      <c r="AP401" s="2290"/>
      <c r="AQ401" s="2290"/>
      <c r="AR401" s="2290"/>
      <c r="AS401" s="2290"/>
      <c r="AT401" s="2290"/>
      <c r="AU401" s="2290"/>
      <c r="AV401" s="2290"/>
      <c r="AW401" s="2290"/>
      <c r="AX401" s="2290"/>
      <c r="AY401" s="2290"/>
      <c r="AZ401" s="2290"/>
      <c r="BA401" s="2290"/>
      <c r="BB401" s="2290"/>
      <c r="BC401" s="2290"/>
      <c r="BD401" s="2290"/>
      <c r="BE401" s="2290"/>
      <c r="BF401" s="2290"/>
      <c r="BG401" s="2290"/>
      <c r="BH401" s="2290"/>
      <c r="BI401" s="2290"/>
      <c r="BJ401" s="2290"/>
      <c r="BK401" s="2290"/>
      <c r="BL401" s="2290"/>
      <c r="BM401" s="2290"/>
      <c r="BN401" s="2290"/>
      <c r="BO401" s="2290"/>
      <c r="BP401" s="2290"/>
      <c r="BQ401" s="2290"/>
      <c r="BR401" s="2290"/>
      <c r="BS401" s="2290"/>
      <c r="BT401" s="2290"/>
      <c r="BU401" s="2290"/>
      <c r="BV401" s="2290"/>
      <c r="BW401" s="2290"/>
      <c r="BX401" s="2290"/>
      <c r="BY401" s="2290"/>
      <c r="BZ401" s="2290"/>
      <c r="CA401" s="2290"/>
    </row>
    <row r="402" spans="1:79">
      <c r="A402" s="2290"/>
      <c r="B402" s="2290"/>
      <c r="C402" s="2290"/>
      <c r="D402" s="2290"/>
      <c r="E402" s="2290"/>
      <c r="F402" s="2290"/>
      <c r="G402" s="2290"/>
      <c r="H402" s="2290"/>
      <c r="I402" s="2290"/>
      <c r="J402" s="2290"/>
      <c r="K402" s="2290"/>
      <c r="L402" s="2290"/>
      <c r="M402" s="2290"/>
      <c r="N402" s="2290"/>
      <c r="O402" s="2290"/>
      <c r="P402" s="2290"/>
      <c r="Q402" s="2290"/>
      <c r="R402" s="2290"/>
      <c r="S402" s="2290"/>
      <c r="T402" s="2290"/>
      <c r="U402" s="2290"/>
      <c r="V402" s="2290"/>
      <c r="W402" s="2290"/>
      <c r="X402" s="2290"/>
      <c r="Y402" s="2290"/>
      <c r="Z402" s="2290"/>
      <c r="AA402" s="2290"/>
      <c r="AB402" s="2290"/>
      <c r="AC402" s="2290"/>
      <c r="AD402" s="2290"/>
      <c r="AE402" s="2290"/>
      <c r="AF402" s="2290"/>
      <c r="AG402" s="2290"/>
      <c r="AH402" s="2290"/>
      <c r="AI402" s="2290"/>
      <c r="AJ402" s="2290"/>
      <c r="AK402" s="2290"/>
      <c r="AL402" s="2290"/>
      <c r="AM402" s="2290"/>
      <c r="AN402" s="2290"/>
      <c r="AO402" s="2290"/>
      <c r="AP402" s="2290"/>
      <c r="AQ402" s="2290"/>
      <c r="AR402" s="2290"/>
      <c r="AS402" s="2290"/>
      <c r="AT402" s="2290"/>
      <c r="AU402" s="2290"/>
      <c r="AV402" s="2290"/>
      <c r="AW402" s="2290"/>
      <c r="AX402" s="2290"/>
      <c r="AY402" s="2290"/>
      <c r="AZ402" s="2290"/>
      <c r="BA402" s="2290"/>
      <c r="BB402" s="2290"/>
      <c r="BC402" s="2290"/>
      <c r="BD402" s="2290"/>
      <c r="BE402" s="2290"/>
      <c r="BF402" s="2290"/>
      <c r="BG402" s="2290"/>
      <c r="BH402" s="2290"/>
      <c r="BI402" s="2290"/>
      <c r="BJ402" s="2290"/>
      <c r="BK402" s="2290"/>
      <c r="BL402" s="2290"/>
      <c r="BM402" s="2290"/>
      <c r="BN402" s="2290"/>
      <c r="BO402" s="2290"/>
      <c r="BP402" s="2290"/>
      <c r="BQ402" s="2290"/>
      <c r="BR402" s="2290"/>
      <c r="BS402" s="2290"/>
      <c r="BT402" s="2290"/>
      <c r="BU402" s="2290"/>
      <c r="BV402" s="2290"/>
      <c r="BW402" s="2290"/>
      <c r="BX402" s="2290"/>
      <c r="BY402" s="2290"/>
      <c r="BZ402" s="2290"/>
      <c r="CA402" s="2290"/>
    </row>
    <row r="403" spans="1:79">
      <c r="A403" s="2290"/>
      <c r="B403" s="2290"/>
      <c r="C403" s="2290"/>
      <c r="D403" s="2290"/>
      <c r="E403" s="2290"/>
      <c r="F403" s="2290"/>
      <c r="G403" s="2290"/>
      <c r="H403" s="2290"/>
      <c r="I403" s="2290"/>
      <c r="J403" s="2290"/>
      <c r="K403" s="2290"/>
      <c r="L403" s="2290"/>
      <c r="M403" s="2290"/>
      <c r="N403" s="2290"/>
      <c r="O403" s="2290"/>
      <c r="P403" s="2290"/>
      <c r="Q403" s="2290"/>
      <c r="R403" s="2290"/>
      <c r="S403" s="2290"/>
      <c r="T403" s="2290"/>
      <c r="U403" s="2290"/>
      <c r="V403" s="2290"/>
      <c r="W403" s="2290"/>
      <c r="X403" s="2290"/>
      <c r="Y403" s="2290"/>
      <c r="Z403" s="2290"/>
      <c r="AA403" s="2290"/>
      <c r="AB403" s="2290"/>
      <c r="AC403" s="2290"/>
      <c r="AD403" s="2290"/>
      <c r="AE403" s="2290"/>
      <c r="AF403" s="2290"/>
      <c r="AG403" s="2290"/>
      <c r="AH403" s="2290"/>
      <c r="AI403" s="2290"/>
      <c r="AJ403" s="2290"/>
      <c r="AK403" s="2290"/>
      <c r="AL403" s="2290"/>
      <c r="AM403" s="2290"/>
      <c r="AN403" s="2290"/>
      <c r="AO403" s="2290"/>
      <c r="AP403" s="2290"/>
      <c r="AQ403" s="2290"/>
      <c r="AR403" s="2290"/>
      <c r="AS403" s="2290"/>
      <c r="AT403" s="2290"/>
      <c r="AU403" s="2290"/>
      <c r="AV403" s="2290"/>
      <c r="AW403" s="2290"/>
      <c r="AX403" s="2290"/>
      <c r="AY403" s="2290"/>
      <c r="AZ403" s="2290"/>
      <c r="BA403" s="2290"/>
      <c r="BB403" s="2290"/>
      <c r="BC403" s="2290"/>
      <c r="BD403" s="2290"/>
      <c r="BE403" s="2290"/>
      <c r="BF403" s="2290"/>
      <c r="BG403" s="2290"/>
      <c r="BH403" s="2290"/>
      <c r="BI403" s="2290"/>
      <c r="BJ403" s="2290"/>
      <c r="BK403" s="2290"/>
      <c r="BL403" s="2290"/>
      <c r="BM403" s="2290"/>
      <c r="BN403" s="2290"/>
      <c r="BO403" s="2290"/>
      <c r="BP403" s="2290"/>
      <c r="BQ403" s="2290"/>
      <c r="BR403" s="2290"/>
      <c r="BS403" s="2290"/>
      <c r="BT403" s="2290"/>
      <c r="BU403" s="2290"/>
      <c r="BV403" s="2290"/>
      <c r="BW403" s="2290"/>
      <c r="BX403" s="2290"/>
      <c r="BY403" s="2290"/>
      <c r="BZ403" s="2290"/>
      <c r="CA403" s="2290"/>
    </row>
    <row r="404" spans="1:79">
      <c r="A404" s="2290"/>
      <c r="B404" s="2290"/>
      <c r="C404" s="2290"/>
      <c r="D404" s="2290"/>
      <c r="E404" s="2290"/>
      <c r="F404" s="2290"/>
      <c r="G404" s="2290"/>
      <c r="H404" s="2290"/>
      <c r="I404" s="2290"/>
      <c r="J404" s="2290"/>
      <c r="K404" s="2290"/>
      <c r="L404" s="2290"/>
      <c r="M404" s="2290"/>
      <c r="N404" s="2290"/>
      <c r="O404" s="2290"/>
      <c r="P404" s="2290"/>
      <c r="Q404" s="2290"/>
      <c r="R404" s="2290"/>
      <c r="S404" s="2290"/>
      <c r="T404" s="2290"/>
      <c r="U404" s="2290"/>
      <c r="V404" s="2290"/>
      <c r="W404" s="2290"/>
      <c r="X404" s="2290"/>
      <c r="Y404" s="2290"/>
      <c r="Z404" s="2290"/>
      <c r="AA404" s="2290"/>
      <c r="AB404" s="2290"/>
      <c r="AC404" s="2290"/>
      <c r="AD404" s="2290"/>
      <c r="AE404" s="2290"/>
      <c r="AF404" s="2290"/>
      <c r="AG404" s="2290"/>
      <c r="AH404" s="2290"/>
      <c r="AI404" s="2290"/>
      <c r="AJ404" s="2290"/>
      <c r="AK404" s="2290"/>
      <c r="AL404" s="2290"/>
      <c r="AM404" s="2290"/>
      <c r="AN404" s="2290"/>
      <c r="AO404" s="2290"/>
      <c r="AP404" s="2290"/>
      <c r="AQ404" s="2290"/>
      <c r="AR404" s="2290"/>
      <c r="AS404" s="2290"/>
      <c r="AT404" s="2290"/>
      <c r="AU404" s="2290"/>
      <c r="AV404" s="2290"/>
      <c r="AW404" s="2290"/>
      <c r="AX404" s="2290"/>
      <c r="AY404" s="2290"/>
      <c r="AZ404" s="2290"/>
      <c r="BA404" s="2290"/>
      <c r="BB404" s="2290"/>
      <c r="BC404" s="2290"/>
      <c r="BD404" s="2290"/>
      <c r="BE404" s="2290"/>
      <c r="BF404" s="2290"/>
      <c r="BG404" s="2290"/>
      <c r="BH404" s="2290"/>
      <c r="BI404" s="2290"/>
      <c r="BJ404" s="2290"/>
      <c r="BK404" s="2290"/>
      <c r="BL404" s="2290"/>
      <c r="BM404" s="2290"/>
      <c r="BN404" s="2290"/>
      <c r="BO404" s="2290"/>
      <c r="BP404" s="2290"/>
      <c r="BQ404" s="2290"/>
      <c r="BR404" s="2290"/>
      <c r="BS404" s="2290"/>
      <c r="BT404" s="2290"/>
      <c r="BU404" s="2290"/>
      <c r="BV404" s="2290"/>
      <c r="BW404" s="2290"/>
      <c r="BX404" s="2290"/>
      <c r="BY404" s="2290"/>
      <c r="BZ404" s="2290"/>
      <c r="CA404" s="2290"/>
    </row>
    <row r="405" spans="1:79">
      <c r="A405" s="2290"/>
      <c r="B405" s="2290"/>
      <c r="C405" s="2290"/>
      <c r="D405" s="2290"/>
      <c r="E405" s="2290"/>
      <c r="F405" s="2290"/>
      <c r="G405" s="2290"/>
      <c r="H405" s="2290"/>
      <c r="I405" s="2290"/>
      <c r="J405" s="2290"/>
      <c r="K405" s="2290"/>
      <c r="L405" s="2290"/>
      <c r="M405" s="2290"/>
      <c r="N405" s="2290"/>
      <c r="O405" s="2290"/>
      <c r="P405" s="2290"/>
      <c r="Q405" s="2290"/>
      <c r="R405" s="2290"/>
      <c r="S405" s="2290"/>
      <c r="T405" s="2290"/>
      <c r="U405" s="2290"/>
      <c r="V405" s="2290"/>
      <c r="W405" s="2290"/>
      <c r="X405" s="2290"/>
      <c r="Y405" s="2290"/>
      <c r="Z405" s="2290"/>
      <c r="AA405" s="2290"/>
      <c r="AB405" s="2290"/>
      <c r="AC405" s="2290"/>
      <c r="AD405" s="2290"/>
      <c r="AE405" s="2290"/>
      <c r="AF405" s="2290"/>
      <c r="AG405" s="2290"/>
      <c r="AH405" s="2290"/>
      <c r="AI405" s="2290"/>
      <c r="AJ405" s="2290"/>
      <c r="AK405" s="2290"/>
      <c r="AL405" s="2290"/>
      <c r="AM405" s="2290"/>
      <c r="AN405" s="2290"/>
      <c r="AO405" s="2290"/>
      <c r="AP405" s="2290"/>
      <c r="AQ405" s="2290"/>
      <c r="AR405" s="2290"/>
      <c r="AS405" s="2290"/>
      <c r="AT405" s="2290"/>
      <c r="AU405" s="2290"/>
      <c r="AV405" s="2290"/>
      <c r="AW405" s="2290"/>
      <c r="AX405" s="2290"/>
      <c r="AY405" s="2290"/>
      <c r="AZ405" s="2290"/>
      <c r="BA405" s="2290"/>
      <c r="BB405" s="2290"/>
      <c r="BC405" s="2290"/>
      <c r="BD405" s="2290"/>
      <c r="BE405" s="2290"/>
      <c r="BF405" s="2290"/>
      <c r="BG405" s="2290"/>
      <c r="BH405" s="2290"/>
      <c r="BI405" s="2290"/>
      <c r="BJ405" s="2290"/>
      <c r="BK405" s="2290"/>
      <c r="BL405" s="2290"/>
      <c r="BM405" s="2290"/>
      <c r="BN405" s="2290"/>
      <c r="BO405" s="2290"/>
      <c r="BP405" s="2290"/>
      <c r="BQ405" s="2290"/>
      <c r="BR405" s="2290"/>
      <c r="BS405" s="2290"/>
      <c r="BT405" s="2290"/>
      <c r="BU405" s="2290"/>
      <c r="BV405" s="2290"/>
      <c r="BW405" s="2290"/>
      <c r="BX405" s="2290"/>
      <c r="BY405" s="2290"/>
      <c r="BZ405" s="2290"/>
      <c r="CA405" s="2290"/>
    </row>
    <row r="406" spans="1:79">
      <c r="A406" s="2290"/>
      <c r="B406" s="2290"/>
      <c r="C406" s="2290"/>
      <c r="D406" s="2290"/>
      <c r="E406" s="2290"/>
      <c r="F406" s="2290"/>
      <c r="G406" s="2290"/>
      <c r="H406" s="2290"/>
      <c r="I406" s="2290"/>
      <c r="J406" s="2290"/>
      <c r="K406" s="2290"/>
      <c r="L406" s="2290"/>
      <c r="M406" s="2290"/>
      <c r="N406" s="2290"/>
      <c r="O406" s="2290"/>
      <c r="P406" s="2290"/>
      <c r="Q406" s="2290"/>
      <c r="R406" s="2290"/>
      <c r="S406" s="2290"/>
      <c r="T406" s="2290"/>
      <c r="U406" s="2290"/>
      <c r="V406" s="2290"/>
      <c r="W406" s="2290"/>
      <c r="X406" s="2290"/>
      <c r="Y406" s="2290"/>
      <c r="Z406" s="2290"/>
      <c r="AA406" s="2290"/>
      <c r="AB406" s="2290"/>
      <c r="AC406" s="2290"/>
      <c r="AD406" s="2290"/>
      <c r="AE406" s="2290"/>
      <c r="AF406" s="2290"/>
      <c r="AG406" s="2290"/>
      <c r="AH406" s="2290"/>
      <c r="AI406" s="2290"/>
      <c r="AJ406" s="2290"/>
      <c r="AK406" s="2290"/>
      <c r="AL406" s="2290"/>
      <c r="AM406" s="2290"/>
      <c r="AN406" s="2290"/>
      <c r="AO406" s="2290"/>
      <c r="AP406" s="2290"/>
      <c r="AQ406" s="2290"/>
      <c r="AR406" s="2290"/>
      <c r="AS406" s="2290"/>
      <c r="AT406" s="2290"/>
      <c r="AU406" s="2290"/>
      <c r="AV406" s="2290"/>
      <c r="AW406" s="2290"/>
      <c r="AX406" s="2290"/>
      <c r="AY406" s="2290"/>
      <c r="AZ406" s="2290"/>
      <c r="BA406" s="2290"/>
      <c r="BB406" s="2290"/>
      <c r="BC406" s="2290"/>
      <c r="BD406" s="2290"/>
      <c r="BE406" s="2290"/>
      <c r="BF406" s="2290"/>
      <c r="BG406" s="2290"/>
      <c r="BH406" s="2290"/>
      <c r="BI406" s="2290"/>
      <c r="BJ406" s="2290"/>
      <c r="BK406" s="2290"/>
      <c r="BL406" s="2290"/>
      <c r="BM406" s="2290"/>
      <c r="BN406" s="2290"/>
      <c r="BO406" s="2290"/>
      <c r="BP406" s="2290"/>
      <c r="BQ406" s="2290"/>
      <c r="BR406" s="2290"/>
      <c r="BS406" s="2290"/>
      <c r="BT406" s="2290"/>
      <c r="BU406" s="2290"/>
      <c r="BV406" s="2290"/>
      <c r="BW406" s="2290"/>
      <c r="BX406" s="2290"/>
      <c r="BY406" s="2290"/>
      <c r="BZ406" s="2290"/>
      <c r="CA406" s="2290"/>
    </row>
    <row r="407" spans="1:79">
      <c r="A407" s="2290"/>
      <c r="B407" s="2290"/>
      <c r="C407" s="2290"/>
      <c r="D407" s="2290"/>
      <c r="E407" s="2290"/>
      <c r="F407" s="2290"/>
      <c r="G407" s="2290"/>
      <c r="H407" s="2290"/>
      <c r="I407" s="2290"/>
      <c r="J407" s="2290"/>
      <c r="K407" s="2290"/>
      <c r="L407" s="2290"/>
      <c r="M407" s="2290"/>
      <c r="N407" s="2290"/>
      <c r="O407" s="2290"/>
      <c r="P407" s="2290"/>
      <c r="Q407" s="2290"/>
      <c r="R407" s="2290"/>
      <c r="S407" s="2290"/>
      <c r="T407" s="2290"/>
      <c r="U407" s="2290"/>
      <c r="V407" s="2290"/>
      <c r="W407" s="2290"/>
      <c r="X407" s="2290"/>
      <c r="Y407" s="2290"/>
      <c r="Z407" s="2290"/>
      <c r="AA407" s="2290"/>
      <c r="AB407" s="2290"/>
      <c r="AC407" s="2290"/>
      <c r="AD407" s="2290"/>
      <c r="AE407" s="2290"/>
      <c r="AF407" s="2290"/>
      <c r="AG407" s="2290"/>
      <c r="AH407" s="2290"/>
      <c r="AI407" s="2290"/>
      <c r="AJ407" s="2290"/>
      <c r="AK407" s="2290"/>
      <c r="AL407" s="2290"/>
      <c r="AM407" s="2290"/>
      <c r="AN407" s="2290"/>
      <c r="AO407" s="2290"/>
      <c r="AP407" s="2290"/>
      <c r="AQ407" s="2290"/>
      <c r="AR407" s="2290"/>
      <c r="AS407" s="2290"/>
      <c r="AT407" s="2290"/>
      <c r="AU407" s="2290"/>
      <c r="AV407" s="2290"/>
      <c r="AW407" s="2290"/>
      <c r="AX407" s="2290"/>
      <c r="AY407" s="2290"/>
      <c r="AZ407" s="2290"/>
      <c r="BA407" s="2290"/>
      <c r="BB407" s="2290"/>
      <c r="BC407" s="2290"/>
      <c r="BD407" s="2290"/>
      <c r="BE407" s="2290"/>
      <c r="BF407" s="2290"/>
      <c r="BG407" s="2290"/>
      <c r="BH407" s="2290"/>
      <c r="BI407" s="2290"/>
      <c r="BJ407" s="2290"/>
      <c r="BK407" s="2290"/>
      <c r="BL407" s="2290"/>
      <c r="BM407" s="2290"/>
      <c r="BN407" s="2290"/>
      <c r="BO407" s="2290"/>
      <c r="BP407" s="2290"/>
      <c r="BQ407" s="2290"/>
      <c r="BR407" s="2290"/>
      <c r="BS407" s="2290"/>
      <c r="BT407" s="2290"/>
      <c r="BU407" s="2290"/>
      <c r="BV407" s="2290"/>
      <c r="BW407" s="2290"/>
      <c r="BX407" s="2290"/>
      <c r="BY407" s="2290"/>
      <c r="BZ407" s="2290"/>
      <c r="CA407" s="2290"/>
    </row>
    <row r="408" spans="1:79">
      <c r="A408" s="2290"/>
      <c r="B408" s="2290"/>
      <c r="C408" s="2290"/>
      <c r="D408" s="2290"/>
      <c r="E408" s="2290"/>
      <c r="F408" s="2290"/>
      <c r="G408" s="2290"/>
      <c r="H408" s="2290"/>
      <c r="I408" s="2290"/>
      <c r="J408" s="2290"/>
      <c r="K408" s="2290"/>
      <c r="L408" s="2290"/>
      <c r="M408" s="2290"/>
      <c r="N408" s="2290"/>
      <c r="O408" s="2290"/>
      <c r="P408" s="2290"/>
      <c r="Q408" s="2290"/>
      <c r="R408" s="2290"/>
      <c r="S408" s="2290"/>
      <c r="T408" s="2290"/>
      <c r="U408" s="2290"/>
      <c r="V408" s="2290"/>
      <c r="W408" s="2290"/>
      <c r="X408" s="2290"/>
      <c r="Y408" s="2290"/>
      <c r="Z408" s="2290"/>
      <c r="AA408" s="2290"/>
      <c r="AB408" s="2290"/>
      <c r="AC408" s="2290"/>
      <c r="AD408" s="2290"/>
      <c r="AE408" s="2290"/>
      <c r="AF408" s="2290"/>
      <c r="AG408" s="2290"/>
      <c r="AH408" s="2290"/>
      <c r="AI408" s="2290"/>
      <c r="AJ408" s="2290"/>
      <c r="AK408" s="2290"/>
      <c r="AL408" s="2290"/>
      <c r="AM408" s="2290"/>
      <c r="AN408" s="2290"/>
      <c r="AO408" s="2290"/>
      <c r="AP408" s="2290"/>
      <c r="AQ408" s="2290"/>
      <c r="AR408" s="2290"/>
      <c r="AS408" s="2290"/>
      <c r="AT408" s="2290"/>
      <c r="AU408" s="2290"/>
      <c r="AV408" s="2290"/>
      <c r="AW408" s="2290"/>
      <c r="AX408" s="2290"/>
      <c r="AY408" s="2290"/>
      <c r="AZ408" s="2290"/>
      <c r="BA408" s="2290"/>
      <c r="BB408" s="2290"/>
      <c r="BC408" s="2290"/>
      <c r="BD408" s="2290"/>
      <c r="BE408" s="2290"/>
      <c r="BF408" s="2290"/>
      <c r="BG408" s="2290"/>
      <c r="BH408" s="2290"/>
      <c r="BI408" s="2290"/>
      <c r="BJ408" s="2290"/>
      <c r="BK408" s="2290"/>
      <c r="BL408" s="2290"/>
      <c r="BM408" s="2290"/>
      <c r="BN408" s="2290"/>
      <c r="BO408" s="2290"/>
      <c r="BP408" s="2290"/>
      <c r="BQ408" s="2290"/>
      <c r="BR408" s="2290"/>
      <c r="BS408" s="2290"/>
      <c r="BT408" s="2290"/>
      <c r="BU408" s="2290"/>
      <c r="BV408" s="2290"/>
      <c r="BW408" s="2290"/>
      <c r="BX408" s="2290"/>
      <c r="BY408" s="2290"/>
      <c r="BZ408" s="2290"/>
      <c r="CA408" s="2290"/>
    </row>
    <row r="409" spans="1:79">
      <c r="A409" s="2290"/>
      <c r="B409" s="2290"/>
      <c r="C409" s="2290"/>
      <c r="D409" s="2290"/>
      <c r="E409" s="2290"/>
      <c r="F409" s="2290"/>
      <c r="G409" s="2290"/>
      <c r="H409" s="2290"/>
      <c r="I409" s="2290"/>
      <c r="J409" s="2290"/>
      <c r="K409" s="2290"/>
      <c r="L409" s="2290"/>
      <c r="M409" s="2290"/>
      <c r="N409" s="2290"/>
      <c r="O409" s="2290"/>
      <c r="P409" s="2290"/>
      <c r="Q409" s="2290"/>
      <c r="R409" s="2290"/>
      <c r="S409" s="2290"/>
      <c r="T409" s="2290"/>
      <c r="U409" s="2290"/>
      <c r="V409" s="2290"/>
      <c r="W409" s="2290"/>
      <c r="X409" s="2290"/>
      <c r="Y409" s="2290"/>
      <c r="Z409" s="2290"/>
      <c r="AA409" s="2290"/>
      <c r="AB409" s="2290"/>
      <c r="AC409" s="2290"/>
      <c r="AD409" s="2290"/>
      <c r="AE409" s="2290"/>
      <c r="AF409" s="2290"/>
      <c r="AG409" s="2290"/>
      <c r="AH409" s="2290"/>
      <c r="AI409" s="2290"/>
      <c r="AJ409" s="2290"/>
      <c r="AK409" s="2290"/>
      <c r="AL409" s="2290"/>
      <c r="AM409" s="2290"/>
      <c r="AN409" s="2290"/>
      <c r="AO409" s="2290"/>
      <c r="AP409" s="2290"/>
      <c r="AQ409" s="2290"/>
      <c r="AR409" s="2290"/>
      <c r="AS409" s="2290"/>
      <c r="AT409" s="2290"/>
      <c r="AU409" s="2290"/>
      <c r="AV409" s="2290"/>
      <c r="AW409" s="2290"/>
      <c r="AX409" s="2290"/>
      <c r="AY409" s="2290"/>
      <c r="AZ409" s="2290"/>
      <c r="BA409" s="2290"/>
      <c r="BB409" s="2290"/>
      <c r="BC409" s="2290"/>
      <c r="BD409" s="2290"/>
      <c r="BE409" s="2290"/>
      <c r="BF409" s="2290"/>
      <c r="BG409" s="2290"/>
      <c r="BH409" s="2290"/>
      <c r="BI409" s="2290"/>
      <c r="BJ409" s="2290"/>
      <c r="BK409" s="2290"/>
      <c r="BL409" s="2290"/>
      <c r="BM409" s="2290"/>
      <c r="BN409" s="2290"/>
      <c r="BO409" s="2290"/>
      <c r="BP409" s="2290"/>
      <c r="BQ409" s="2290"/>
      <c r="BR409" s="2290"/>
      <c r="BS409" s="2290"/>
      <c r="BT409" s="2290"/>
      <c r="BU409" s="2290"/>
      <c r="BV409" s="2290"/>
      <c r="BW409" s="2290"/>
      <c r="BX409" s="2290"/>
      <c r="BY409" s="2290"/>
      <c r="BZ409" s="2290"/>
      <c r="CA409" s="2290"/>
    </row>
    <row r="410" spans="1:79">
      <c r="A410" s="2290"/>
      <c r="B410" s="2290"/>
      <c r="C410" s="2290"/>
      <c r="D410" s="2290"/>
      <c r="E410" s="2290"/>
      <c r="F410" s="2290"/>
      <c r="G410" s="2290"/>
      <c r="H410" s="2290"/>
      <c r="I410" s="2290"/>
      <c r="J410" s="2290"/>
      <c r="K410" s="2290"/>
      <c r="L410" s="2290"/>
      <c r="M410" s="2290"/>
      <c r="N410" s="2290"/>
      <c r="O410" s="2290"/>
      <c r="P410" s="2290"/>
      <c r="Q410" s="2290"/>
      <c r="R410" s="2290"/>
      <c r="S410" s="2290"/>
      <c r="T410" s="2290"/>
      <c r="U410" s="2290"/>
      <c r="V410" s="2290"/>
      <c r="W410" s="2290"/>
      <c r="X410" s="2290"/>
      <c r="Y410" s="2290"/>
      <c r="Z410" s="2290"/>
      <c r="AA410" s="2290"/>
      <c r="AB410" s="2290"/>
      <c r="AC410" s="2290"/>
      <c r="AD410" s="2290"/>
      <c r="AE410" s="2290"/>
      <c r="AF410" s="2290"/>
      <c r="AG410" s="2290"/>
      <c r="AH410" s="2290"/>
      <c r="AI410" s="2290"/>
      <c r="AJ410" s="2290"/>
      <c r="AK410" s="2290"/>
      <c r="AL410" s="2290"/>
      <c r="AM410" s="2290"/>
      <c r="AN410" s="2290"/>
      <c r="AO410" s="2290"/>
      <c r="AP410" s="2290"/>
      <c r="AQ410" s="2290"/>
      <c r="AR410" s="2290"/>
      <c r="AS410" s="2290"/>
      <c r="AT410" s="2290"/>
      <c r="AU410" s="2290"/>
      <c r="AV410" s="2290"/>
      <c r="AW410" s="2290"/>
      <c r="AX410" s="2290"/>
      <c r="AY410" s="2290"/>
      <c r="AZ410" s="2290"/>
      <c r="BA410" s="2290"/>
      <c r="BB410" s="2290"/>
      <c r="BC410" s="2290"/>
      <c r="BD410" s="2290"/>
      <c r="BE410" s="2290"/>
      <c r="BF410" s="2290"/>
      <c r="BG410" s="2290"/>
      <c r="BH410" s="2290"/>
      <c r="BI410" s="2290"/>
      <c r="BJ410" s="2290"/>
      <c r="BK410" s="2290"/>
      <c r="BL410" s="2290"/>
      <c r="BM410" s="2290"/>
      <c r="BN410" s="2290"/>
      <c r="BO410" s="2290"/>
      <c r="BP410" s="2290"/>
      <c r="BQ410" s="2290"/>
      <c r="BR410" s="2290"/>
      <c r="BS410" s="2290"/>
      <c r="BT410" s="2290"/>
      <c r="BU410" s="2290"/>
      <c r="BV410" s="2290"/>
      <c r="BW410" s="2290"/>
      <c r="BX410" s="2290"/>
      <c r="BY410" s="2290"/>
      <c r="BZ410" s="2290"/>
      <c r="CA410" s="2290"/>
    </row>
    <row r="411" spans="1:79">
      <c r="A411" s="2290"/>
      <c r="B411" s="2290"/>
      <c r="C411" s="2290"/>
      <c r="D411" s="2290"/>
      <c r="E411" s="2290"/>
      <c r="F411" s="2290"/>
      <c r="G411" s="2290"/>
      <c r="H411" s="2290"/>
      <c r="I411" s="2290"/>
      <c r="J411" s="2290"/>
      <c r="K411" s="2290"/>
      <c r="L411" s="2290"/>
      <c r="M411" s="2290"/>
      <c r="N411" s="2290"/>
      <c r="O411" s="2290"/>
      <c r="P411" s="2290"/>
      <c r="Q411" s="2290"/>
      <c r="R411" s="2290"/>
      <c r="S411" s="2290"/>
      <c r="T411" s="2290"/>
      <c r="U411" s="2290"/>
      <c r="V411" s="2290"/>
      <c r="W411" s="2290"/>
      <c r="X411" s="2290"/>
      <c r="Y411" s="2290"/>
      <c r="Z411" s="2290"/>
      <c r="AA411" s="2290"/>
      <c r="AB411" s="2290"/>
      <c r="AC411" s="2290"/>
      <c r="AD411" s="2290"/>
      <c r="AE411" s="2290"/>
      <c r="AF411" s="2290"/>
      <c r="AG411" s="2290"/>
      <c r="AH411" s="2290"/>
      <c r="AI411" s="2290"/>
      <c r="AJ411" s="2290"/>
      <c r="AK411" s="2290"/>
      <c r="AL411" s="2290"/>
      <c r="AM411" s="2290"/>
      <c r="AN411" s="2290"/>
      <c r="AO411" s="2290"/>
      <c r="AP411" s="2290"/>
      <c r="AQ411" s="2290"/>
      <c r="AR411" s="2290"/>
      <c r="AS411" s="2290"/>
      <c r="AT411" s="2290"/>
      <c r="AU411" s="2290"/>
      <c r="AV411" s="2290"/>
      <c r="AW411" s="2290"/>
      <c r="AX411" s="2290"/>
      <c r="AY411" s="2290"/>
      <c r="AZ411" s="2290"/>
      <c r="BA411" s="2290"/>
      <c r="BB411" s="2290"/>
      <c r="BC411" s="2290"/>
      <c r="BD411" s="2290"/>
      <c r="BE411" s="2290"/>
      <c r="BF411" s="2290"/>
      <c r="BG411" s="2290"/>
      <c r="BH411" s="2290"/>
      <c r="BI411" s="2290"/>
      <c r="BJ411" s="2290"/>
      <c r="BK411" s="2290"/>
      <c r="BL411" s="2290"/>
      <c r="BM411" s="2290"/>
      <c r="BN411" s="2290"/>
      <c r="BO411" s="2290"/>
      <c r="BP411" s="2290"/>
      <c r="BQ411" s="2290"/>
      <c r="BR411" s="2290"/>
      <c r="BS411" s="2290"/>
      <c r="BT411" s="2290"/>
      <c r="BU411" s="2290"/>
      <c r="BV411" s="2290"/>
      <c r="BW411" s="2290"/>
      <c r="BX411" s="2290"/>
      <c r="BY411" s="2290"/>
      <c r="BZ411" s="2290"/>
      <c r="CA411" s="2290"/>
    </row>
    <row r="412" spans="1:79">
      <c r="A412" s="2290"/>
      <c r="B412" s="2290"/>
      <c r="C412" s="2290"/>
      <c r="D412" s="2290"/>
      <c r="E412" s="2290"/>
      <c r="F412" s="2290"/>
      <c r="G412" s="2290"/>
      <c r="H412" s="2290"/>
      <c r="I412" s="2290"/>
      <c r="J412" s="2290"/>
      <c r="K412" s="2290"/>
      <c r="L412" s="2290"/>
      <c r="M412" s="2290"/>
      <c r="N412" s="2290"/>
      <c r="O412" s="2290"/>
      <c r="P412" s="2290"/>
      <c r="Q412" s="2290"/>
      <c r="R412" s="2290"/>
      <c r="S412" s="2290"/>
      <c r="T412" s="2290"/>
      <c r="U412" s="2290"/>
      <c r="V412" s="2290"/>
      <c r="W412" s="2290"/>
      <c r="X412" s="2290"/>
      <c r="Y412" s="2290"/>
      <c r="Z412" s="2290"/>
      <c r="AA412" s="2290"/>
      <c r="AB412" s="2290"/>
      <c r="AC412" s="2290"/>
      <c r="AD412" s="2290"/>
      <c r="AE412" s="2290"/>
      <c r="AF412" s="2290"/>
      <c r="AG412" s="2290"/>
      <c r="AH412" s="2290"/>
      <c r="AI412" s="2290"/>
      <c r="AJ412" s="2290"/>
      <c r="AK412" s="2290"/>
      <c r="AL412" s="2290"/>
      <c r="AM412" s="2290"/>
      <c r="AN412" s="2290"/>
      <c r="AO412" s="2290"/>
      <c r="AP412" s="2290"/>
      <c r="AQ412" s="2290"/>
      <c r="AR412" s="2290"/>
      <c r="AS412" s="2290"/>
      <c r="AT412" s="2290"/>
      <c r="AU412" s="2290"/>
      <c r="AV412" s="2290"/>
      <c r="AW412" s="2290"/>
      <c r="AX412" s="2290"/>
      <c r="AY412" s="2290"/>
      <c r="AZ412" s="2290"/>
      <c r="BA412" s="2290"/>
      <c r="BB412" s="2290"/>
      <c r="BC412" s="2290"/>
      <c r="BD412" s="2290"/>
      <c r="BE412" s="2290"/>
      <c r="BF412" s="2290"/>
      <c r="BG412" s="2290"/>
      <c r="BH412" s="2290"/>
      <c r="BI412" s="2290"/>
      <c r="BJ412" s="2290"/>
      <c r="BK412" s="2290"/>
      <c r="BL412" s="2290"/>
      <c r="BM412" s="2290"/>
      <c r="BN412" s="2290"/>
      <c r="BO412" s="2290"/>
      <c r="BP412" s="2290"/>
      <c r="BQ412" s="2290"/>
      <c r="BR412" s="2290"/>
      <c r="BS412" s="2290"/>
      <c r="BT412" s="2290"/>
      <c r="BU412" s="2290"/>
      <c r="BV412" s="2290"/>
      <c r="BW412" s="2290"/>
      <c r="BX412" s="2290"/>
      <c r="BY412" s="2290"/>
      <c r="BZ412" s="2290"/>
      <c r="CA412" s="2290"/>
    </row>
    <row r="413" spans="1:79">
      <c r="A413" s="2290"/>
      <c r="B413" s="2290"/>
      <c r="C413" s="2290"/>
      <c r="D413" s="2290"/>
      <c r="E413" s="2290"/>
      <c r="F413" s="2290"/>
      <c r="G413" s="2290"/>
      <c r="H413" s="2290"/>
      <c r="I413" s="2290"/>
      <c r="J413" s="2290"/>
      <c r="K413" s="2290"/>
      <c r="L413" s="2290"/>
      <c r="M413" s="2290"/>
      <c r="N413" s="2290"/>
      <c r="O413" s="2290"/>
      <c r="P413" s="2290"/>
      <c r="Q413" s="2290"/>
      <c r="R413" s="2290"/>
      <c r="S413" s="2290"/>
      <c r="T413" s="2290"/>
      <c r="U413" s="2290"/>
      <c r="V413" s="2290"/>
      <c r="W413" s="2290"/>
      <c r="X413" s="2290"/>
      <c r="Y413" s="2290"/>
      <c r="Z413" s="2290"/>
      <c r="AA413" s="2290"/>
      <c r="AB413" s="2290"/>
      <c r="AC413" s="2290"/>
      <c r="AD413" s="2290"/>
      <c r="AE413" s="2290"/>
      <c r="AF413" s="2290"/>
      <c r="AG413" s="2290"/>
      <c r="AH413" s="2290"/>
      <c r="AI413" s="2290"/>
      <c r="AJ413" s="2290"/>
      <c r="AK413" s="2290"/>
      <c r="AL413" s="2290"/>
      <c r="AM413" s="2290"/>
      <c r="AN413" s="2290"/>
      <c r="AO413" s="2290"/>
      <c r="AP413" s="2290"/>
      <c r="AQ413" s="2290"/>
      <c r="AR413" s="2290"/>
      <c r="AS413" s="2290"/>
      <c r="AT413" s="2290"/>
      <c r="AU413" s="2290"/>
      <c r="AV413" s="2290"/>
      <c r="AW413" s="2290"/>
      <c r="AX413" s="2290"/>
      <c r="AY413" s="2290"/>
      <c r="AZ413" s="2290"/>
      <c r="BA413" s="2290"/>
      <c r="BB413" s="2290"/>
      <c r="BC413" s="2290"/>
      <c r="BD413" s="2290"/>
      <c r="BE413" s="2290"/>
      <c r="BF413" s="2290"/>
      <c r="BG413" s="2290"/>
      <c r="BH413" s="2290"/>
      <c r="BI413" s="2290"/>
      <c r="BJ413" s="2290"/>
      <c r="BK413" s="2290"/>
      <c r="BL413" s="2290"/>
      <c r="BM413" s="2290"/>
      <c r="BN413" s="2290"/>
      <c r="BO413" s="2290"/>
      <c r="BP413" s="2290"/>
      <c r="BQ413" s="2290"/>
      <c r="BR413" s="2290"/>
      <c r="BS413" s="2290"/>
      <c r="BT413" s="2290"/>
      <c r="BU413" s="2290"/>
      <c r="BV413" s="2290"/>
      <c r="BW413" s="2290"/>
      <c r="BX413" s="2290"/>
      <c r="BY413" s="2290"/>
      <c r="BZ413" s="2290"/>
      <c r="CA413" s="2290"/>
    </row>
    <row r="414" spans="1:79">
      <c r="A414" s="2290"/>
      <c r="B414" s="2290"/>
      <c r="C414" s="2290"/>
      <c r="D414" s="2290"/>
      <c r="E414" s="2290"/>
      <c r="F414" s="2290"/>
      <c r="G414" s="2290"/>
      <c r="H414" s="2290"/>
      <c r="I414" s="2290"/>
      <c r="J414" s="2290"/>
      <c r="K414" s="2290"/>
      <c r="L414" s="2290"/>
      <c r="M414" s="2290"/>
      <c r="N414" s="2290"/>
      <c r="O414" s="2290"/>
      <c r="P414" s="2290"/>
      <c r="Q414" s="2290"/>
      <c r="R414" s="2290"/>
      <c r="S414" s="2290"/>
      <c r="T414" s="2290"/>
      <c r="U414" s="2290"/>
      <c r="V414" s="2290"/>
      <c r="W414" s="2290"/>
      <c r="X414" s="2290"/>
      <c r="Y414" s="2290"/>
      <c r="Z414" s="2290"/>
      <c r="AA414" s="2290"/>
      <c r="AB414" s="2290"/>
      <c r="AC414" s="2290"/>
      <c r="AD414" s="2290"/>
      <c r="AE414" s="2290"/>
      <c r="AF414" s="2290"/>
      <c r="AG414" s="2290"/>
      <c r="AH414" s="2290"/>
      <c r="AI414" s="2290"/>
      <c r="AJ414" s="2290"/>
      <c r="AK414" s="2290"/>
      <c r="AL414" s="2290"/>
      <c r="AM414" s="2290"/>
      <c r="AN414" s="2290"/>
      <c r="AO414" s="2290"/>
      <c r="AP414" s="2290"/>
      <c r="AQ414" s="2290"/>
      <c r="AR414" s="2290"/>
      <c r="AS414" s="2290"/>
      <c r="AT414" s="2290"/>
      <c r="AU414" s="2290"/>
      <c r="AV414" s="2290"/>
      <c r="AW414" s="2290"/>
      <c r="AX414" s="2290"/>
      <c r="AY414" s="2290"/>
      <c r="AZ414" s="2290"/>
      <c r="BA414" s="2290"/>
      <c r="BB414" s="2290"/>
      <c r="BC414" s="2290"/>
      <c r="BD414" s="2290"/>
      <c r="BE414" s="2290"/>
      <c r="BF414" s="2290"/>
      <c r="BG414" s="2290"/>
      <c r="BH414" s="2290"/>
      <c r="BI414" s="2290"/>
      <c r="BJ414" s="2290"/>
      <c r="BK414" s="2290"/>
      <c r="BL414" s="2290"/>
      <c r="BM414" s="2290"/>
      <c r="BN414" s="2290"/>
      <c r="BO414" s="2290"/>
      <c r="BP414" s="2290"/>
      <c r="BQ414" s="2290"/>
      <c r="BR414" s="2290"/>
      <c r="BS414" s="2290"/>
      <c r="BT414" s="2290"/>
      <c r="BU414" s="2290"/>
      <c r="BV414" s="2290"/>
      <c r="BW414" s="2290"/>
      <c r="BX414" s="2290"/>
      <c r="BY414" s="2290"/>
      <c r="BZ414" s="2290"/>
      <c r="CA414" s="2290"/>
    </row>
    <row r="415" spans="1:79">
      <c r="A415" s="2290"/>
      <c r="B415" s="2290"/>
      <c r="C415" s="2290"/>
      <c r="D415" s="2290"/>
      <c r="E415" s="2290"/>
      <c r="F415" s="2290"/>
      <c r="G415" s="2290"/>
      <c r="H415" s="2290"/>
      <c r="I415" s="2290"/>
      <c r="J415" s="2290"/>
      <c r="K415" s="2290"/>
      <c r="L415" s="2290"/>
      <c r="M415" s="2290"/>
      <c r="N415" s="2290"/>
      <c r="O415" s="2290"/>
      <c r="P415" s="2290"/>
      <c r="Q415" s="2290"/>
      <c r="R415" s="2290"/>
      <c r="S415" s="2290"/>
      <c r="T415" s="2290"/>
      <c r="U415" s="2290"/>
      <c r="V415" s="2290"/>
      <c r="W415" s="2290"/>
      <c r="X415" s="2290"/>
      <c r="Y415" s="2290"/>
      <c r="Z415" s="2290"/>
      <c r="AA415" s="2290"/>
      <c r="AB415" s="2290"/>
      <c r="AC415" s="2290"/>
      <c r="AD415" s="2290"/>
      <c r="AE415" s="2290"/>
      <c r="AF415" s="2290"/>
      <c r="AG415" s="2290"/>
      <c r="AH415" s="2290"/>
      <c r="AI415" s="2290"/>
      <c r="AJ415" s="2290"/>
      <c r="AK415" s="2290"/>
      <c r="AL415" s="2290"/>
      <c r="AM415" s="2290"/>
      <c r="AN415" s="2290"/>
      <c r="AO415" s="2290"/>
      <c r="AP415" s="2290"/>
      <c r="AQ415" s="2290"/>
      <c r="AR415" s="2290"/>
      <c r="AS415" s="2290"/>
      <c r="AT415" s="2290"/>
      <c r="AU415" s="2290"/>
      <c r="AV415" s="2290"/>
      <c r="AW415" s="2290"/>
      <c r="AX415" s="2290"/>
      <c r="AY415" s="2290"/>
      <c r="AZ415" s="2290"/>
      <c r="BA415" s="2290"/>
      <c r="BB415" s="2290"/>
      <c r="BC415" s="2290"/>
      <c r="BD415" s="2290"/>
      <c r="BE415" s="2290"/>
      <c r="BF415" s="2290"/>
      <c r="BG415" s="2290"/>
      <c r="BH415" s="2290"/>
      <c r="BI415" s="2290"/>
      <c r="BJ415" s="2290"/>
      <c r="BK415" s="2290"/>
      <c r="BL415" s="2290"/>
      <c r="BM415" s="2290"/>
      <c r="BN415" s="2290"/>
      <c r="BO415" s="2290"/>
      <c r="BP415" s="2290"/>
      <c r="BQ415" s="2290"/>
      <c r="BR415" s="2290"/>
      <c r="BS415" s="2290"/>
      <c r="BT415" s="2290"/>
      <c r="BU415" s="2290"/>
      <c r="BV415" s="2290"/>
      <c r="BW415" s="2290"/>
      <c r="BX415" s="2290"/>
      <c r="BY415" s="2290"/>
      <c r="BZ415" s="2290"/>
      <c r="CA415" s="2290"/>
    </row>
    <row r="416" spans="1:79">
      <c r="A416" s="2290"/>
      <c r="B416" s="2290"/>
      <c r="C416" s="2290"/>
      <c r="D416" s="2290"/>
      <c r="E416" s="2290"/>
      <c r="F416" s="2290"/>
      <c r="G416" s="2290"/>
      <c r="H416" s="2290"/>
      <c r="I416" s="2290"/>
      <c r="J416" s="2290"/>
      <c r="K416" s="2290"/>
      <c r="L416" s="2290"/>
      <c r="M416" s="2290"/>
      <c r="N416" s="2290"/>
      <c r="O416" s="2290"/>
      <c r="P416" s="2290"/>
      <c r="Q416" s="2290"/>
      <c r="R416" s="2290"/>
      <c r="S416" s="2290"/>
      <c r="T416" s="2290"/>
      <c r="U416" s="2290"/>
      <c r="V416" s="2290"/>
      <c r="W416" s="2290"/>
      <c r="X416" s="2290"/>
      <c r="Y416" s="2290"/>
      <c r="Z416" s="2290"/>
      <c r="AA416" s="2290"/>
      <c r="AB416" s="2290"/>
      <c r="AC416" s="2290"/>
      <c r="AD416" s="2290"/>
      <c r="AE416" s="2290"/>
      <c r="AF416" s="2290"/>
      <c r="AG416" s="2290"/>
      <c r="AH416" s="2290"/>
      <c r="AI416" s="2290"/>
      <c r="AJ416" s="2290"/>
      <c r="AK416" s="2290"/>
      <c r="AL416" s="2290"/>
      <c r="AM416" s="2290"/>
      <c r="AN416" s="2290"/>
      <c r="AO416" s="2290"/>
      <c r="AP416" s="2290"/>
      <c r="AQ416" s="2290"/>
      <c r="AR416" s="2290"/>
      <c r="AS416" s="2290"/>
      <c r="AT416" s="2290"/>
      <c r="AU416" s="2290"/>
      <c r="AV416" s="2290"/>
      <c r="AW416" s="2290"/>
      <c r="AX416" s="2290"/>
      <c r="AY416" s="2290"/>
      <c r="AZ416" s="2290"/>
      <c r="BA416" s="2290"/>
      <c r="BB416" s="2290"/>
      <c r="BC416" s="2290"/>
      <c r="BD416" s="2290"/>
      <c r="BE416" s="2290"/>
      <c r="BF416" s="2290"/>
      <c r="BG416" s="2290"/>
      <c r="BH416" s="2290"/>
      <c r="BI416" s="2290"/>
      <c r="BJ416" s="2290"/>
      <c r="BK416" s="2290"/>
      <c r="BL416" s="2290"/>
      <c r="BM416" s="2290"/>
      <c r="BN416" s="2290"/>
      <c r="BO416" s="2290"/>
      <c r="BP416" s="2290"/>
      <c r="BQ416" s="2290"/>
      <c r="BR416" s="2290"/>
      <c r="BS416" s="2290"/>
      <c r="BT416" s="2290"/>
      <c r="BU416" s="2290"/>
      <c r="BV416" s="2290"/>
      <c r="BW416" s="2290"/>
      <c r="BX416" s="2290"/>
      <c r="BY416" s="2290"/>
      <c r="BZ416" s="2290"/>
      <c r="CA416" s="2290"/>
    </row>
    <row r="417" spans="1:79">
      <c r="A417" s="2290"/>
      <c r="B417" s="2290"/>
      <c r="C417" s="2290"/>
      <c r="D417" s="2290"/>
      <c r="E417" s="2290"/>
      <c r="F417" s="2290"/>
      <c r="G417" s="2290"/>
      <c r="H417" s="2290"/>
      <c r="I417" s="2290"/>
      <c r="J417" s="2290"/>
      <c r="K417" s="2290"/>
      <c r="L417" s="2290"/>
      <c r="M417" s="2290"/>
      <c r="N417" s="2290"/>
      <c r="O417" s="2290"/>
      <c r="P417" s="2290"/>
      <c r="Q417" s="2290"/>
      <c r="R417" s="2290"/>
      <c r="S417" s="2290"/>
      <c r="T417" s="2290"/>
      <c r="U417" s="2290"/>
      <c r="V417" s="2290"/>
      <c r="W417" s="2290"/>
      <c r="X417" s="2290"/>
      <c r="Y417" s="2290"/>
      <c r="Z417" s="2290"/>
      <c r="AA417" s="2290"/>
      <c r="AB417" s="2290"/>
      <c r="AC417" s="2290"/>
      <c r="AD417" s="2290"/>
      <c r="AE417" s="2290"/>
      <c r="AF417" s="2290"/>
      <c r="AG417" s="2290"/>
      <c r="AH417" s="2290"/>
      <c r="AI417" s="2290"/>
      <c r="AJ417" s="2290"/>
      <c r="AK417" s="2290"/>
      <c r="AL417" s="2290"/>
      <c r="AM417" s="2290"/>
      <c r="AN417" s="2290"/>
      <c r="AO417" s="2290"/>
      <c r="AP417" s="2290"/>
      <c r="AQ417" s="2290"/>
      <c r="AR417" s="2290"/>
      <c r="AS417" s="2290"/>
      <c r="AT417" s="2290"/>
      <c r="AU417" s="2290"/>
      <c r="AV417" s="2290"/>
      <c r="AW417" s="2290"/>
      <c r="AX417" s="2290"/>
      <c r="AY417" s="2290"/>
      <c r="AZ417" s="2290"/>
      <c r="BA417" s="2290"/>
      <c r="BB417" s="2290"/>
      <c r="BC417" s="2290"/>
      <c r="BD417" s="2290"/>
      <c r="BE417" s="2290"/>
      <c r="BF417" s="2290"/>
      <c r="BG417" s="2290"/>
      <c r="BH417" s="2290"/>
      <c r="BI417" s="2290"/>
      <c r="BJ417" s="2290"/>
      <c r="BK417" s="2290"/>
      <c r="BL417" s="2290"/>
      <c r="BM417" s="2290"/>
      <c r="BN417" s="2290"/>
      <c r="BO417" s="2290"/>
      <c r="BP417" s="2290"/>
      <c r="BQ417" s="2290"/>
      <c r="BR417" s="2290"/>
      <c r="BS417" s="2290"/>
      <c r="BT417" s="2290"/>
      <c r="BU417" s="2290"/>
      <c r="BV417" s="2290"/>
      <c r="BW417" s="2290"/>
      <c r="BX417" s="2290"/>
      <c r="BY417" s="2290"/>
      <c r="BZ417" s="2290"/>
      <c r="CA417" s="2290"/>
    </row>
    <row r="418" spans="1:79">
      <c r="A418" s="2290"/>
      <c r="B418" s="2290"/>
      <c r="C418" s="2290"/>
      <c r="D418" s="2290"/>
      <c r="E418" s="2290"/>
      <c r="F418" s="2290"/>
      <c r="G418" s="2290"/>
      <c r="H418" s="2290"/>
      <c r="I418" s="2290"/>
      <c r="J418" s="2290"/>
      <c r="K418" s="2290"/>
      <c r="L418" s="2290"/>
      <c r="M418" s="2290"/>
      <c r="N418" s="2290"/>
      <c r="O418" s="2290"/>
      <c r="P418" s="2290"/>
      <c r="Q418" s="2290"/>
      <c r="R418" s="2290"/>
      <c r="S418" s="2290"/>
      <c r="T418" s="2290"/>
      <c r="U418" s="2290"/>
      <c r="V418" s="2290"/>
      <c r="W418" s="2290"/>
      <c r="X418" s="2290"/>
      <c r="Y418" s="2290"/>
      <c r="Z418" s="2290"/>
      <c r="AA418" s="2290"/>
      <c r="AB418" s="2290"/>
      <c r="AC418" s="2290"/>
      <c r="AD418" s="2290"/>
      <c r="AE418" s="2290"/>
      <c r="AF418" s="2290"/>
      <c r="AG418" s="2290"/>
      <c r="AH418" s="2290"/>
      <c r="AI418" s="2290"/>
      <c r="AJ418" s="2290"/>
      <c r="AK418" s="2290"/>
      <c r="AL418" s="2290"/>
      <c r="AM418" s="2290"/>
      <c r="AN418" s="2290"/>
      <c r="AO418" s="2290"/>
      <c r="AP418" s="2290"/>
      <c r="AQ418" s="2290"/>
      <c r="AR418" s="2290"/>
      <c r="AS418" s="2290"/>
      <c r="AT418" s="2290"/>
      <c r="AU418" s="2290"/>
      <c r="AV418" s="2290"/>
      <c r="AW418" s="2290"/>
      <c r="AX418" s="2290"/>
      <c r="AY418" s="2290"/>
      <c r="AZ418" s="2290"/>
      <c r="BA418" s="2290"/>
      <c r="BB418" s="2290"/>
      <c r="BC418" s="2290"/>
      <c r="BD418" s="2290"/>
      <c r="BE418" s="2290"/>
      <c r="BF418" s="2290"/>
      <c r="BG418" s="2290"/>
      <c r="BH418" s="2290"/>
      <c r="BI418" s="2290"/>
      <c r="BJ418" s="2290"/>
      <c r="BK418" s="2290"/>
      <c r="BL418" s="2290"/>
      <c r="BM418" s="2290"/>
      <c r="BN418" s="2290"/>
      <c r="BO418" s="2290"/>
      <c r="BP418" s="2290"/>
      <c r="BQ418" s="2290"/>
      <c r="BR418" s="2290"/>
      <c r="BS418" s="2290"/>
      <c r="BT418" s="2290"/>
      <c r="BU418" s="2290"/>
      <c r="BV418" s="2290"/>
      <c r="BW418" s="2290"/>
      <c r="BX418" s="2290"/>
      <c r="BY418" s="2290"/>
      <c r="BZ418" s="2290"/>
      <c r="CA418" s="2290"/>
    </row>
    <row r="419" spans="1:79">
      <c r="A419" s="2290"/>
      <c r="B419" s="2290"/>
      <c r="C419" s="2290"/>
      <c r="D419" s="2290"/>
      <c r="E419" s="2290"/>
      <c r="F419" s="2290"/>
      <c r="G419" s="2290"/>
      <c r="H419" s="2290"/>
      <c r="I419" s="2290"/>
      <c r="J419" s="2290"/>
      <c r="K419" s="2290"/>
      <c r="L419" s="2290"/>
      <c r="M419" s="2290"/>
      <c r="N419" s="2290"/>
      <c r="O419" s="2290"/>
      <c r="P419" s="2290"/>
      <c r="Q419" s="2290"/>
      <c r="R419" s="2290"/>
      <c r="S419" s="2290"/>
      <c r="T419" s="2290"/>
      <c r="U419" s="2290"/>
      <c r="V419" s="2290"/>
      <c r="W419" s="2290"/>
      <c r="X419" s="2290"/>
      <c r="Y419" s="2290"/>
      <c r="Z419" s="2290"/>
      <c r="AA419" s="2290"/>
      <c r="AB419" s="2290"/>
      <c r="AC419" s="2290"/>
      <c r="AD419" s="2290"/>
      <c r="AE419" s="2290"/>
      <c r="AF419" s="2290"/>
      <c r="AG419" s="2290"/>
      <c r="AH419" s="2290"/>
      <c r="AI419" s="2290"/>
      <c r="AJ419" s="2290"/>
      <c r="AK419" s="2290"/>
      <c r="AL419" s="2290"/>
      <c r="AM419" s="2290"/>
      <c r="AN419" s="2290"/>
      <c r="AO419" s="2290"/>
      <c r="AP419" s="2290"/>
      <c r="AQ419" s="2290"/>
      <c r="AR419" s="2290"/>
      <c r="AS419" s="2290"/>
      <c r="AT419" s="2290"/>
      <c r="AU419" s="2290"/>
      <c r="AV419" s="2290"/>
      <c r="AW419" s="2290"/>
      <c r="AX419" s="2290"/>
      <c r="AY419" s="2290"/>
      <c r="AZ419" s="2290"/>
      <c r="BA419" s="2290"/>
      <c r="BB419" s="2290"/>
      <c r="BC419" s="2290"/>
      <c r="BD419" s="2290"/>
      <c r="BE419" s="2290"/>
      <c r="BF419" s="2290"/>
      <c r="BG419" s="2290"/>
      <c r="BH419" s="2290"/>
      <c r="BI419" s="2290"/>
      <c r="BJ419" s="2290"/>
      <c r="BK419" s="2290"/>
      <c r="BL419" s="2290"/>
      <c r="BM419" s="2290"/>
      <c r="BN419" s="2290"/>
      <c r="BO419" s="2290"/>
      <c r="BP419" s="2290"/>
      <c r="BQ419" s="2290"/>
      <c r="BR419" s="2290"/>
      <c r="BS419" s="2290"/>
      <c r="BT419" s="2290"/>
      <c r="BU419" s="2290"/>
      <c r="BV419" s="2290"/>
      <c r="BW419" s="2290"/>
      <c r="BX419" s="2290"/>
      <c r="BY419" s="2290"/>
      <c r="BZ419" s="2290"/>
      <c r="CA419" s="2290"/>
    </row>
    <row r="420" spans="1:79">
      <c r="A420" s="2290"/>
      <c r="B420" s="2290"/>
      <c r="C420" s="2290"/>
      <c r="D420" s="2290"/>
      <c r="E420" s="2290"/>
      <c r="F420" s="2290"/>
      <c r="G420" s="2290"/>
      <c r="H420" s="2290"/>
      <c r="I420" s="2290"/>
      <c r="J420" s="2290"/>
      <c r="K420" s="2290"/>
      <c r="L420" s="2290"/>
      <c r="M420" s="2290"/>
      <c r="N420" s="2290"/>
      <c r="O420" s="2290"/>
      <c r="P420" s="2290"/>
      <c r="Q420" s="2290"/>
      <c r="R420" s="2290"/>
      <c r="S420" s="2290"/>
      <c r="T420" s="2290"/>
      <c r="U420" s="2290"/>
      <c r="V420" s="2290"/>
      <c r="W420" s="2290"/>
      <c r="X420" s="2290"/>
      <c r="Y420" s="2290"/>
      <c r="Z420" s="2290"/>
      <c r="AA420" s="2290"/>
      <c r="AB420" s="2290"/>
      <c r="AC420" s="2290"/>
      <c r="AD420" s="2290"/>
      <c r="AE420" s="2290"/>
      <c r="AF420" s="2290"/>
      <c r="AG420" s="2290"/>
      <c r="AH420" s="2290"/>
      <c r="AI420" s="2290"/>
      <c r="AJ420" s="2290"/>
      <c r="AK420" s="2290"/>
      <c r="AL420" s="2290"/>
      <c r="AM420" s="2290"/>
      <c r="AN420" s="2290"/>
      <c r="AO420" s="2290"/>
      <c r="AP420" s="2290"/>
      <c r="AQ420" s="2290"/>
      <c r="AR420" s="2290"/>
      <c r="AS420" s="2290"/>
      <c r="AT420" s="2290"/>
      <c r="AU420" s="2290"/>
      <c r="AV420" s="2290"/>
      <c r="AW420" s="2290"/>
      <c r="AX420" s="2290"/>
      <c r="AY420" s="2290"/>
      <c r="AZ420" s="2290"/>
      <c r="BA420" s="2290"/>
      <c r="BB420" s="2290"/>
      <c r="BC420" s="2290"/>
      <c r="BD420" s="2290"/>
      <c r="BE420" s="2290"/>
      <c r="BF420" s="2290"/>
      <c r="BG420" s="2290"/>
      <c r="BH420" s="2290"/>
      <c r="BI420" s="2290"/>
      <c r="BJ420" s="2290"/>
      <c r="BK420" s="2290"/>
      <c r="BL420" s="2290"/>
      <c r="BM420" s="2290"/>
      <c r="BN420" s="2290"/>
      <c r="BO420" s="2290"/>
      <c r="BP420" s="2290"/>
      <c r="BQ420" s="2290"/>
      <c r="BR420" s="2290"/>
      <c r="BS420" s="2290"/>
      <c r="BT420" s="2290"/>
      <c r="BU420" s="2290"/>
      <c r="BV420" s="2290"/>
      <c r="BW420" s="2290"/>
      <c r="BX420" s="2290"/>
      <c r="BY420" s="2290"/>
      <c r="BZ420" s="2290"/>
      <c r="CA420" s="2290"/>
    </row>
    <row r="421" spans="1:79">
      <c r="A421" s="2290"/>
      <c r="B421" s="2290"/>
      <c r="C421" s="2290"/>
      <c r="D421" s="2290"/>
      <c r="E421" s="2290"/>
      <c r="F421" s="2290"/>
      <c r="G421" s="2290"/>
      <c r="H421" s="2290"/>
      <c r="I421" s="2290"/>
      <c r="J421" s="2290"/>
      <c r="K421" s="2290"/>
      <c r="L421" s="2290"/>
      <c r="M421" s="2290"/>
      <c r="N421" s="2290"/>
      <c r="O421" s="2290"/>
      <c r="P421" s="2290"/>
      <c r="Q421" s="2290"/>
      <c r="R421" s="2290"/>
      <c r="S421" s="2290"/>
      <c r="T421" s="2290"/>
      <c r="U421" s="2290"/>
      <c r="V421" s="2290"/>
      <c r="W421" s="2290"/>
      <c r="X421" s="2290"/>
      <c r="Y421" s="2290"/>
      <c r="Z421" s="2290"/>
      <c r="AA421" s="2290"/>
      <c r="AB421" s="2290"/>
      <c r="AC421" s="2290"/>
      <c r="AD421" s="2290"/>
      <c r="AE421" s="2290"/>
      <c r="AF421" s="2290"/>
      <c r="AG421" s="2290"/>
      <c r="AH421" s="2290"/>
      <c r="AI421" s="2290"/>
      <c r="AJ421" s="2290"/>
      <c r="AK421" s="2290"/>
      <c r="AL421" s="2290"/>
      <c r="AM421" s="2290"/>
      <c r="AN421" s="2290"/>
      <c r="AO421" s="2290"/>
      <c r="AP421" s="2290"/>
      <c r="AQ421" s="2290"/>
      <c r="AR421" s="2290"/>
      <c r="AS421" s="2290"/>
      <c r="AT421" s="2290"/>
      <c r="AU421" s="2290"/>
      <c r="AV421" s="2290"/>
      <c r="AW421" s="2290"/>
      <c r="AX421" s="2290"/>
      <c r="AY421" s="2290"/>
      <c r="AZ421" s="2290"/>
      <c r="BA421" s="2290"/>
      <c r="BB421" s="2290"/>
      <c r="BC421" s="2290"/>
      <c r="BD421" s="2290"/>
      <c r="BE421" s="2290"/>
      <c r="BF421" s="2290"/>
      <c r="BG421" s="2290"/>
      <c r="BH421" s="2290"/>
      <c r="BI421" s="2290"/>
      <c r="BJ421" s="2290"/>
      <c r="BK421" s="2290"/>
      <c r="BL421" s="2290"/>
      <c r="BM421" s="2290"/>
      <c r="BN421" s="2290"/>
      <c r="BO421" s="2290"/>
      <c r="BP421" s="2290"/>
      <c r="BQ421" s="2290"/>
      <c r="BR421" s="2290"/>
      <c r="BS421" s="2290"/>
      <c r="BT421" s="2290"/>
      <c r="BU421" s="2290"/>
      <c r="BV421" s="2290"/>
      <c r="BW421" s="2290"/>
      <c r="BX421" s="2290"/>
      <c r="BY421" s="2290"/>
      <c r="BZ421" s="2290"/>
      <c r="CA421" s="2290"/>
    </row>
    <row r="422" spans="1:79">
      <c r="A422" s="2290"/>
      <c r="B422" s="2290"/>
      <c r="C422" s="2290"/>
      <c r="D422" s="2290"/>
      <c r="E422" s="2290"/>
      <c r="F422" s="2290"/>
      <c r="G422" s="2290"/>
      <c r="H422" s="2290"/>
      <c r="I422" s="2290"/>
      <c r="J422" s="2290"/>
      <c r="K422" s="2290"/>
      <c r="L422" s="2290"/>
      <c r="M422" s="2290"/>
      <c r="N422" s="2290"/>
      <c r="O422" s="2290"/>
      <c r="P422" s="2290"/>
      <c r="Q422" s="2290"/>
      <c r="R422" s="2290"/>
      <c r="S422" s="2290"/>
      <c r="T422" s="2290"/>
      <c r="U422" s="2290"/>
      <c r="V422" s="2290"/>
      <c r="W422" s="2290"/>
      <c r="X422" s="2290"/>
      <c r="Y422" s="2290"/>
      <c r="Z422" s="2290"/>
      <c r="AA422" s="2290"/>
      <c r="AB422" s="2290"/>
      <c r="AC422" s="2290"/>
      <c r="AD422" s="2290"/>
      <c r="AE422" s="2290"/>
      <c r="AF422" s="2290"/>
      <c r="AG422" s="2290"/>
      <c r="AH422" s="2290"/>
      <c r="AI422" s="2290"/>
      <c r="AJ422" s="2290"/>
      <c r="AK422" s="2290"/>
      <c r="AL422" s="2290"/>
      <c r="AM422" s="2290"/>
      <c r="AN422" s="2290"/>
      <c r="AO422" s="2290"/>
      <c r="AP422" s="2290"/>
      <c r="AQ422" s="2290"/>
      <c r="AR422" s="2290"/>
      <c r="AS422" s="2290"/>
      <c r="AT422" s="2290"/>
      <c r="AU422" s="2290"/>
      <c r="AV422" s="2290"/>
      <c r="AW422" s="2290"/>
      <c r="AX422" s="2290"/>
      <c r="AY422" s="2290"/>
      <c r="AZ422" s="2290"/>
      <c r="BA422" s="2290"/>
      <c r="BB422" s="2290"/>
      <c r="BC422" s="2290"/>
      <c r="BD422" s="2290"/>
      <c r="BE422" s="2290"/>
      <c r="BF422" s="2290"/>
      <c r="BG422" s="2290"/>
      <c r="BH422" s="2290"/>
      <c r="BI422" s="2290"/>
      <c r="BJ422" s="2290"/>
      <c r="BK422" s="2290"/>
      <c r="BL422" s="2290"/>
      <c r="BM422" s="2290"/>
      <c r="BN422" s="2290"/>
      <c r="BO422" s="2290"/>
      <c r="BP422" s="2290"/>
      <c r="BQ422" s="2290"/>
      <c r="BR422" s="2290"/>
      <c r="BS422" s="2290"/>
      <c r="BT422" s="2290"/>
      <c r="BU422" s="2290"/>
      <c r="BV422" s="2290"/>
      <c r="BW422" s="2290"/>
      <c r="BX422" s="2290"/>
      <c r="BY422" s="2290"/>
      <c r="BZ422" s="2290"/>
      <c r="CA422" s="2290"/>
    </row>
    <row r="423" spans="1:79">
      <c r="A423" s="2290"/>
      <c r="B423" s="2290"/>
      <c r="C423" s="2290"/>
      <c r="D423" s="2290"/>
      <c r="E423" s="2290"/>
      <c r="F423" s="2290"/>
      <c r="G423" s="2290"/>
      <c r="H423" s="2290"/>
      <c r="I423" s="2290"/>
      <c r="J423" s="2290"/>
      <c r="K423" s="2290"/>
      <c r="L423" s="2290"/>
      <c r="M423" s="2290"/>
      <c r="N423" s="2290"/>
      <c r="O423" s="2290"/>
      <c r="P423" s="2290"/>
      <c r="Q423" s="2290"/>
      <c r="R423" s="2290"/>
      <c r="S423" s="2290"/>
      <c r="T423" s="2290"/>
      <c r="U423" s="2290"/>
      <c r="V423" s="2290"/>
      <c r="W423" s="2290"/>
      <c r="X423" s="2290"/>
      <c r="Y423" s="2290"/>
      <c r="Z423" s="2290"/>
      <c r="AA423" s="2290"/>
      <c r="AB423" s="2290"/>
      <c r="AC423" s="2290"/>
      <c r="AD423" s="2290"/>
      <c r="AE423" s="2290"/>
      <c r="AF423" s="2290"/>
      <c r="AG423" s="2290"/>
      <c r="AH423" s="2290"/>
      <c r="AI423" s="2290"/>
      <c r="AJ423" s="2290"/>
      <c r="AK423" s="2290"/>
      <c r="AL423" s="2290"/>
      <c r="AM423" s="2290"/>
      <c r="AN423" s="2290"/>
      <c r="AO423" s="2290"/>
      <c r="AP423" s="2290"/>
      <c r="AQ423" s="2290"/>
      <c r="AR423" s="2290"/>
      <c r="AS423" s="2290"/>
      <c r="AT423" s="2290"/>
      <c r="AU423" s="2290"/>
      <c r="AV423" s="2290"/>
      <c r="AW423" s="2290"/>
      <c r="AX423" s="2290"/>
      <c r="AY423" s="2290"/>
      <c r="AZ423" s="2290"/>
      <c r="BA423" s="2290"/>
      <c r="BB423" s="2290"/>
      <c r="BC423" s="2290"/>
      <c r="BD423" s="2290"/>
      <c r="BE423" s="2290"/>
      <c r="BF423" s="2290"/>
      <c r="BG423" s="2290"/>
      <c r="BH423" s="2290"/>
      <c r="BI423" s="2290"/>
      <c r="BJ423" s="2290"/>
      <c r="BK423" s="2290"/>
      <c r="BL423" s="2290"/>
      <c r="BM423" s="2290"/>
      <c r="BN423" s="2290"/>
      <c r="BO423" s="2290"/>
      <c r="BP423" s="2290"/>
      <c r="BQ423" s="2290"/>
      <c r="BR423" s="2290"/>
      <c r="BS423" s="2290"/>
      <c r="BT423" s="2290"/>
      <c r="BU423" s="2290"/>
      <c r="BV423" s="2290"/>
      <c r="BW423" s="2290"/>
      <c r="BX423" s="2290"/>
      <c r="BY423" s="2290"/>
      <c r="BZ423" s="2290"/>
      <c r="CA423" s="2290"/>
    </row>
    <row r="424" spans="1:79">
      <c r="A424" s="2290"/>
      <c r="B424" s="2290"/>
      <c r="C424" s="2290"/>
      <c r="D424" s="2290"/>
      <c r="E424" s="2290"/>
      <c r="F424" s="2290"/>
      <c r="G424" s="2290"/>
      <c r="H424" s="2290"/>
      <c r="I424" s="2290"/>
      <c r="J424" s="2290"/>
      <c r="K424" s="2290"/>
      <c r="L424" s="2290"/>
      <c r="M424" s="2290"/>
      <c r="N424" s="2290"/>
      <c r="O424" s="2290"/>
      <c r="P424" s="2290"/>
      <c r="Q424" s="2290"/>
      <c r="R424" s="2290"/>
      <c r="S424" s="2290"/>
      <c r="T424" s="2290"/>
      <c r="U424" s="2290"/>
      <c r="V424" s="2290"/>
      <c r="W424" s="2290"/>
      <c r="X424" s="2290"/>
      <c r="Y424" s="2290"/>
      <c r="Z424" s="2290"/>
      <c r="AA424" s="2290"/>
      <c r="AB424" s="2290"/>
      <c r="AC424" s="2290"/>
      <c r="AD424" s="2290"/>
      <c r="AE424" s="2290"/>
      <c r="AF424" s="2290"/>
      <c r="AG424" s="2290"/>
      <c r="AH424" s="2290"/>
      <c r="AI424" s="2290"/>
      <c r="AJ424" s="2290"/>
      <c r="AK424" s="2290"/>
      <c r="AL424" s="2290"/>
      <c r="AM424" s="2290"/>
      <c r="AN424" s="2290"/>
      <c r="AO424" s="2290"/>
      <c r="AP424" s="2290"/>
      <c r="AQ424" s="2290"/>
      <c r="AR424" s="2290"/>
      <c r="AS424" s="2290"/>
      <c r="AT424" s="2290"/>
      <c r="AU424" s="2290"/>
      <c r="AV424" s="2290"/>
      <c r="AW424" s="2290"/>
      <c r="AX424" s="2290"/>
      <c r="AY424" s="2290"/>
      <c r="AZ424" s="2290"/>
      <c r="BA424" s="2290"/>
      <c r="BB424" s="2290"/>
      <c r="BC424" s="2290"/>
      <c r="BD424" s="2290"/>
      <c r="BE424" s="2290"/>
      <c r="BF424" s="2290"/>
      <c r="BG424" s="2290"/>
      <c r="BH424" s="2290"/>
      <c r="BI424" s="2290"/>
      <c r="BJ424" s="2290"/>
      <c r="BK424" s="2290"/>
      <c r="BL424" s="2290"/>
      <c r="BM424" s="2290"/>
      <c r="BN424" s="2290"/>
      <c r="BO424" s="2290"/>
      <c r="BP424" s="2290"/>
      <c r="BQ424" s="2290"/>
      <c r="BR424" s="2290"/>
      <c r="BS424" s="2290"/>
      <c r="BT424" s="2290"/>
      <c r="BU424" s="2290"/>
      <c r="BV424" s="2290"/>
      <c r="BW424" s="2290"/>
      <c r="BX424" s="2290"/>
      <c r="BY424" s="2290"/>
      <c r="BZ424" s="2290"/>
      <c r="CA424" s="2290"/>
    </row>
    <row r="425" spans="1:79">
      <c r="A425" s="2290"/>
      <c r="B425" s="2290"/>
      <c r="C425" s="2290"/>
      <c r="D425" s="2290"/>
      <c r="E425" s="2290"/>
      <c r="F425" s="2290"/>
      <c r="G425" s="2290"/>
      <c r="H425" s="2290"/>
      <c r="I425" s="2290"/>
      <c r="J425" s="2290"/>
      <c r="K425" s="2290"/>
      <c r="L425" s="2290"/>
      <c r="M425" s="2290"/>
      <c r="N425" s="2290"/>
      <c r="O425" s="2290"/>
      <c r="P425" s="2290"/>
      <c r="Q425" s="2290"/>
      <c r="R425" s="2290"/>
      <c r="S425" s="2290"/>
      <c r="T425" s="2290"/>
      <c r="U425" s="2290"/>
      <c r="V425" s="2290"/>
      <c r="W425" s="2290"/>
      <c r="X425" s="2290"/>
      <c r="Y425" s="2290"/>
      <c r="Z425" s="2290"/>
      <c r="AA425" s="2290"/>
      <c r="AB425" s="2290"/>
      <c r="AC425" s="2290"/>
      <c r="AD425" s="2290"/>
      <c r="AE425" s="2290"/>
      <c r="AF425" s="2290"/>
      <c r="AG425" s="2290"/>
      <c r="AH425" s="2290"/>
      <c r="AI425" s="2290"/>
      <c r="AJ425" s="2290"/>
      <c r="AK425" s="2290"/>
      <c r="AL425" s="2290"/>
      <c r="AM425" s="2290"/>
      <c r="AN425" s="2290"/>
      <c r="AO425" s="2290"/>
      <c r="AP425" s="2290"/>
      <c r="AQ425" s="2290"/>
      <c r="AR425" s="2290"/>
      <c r="AS425" s="2290"/>
      <c r="AT425" s="2290"/>
      <c r="AU425" s="2290"/>
      <c r="AV425" s="2290"/>
      <c r="AW425" s="2290"/>
      <c r="AX425" s="2290"/>
      <c r="AY425" s="2290"/>
      <c r="AZ425" s="2290"/>
      <c r="BA425" s="2290"/>
      <c r="BB425" s="2290"/>
      <c r="BC425" s="2290"/>
      <c r="BD425" s="2290"/>
      <c r="BE425" s="2290"/>
      <c r="BF425" s="2290"/>
      <c r="BG425" s="2290"/>
      <c r="BH425" s="2290"/>
      <c r="BI425" s="2290"/>
      <c r="BJ425" s="2290"/>
      <c r="BK425" s="2290"/>
      <c r="BL425" s="2290"/>
      <c r="BM425" s="2290"/>
      <c r="BN425" s="2290"/>
      <c r="BO425" s="2290"/>
      <c r="BP425" s="2290"/>
      <c r="BQ425" s="2290"/>
      <c r="BR425" s="2290"/>
      <c r="BS425" s="2290"/>
      <c r="BT425" s="2290"/>
      <c r="BU425" s="2290"/>
      <c r="BV425" s="2290"/>
      <c r="BW425" s="2290"/>
      <c r="BX425" s="2290"/>
      <c r="BY425" s="2290"/>
      <c r="BZ425" s="2290"/>
      <c r="CA425" s="2290"/>
    </row>
    <row r="426" spans="1:79">
      <c r="A426" s="2290"/>
      <c r="B426" s="2290"/>
      <c r="C426" s="2290"/>
      <c r="D426" s="2290"/>
      <c r="E426" s="2290"/>
      <c r="F426" s="2290"/>
      <c r="G426" s="2290"/>
      <c r="H426" s="2290"/>
      <c r="I426" s="2290"/>
      <c r="J426" s="2290"/>
      <c r="K426" s="2290"/>
      <c r="L426" s="2290"/>
      <c r="M426" s="2290"/>
      <c r="N426" s="2290"/>
      <c r="O426" s="2290"/>
      <c r="P426" s="2290"/>
      <c r="Q426" s="2290"/>
      <c r="R426" s="2290"/>
      <c r="S426" s="2290"/>
      <c r="T426" s="2290"/>
      <c r="U426" s="2290"/>
      <c r="V426" s="2290"/>
      <c r="W426" s="2290"/>
      <c r="X426" s="2290"/>
      <c r="Y426" s="2290"/>
      <c r="Z426" s="2290"/>
      <c r="AA426" s="2290"/>
      <c r="AB426" s="2290"/>
      <c r="AC426" s="2290"/>
      <c r="AD426" s="2290"/>
      <c r="AE426" s="2290"/>
      <c r="AF426" s="2290"/>
      <c r="AG426" s="2290"/>
      <c r="AH426" s="2290"/>
      <c r="AI426" s="2290"/>
      <c r="AJ426" s="2290"/>
      <c r="AK426" s="2290"/>
      <c r="AL426" s="2290"/>
      <c r="AM426" s="2290"/>
      <c r="AN426" s="2290"/>
      <c r="AO426" s="2290"/>
      <c r="AP426" s="2290"/>
      <c r="AQ426" s="2290"/>
      <c r="AR426" s="2290"/>
      <c r="AS426" s="2290"/>
      <c r="AT426" s="2290"/>
      <c r="AU426" s="2290"/>
      <c r="AV426" s="2290"/>
      <c r="AW426" s="2290"/>
      <c r="AX426" s="2290"/>
      <c r="AY426" s="2290"/>
      <c r="AZ426" s="2290"/>
      <c r="BA426" s="2290"/>
      <c r="BB426" s="2290"/>
      <c r="BC426" s="2290"/>
      <c r="BD426" s="2290"/>
      <c r="BE426" s="2290"/>
      <c r="BF426" s="2290"/>
      <c r="BG426" s="2290"/>
      <c r="BH426" s="2290"/>
      <c r="BI426" s="2290"/>
      <c r="BJ426" s="2290"/>
      <c r="BK426" s="2290"/>
      <c r="BL426" s="2290"/>
      <c r="BM426" s="2290"/>
      <c r="BN426" s="2290"/>
      <c r="BO426" s="2290"/>
      <c r="BP426" s="2290"/>
      <c r="BQ426" s="2290"/>
      <c r="BR426" s="2290"/>
      <c r="BS426" s="2290"/>
      <c r="BT426" s="2290"/>
      <c r="BU426" s="2290"/>
      <c r="BV426" s="2290"/>
      <c r="BW426" s="2290"/>
      <c r="BX426" s="2290"/>
      <c r="BY426" s="2290"/>
      <c r="BZ426" s="2290"/>
      <c r="CA426" s="2290"/>
    </row>
    <row r="427" spans="1:79">
      <c r="A427" s="2290"/>
      <c r="B427" s="2290"/>
      <c r="C427" s="2290"/>
      <c r="D427" s="2290"/>
      <c r="E427" s="2290"/>
      <c r="F427" s="2290"/>
      <c r="G427" s="2290"/>
      <c r="H427" s="2290"/>
      <c r="I427" s="2290"/>
      <c r="J427" s="2290"/>
      <c r="K427" s="2290"/>
      <c r="L427" s="2290"/>
      <c r="M427" s="2290"/>
      <c r="N427" s="2290"/>
      <c r="O427" s="2290"/>
      <c r="P427" s="2290"/>
      <c r="Q427" s="2290"/>
      <c r="R427" s="2290"/>
      <c r="S427" s="2290"/>
      <c r="T427" s="2290"/>
      <c r="U427" s="2290"/>
      <c r="V427" s="2290"/>
      <c r="W427" s="2290"/>
      <c r="X427" s="2290"/>
      <c r="Y427" s="2290"/>
      <c r="Z427" s="2290"/>
      <c r="AA427" s="2290"/>
      <c r="AB427" s="2290"/>
      <c r="AC427" s="2290"/>
      <c r="AD427" s="2290"/>
      <c r="AE427" s="2290"/>
      <c r="AF427" s="2290"/>
      <c r="AG427" s="2290"/>
      <c r="AH427" s="2290"/>
      <c r="AI427" s="2290"/>
      <c r="AJ427" s="2290"/>
      <c r="AK427" s="2290"/>
      <c r="AL427" s="2290"/>
      <c r="AM427" s="2290"/>
      <c r="AN427" s="2290"/>
      <c r="AO427" s="2290"/>
      <c r="AP427" s="2290"/>
      <c r="AQ427" s="2290"/>
      <c r="AR427" s="2290"/>
      <c r="AS427" s="2290"/>
      <c r="AT427" s="2290"/>
      <c r="AU427" s="2290"/>
      <c r="AV427" s="2290"/>
      <c r="AW427" s="2290"/>
      <c r="AX427" s="2290"/>
      <c r="AY427" s="2290"/>
      <c r="AZ427" s="2290"/>
      <c r="BA427" s="2290"/>
      <c r="BB427" s="2290"/>
      <c r="BC427" s="2290"/>
      <c r="BD427" s="2290"/>
      <c r="BE427" s="2290"/>
      <c r="BF427" s="2290"/>
      <c r="BG427" s="2290"/>
      <c r="BH427" s="2290"/>
      <c r="BI427" s="2290"/>
      <c r="BJ427" s="2290"/>
      <c r="BK427" s="2290"/>
      <c r="BL427" s="2290"/>
      <c r="BM427" s="2290"/>
      <c r="BN427" s="2290"/>
      <c r="BO427" s="2290"/>
      <c r="BP427" s="2290"/>
      <c r="BQ427" s="2290"/>
      <c r="BR427" s="2290"/>
      <c r="BS427" s="2290"/>
      <c r="BT427" s="2290"/>
      <c r="BU427" s="2290"/>
      <c r="BV427" s="2290"/>
      <c r="BW427" s="2290"/>
      <c r="BX427" s="2290"/>
      <c r="BY427" s="2290"/>
      <c r="BZ427" s="2290"/>
      <c r="CA427" s="2290"/>
    </row>
    <row r="428" spans="1:79">
      <c r="A428" s="2290"/>
      <c r="B428" s="2290"/>
      <c r="C428" s="2290"/>
      <c r="D428" s="2290"/>
      <c r="E428" s="2290"/>
      <c r="F428" s="2290"/>
      <c r="G428" s="2290"/>
      <c r="H428" s="2290"/>
      <c r="I428" s="2290"/>
      <c r="J428" s="2290"/>
      <c r="K428" s="2290"/>
      <c r="L428" s="2290"/>
      <c r="M428" s="2290"/>
      <c r="N428" s="2290"/>
      <c r="O428" s="2290"/>
      <c r="P428" s="2290"/>
      <c r="Q428" s="2290"/>
      <c r="R428" s="2290"/>
      <c r="S428" s="2290"/>
      <c r="T428" s="2290"/>
      <c r="U428" s="2290"/>
      <c r="V428" s="2290"/>
      <c r="W428" s="2290"/>
      <c r="X428" s="2290"/>
      <c r="Y428" s="2290"/>
      <c r="Z428" s="2290"/>
      <c r="AA428" s="2290"/>
      <c r="AB428" s="2290"/>
      <c r="AC428" s="2290"/>
      <c r="AD428" s="2290"/>
      <c r="AE428" s="2290"/>
      <c r="AF428" s="2290"/>
      <c r="AG428" s="2290"/>
      <c r="AH428" s="2290"/>
      <c r="AI428" s="2290"/>
      <c r="AJ428" s="2290"/>
      <c r="AK428" s="2290"/>
      <c r="AL428" s="2290"/>
      <c r="AM428" s="2290"/>
      <c r="AN428" s="2290"/>
      <c r="AO428" s="2290"/>
      <c r="AP428" s="2290"/>
      <c r="AQ428" s="2290"/>
      <c r="AR428" s="2290"/>
      <c r="AS428" s="2290"/>
      <c r="AT428" s="2290"/>
      <c r="AU428" s="2290"/>
      <c r="AV428" s="2290"/>
      <c r="AW428" s="2290"/>
      <c r="AX428" s="2290"/>
      <c r="AY428" s="2290"/>
      <c r="AZ428" s="2290"/>
      <c r="BA428" s="2290"/>
      <c r="BB428" s="2290"/>
      <c r="BC428" s="2290"/>
      <c r="BD428" s="2290"/>
      <c r="BE428" s="2290"/>
      <c r="BF428" s="2290"/>
      <c r="BG428" s="2290"/>
      <c r="BH428" s="2290"/>
      <c r="BI428" s="2290"/>
      <c r="BJ428" s="2290"/>
      <c r="BK428" s="2290"/>
      <c r="BL428" s="2290"/>
      <c r="BM428" s="2290"/>
      <c r="BN428" s="2290"/>
      <c r="BO428" s="2290"/>
      <c r="BP428" s="2290"/>
      <c r="BQ428" s="2290"/>
      <c r="BR428" s="2290"/>
      <c r="BS428" s="2290"/>
      <c r="BT428" s="2290"/>
      <c r="BU428" s="2290"/>
      <c r="BV428" s="2290"/>
      <c r="BW428" s="2290"/>
      <c r="BX428" s="2290"/>
      <c r="BY428" s="2290"/>
      <c r="BZ428" s="2290"/>
      <c r="CA428" s="2290"/>
    </row>
    <row r="429" spans="1:79">
      <c r="A429" s="2290"/>
      <c r="B429" s="2290"/>
      <c r="C429" s="2290"/>
      <c r="D429" s="2290"/>
      <c r="E429" s="2290"/>
      <c r="F429" s="2290"/>
      <c r="G429" s="2290"/>
      <c r="H429" s="2290"/>
      <c r="I429" s="2290"/>
      <c r="J429" s="2290"/>
      <c r="K429" s="2290"/>
      <c r="L429" s="2290"/>
      <c r="M429" s="2290"/>
      <c r="N429" s="2290"/>
      <c r="O429" s="2290"/>
      <c r="P429" s="2290"/>
      <c r="Q429" s="2290"/>
      <c r="R429" s="2290"/>
      <c r="S429" s="2290"/>
      <c r="T429" s="2290"/>
      <c r="U429" s="2290"/>
      <c r="V429" s="2290"/>
      <c r="W429" s="2290"/>
      <c r="X429" s="2290"/>
      <c r="Y429" s="2290"/>
      <c r="Z429" s="2290"/>
      <c r="AA429" s="2290"/>
      <c r="AB429" s="2290"/>
      <c r="AC429" s="2290"/>
      <c r="AD429" s="2290"/>
      <c r="AE429" s="2290"/>
      <c r="AF429" s="2290"/>
      <c r="AG429" s="2290"/>
      <c r="AH429" s="2290"/>
      <c r="AI429" s="2290"/>
      <c r="AJ429" s="2290"/>
      <c r="AK429" s="2290"/>
      <c r="AL429" s="2290"/>
      <c r="AM429" s="2290"/>
      <c r="AN429" s="2290"/>
      <c r="AO429" s="2290"/>
      <c r="AP429" s="2290"/>
      <c r="AQ429" s="2290"/>
      <c r="AR429" s="2290"/>
      <c r="AS429" s="2290"/>
      <c r="AT429" s="2290"/>
      <c r="AU429" s="2290"/>
      <c r="AV429" s="2290"/>
      <c r="AW429" s="2290"/>
      <c r="AX429" s="2290"/>
      <c r="AY429" s="2290"/>
      <c r="AZ429" s="2290"/>
      <c r="BA429" s="2290"/>
      <c r="BB429" s="2290"/>
      <c r="BC429" s="2290"/>
      <c r="BD429" s="2290"/>
      <c r="BE429" s="2290"/>
      <c r="BF429" s="2290"/>
      <c r="BG429" s="2290"/>
      <c r="BH429" s="2290"/>
      <c r="BI429" s="2290"/>
      <c r="BJ429" s="2290"/>
      <c r="BK429" s="2290"/>
      <c r="BL429" s="2290"/>
      <c r="BM429" s="2290"/>
      <c r="BN429" s="2290"/>
      <c r="BO429" s="2290"/>
      <c r="BP429" s="2290"/>
      <c r="BQ429" s="2290"/>
      <c r="BR429" s="2290"/>
      <c r="BS429" s="2290"/>
      <c r="BT429" s="2290"/>
      <c r="BU429" s="2290"/>
      <c r="BV429" s="2290"/>
      <c r="BW429" s="2290"/>
      <c r="BX429" s="2290"/>
      <c r="BY429" s="2290"/>
      <c r="BZ429" s="2290"/>
      <c r="CA429" s="2290"/>
    </row>
    <row r="430" spans="1:79">
      <c r="A430" s="2290"/>
      <c r="B430" s="2290"/>
      <c r="C430" s="2290"/>
      <c r="D430" s="2290"/>
      <c r="E430" s="2290"/>
      <c r="F430" s="2290"/>
      <c r="G430" s="2290"/>
      <c r="H430" s="2290"/>
      <c r="I430" s="2290"/>
      <c r="J430" s="2290"/>
      <c r="K430" s="2290"/>
      <c r="L430" s="2290"/>
      <c r="M430" s="2290"/>
      <c r="N430" s="2290"/>
      <c r="O430" s="2290"/>
      <c r="P430" s="2290"/>
      <c r="Q430" s="2290"/>
      <c r="R430" s="2290"/>
      <c r="S430" s="2290"/>
      <c r="T430" s="2290"/>
      <c r="U430" s="2290"/>
      <c r="V430" s="2290"/>
      <c r="W430" s="2290"/>
      <c r="X430" s="2290"/>
      <c r="Y430" s="2290"/>
      <c r="Z430" s="2290"/>
      <c r="AA430" s="2290"/>
      <c r="AB430" s="2290"/>
      <c r="AC430" s="2290"/>
      <c r="AD430" s="2290"/>
      <c r="AE430" s="2290"/>
      <c r="AF430" s="2290"/>
      <c r="AG430" s="2290"/>
      <c r="AH430" s="2290"/>
      <c r="AI430" s="2290"/>
      <c r="AJ430" s="2290"/>
      <c r="AK430" s="2290"/>
      <c r="AL430" s="2290"/>
      <c r="AM430" s="2290"/>
      <c r="AN430" s="2290"/>
      <c r="AO430" s="2290"/>
      <c r="AP430" s="2290"/>
      <c r="AQ430" s="2290"/>
      <c r="AR430" s="2290"/>
      <c r="AS430" s="2290"/>
      <c r="AT430" s="2290"/>
      <c r="AU430" s="2290"/>
      <c r="AV430" s="2290"/>
      <c r="AW430" s="2290"/>
      <c r="AX430" s="2290"/>
      <c r="AY430" s="2290"/>
      <c r="AZ430" s="2290"/>
      <c r="BA430" s="2290"/>
      <c r="BB430" s="2290"/>
      <c r="BC430" s="2290"/>
      <c r="BD430" s="2290"/>
      <c r="BE430" s="2290"/>
      <c r="BF430" s="2290"/>
      <c r="BG430" s="2290"/>
      <c r="BH430" s="2290"/>
      <c r="BI430" s="2290"/>
      <c r="BJ430" s="2290"/>
      <c r="BK430" s="2290"/>
      <c r="BL430" s="2290"/>
      <c r="BM430" s="2290"/>
      <c r="BN430" s="2290"/>
      <c r="BO430" s="2290"/>
      <c r="BP430" s="2290"/>
      <c r="BQ430" s="2290"/>
      <c r="BR430" s="2290"/>
      <c r="BS430" s="2290"/>
      <c r="BT430" s="2290"/>
      <c r="BU430" s="2290"/>
      <c r="BV430" s="2290"/>
      <c r="BW430" s="2290"/>
      <c r="BX430" s="2290"/>
      <c r="BY430" s="2290"/>
      <c r="BZ430" s="2290"/>
      <c r="CA430" s="2290"/>
    </row>
    <row r="431" spans="1:79">
      <c r="A431" s="2290"/>
      <c r="B431" s="2290"/>
      <c r="C431" s="2290"/>
      <c r="D431" s="2290"/>
      <c r="E431" s="2290"/>
      <c r="F431" s="2290"/>
      <c r="G431" s="2290"/>
      <c r="H431" s="2290"/>
      <c r="I431" s="2290"/>
      <c r="J431" s="2290"/>
      <c r="K431" s="2290"/>
      <c r="L431" s="2290"/>
      <c r="M431" s="2290"/>
      <c r="N431" s="2290"/>
      <c r="O431" s="2290"/>
      <c r="P431" s="2290"/>
      <c r="Q431" s="2290"/>
      <c r="R431" s="2290"/>
      <c r="S431" s="2290"/>
      <c r="T431" s="2290"/>
      <c r="U431" s="2290"/>
      <c r="V431" s="2290"/>
      <c r="W431" s="2290"/>
      <c r="X431" s="2290"/>
      <c r="Y431" s="2290"/>
      <c r="Z431" s="2290"/>
      <c r="AA431" s="2290"/>
      <c r="AB431" s="2290"/>
      <c r="AC431" s="2290"/>
      <c r="AD431" s="2290"/>
      <c r="AE431" s="2290"/>
      <c r="AF431" s="2290"/>
      <c r="AG431" s="2290"/>
      <c r="AH431" s="2290"/>
      <c r="AI431" s="2290"/>
      <c r="AJ431" s="2290"/>
      <c r="AK431" s="2290"/>
      <c r="AL431" s="2290"/>
      <c r="AM431" s="2290"/>
      <c r="AN431" s="2290"/>
      <c r="AO431" s="2290"/>
      <c r="AP431" s="2290"/>
      <c r="AQ431" s="2290"/>
      <c r="AR431" s="2290"/>
      <c r="AS431" s="2290"/>
      <c r="AT431" s="2290"/>
      <c r="AU431" s="2290"/>
      <c r="AV431" s="2290"/>
      <c r="AW431" s="2290"/>
      <c r="AX431" s="2290"/>
      <c r="AY431" s="2290"/>
      <c r="AZ431" s="2290"/>
      <c r="BA431" s="2290"/>
      <c r="BB431" s="2290"/>
      <c r="BC431" s="2290"/>
      <c r="BD431" s="2290"/>
      <c r="BE431" s="2290"/>
      <c r="BF431" s="2290"/>
      <c r="BG431" s="2290"/>
      <c r="BH431" s="2290"/>
      <c r="BI431" s="2290"/>
      <c r="BJ431" s="2290"/>
      <c r="BK431" s="2290"/>
      <c r="BL431" s="2290"/>
      <c r="BM431" s="2290"/>
      <c r="BN431" s="2290"/>
      <c r="BO431" s="2290"/>
      <c r="BP431" s="2290"/>
      <c r="BQ431" s="2290"/>
      <c r="BR431" s="2290"/>
      <c r="BS431" s="2290"/>
      <c r="BT431" s="2290"/>
      <c r="BU431" s="2290"/>
      <c r="BV431" s="2290"/>
      <c r="BW431" s="2290"/>
      <c r="BX431" s="2290"/>
      <c r="BY431" s="2290"/>
      <c r="BZ431" s="2290"/>
      <c r="CA431" s="2290"/>
    </row>
    <row r="432" spans="1:79">
      <c r="A432" s="2290"/>
      <c r="B432" s="2290"/>
      <c r="C432" s="2290"/>
      <c r="D432" s="2290"/>
      <c r="E432" s="2290"/>
      <c r="F432" s="2290"/>
      <c r="G432" s="2290"/>
      <c r="H432" s="2290"/>
      <c r="I432" s="2290"/>
      <c r="J432" s="2290"/>
      <c r="K432" s="2290"/>
      <c r="L432" s="2290"/>
      <c r="M432" s="2290"/>
      <c r="N432" s="2290"/>
      <c r="O432" s="2290"/>
      <c r="P432" s="2290"/>
      <c r="Q432" s="2290"/>
      <c r="R432" s="2290"/>
      <c r="S432" s="2290"/>
      <c r="T432" s="2290"/>
      <c r="U432" s="2290"/>
      <c r="V432" s="2290"/>
      <c r="W432" s="2290"/>
      <c r="X432" s="2290"/>
      <c r="Y432" s="2290"/>
      <c r="Z432" s="2290"/>
      <c r="AA432" s="2290"/>
      <c r="AB432" s="2290"/>
      <c r="AC432" s="2290"/>
      <c r="AD432" s="2290"/>
      <c r="AE432" s="2290"/>
      <c r="AF432" s="2290"/>
      <c r="AG432" s="2290"/>
      <c r="AH432" s="2290"/>
      <c r="AI432" s="2290"/>
      <c r="AJ432" s="2290"/>
      <c r="AK432" s="2290"/>
      <c r="AL432" s="2290"/>
      <c r="AM432" s="2290"/>
      <c r="AN432" s="2290"/>
      <c r="AO432" s="2290"/>
      <c r="AP432" s="2290"/>
      <c r="AQ432" s="2290"/>
      <c r="AR432" s="2290"/>
      <c r="AS432" s="2290"/>
      <c r="AT432" s="2290"/>
      <c r="AU432" s="2290"/>
      <c r="AV432" s="2290"/>
      <c r="AW432" s="2290"/>
      <c r="AX432" s="2290"/>
      <c r="AY432" s="2290"/>
      <c r="AZ432" s="2290"/>
      <c r="BA432" s="2290"/>
      <c r="BB432" s="2290"/>
      <c r="BC432" s="2290"/>
      <c r="BD432" s="2290"/>
      <c r="BE432" s="2290"/>
      <c r="BF432" s="2290"/>
      <c r="BG432" s="2290"/>
      <c r="BH432" s="2290"/>
      <c r="BI432" s="2290"/>
      <c r="BJ432" s="2290"/>
      <c r="BK432" s="2290"/>
      <c r="BL432" s="2290"/>
      <c r="BM432" s="2290"/>
      <c r="BN432" s="2290"/>
      <c r="BO432" s="2290"/>
      <c r="BP432" s="2290"/>
      <c r="BQ432" s="2290"/>
      <c r="BR432" s="2290"/>
      <c r="BS432" s="2290"/>
      <c r="BT432" s="2290"/>
      <c r="BU432" s="2290"/>
      <c r="BV432" s="2290"/>
      <c r="BW432" s="2290"/>
      <c r="BX432" s="2290"/>
      <c r="BY432" s="2290"/>
      <c r="BZ432" s="2290"/>
      <c r="CA432" s="2290"/>
    </row>
    <row r="433" spans="1:79">
      <c r="A433" s="2290"/>
      <c r="B433" s="2290"/>
      <c r="C433" s="2290"/>
      <c r="D433" s="2290"/>
      <c r="E433" s="2290"/>
      <c r="F433" s="2290"/>
      <c r="G433" s="2290"/>
      <c r="H433" s="2290"/>
      <c r="I433" s="2290"/>
      <c r="J433" s="2290"/>
      <c r="K433" s="2290"/>
      <c r="L433" s="2290"/>
      <c r="M433" s="2290"/>
      <c r="N433" s="2290"/>
      <c r="O433" s="2290"/>
      <c r="P433" s="2290"/>
      <c r="Q433" s="2290"/>
      <c r="R433" s="2290"/>
      <c r="S433" s="2290"/>
      <c r="T433" s="2290"/>
      <c r="U433" s="2290"/>
      <c r="V433" s="2290"/>
      <c r="W433" s="2290"/>
      <c r="X433" s="2290"/>
      <c r="Y433" s="2290"/>
      <c r="Z433" s="2290"/>
      <c r="AA433" s="2290"/>
      <c r="AB433" s="2290"/>
      <c r="AC433" s="2290"/>
      <c r="AD433" s="2290"/>
      <c r="AE433" s="2290"/>
      <c r="AF433" s="2290"/>
      <c r="AG433" s="2290"/>
      <c r="AH433" s="2290"/>
      <c r="AI433" s="2290"/>
      <c r="AJ433" s="2290"/>
      <c r="AK433" s="2290"/>
      <c r="AL433" s="2290"/>
      <c r="AM433" s="2290"/>
      <c r="AN433" s="2290"/>
      <c r="AO433" s="2290"/>
      <c r="AP433" s="2290"/>
      <c r="AQ433" s="2290"/>
      <c r="AR433" s="2290"/>
      <c r="AS433" s="2290"/>
      <c r="AT433" s="2290"/>
      <c r="AU433" s="2290"/>
      <c r="AV433" s="2290"/>
      <c r="AW433" s="2290"/>
      <c r="AX433" s="2290"/>
      <c r="AY433" s="2290"/>
      <c r="AZ433" s="2290"/>
      <c r="BA433" s="2290"/>
      <c r="BB433" s="2290"/>
      <c r="BC433" s="2290"/>
      <c r="BD433" s="2290"/>
      <c r="BE433" s="2290"/>
      <c r="BF433" s="2290"/>
      <c r="BG433" s="2290"/>
      <c r="BH433" s="2290"/>
      <c r="BI433" s="2290"/>
      <c r="BJ433" s="2290"/>
      <c r="BK433" s="2290"/>
      <c r="BL433" s="2290"/>
      <c r="BM433" s="2290"/>
      <c r="BN433" s="2290"/>
      <c r="BO433" s="2290"/>
      <c r="BP433" s="2290"/>
      <c r="BQ433" s="2290"/>
      <c r="BR433" s="2290"/>
      <c r="BS433" s="2290"/>
      <c r="BT433" s="2290"/>
      <c r="BU433" s="2290"/>
      <c r="BV433" s="2290"/>
      <c r="BW433" s="2290"/>
      <c r="BX433" s="2290"/>
      <c r="BY433" s="2290"/>
      <c r="BZ433" s="2290"/>
      <c r="CA433" s="2290"/>
    </row>
    <row r="434" spans="1:79">
      <c r="A434" s="2290"/>
      <c r="B434" s="2290"/>
      <c r="C434" s="2290"/>
      <c r="D434" s="2290"/>
      <c r="E434" s="2290"/>
      <c r="F434" s="2290"/>
      <c r="G434" s="2290"/>
      <c r="H434" s="2290"/>
      <c r="I434" s="2290"/>
      <c r="J434" s="2290"/>
      <c r="K434" s="2290"/>
      <c r="L434" s="2290"/>
      <c r="M434" s="2290"/>
      <c r="N434" s="2290"/>
      <c r="O434" s="2290"/>
      <c r="P434" s="2290"/>
      <c r="Q434" s="2290"/>
      <c r="R434" s="2290"/>
      <c r="S434" s="2290"/>
      <c r="T434" s="2290"/>
      <c r="U434" s="2290"/>
      <c r="V434" s="2290"/>
      <c r="W434" s="2290"/>
      <c r="X434" s="2290"/>
      <c r="Y434" s="2290"/>
      <c r="Z434" s="2290"/>
      <c r="AA434" s="2290"/>
      <c r="AB434" s="2290"/>
      <c r="AC434" s="2290"/>
      <c r="AD434" s="2290"/>
      <c r="AE434" s="2290"/>
      <c r="AF434" s="2290"/>
      <c r="AG434" s="2290"/>
      <c r="AH434" s="2290"/>
      <c r="AI434" s="2290"/>
      <c r="AJ434" s="2290"/>
      <c r="AK434" s="2290"/>
      <c r="AL434" s="2290"/>
      <c r="AM434" s="2290"/>
      <c r="AN434" s="2290"/>
      <c r="AO434" s="2290"/>
      <c r="AP434" s="2290"/>
      <c r="AQ434" s="2290"/>
      <c r="AR434" s="2290"/>
      <c r="AS434" s="2290"/>
      <c r="AT434" s="2290"/>
      <c r="AU434" s="2290"/>
      <c r="AV434" s="2290"/>
      <c r="AW434" s="2290"/>
      <c r="AX434" s="2290"/>
      <c r="AY434" s="2290"/>
      <c r="AZ434" s="2290"/>
      <c r="BA434" s="2290"/>
      <c r="BB434" s="2290"/>
      <c r="BC434" s="2290"/>
      <c r="BD434" s="2290"/>
      <c r="BE434" s="2290"/>
      <c r="BF434" s="2290"/>
      <c r="BG434" s="2290"/>
      <c r="BH434" s="2290"/>
      <c r="BI434" s="2290"/>
      <c r="BJ434" s="2290"/>
      <c r="BK434" s="2290"/>
      <c r="BL434" s="2290"/>
      <c r="BM434" s="2290"/>
      <c r="BN434" s="2290"/>
      <c r="BO434" s="2290"/>
      <c r="BP434" s="2290"/>
      <c r="BQ434" s="2290"/>
      <c r="BR434" s="2290"/>
      <c r="BS434" s="2290"/>
      <c r="BT434" s="2290"/>
      <c r="BU434" s="2290"/>
      <c r="BV434" s="2290"/>
      <c r="BW434" s="2290"/>
      <c r="BX434" s="2290"/>
      <c r="BY434" s="2290"/>
      <c r="BZ434" s="2290"/>
      <c r="CA434" s="2290"/>
    </row>
    <row r="435" spans="1:79">
      <c r="A435" s="2290"/>
      <c r="B435" s="2290"/>
      <c r="C435" s="2290"/>
      <c r="D435" s="2290"/>
      <c r="E435" s="2290"/>
      <c r="F435" s="2290"/>
      <c r="G435" s="2290"/>
      <c r="H435" s="2290"/>
      <c r="I435" s="2290"/>
      <c r="J435" s="2290"/>
      <c r="K435" s="2290"/>
      <c r="L435" s="2290"/>
      <c r="M435" s="2290"/>
      <c r="N435" s="2290"/>
      <c r="O435" s="2290"/>
      <c r="P435" s="2290"/>
      <c r="Q435" s="2290"/>
      <c r="R435" s="2290"/>
      <c r="S435" s="2290"/>
      <c r="T435" s="2290"/>
      <c r="U435" s="2290"/>
      <c r="V435" s="2290"/>
      <c r="W435" s="2290"/>
      <c r="X435" s="2290"/>
      <c r="Y435" s="2290"/>
      <c r="Z435" s="2290"/>
      <c r="AA435" s="2290"/>
      <c r="AB435" s="2290"/>
      <c r="AC435" s="2290"/>
      <c r="AD435" s="2290"/>
      <c r="AE435" s="2290"/>
      <c r="AF435" s="2290"/>
      <c r="AG435" s="2290"/>
      <c r="AH435" s="2290"/>
      <c r="AI435" s="2290"/>
      <c r="AJ435" s="2290"/>
      <c r="AK435" s="2290"/>
      <c r="AL435" s="2290"/>
      <c r="AM435" s="2290"/>
      <c r="AN435" s="2290"/>
      <c r="AO435" s="2290"/>
      <c r="AP435" s="2290"/>
      <c r="AQ435" s="2290"/>
      <c r="AR435" s="2290"/>
      <c r="AS435" s="2290"/>
      <c r="AT435" s="2290"/>
      <c r="AU435" s="2290"/>
      <c r="AV435" s="2290"/>
      <c r="AW435" s="2290"/>
      <c r="AX435" s="2290"/>
      <c r="AY435" s="2290"/>
      <c r="AZ435" s="2290"/>
      <c r="BA435" s="2290"/>
      <c r="BB435" s="2290"/>
      <c r="BC435" s="2290"/>
      <c r="BD435" s="2290"/>
      <c r="BE435" s="2290"/>
      <c r="BF435" s="2290"/>
      <c r="BG435" s="2290"/>
      <c r="BH435" s="2290"/>
      <c r="BI435" s="2290"/>
      <c r="BJ435" s="2290"/>
      <c r="BK435" s="2290"/>
      <c r="BL435" s="2290"/>
      <c r="BM435" s="2290"/>
      <c r="BN435" s="2290"/>
      <c r="BO435" s="2290"/>
      <c r="BP435" s="2290"/>
      <c r="BQ435" s="2290"/>
      <c r="BR435" s="2290"/>
      <c r="BS435" s="2290"/>
      <c r="BT435" s="2290"/>
      <c r="BU435" s="2290"/>
      <c r="BV435" s="2290"/>
      <c r="BW435" s="2290"/>
      <c r="BX435" s="2290"/>
      <c r="BY435" s="2290"/>
      <c r="BZ435" s="2290"/>
      <c r="CA435" s="2290"/>
    </row>
    <row r="436" spans="1:79">
      <c r="A436" s="2290"/>
      <c r="B436" s="2290"/>
      <c r="C436" s="2290"/>
      <c r="D436" s="2290"/>
      <c r="E436" s="2290"/>
      <c r="F436" s="2290"/>
      <c r="G436" s="2290"/>
      <c r="H436" s="2290"/>
      <c r="I436" s="2290"/>
      <c r="J436" s="2290"/>
      <c r="K436" s="2290"/>
      <c r="L436" s="2290"/>
      <c r="M436" s="2290"/>
      <c r="N436" s="2290"/>
      <c r="O436" s="2290"/>
      <c r="P436" s="2290"/>
      <c r="Q436" s="2290"/>
      <c r="R436" s="2290"/>
      <c r="S436" s="2290"/>
      <c r="T436" s="2290"/>
      <c r="U436" s="2290"/>
      <c r="V436" s="2290"/>
      <c r="W436" s="2290"/>
      <c r="X436" s="2290"/>
      <c r="Y436" s="2290"/>
      <c r="Z436" s="2290"/>
      <c r="AA436" s="2290"/>
      <c r="AB436" s="2290"/>
      <c r="AC436" s="2290"/>
      <c r="AD436" s="2290"/>
      <c r="AE436" s="2290"/>
      <c r="AF436" s="2290"/>
      <c r="AG436" s="2290"/>
      <c r="AH436" s="2290"/>
      <c r="AI436" s="2290"/>
      <c r="AJ436" s="2290"/>
      <c r="AK436" s="2290"/>
      <c r="AL436" s="2290"/>
      <c r="AM436" s="2290"/>
      <c r="AN436" s="2290"/>
      <c r="AO436" s="2290"/>
      <c r="AP436" s="2290"/>
      <c r="AQ436" s="2290"/>
      <c r="AR436" s="2290"/>
      <c r="AS436" s="2290"/>
      <c r="AT436" s="2290"/>
      <c r="AU436" s="2290"/>
      <c r="AV436" s="2290"/>
      <c r="AW436" s="2290"/>
      <c r="AX436" s="2290"/>
      <c r="AY436" s="2290"/>
      <c r="AZ436" s="2290"/>
      <c r="BA436" s="2290"/>
      <c r="BB436" s="2290"/>
      <c r="BC436" s="2290"/>
      <c r="BD436" s="2290"/>
      <c r="BE436" s="2290"/>
      <c r="BF436" s="2290"/>
      <c r="BG436" s="2290"/>
      <c r="BH436" s="2290"/>
      <c r="BI436" s="2290"/>
      <c r="BJ436" s="2290"/>
      <c r="BK436" s="2290"/>
      <c r="BL436" s="2290"/>
      <c r="BM436" s="2290"/>
      <c r="BN436" s="2290"/>
      <c r="BO436" s="2290"/>
      <c r="BP436" s="2290"/>
      <c r="BQ436" s="2290"/>
      <c r="BR436" s="2290"/>
      <c r="BS436" s="2290"/>
      <c r="BT436" s="2290"/>
      <c r="BU436" s="2290"/>
      <c r="BV436" s="2290"/>
      <c r="BW436" s="2290"/>
      <c r="BX436" s="2290"/>
      <c r="BY436" s="2290"/>
      <c r="BZ436" s="2290"/>
      <c r="CA436" s="2290"/>
    </row>
    <row r="437" spans="1:79">
      <c r="A437" s="2290"/>
      <c r="B437" s="2290"/>
      <c r="C437" s="2290"/>
      <c r="D437" s="2290"/>
      <c r="E437" s="2290"/>
      <c r="F437" s="2290"/>
      <c r="G437" s="2290"/>
      <c r="H437" s="2290"/>
      <c r="I437" s="2290"/>
      <c r="J437" s="2290"/>
      <c r="K437" s="2290"/>
      <c r="L437" s="2290"/>
      <c r="M437" s="2290"/>
      <c r="N437" s="2290"/>
      <c r="O437" s="2290"/>
      <c r="P437" s="2290"/>
      <c r="Q437" s="2290"/>
      <c r="R437" s="2290"/>
      <c r="S437" s="2290"/>
      <c r="T437" s="2290"/>
      <c r="U437" s="2290"/>
      <c r="V437" s="2290"/>
      <c r="W437" s="2290"/>
      <c r="X437" s="2290"/>
      <c r="Y437" s="2290"/>
      <c r="Z437" s="2290"/>
      <c r="AA437" s="2290"/>
      <c r="AB437" s="2290"/>
      <c r="AC437" s="2290"/>
      <c r="AD437" s="2290"/>
      <c r="AE437" s="2290"/>
      <c r="AF437" s="2290"/>
      <c r="AG437" s="2290"/>
      <c r="AH437" s="2290"/>
      <c r="AI437" s="2290"/>
      <c r="AJ437" s="2290"/>
      <c r="AK437" s="2290"/>
      <c r="AL437" s="2290"/>
      <c r="AM437" s="2290"/>
      <c r="AN437" s="2290"/>
      <c r="AO437" s="2290"/>
      <c r="AP437" s="2290"/>
      <c r="AQ437" s="2290"/>
      <c r="AR437" s="2290"/>
      <c r="AS437" s="2290"/>
      <c r="AT437" s="2290"/>
      <c r="AU437" s="2290"/>
      <c r="AV437" s="2290"/>
      <c r="AW437" s="2290"/>
      <c r="AX437" s="2290"/>
      <c r="AY437" s="2290"/>
      <c r="AZ437" s="2290"/>
      <c r="BA437" s="2290"/>
      <c r="BB437" s="2290"/>
      <c r="BC437" s="2290"/>
      <c r="BD437" s="2290"/>
      <c r="BE437" s="2290"/>
      <c r="BF437" s="2290"/>
      <c r="BG437" s="2290"/>
      <c r="BH437" s="2290"/>
      <c r="BI437" s="2290"/>
      <c r="BJ437" s="2290"/>
      <c r="BK437" s="2290"/>
      <c r="BL437" s="2290"/>
      <c r="BM437" s="2290"/>
      <c r="BN437" s="2290"/>
      <c r="BO437" s="2290"/>
      <c r="BP437" s="2290"/>
      <c r="BQ437" s="2290"/>
      <c r="BR437" s="2290"/>
      <c r="BS437" s="2290"/>
      <c r="BT437" s="2290"/>
      <c r="BU437" s="2290"/>
      <c r="BV437" s="2290"/>
      <c r="BW437" s="2290"/>
      <c r="BX437" s="2290"/>
      <c r="BY437" s="2290"/>
      <c r="BZ437" s="2290"/>
      <c r="CA437" s="2290"/>
    </row>
    <row r="438" spans="1:79">
      <c r="A438" s="2290"/>
      <c r="B438" s="2290"/>
      <c r="C438" s="2290"/>
      <c r="D438" s="2290"/>
      <c r="E438" s="2290"/>
      <c r="F438" s="2290"/>
      <c r="G438" s="2290"/>
      <c r="H438" s="2290"/>
      <c r="I438" s="2290"/>
      <c r="J438" s="2290"/>
      <c r="K438" s="2290"/>
      <c r="L438" s="2290"/>
      <c r="M438" s="2290"/>
      <c r="N438" s="2290"/>
      <c r="O438" s="2290"/>
      <c r="P438" s="2290"/>
      <c r="Q438" s="2290"/>
      <c r="R438" s="2290"/>
      <c r="S438" s="2290"/>
      <c r="T438" s="2290"/>
      <c r="U438" s="2290"/>
      <c r="V438" s="2290"/>
      <c r="W438" s="2290"/>
      <c r="X438" s="2290"/>
      <c r="Y438" s="2290"/>
      <c r="Z438" s="2290"/>
      <c r="AA438" s="2290"/>
      <c r="AB438" s="2290"/>
      <c r="AC438" s="2290"/>
      <c r="AD438" s="2290"/>
      <c r="AE438" s="2290"/>
      <c r="AF438" s="2290"/>
      <c r="AG438" s="2290"/>
      <c r="AH438" s="2290"/>
      <c r="AI438" s="2290"/>
      <c r="AJ438" s="2290"/>
      <c r="AK438" s="2290"/>
      <c r="AL438" s="2290"/>
      <c r="AM438" s="2290"/>
      <c r="AN438" s="2290"/>
      <c r="AO438" s="2290"/>
      <c r="AP438" s="2290"/>
      <c r="AQ438" s="2290"/>
      <c r="AR438" s="2290"/>
      <c r="AS438" s="2290"/>
      <c r="AT438" s="2290"/>
      <c r="AU438" s="2290"/>
      <c r="AV438" s="2290"/>
      <c r="AW438" s="2290"/>
      <c r="AX438" s="2290"/>
      <c r="AY438" s="2290"/>
      <c r="AZ438" s="2290"/>
      <c r="BA438" s="2290"/>
      <c r="BB438" s="2290"/>
      <c r="BC438" s="2290"/>
      <c r="BD438" s="2290"/>
      <c r="BE438" s="2290"/>
      <c r="BF438" s="2290"/>
      <c r="BG438" s="2290"/>
      <c r="BH438" s="2290"/>
      <c r="BI438" s="2290"/>
      <c r="BJ438" s="2290"/>
      <c r="BK438" s="2290"/>
      <c r="BL438" s="2290"/>
      <c r="BM438" s="2290"/>
      <c r="BN438" s="2290"/>
      <c r="BO438" s="2290"/>
      <c r="BP438" s="2290"/>
      <c r="BQ438" s="2290"/>
      <c r="BR438" s="2290"/>
      <c r="BS438" s="2290"/>
      <c r="BT438" s="2290"/>
      <c r="BU438" s="2290"/>
      <c r="BV438" s="2290"/>
      <c r="BW438" s="2290"/>
      <c r="BX438" s="2290"/>
      <c r="BY438" s="2290"/>
      <c r="BZ438" s="2290"/>
      <c r="CA438" s="2290"/>
    </row>
    <row r="439" spans="1:79">
      <c r="A439" s="2290"/>
      <c r="B439" s="2290"/>
      <c r="C439" s="2290"/>
      <c r="D439" s="2290"/>
      <c r="E439" s="2290"/>
      <c r="F439" s="2290"/>
      <c r="G439" s="2290"/>
      <c r="H439" s="2290"/>
      <c r="I439" s="2290"/>
      <c r="J439" s="2290"/>
      <c r="K439" s="2290"/>
      <c r="L439" s="2290"/>
      <c r="M439" s="2290"/>
      <c r="N439" s="2290"/>
      <c r="O439" s="2290"/>
      <c r="P439" s="2290"/>
      <c r="Q439" s="2290"/>
      <c r="R439" s="2290"/>
      <c r="S439" s="2290"/>
      <c r="T439" s="2290"/>
      <c r="U439" s="2290"/>
      <c r="V439" s="2290"/>
      <c r="W439" s="2290"/>
      <c r="X439" s="2290"/>
      <c r="Y439" s="2290"/>
      <c r="Z439" s="2290"/>
      <c r="AA439" s="2290"/>
      <c r="AB439" s="2290"/>
      <c r="AC439" s="2290"/>
      <c r="AD439" s="2290"/>
      <c r="AE439" s="2290"/>
      <c r="AF439" s="2290"/>
      <c r="AG439" s="2290"/>
      <c r="AH439" s="2290"/>
      <c r="AI439" s="2290"/>
      <c r="AJ439" s="2290"/>
      <c r="AK439" s="2290"/>
      <c r="AL439" s="2290"/>
      <c r="AM439" s="2290"/>
      <c r="AN439" s="2290"/>
      <c r="AO439" s="2290"/>
      <c r="AP439" s="2290"/>
      <c r="AQ439" s="2290"/>
      <c r="AR439" s="2290"/>
      <c r="AS439" s="2290"/>
      <c r="AT439" s="2290"/>
      <c r="AU439" s="2290"/>
      <c r="AV439" s="2290"/>
      <c r="AW439" s="2290"/>
      <c r="AX439" s="2290"/>
      <c r="AY439" s="2290"/>
      <c r="AZ439" s="2290"/>
      <c r="BA439" s="2290"/>
      <c r="BB439" s="2290"/>
      <c r="BC439" s="2290"/>
      <c r="BD439" s="2290"/>
      <c r="BE439" s="2290"/>
      <c r="BF439" s="2290"/>
      <c r="BG439" s="2290"/>
      <c r="BH439" s="2290"/>
      <c r="BI439" s="2290"/>
      <c r="BJ439" s="2290"/>
      <c r="BK439" s="2290"/>
      <c r="BL439" s="2290"/>
      <c r="BM439" s="2290"/>
      <c r="BN439" s="2290"/>
      <c r="BO439" s="2290"/>
      <c r="BP439" s="2290"/>
      <c r="BQ439" s="2290"/>
      <c r="BR439" s="2290"/>
      <c r="BS439" s="2290"/>
      <c r="BT439" s="2290"/>
      <c r="BU439" s="2290"/>
      <c r="BV439" s="2290"/>
      <c r="BW439" s="2290"/>
      <c r="BX439" s="2290"/>
      <c r="BY439" s="2290"/>
      <c r="BZ439" s="2290"/>
      <c r="CA439" s="2290"/>
    </row>
    <row r="440" spans="1:79">
      <c r="A440" s="2290"/>
      <c r="B440" s="2290"/>
      <c r="C440" s="2290"/>
      <c r="D440" s="2290"/>
      <c r="E440" s="2290"/>
      <c r="F440" s="2290"/>
      <c r="G440" s="2290"/>
      <c r="H440" s="2290"/>
      <c r="I440" s="2290"/>
      <c r="J440" s="2290"/>
      <c r="K440" s="2290"/>
      <c r="L440" s="2290"/>
      <c r="M440" s="2290"/>
      <c r="N440" s="2290"/>
      <c r="O440" s="2290"/>
      <c r="P440" s="2290"/>
      <c r="Q440" s="2290"/>
      <c r="R440" s="2290"/>
      <c r="S440" s="2290"/>
      <c r="T440" s="2290"/>
      <c r="U440" s="2290"/>
      <c r="V440" s="2290"/>
      <c r="W440" s="2290"/>
      <c r="X440" s="2290"/>
      <c r="Y440" s="2290"/>
      <c r="Z440" s="2290"/>
      <c r="AA440" s="2290"/>
      <c r="AB440" s="2290"/>
      <c r="AC440" s="2290"/>
      <c r="AD440" s="2290"/>
      <c r="AE440" s="2290"/>
      <c r="AF440" s="2290"/>
      <c r="AG440" s="2290"/>
      <c r="AH440" s="2290"/>
      <c r="AI440" s="2290"/>
      <c r="AJ440" s="2290"/>
      <c r="AK440" s="2290"/>
      <c r="AL440" s="2290"/>
      <c r="AM440" s="2290"/>
      <c r="AN440" s="2290"/>
      <c r="AO440" s="2290"/>
      <c r="AP440" s="2290"/>
      <c r="AQ440" s="2290"/>
      <c r="AR440" s="2290"/>
      <c r="AS440" s="2290"/>
      <c r="AT440" s="2290"/>
      <c r="AU440" s="2290"/>
      <c r="AV440" s="2290"/>
      <c r="AW440" s="2290"/>
      <c r="AX440" s="2290"/>
      <c r="AY440" s="2290"/>
      <c r="AZ440" s="2290"/>
      <c r="BA440" s="2290"/>
      <c r="BB440" s="2290"/>
      <c r="BC440" s="2290"/>
      <c r="BD440" s="2290"/>
      <c r="BE440" s="2290"/>
      <c r="BF440" s="2290"/>
      <c r="BG440" s="2290"/>
      <c r="BH440" s="2290"/>
      <c r="BI440" s="2290"/>
      <c r="BJ440" s="2290"/>
      <c r="BK440" s="2290"/>
      <c r="BL440" s="2290"/>
      <c r="BM440" s="2290"/>
      <c r="BN440" s="2290"/>
      <c r="BO440" s="2290"/>
      <c r="BP440" s="2290"/>
      <c r="BQ440" s="2290"/>
      <c r="BR440" s="2290"/>
      <c r="BS440" s="2290"/>
      <c r="BT440" s="2290"/>
      <c r="BU440" s="2290"/>
      <c r="BV440" s="2290"/>
      <c r="BW440" s="2290"/>
      <c r="BX440" s="2290"/>
      <c r="BY440" s="2290"/>
      <c r="BZ440" s="2290"/>
      <c r="CA440" s="2290"/>
    </row>
    <row r="441" spans="1:79">
      <c r="A441" s="2290"/>
      <c r="B441" s="2290"/>
      <c r="C441" s="2290"/>
      <c r="D441" s="2290"/>
      <c r="E441" s="2290"/>
      <c r="F441" s="2290"/>
      <c r="G441" s="2290"/>
      <c r="H441" s="2290"/>
      <c r="I441" s="2290"/>
      <c r="J441" s="2290"/>
      <c r="K441" s="2290"/>
      <c r="L441" s="2290"/>
      <c r="M441" s="2290"/>
      <c r="N441" s="2290"/>
      <c r="O441" s="2290"/>
      <c r="P441" s="2290"/>
      <c r="Q441" s="2290"/>
      <c r="R441" s="2290"/>
      <c r="S441" s="2290"/>
      <c r="T441" s="2290"/>
      <c r="U441" s="2290"/>
      <c r="V441" s="2290"/>
      <c r="W441" s="2290"/>
      <c r="X441" s="2290"/>
      <c r="Y441" s="2290"/>
      <c r="Z441" s="2290"/>
      <c r="AA441" s="2290"/>
      <c r="AB441" s="2290"/>
      <c r="AC441" s="2290"/>
      <c r="AD441" s="2290"/>
      <c r="AE441" s="2290"/>
      <c r="AF441" s="2290"/>
      <c r="AG441" s="2290"/>
      <c r="AH441" s="2290"/>
      <c r="AI441" s="2290"/>
      <c r="AJ441" s="2290"/>
      <c r="AK441" s="2290"/>
      <c r="AL441" s="2290"/>
      <c r="AM441" s="2290"/>
      <c r="AN441" s="2290"/>
      <c r="AO441" s="2290"/>
      <c r="AP441" s="2290"/>
      <c r="AQ441" s="2290"/>
      <c r="AR441" s="2290"/>
      <c r="AS441" s="2290"/>
      <c r="AT441" s="2290"/>
      <c r="AU441" s="2290"/>
      <c r="AV441" s="2290"/>
      <c r="AW441" s="2290"/>
      <c r="AX441" s="2290"/>
      <c r="AY441" s="2290"/>
      <c r="AZ441" s="2290"/>
      <c r="BA441" s="2290"/>
      <c r="BB441" s="2290"/>
      <c r="BC441" s="2290"/>
      <c r="BD441" s="2290"/>
      <c r="BE441" s="2290"/>
      <c r="BF441" s="2290"/>
      <c r="BG441" s="2290"/>
      <c r="BH441" s="2290"/>
      <c r="BI441" s="2290"/>
      <c r="BJ441" s="2290"/>
      <c r="BK441" s="2290"/>
      <c r="BL441" s="2290"/>
      <c r="BM441" s="2290"/>
      <c r="BN441" s="2290"/>
      <c r="BO441" s="2290"/>
      <c r="BP441" s="2290"/>
      <c r="BQ441" s="2290"/>
      <c r="BR441" s="2290"/>
      <c r="BS441" s="2290"/>
      <c r="BT441" s="2290"/>
      <c r="BU441" s="2290"/>
      <c r="BV441" s="2290"/>
      <c r="BW441" s="2290"/>
      <c r="BX441" s="2290"/>
      <c r="BY441" s="2290"/>
      <c r="BZ441" s="2290"/>
      <c r="CA441" s="2290"/>
    </row>
    <row r="442" spans="1:79">
      <c r="A442" s="2290"/>
      <c r="B442" s="2290"/>
      <c r="C442" s="2290"/>
      <c r="D442" s="2290"/>
      <c r="E442" s="2290"/>
      <c r="F442" s="2290"/>
      <c r="G442" s="2290"/>
      <c r="H442" s="2290"/>
      <c r="I442" s="2290"/>
      <c r="J442" s="2290"/>
      <c r="K442" s="2290"/>
      <c r="L442" s="2290"/>
      <c r="M442" s="2290"/>
      <c r="N442" s="2290"/>
      <c r="O442" s="2290"/>
      <c r="P442" s="2290"/>
      <c r="Q442" s="2290"/>
      <c r="R442" s="2290"/>
      <c r="S442" s="2290"/>
      <c r="T442" s="2290"/>
      <c r="U442" s="2290"/>
      <c r="V442" s="2290"/>
      <c r="W442" s="2290"/>
      <c r="X442" s="2290"/>
      <c r="Y442" s="2290"/>
      <c r="Z442" s="2290"/>
      <c r="AA442" s="2290"/>
      <c r="AB442" s="2290"/>
      <c r="AC442" s="2290"/>
      <c r="AD442" s="2290"/>
      <c r="AE442" s="2290"/>
      <c r="AF442" s="2290"/>
      <c r="AG442" s="2290"/>
      <c r="AH442" s="2290"/>
      <c r="AI442" s="2290"/>
      <c r="AJ442" s="2290"/>
      <c r="AK442" s="2290"/>
      <c r="AL442" s="2290"/>
      <c r="AM442" s="2290"/>
      <c r="AN442" s="2290"/>
      <c r="AO442" s="2290"/>
      <c r="AP442" s="2290"/>
      <c r="AQ442" s="2290"/>
      <c r="AR442" s="2290"/>
      <c r="AS442" s="2290"/>
      <c r="AT442" s="2290"/>
      <c r="AU442" s="2290"/>
      <c r="AV442" s="2290"/>
      <c r="AW442" s="2290"/>
      <c r="AX442" s="2290"/>
      <c r="AY442" s="2290"/>
      <c r="AZ442" s="2290"/>
      <c r="BA442" s="2290"/>
      <c r="BB442" s="2290"/>
      <c r="BC442" s="2290"/>
      <c r="BD442" s="2290"/>
      <c r="BE442" s="2290"/>
      <c r="BF442" s="2290"/>
      <c r="BG442" s="2290"/>
      <c r="BH442" s="2290"/>
      <c r="BI442" s="2290"/>
      <c r="BJ442" s="2290"/>
      <c r="BK442" s="2290"/>
      <c r="BL442" s="2290"/>
      <c r="BM442" s="2290"/>
      <c r="BN442" s="2290"/>
      <c r="BO442" s="2290"/>
      <c r="BP442" s="2290"/>
      <c r="BQ442" s="2290"/>
      <c r="BR442" s="2290"/>
      <c r="BS442" s="2290"/>
      <c r="BT442" s="2290"/>
      <c r="BU442" s="2290"/>
      <c r="BV442" s="2290"/>
      <c r="BW442" s="2290"/>
      <c r="BX442" s="2290"/>
      <c r="BY442" s="2290"/>
      <c r="BZ442" s="2290"/>
      <c r="CA442" s="2290"/>
    </row>
    <row r="443" spans="1:79">
      <c r="A443" s="2290"/>
      <c r="B443" s="2290"/>
      <c r="C443" s="2290"/>
      <c r="D443" s="2290"/>
      <c r="E443" s="2290"/>
      <c r="F443" s="2290"/>
      <c r="G443" s="2290"/>
      <c r="H443" s="2290"/>
      <c r="I443" s="2290"/>
      <c r="J443" s="2290"/>
      <c r="K443" s="2290"/>
      <c r="L443" s="2290"/>
      <c r="M443" s="2290"/>
      <c r="N443" s="2290"/>
      <c r="O443" s="2290"/>
      <c r="P443" s="2290"/>
      <c r="Q443" s="2290"/>
      <c r="R443" s="2290"/>
      <c r="S443" s="2290"/>
      <c r="T443" s="2290"/>
      <c r="U443" s="2290"/>
      <c r="V443" s="2290"/>
      <c r="W443" s="2290"/>
      <c r="X443" s="2290"/>
      <c r="Y443" s="2290"/>
      <c r="Z443" s="2290"/>
      <c r="AA443" s="2290"/>
      <c r="AB443" s="2290"/>
      <c r="AC443" s="2290"/>
      <c r="AD443" s="2290"/>
      <c r="AE443" s="2290"/>
      <c r="AF443" s="2290"/>
      <c r="AG443" s="2290"/>
      <c r="AH443" s="2290"/>
      <c r="AI443" s="2290"/>
      <c r="AJ443" s="2290"/>
      <c r="AK443" s="2290"/>
      <c r="AL443" s="2290"/>
      <c r="AM443" s="2290"/>
      <c r="AN443" s="2290"/>
      <c r="AO443" s="2290"/>
      <c r="AP443" s="2290"/>
      <c r="AQ443" s="2290"/>
      <c r="AR443" s="2290"/>
      <c r="AS443" s="2290"/>
      <c r="AT443" s="2290"/>
      <c r="AU443" s="2290"/>
      <c r="AV443" s="2290"/>
      <c r="AW443" s="2290"/>
      <c r="AX443" s="2290"/>
      <c r="AY443" s="2290"/>
      <c r="AZ443" s="2290"/>
      <c r="BA443" s="2290"/>
      <c r="BB443" s="2290"/>
      <c r="BC443" s="2290"/>
      <c r="BD443" s="2290"/>
      <c r="BE443" s="2290"/>
      <c r="BF443" s="2290"/>
      <c r="BG443" s="2290"/>
      <c r="BH443" s="2290"/>
      <c r="BI443" s="2290"/>
      <c r="BJ443" s="2290"/>
      <c r="BK443" s="2290"/>
      <c r="BL443" s="2290"/>
      <c r="BM443" s="2290"/>
      <c r="BN443" s="2290"/>
      <c r="BO443" s="2290"/>
      <c r="BP443" s="2290"/>
      <c r="BQ443" s="2290"/>
      <c r="BR443" s="2290"/>
      <c r="BS443" s="2290"/>
      <c r="BT443" s="2290"/>
      <c r="BU443" s="2290"/>
      <c r="BV443" s="2290"/>
      <c r="BW443" s="2290"/>
      <c r="BX443" s="2290"/>
      <c r="BY443" s="2290"/>
      <c r="BZ443" s="2290"/>
      <c r="CA443" s="2290"/>
    </row>
    <row r="444" spans="1:79">
      <c r="A444" s="2290"/>
      <c r="B444" s="2290"/>
      <c r="C444" s="2290"/>
      <c r="D444" s="2290"/>
      <c r="E444" s="2290"/>
      <c r="F444" s="2290"/>
      <c r="G444" s="2290"/>
      <c r="H444" s="2290"/>
      <c r="I444" s="2290"/>
      <c r="J444" s="2290"/>
      <c r="K444" s="2290"/>
      <c r="L444" s="2290"/>
      <c r="M444" s="2290"/>
      <c r="N444" s="2290"/>
      <c r="O444" s="2290"/>
      <c r="P444" s="2290"/>
      <c r="Q444" s="2290"/>
      <c r="R444" s="2290"/>
      <c r="S444" s="2290"/>
      <c r="T444" s="2290"/>
      <c r="U444" s="2290"/>
      <c r="V444" s="2290"/>
      <c r="W444" s="2290"/>
      <c r="X444" s="2290"/>
      <c r="Y444" s="2290"/>
      <c r="Z444" s="2290"/>
      <c r="AA444" s="2290"/>
      <c r="AB444" s="2290"/>
      <c r="AC444" s="2290"/>
      <c r="AD444" s="2290"/>
      <c r="AE444" s="2290"/>
      <c r="AF444" s="2290"/>
      <c r="AG444" s="2290"/>
      <c r="AH444" s="2290"/>
      <c r="AI444" s="2290"/>
      <c r="AJ444" s="2290"/>
      <c r="AK444" s="2290"/>
      <c r="AL444" s="2290"/>
      <c r="AM444" s="2290"/>
      <c r="AN444" s="2290"/>
      <c r="AO444" s="2290"/>
      <c r="AP444" s="2290"/>
      <c r="AQ444" s="2290"/>
      <c r="AR444" s="2290"/>
      <c r="AS444" s="2290"/>
      <c r="AT444" s="2290"/>
      <c r="AU444" s="2290"/>
      <c r="AV444" s="2290"/>
      <c r="AW444" s="2290"/>
      <c r="AX444" s="2290"/>
      <c r="AY444" s="2290"/>
      <c r="AZ444" s="2290"/>
      <c r="BA444" s="2290"/>
      <c r="BB444" s="2290"/>
      <c r="BC444" s="2290"/>
      <c r="BD444" s="2290"/>
      <c r="BE444" s="2290"/>
      <c r="BF444" s="2290"/>
      <c r="BG444" s="2290"/>
      <c r="BH444" s="2290"/>
      <c r="BI444" s="2290"/>
      <c r="BJ444" s="2290"/>
      <c r="BK444" s="2290"/>
      <c r="BL444" s="2290"/>
      <c r="BM444" s="2290"/>
      <c r="BN444" s="2290"/>
      <c r="BO444" s="2290"/>
      <c r="BP444" s="2290"/>
      <c r="BQ444" s="2290"/>
      <c r="BR444" s="2290"/>
      <c r="BS444" s="2290"/>
      <c r="BT444" s="2290"/>
      <c r="BU444" s="2290"/>
      <c r="BV444" s="2290"/>
      <c r="BW444" s="2290"/>
      <c r="BX444" s="2290"/>
      <c r="BY444" s="2290"/>
      <c r="BZ444" s="2290"/>
      <c r="CA444" s="2290"/>
    </row>
    <row r="445" spans="1:79">
      <c r="A445" s="2290"/>
      <c r="B445" s="2290"/>
      <c r="C445" s="2290"/>
      <c r="D445" s="2290"/>
      <c r="E445" s="2290"/>
      <c r="F445" s="2290"/>
      <c r="G445" s="2290"/>
      <c r="H445" s="2290"/>
      <c r="I445" s="2290"/>
      <c r="J445" s="2290"/>
      <c r="K445" s="2290"/>
      <c r="L445" s="2290"/>
      <c r="M445" s="2290"/>
      <c r="N445" s="2290"/>
      <c r="O445" s="2290"/>
      <c r="P445" s="2290"/>
      <c r="Q445" s="2290"/>
      <c r="R445" s="2290"/>
      <c r="S445" s="2290"/>
      <c r="T445" s="2290"/>
      <c r="U445" s="2290"/>
      <c r="V445" s="2290"/>
      <c r="W445" s="2290"/>
      <c r="X445" s="2290"/>
      <c r="Y445" s="2290"/>
      <c r="Z445" s="2290"/>
      <c r="AA445" s="2290"/>
      <c r="AB445" s="2290"/>
      <c r="AC445" s="2290"/>
      <c r="AD445" s="2290"/>
      <c r="AE445" s="2290"/>
      <c r="AF445" s="2290"/>
      <c r="AG445" s="2290"/>
      <c r="AH445" s="2290"/>
      <c r="AI445" s="2290"/>
      <c r="AJ445" s="2290"/>
      <c r="AK445" s="2290"/>
      <c r="AL445" s="2290"/>
      <c r="AM445" s="2290"/>
      <c r="AN445" s="2290"/>
      <c r="AO445" s="2290"/>
      <c r="AP445" s="2290"/>
      <c r="AQ445" s="2290"/>
      <c r="AR445" s="2290"/>
      <c r="AS445" s="2290"/>
      <c r="AT445" s="2290"/>
      <c r="AU445" s="2290"/>
      <c r="AV445" s="2290"/>
      <c r="AW445" s="2290"/>
      <c r="AX445" s="2290"/>
      <c r="AY445" s="2290"/>
      <c r="AZ445" s="2290"/>
      <c r="BA445" s="2290"/>
      <c r="BB445" s="2290"/>
      <c r="BC445" s="2290"/>
      <c r="BD445" s="2290"/>
      <c r="BE445" s="2290"/>
      <c r="BF445" s="2290"/>
      <c r="BG445" s="2290"/>
      <c r="BH445" s="2290"/>
      <c r="BI445" s="2290"/>
      <c r="BJ445" s="2290"/>
      <c r="BK445" s="2290"/>
      <c r="BL445" s="2290"/>
      <c r="BM445" s="2290"/>
      <c r="BN445" s="2290"/>
      <c r="BO445" s="2290"/>
      <c r="BP445" s="2290"/>
      <c r="BQ445" s="2290"/>
      <c r="BR445" s="2290"/>
      <c r="BS445" s="2290"/>
      <c r="BT445" s="2290"/>
      <c r="BU445" s="2290"/>
      <c r="BV445" s="2290"/>
      <c r="BW445" s="2290"/>
      <c r="BX445" s="2290"/>
      <c r="BY445" s="2290"/>
      <c r="BZ445" s="2290"/>
      <c r="CA445" s="2290"/>
    </row>
    <row r="446" spans="1:79">
      <c r="A446" s="2290"/>
      <c r="B446" s="2290"/>
      <c r="C446" s="2290"/>
      <c r="D446" s="2290"/>
      <c r="E446" s="2290"/>
      <c r="F446" s="2290"/>
      <c r="G446" s="2290"/>
      <c r="H446" s="2290"/>
      <c r="I446" s="2290"/>
      <c r="J446" s="2290"/>
      <c r="K446" s="2290"/>
      <c r="L446" s="2290"/>
      <c r="M446" s="2290"/>
      <c r="N446" s="2290"/>
      <c r="O446" s="2290"/>
      <c r="P446" s="2290"/>
      <c r="Q446" s="2290"/>
      <c r="R446" s="2290"/>
      <c r="S446" s="2290"/>
      <c r="T446" s="2290"/>
      <c r="U446" s="2290"/>
      <c r="V446" s="2290"/>
      <c r="W446" s="2290"/>
      <c r="X446" s="2290"/>
      <c r="Y446" s="2290"/>
      <c r="Z446" s="2290"/>
      <c r="AA446" s="2290"/>
      <c r="AB446" s="2290"/>
      <c r="AC446" s="2290"/>
      <c r="AD446" s="2290"/>
      <c r="AE446" s="2290"/>
      <c r="AF446" s="2290"/>
      <c r="AG446" s="2290"/>
      <c r="AH446" s="2290"/>
      <c r="AI446" s="2290"/>
      <c r="AJ446" s="2290"/>
      <c r="AK446" s="2290"/>
      <c r="AL446" s="2290"/>
      <c r="AM446" s="2290"/>
      <c r="AN446" s="2290"/>
      <c r="AO446" s="2290"/>
      <c r="AP446" s="2290"/>
      <c r="AQ446" s="2290"/>
      <c r="AR446" s="2290"/>
      <c r="AS446" s="2290"/>
      <c r="AT446" s="2290"/>
      <c r="AU446" s="2290"/>
      <c r="AV446" s="2290"/>
      <c r="AW446" s="2290"/>
      <c r="AX446" s="2290"/>
      <c r="AY446" s="2290"/>
      <c r="AZ446" s="2290"/>
      <c r="BA446" s="2290"/>
      <c r="BB446" s="2290"/>
      <c r="BC446" s="2290"/>
      <c r="BD446" s="2290"/>
      <c r="BE446" s="2290"/>
      <c r="BF446" s="2290"/>
      <c r="BG446" s="2290"/>
      <c r="BH446" s="2290"/>
      <c r="BI446" s="2290"/>
      <c r="BJ446" s="2290"/>
      <c r="BK446" s="2290"/>
      <c r="BL446" s="2290"/>
      <c r="BM446" s="2290"/>
      <c r="BN446" s="2290"/>
      <c r="BO446" s="2290"/>
      <c r="BP446" s="2290"/>
      <c r="BQ446" s="2290"/>
      <c r="BR446" s="2290"/>
      <c r="BS446" s="2290"/>
      <c r="BT446" s="2290"/>
      <c r="BU446" s="2290"/>
      <c r="BV446" s="2290"/>
      <c r="BW446" s="2290"/>
      <c r="BX446" s="2290"/>
      <c r="BY446" s="2290"/>
      <c r="BZ446" s="2290"/>
      <c r="CA446" s="2290"/>
    </row>
    <row r="447" spans="1:79">
      <c r="A447" s="2290"/>
      <c r="B447" s="2290"/>
      <c r="C447" s="2290"/>
      <c r="D447" s="2290"/>
      <c r="E447" s="2290"/>
      <c r="F447" s="2290"/>
      <c r="G447" s="2290"/>
      <c r="H447" s="2290"/>
      <c r="I447" s="2290"/>
      <c r="J447" s="2290"/>
      <c r="K447" s="2290"/>
      <c r="L447" s="2290"/>
      <c r="M447" s="2290"/>
      <c r="N447" s="2290"/>
      <c r="O447" s="2290"/>
      <c r="P447" s="2290"/>
      <c r="Q447" s="2290"/>
      <c r="R447" s="2290"/>
      <c r="S447" s="2290"/>
      <c r="T447" s="2290"/>
      <c r="U447" s="2290"/>
      <c r="V447" s="2290"/>
      <c r="W447" s="2290"/>
      <c r="X447" s="2290"/>
      <c r="Y447" s="2290"/>
      <c r="Z447" s="2290"/>
      <c r="AA447" s="2290"/>
      <c r="AB447" s="2290"/>
      <c r="AC447" s="2290"/>
      <c r="AD447" s="2290"/>
      <c r="AE447" s="2290"/>
      <c r="AF447" s="2290"/>
      <c r="AG447" s="2290"/>
      <c r="AH447" s="2290"/>
      <c r="AI447" s="2290"/>
      <c r="AJ447" s="2290"/>
      <c r="AK447" s="2290"/>
      <c r="AL447" s="2290"/>
      <c r="AM447" s="2290"/>
      <c r="AN447" s="2290"/>
      <c r="AO447" s="2290"/>
      <c r="AP447" s="2290"/>
      <c r="AQ447" s="2290"/>
      <c r="AR447" s="2290"/>
      <c r="AS447" s="2290"/>
      <c r="AT447" s="2290"/>
      <c r="AU447" s="2290"/>
      <c r="AV447" s="2290"/>
      <c r="AW447" s="2290"/>
      <c r="AX447" s="2290"/>
      <c r="AY447" s="2290"/>
      <c r="AZ447" s="2290"/>
      <c r="BA447" s="2290"/>
      <c r="BB447" s="2290"/>
      <c r="BC447" s="2290"/>
      <c r="BD447" s="2290"/>
      <c r="BE447" s="2290"/>
      <c r="BF447" s="2290"/>
      <c r="BG447" s="2290"/>
      <c r="BH447" s="2290"/>
      <c r="BI447" s="2290"/>
      <c r="BJ447" s="2290"/>
      <c r="BK447" s="2290"/>
      <c r="BL447" s="2290"/>
      <c r="BM447" s="2290"/>
      <c r="BN447" s="2290"/>
      <c r="BO447" s="2290"/>
      <c r="BP447" s="2290"/>
      <c r="BQ447" s="2290"/>
      <c r="BR447" s="2290"/>
      <c r="BS447" s="2290"/>
      <c r="BT447" s="2290"/>
      <c r="BU447" s="2290"/>
      <c r="BV447" s="2290"/>
      <c r="BW447" s="2290"/>
      <c r="BX447" s="2290"/>
      <c r="BY447" s="2290"/>
      <c r="BZ447" s="2290"/>
      <c r="CA447" s="2290"/>
    </row>
    <row r="448" spans="1:79">
      <c r="A448" s="2290"/>
      <c r="B448" s="2290"/>
      <c r="C448" s="2290"/>
      <c r="D448" s="2290"/>
      <c r="E448" s="2290"/>
      <c r="F448" s="2290"/>
      <c r="G448" s="2290"/>
      <c r="H448" s="2290"/>
      <c r="I448" s="2290"/>
      <c r="J448" s="2290"/>
      <c r="K448" s="2290"/>
      <c r="L448" s="2290"/>
      <c r="M448" s="2290"/>
      <c r="N448" s="2290"/>
      <c r="O448" s="2290"/>
      <c r="P448" s="2290"/>
      <c r="Q448" s="2290"/>
      <c r="R448" s="2290"/>
      <c r="S448" s="2290"/>
      <c r="T448" s="2290"/>
      <c r="U448" s="2290"/>
      <c r="V448" s="2290"/>
      <c r="W448" s="2290"/>
      <c r="X448" s="2290"/>
      <c r="Y448" s="2290"/>
      <c r="Z448" s="2290"/>
      <c r="AA448" s="2290"/>
      <c r="AB448" s="2290"/>
      <c r="AC448" s="2290"/>
      <c r="AD448" s="2290"/>
      <c r="AE448" s="2290"/>
      <c r="AF448" s="2290"/>
      <c r="AG448" s="2290"/>
      <c r="AH448" s="2290"/>
      <c r="AI448" s="2290"/>
      <c r="AJ448" s="2290"/>
      <c r="AK448" s="2290"/>
      <c r="AL448" s="2290"/>
      <c r="AM448" s="2290"/>
      <c r="AN448" s="2290"/>
      <c r="AO448" s="2290"/>
      <c r="AP448" s="2290"/>
      <c r="AQ448" s="2290"/>
      <c r="AR448" s="2290"/>
      <c r="AS448" s="2290"/>
      <c r="AT448" s="2290"/>
      <c r="AU448" s="2290"/>
      <c r="AV448" s="2290"/>
      <c r="AW448" s="2290"/>
      <c r="AX448" s="2290"/>
      <c r="AY448" s="2290"/>
      <c r="AZ448" s="2290"/>
      <c r="BA448" s="2290"/>
      <c r="BB448" s="2290"/>
      <c r="BC448" s="2290"/>
      <c r="BD448" s="2290"/>
      <c r="BE448" s="2290"/>
      <c r="BF448" s="2290"/>
      <c r="BG448" s="2290"/>
      <c r="BH448" s="2290"/>
      <c r="BI448" s="2290"/>
      <c r="BJ448" s="2290"/>
      <c r="BK448" s="2290"/>
      <c r="BL448" s="2290"/>
      <c r="BM448" s="2290"/>
      <c r="BN448" s="2290"/>
      <c r="BO448" s="2290"/>
      <c r="BP448" s="2290"/>
      <c r="BQ448" s="2290"/>
      <c r="BR448" s="2290"/>
      <c r="BS448" s="2290"/>
      <c r="BT448" s="2290"/>
      <c r="BU448" s="2290"/>
      <c r="BV448" s="2290"/>
      <c r="BW448" s="2290"/>
      <c r="BX448" s="2290"/>
      <c r="BY448" s="2290"/>
      <c r="BZ448" s="2290"/>
      <c r="CA448" s="2290"/>
    </row>
    <row r="449" spans="1:79">
      <c r="A449" s="2290"/>
      <c r="B449" s="2290"/>
      <c r="C449" s="2290"/>
      <c r="D449" s="2290"/>
      <c r="E449" s="2290"/>
      <c r="F449" s="2290"/>
      <c r="G449" s="2290"/>
      <c r="H449" s="2290"/>
      <c r="I449" s="2290"/>
      <c r="J449" s="2290"/>
      <c r="K449" s="2290"/>
      <c r="L449" s="2290"/>
      <c r="M449" s="2290"/>
      <c r="N449" s="2290"/>
      <c r="O449" s="2290"/>
      <c r="P449" s="2290"/>
      <c r="Q449" s="2290"/>
      <c r="R449" s="2290"/>
      <c r="S449" s="2290"/>
      <c r="T449" s="2290"/>
      <c r="U449" s="2290"/>
      <c r="V449" s="2290"/>
      <c r="W449" s="2290"/>
      <c r="X449" s="2290"/>
      <c r="Y449" s="2290"/>
      <c r="Z449" s="2290"/>
      <c r="AA449" s="2290"/>
      <c r="AB449" s="2290"/>
      <c r="AC449" s="2290"/>
      <c r="AD449" s="2290"/>
      <c r="AE449" s="2290"/>
      <c r="AF449" s="2290"/>
      <c r="AG449" s="2290"/>
      <c r="AH449" s="2290"/>
      <c r="AI449" s="2290"/>
      <c r="AJ449" s="2290"/>
      <c r="AK449" s="2290"/>
      <c r="AL449" s="2290"/>
      <c r="AM449" s="2290"/>
      <c r="AN449" s="2290"/>
      <c r="AO449" s="2290"/>
      <c r="AP449" s="2290"/>
      <c r="AQ449" s="2290"/>
      <c r="AR449" s="2290"/>
      <c r="AS449" s="2290"/>
      <c r="AT449" s="2290"/>
      <c r="AU449" s="2290"/>
      <c r="AV449" s="2290"/>
      <c r="AW449" s="2290"/>
      <c r="AX449" s="2290"/>
      <c r="AY449" s="2290"/>
      <c r="AZ449" s="2290"/>
      <c r="BA449" s="2290"/>
      <c r="BB449" s="2290"/>
      <c r="BC449" s="2290"/>
      <c r="BD449" s="2290"/>
      <c r="BE449" s="2290"/>
      <c r="BF449" s="2290"/>
      <c r="BG449" s="2290"/>
      <c r="BH449" s="2290"/>
      <c r="BI449" s="2290"/>
      <c r="BJ449" s="2290"/>
      <c r="BK449" s="2290"/>
      <c r="BL449" s="2290"/>
      <c r="BM449" s="2290"/>
      <c r="BN449" s="2290"/>
      <c r="BO449" s="2290"/>
      <c r="BP449" s="2290"/>
      <c r="BQ449" s="2290"/>
      <c r="BR449" s="2290"/>
      <c r="BS449" s="2290"/>
      <c r="BT449" s="2290"/>
      <c r="BU449" s="2290"/>
      <c r="BV449" s="2290"/>
      <c r="BW449" s="2290"/>
      <c r="BX449" s="2290"/>
      <c r="BY449" s="2290"/>
      <c r="BZ449" s="2290"/>
      <c r="CA449" s="2290"/>
    </row>
    <row r="450" spans="1:79">
      <c r="A450" s="2290"/>
      <c r="B450" s="2290"/>
      <c r="C450" s="2290"/>
      <c r="D450" s="2290"/>
      <c r="E450" s="2290"/>
      <c r="F450" s="2290"/>
      <c r="G450" s="2290"/>
      <c r="H450" s="2290"/>
      <c r="I450" s="2290"/>
      <c r="J450" s="2290"/>
      <c r="K450" s="2290"/>
      <c r="L450" s="2290"/>
      <c r="M450" s="2290"/>
      <c r="N450" s="2290"/>
      <c r="O450" s="2290"/>
      <c r="P450" s="2290"/>
      <c r="Q450" s="2290"/>
      <c r="R450" s="2290"/>
      <c r="S450" s="2290"/>
      <c r="T450" s="2290"/>
      <c r="U450" s="2290"/>
      <c r="V450" s="2290"/>
      <c r="W450" s="2290"/>
      <c r="X450" s="2290"/>
      <c r="Y450" s="2290"/>
      <c r="Z450" s="2290"/>
      <c r="AA450" s="2290"/>
      <c r="AB450" s="2290"/>
      <c r="AC450" s="2290"/>
      <c r="AD450" s="2290"/>
      <c r="AE450" s="2290"/>
      <c r="AF450" s="2290"/>
      <c r="AG450" s="2290"/>
      <c r="AH450" s="2290"/>
      <c r="AI450" s="2290"/>
      <c r="AJ450" s="2290"/>
      <c r="AK450" s="2290"/>
      <c r="AL450" s="2290"/>
      <c r="AM450" s="2290"/>
      <c r="AN450" s="2290"/>
      <c r="AO450" s="2290"/>
      <c r="AP450" s="2290"/>
      <c r="AQ450" s="2290"/>
      <c r="AR450" s="2290"/>
      <c r="AS450" s="2290"/>
      <c r="AT450" s="2290"/>
      <c r="AU450" s="2290"/>
      <c r="AV450" s="2290"/>
      <c r="AW450" s="2290"/>
      <c r="AX450" s="2290"/>
      <c r="AY450" s="2290"/>
      <c r="AZ450" s="2290"/>
      <c r="BA450" s="2290"/>
      <c r="BB450" s="2290"/>
      <c r="BC450" s="2290"/>
      <c r="BD450" s="2290"/>
      <c r="BE450" s="2290"/>
      <c r="BF450" s="2290"/>
      <c r="BG450" s="2290"/>
      <c r="BH450" s="2290"/>
      <c r="BI450" s="2290"/>
      <c r="BJ450" s="2290"/>
      <c r="BK450" s="2290"/>
      <c r="BL450" s="2290"/>
      <c r="BM450" s="2290"/>
      <c r="BN450" s="2290"/>
      <c r="BO450" s="2290"/>
      <c r="BP450" s="2290"/>
      <c r="BQ450" s="2290"/>
      <c r="BR450" s="2290"/>
      <c r="BS450" s="2290"/>
      <c r="BT450" s="2290"/>
      <c r="BU450" s="2290"/>
      <c r="BV450" s="2290"/>
      <c r="BW450" s="2290"/>
      <c r="BX450" s="2290"/>
      <c r="BY450" s="2290"/>
      <c r="BZ450" s="2290"/>
      <c r="CA450" s="2290"/>
    </row>
    <row r="451" spans="1:79">
      <c r="A451" s="2290"/>
      <c r="B451" s="2290"/>
      <c r="C451" s="2290"/>
      <c r="D451" s="2290"/>
      <c r="E451" s="2290"/>
      <c r="F451" s="2290"/>
      <c r="G451" s="2290"/>
      <c r="H451" s="2290"/>
      <c r="I451" s="2290"/>
      <c r="J451" s="2290"/>
      <c r="K451" s="2290"/>
      <c r="L451" s="2290"/>
      <c r="M451" s="2290"/>
      <c r="N451" s="2290"/>
      <c r="O451" s="2290"/>
      <c r="P451" s="2290"/>
      <c r="Q451" s="2290"/>
      <c r="R451" s="2290"/>
      <c r="S451" s="2290"/>
      <c r="T451" s="2290"/>
      <c r="U451" s="2290"/>
      <c r="V451" s="2290"/>
      <c r="W451" s="2290"/>
      <c r="X451" s="2290"/>
      <c r="Y451" s="2290"/>
      <c r="Z451" s="2290"/>
      <c r="AA451" s="2290"/>
      <c r="AB451" s="2290"/>
      <c r="AC451" s="2290"/>
      <c r="AD451" s="2290"/>
      <c r="AE451" s="2290"/>
      <c r="AF451" s="2290"/>
      <c r="AG451" s="2290"/>
      <c r="AH451" s="2290"/>
      <c r="AI451" s="2290"/>
      <c r="AJ451" s="2290"/>
      <c r="AK451" s="2290"/>
      <c r="AL451" s="2290"/>
      <c r="AM451" s="2290"/>
      <c r="AN451" s="2290"/>
      <c r="AO451" s="2290"/>
      <c r="AP451" s="2290"/>
      <c r="AQ451" s="2290"/>
      <c r="AR451" s="2290"/>
      <c r="AS451" s="2290"/>
      <c r="AT451" s="2290"/>
      <c r="AU451" s="2290"/>
      <c r="AV451" s="2290"/>
      <c r="AW451" s="2290"/>
      <c r="AX451" s="2290"/>
      <c r="AY451" s="2290"/>
      <c r="AZ451" s="2290"/>
      <c r="BA451" s="2290"/>
      <c r="BB451" s="2290"/>
      <c r="BC451" s="2290"/>
      <c r="BD451" s="2290"/>
      <c r="BE451" s="2290"/>
      <c r="BF451" s="2290"/>
      <c r="BG451" s="2290"/>
      <c r="BH451" s="2290"/>
      <c r="BI451" s="2290"/>
      <c r="BJ451" s="2290"/>
      <c r="BK451" s="2290"/>
      <c r="BL451" s="2290"/>
      <c r="BM451" s="2290"/>
      <c r="BN451" s="2290"/>
      <c r="BO451" s="2290"/>
      <c r="BP451" s="2290"/>
      <c r="BQ451" s="2290"/>
      <c r="BR451" s="2290"/>
      <c r="BS451" s="2290"/>
      <c r="BT451" s="2290"/>
      <c r="BU451" s="2290"/>
      <c r="BV451" s="2290"/>
      <c r="BW451" s="2290"/>
      <c r="BX451" s="2290"/>
      <c r="BY451" s="2290"/>
      <c r="BZ451" s="2290"/>
      <c r="CA451" s="2290"/>
    </row>
    <row r="452" spans="1:79">
      <c r="A452" s="2290"/>
      <c r="B452" s="2290"/>
      <c r="C452" s="2290"/>
      <c r="D452" s="2290"/>
      <c r="E452" s="2290"/>
      <c r="F452" s="2290"/>
      <c r="G452" s="2290"/>
      <c r="H452" s="2290"/>
      <c r="I452" s="2290"/>
      <c r="J452" s="2290"/>
      <c r="K452" s="2290"/>
      <c r="L452" s="2290"/>
      <c r="M452" s="2290"/>
      <c r="N452" s="2290"/>
      <c r="O452" s="2290"/>
      <c r="P452" s="2290"/>
      <c r="Q452" s="2290"/>
      <c r="R452" s="2290"/>
      <c r="S452" s="2290"/>
      <c r="T452" s="2290"/>
      <c r="U452" s="2290"/>
      <c r="V452" s="2290"/>
      <c r="W452" s="2290"/>
      <c r="X452" s="2290"/>
      <c r="Y452" s="2290"/>
      <c r="Z452" s="2290"/>
      <c r="AA452" s="2290"/>
      <c r="AB452" s="2290"/>
      <c r="AC452" s="2290"/>
      <c r="AD452" s="2290"/>
      <c r="AE452" s="2290"/>
      <c r="AF452" s="2290"/>
      <c r="AG452" s="2290"/>
      <c r="AH452" s="2290"/>
      <c r="AI452" s="2290"/>
      <c r="AJ452" s="2290"/>
      <c r="AK452" s="2290"/>
      <c r="AL452" s="2290"/>
      <c r="AM452" s="2290"/>
      <c r="AN452" s="2290"/>
      <c r="AO452" s="2290"/>
      <c r="AP452" s="2290"/>
      <c r="AQ452" s="2290"/>
      <c r="AR452" s="2290"/>
      <c r="AS452" s="2290"/>
      <c r="AT452" s="2290"/>
      <c r="AU452" s="2290"/>
      <c r="AV452" s="2290"/>
      <c r="AW452" s="2290"/>
      <c r="AX452" s="2290"/>
      <c r="AY452" s="2290"/>
      <c r="AZ452" s="2290"/>
      <c r="BA452" s="2290"/>
      <c r="BB452" s="2290"/>
      <c r="BC452" s="2290"/>
      <c r="BD452" s="2290"/>
      <c r="BE452" s="2290"/>
      <c r="BF452" s="2290"/>
      <c r="BG452" s="2290"/>
      <c r="BH452" s="2290"/>
      <c r="BI452" s="2290"/>
      <c r="BJ452" s="2290"/>
      <c r="BK452" s="2290"/>
      <c r="BL452" s="2290"/>
      <c r="BM452" s="2290"/>
      <c r="BN452" s="2290"/>
      <c r="BO452" s="2290"/>
      <c r="BP452" s="2290"/>
      <c r="BQ452" s="2290"/>
      <c r="BR452" s="2290"/>
      <c r="BS452" s="2290"/>
      <c r="BT452" s="2290"/>
      <c r="BU452" s="2290"/>
      <c r="BV452" s="2290"/>
      <c r="BW452" s="2290"/>
      <c r="BX452" s="2290"/>
      <c r="BY452" s="2290"/>
      <c r="BZ452" s="2290"/>
      <c r="CA452" s="2290"/>
    </row>
    <row r="453" spans="1:79">
      <c r="A453" s="2290"/>
      <c r="B453" s="2290"/>
      <c r="C453" s="2290"/>
      <c r="D453" s="2290"/>
      <c r="E453" s="2290"/>
      <c r="F453" s="2290"/>
      <c r="G453" s="2290"/>
      <c r="H453" s="2290"/>
      <c r="I453" s="2290"/>
      <c r="J453" s="2290"/>
      <c r="K453" s="2290"/>
      <c r="L453" s="2290"/>
      <c r="M453" s="2290"/>
      <c r="N453" s="2290"/>
      <c r="O453" s="2290"/>
      <c r="P453" s="2290"/>
      <c r="Q453" s="2290"/>
      <c r="R453" s="2290"/>
      <c r="S453" s="2290"/>
      <c r="T453" s="2290"/>
      <c r="U453" s="2290"/>
      <c r="V453" s="2290"/>
      <c r="W453" s="2290"/>
      <c r="X453" s="2290"/>
      <c r="Y453" s="2290"/>
      <c r="Z453" s="2290"/>
      <c r="AA453" s="2290"/>
      <c r="AB453" s="2290"/>
      <c r="AC453" s="2290"/>
      <c r="AD453" s="2290"/>
      <c r="AE453" s="2290"/>
      <c r="AF453" s="2290"/>
      <c r="AG453" s="2290"/>
      <c r="AH453" s="2290"/>
      <c r="AI453" s="2290"/>
      <c r="AJ453" s="2290"/>
      <c r="AK453" s="2290"/>
      <c r="AL453" s="2290"/>
      <c r="AM453" s="2290"/>
      <c r="AN453" s="2290"/>
      <c r="AO453" s="2290"/>
      <c r="AP453" s="2290"/>
      <c r="AQ453" s="2290"/>
      <c r="AR453" s="2290"/>
      <c r="AS453" s="2290"/>
      <c r="AT453" s="2290"/>
      <c r="AU453" s="2290"/>
      <c r="AV453" s="2290"/>
      <c r="AW453" s="2290"/>
      <c r="AX453" s="2290"/>
      <c r="AY453" s="2290"/>
      <c r="AZ453" s="2290"/>
      <c r="BA453" s="2290"/>
      <c r="BB453" s="2290"/>
      <c r="BC453" s="2290"/>
      <c r="BD453" s="2290"/>
      <c r="BE453" s="2290"/>
      <c r="BF453" s="2290"/>
      <c r="BG453" s="2290"/>
      <c r="BH453" s="2290"/>
      <c r="BI453" s="2290"/>
      <c r="BJ453" s="2290"/>
      <c r="BK453" s="2290"/>
      <c r="BL453" s="2290"/>
      <c r="BM453" s="2290"/>
      <c r="BN453" s="2290"/>
      <c r="BO453" s="2290"/>
      <c r="BP453" s="2290"/>
      <c r="BQ453" s="2290"/>
      <c r="BR453" s="2290"/>
      <c r="BS453" s="2290"/>
      <c r="BT453" s="2290"/>
      <c r="BU453" s="2290"/>
      <c r="BV453" s="2290"/>
      <c r="BW453" s="2290"/>
      <c r="BX453" s="2290"/>
      <c r="BY453" s="2290"/>
      <c r="BZ453" s="2290"/>
      <c r="CA453" s="2290"/>
    </row>
    <row r="454" spans="1:79">
      <c r="A454" s="2290"/>
      <c r="B454" s="2290"/>
      <c r="C454" s="2290"/>
      <c r="D454" s="2290"/>
      <c r="E454" s="2290"/>
      <c r="F454" s="2290"/>
      <c r="G454" s="2290"/>
      <c r="H454" s="2290"/>
      <c r="I454" s="2290"/>
      <c r="J454" s="2290"/>
      <c r="K454" s="2290"/>
      <c r="L454" s="2290"/>
      <c r="M454" s="2290"/>
      <c r="N454" s="2290"/>
      <c r="O454" s="2290"/>
      <c r="P454" s="2290"/>
      <c r="Q454" s="2290"/>
      <c r="R454" s="2290"/>
      <c r="S454" s="2290"/>
      <c r="T454" s="2290"/>
      <c r="U454" s="2290"/>
      <c r="V454" s="2290"/>
      <c r="W454" s="2290"/>
      <c r="X454" s="2290"/>
      <c r="Y454" s="2290"/>
      <c r="Z454" s="2290"/>
      <c r="AA454" s="2290"/>
      <c r="AB454" s="2290"/>
      <c r="AC454" s="2290"/>
      <c r="AD454" s="2290"/>
      <c r="AE454" s="2290"/>
      <c r="AF454" s="2290"/>
      <c r="AG454" s="2290"/>
      <c r="AH454" s="2290"/>
      <c r="AI454" s="2290"/>
      <c r="AJ454" s="2290"/>
      <c r="AK454" s="2290"/>
      <c r="AL454" s="2290"/>
      <c r="AM454" s="2290"/>
      <c r="AN454" s="2290"/>
      <c r="AO454" s="2290"/>
      <c r="AP454" s="2290"/>
      <c r="AQ454" s="2290"/>
      <c r="AR454" s="2290"/>
      <c r="AS454" s="2290"/>
      <c r="AT454" s="2290"/>
      <c r="AU454" s="2290"/>
      <c r="AV454" s="2290"/>
      <c r="AW454" s="2290"/>
      <c r="AX454" s="2290"/>
      <c r="AY454" s="2290"/>
      <c r="AZ454" s="2290"/>
      <c r="BA454" s="2290"/>
      <c r="BB454" s="2290"/>
      <c r="BC454" s="2290"/>
      <c r="BD454" s="2290"/>
      <c r="BE454" s="2290"/>
      <c r="BF454" s="2290"/>
      <c r="BG454" s="2290"/>
      <c r="BH454" s="2290"/>
      <c r="BI454" s="2290"/>
      <c r="BJ454" s="2290"/>
      <c r="BK454" s="2290"/>
      <c r="BL454" s="2290"/>
      <c r="BM454" s="2290"/>
      <c r="BN454" s="2290"/>
      <c r="BO454" s="2290"/>
      <c r="BP454" s="2290"/>
      <c r="BQ454" s="2290"/>
      <c r="BR454" s="2290"/>
      <c r="BS454" s="2290"/>
      <c r="BT454" s="2290"/>
      <c r="BU454" s="2290"/>
      <c r="BV454" s="2290"/>
      <c r="BW454" s="2290"/>
      <c r="BX454" s="2290"/>
      <c r="BY454" s="2290"/>
      <c r="BZ454" s="2290"/>
      <c r="CA454" s="2290"/>
    </row>
    <row r="455" spans="1:79">
      <c r="A455" s="2290"/>
      <c r="B455" s="2290"/>
      <c r="C455" s="2290"/>
      <c r="D455" s="2290"/>
      <c r="E455" s="2290"/>
      <c r="F455" s="2290"/>
      <c r="G455" s="2290"/>
      <c r="H455" s="2290"/>
      <c r="I455" s="2290"/>
      <c r="J455" s="2290"/>
      <c r="K455" s="2290"/>
      <c r="L455" s="2290"/>
      <c r="M455" s="2290"/>
      <c r="N455" s="2290"/>
      <c r="O455" s="2290"/>
      <c r="P455" s="2290"/>
      <c r="Q455" s="2290"/>
      <c r="R455" s="2290"/>
      <c r="S455" s="2290"/>
      <c r="T455" s="2290"/>
      <c r="U455" s="2290"/>
      <c r="V455" s="2290"/>
      <c r="W455" s="2290"/>
      <c r="X455" s="2290"/>
      <c r="Y455" s="2290"/>
      <c r="Z455" s="2290"/>
      <c r="AA455" s="2290"/>
      <c r="AB455" s="2290"/>
      <c r="AC455" s="2290"/>
      <c r="AD455" s="2290"/>
      <c r="AE455" s="2290"/>
      <c r="AF455" s="2290"/>
      <c r="AG455" s="2290"/>
      <c r="AH455" s="2290"/>
      <c r="AI455" s="2290"/>
      <c r="AJ455" s="2290"/>
      <c r="AK455" s="2290"/>
      <c r="AL455" s="2290"/>
      <c r="AM455" s="2290"/>
      <c r="AN455" s="2290"/>
      <c r="AO455" s="2290"/>
      <c r="AP455" s="2290"/>
      <c r="AQ455" s="2290"/>
      <c r="AR455" s="2290"/>
      <c r="AS455" s="2290"/>
      <c r="AT455" s="2290"/>
      <c r="AU455" s="2290"/>
      <c r="AV455" s="2290"/>
      <c r="AW455" s="2290"/>
      <c r="AX455" s="2290"/>
      <c r="AY455" s="2290"/>
      <c r="AZ455" s="2290"/>
      <c r="BA455" s="2290"/>
      <c r="BB455" s="2290"/>
      <c r="BC455" s="2290"/>
      <c r="BD455" s="2290"/>
      <c r="BE455" s="2290"/>
      <c r="BF455" s="2290"/>
      <c r="BG455" s="2290"/>
      <c r="BH455" s="2290"/>
      <c r="BI455" s="2290"/>
      <c r="BJ455" s="2290"/>
      <c r="BK455" s="2290"/>
      <c r="BL455" s="2290"/>
      <c r="BM455" s="2290"/>
      <c r="BN455" s="2290"/>
      <c r="BO455" s="2290"/>
      <c r="BP455" s="2290"/>
      <c r="BQ455" s="2290"/>
      <c r="BR455" s="2290"/>
      <c r="BS455" s="2290"/>
      <c r="BT455" s="2290"/>
      <c r="BU455" s="2290"/>
      <c r="BV455" s="2290"/>
      <c r="BW455" s="2290"/>
      <c r="BX455" s="2290"/>
      <c r="BY455" s="2290"/>
      <c r="BZ455" s="2290"/>
      <c r="CA455" s="2290"/>
    </row>
    <row r="456" spans="1:79">
      <c r="A456" s="2290"/>
      <c r="B456" s="2290"/>
      <c r="C456" s="2290"/>
      <c r="D456" s="2290"/>
      <c r="E456" s="2290"/>
      <c r="F456" s="2290"/>
      <c r="G456" s="2290"/>
      <c r="H456" s="2290"/>
      <c r="I456" s="2290"/>
      <c r="J456" s="2290"/>
      <c r="K456" s="2290"/>
      <c r="L456" s="2290"/>
      <c r="M456" s="2290"/>
      <c r="N456" s="2290"/>
      <c r="O456" s="2290"/>
      <c r="P456" s="2290"/>
      <c r="Q456" s="2290"/>
      <c r="R456" s="2290"/>
      <c r="S456" s="2290"/>
      <c r="T456" s="2290"/>
      <c r="U456" s="2290"/>
      <c r="V456" s="2290"/>
      <c r="W456" s="2290"/>
      <c r="X456" s="2290"/>
      <c r="Y456" s="2290"/>
      <c r="Z456" s="2290"/>
      <c r="AA456" s="2290"/>
      <c r="AB456" s="2290"/>
      <c r="AC456" s="2290"/>
      <c r="AD456" s="2290"/>
      <c r="AE456" s="2290"/>
      <c r="AF456" s="2290"/>
      <c r="AG456" s="2290"/>
      <c r="AH456" s="2290"/>
      <c r="AI456" s="2290"/>
      <c r="AJ456" s="2290"/>
      <c r="AK456" s="2290"/>
      <c r="AL456" s="2290"/>
      <c r="AM456" s="2290"/>
      <c r="AN456" s="2290"/>
      <c r="AO456" s="2290"/>
      <c r="AP456" s="2290"/>
      <c r="AQ456" s="2290"/>
      <c r="AR456" s="2290"/>
      <c r="AS456" s="2290"/>
      <c r="AT456" s="2290"/>
      <c r="AU456" s="2290"/>
      <c r="AV456" s="2290"/>
      <c r="AW456" s="2290"/>
      <c r="AX456" s="2290"/>
      <c r="AY456" s="2290"/>
      <c r="AZ456" s="2290"/>
      <c r="BA456" s="2290"/>
      <c r="BB456" s="2290"/>
      <c r="BC456" s="2290"/>
      <c r="BD456" s="2290"/>
      <c r="BE456" s="2290"/>
      <c r="BF456" s="2290"/>
      <c r="BG456" s="2290"/>
      <c r="BH456" s="2290"/>
      <c r="BI456" s="2290"/>
      <c r="BJ456" s="2290"/>
      <c r="BK456" s="2290"/>
      <c r="BL456" s="2290"/>
      <c r="BM456" s="2290"/>
      <c r="BN456" s="2290"/>
      <c r="BO456" s="2290"/>
      <c r="BP456" s="2290"/>
      <c r="BQ456" s="2290"/>
      <c r="BR456" s="2290"/>
      <c r="BS456" s="2290"/>
      <c r="BT456" s="2290"/>
      <c r="BU456" s="2290"/>
      <c r="BV456" s="2290"/>
      <c r="BW456" s="2290"/>
      <c r="BX456" s="2290"/>
      <c r="BY456" s="2290"/>
      <c r="BZ456" s="2290"/>
      <c r="CA456" s="2290"/>
    </row>
    <row r="457" spans="1:79">
      <c r="A457" s="2290"/>
      <c r="B457" s="2290"/>
      <c r="C457" s="2290"/>
      <c r="D457" s="2290"/>
      <c r="E457" s="2290"/>
      <c r="F457" s="2290"/>
      <c r="G457" s="2290"/>
      <c r="H457" s="2290"/>
      <c r="I457" s="2290"/>
      <c r="J457" s="2290"/>
      <c r="K457" s="2290"/>
      <c r="L457" s="2290"/>
      <c r="M457" s="2290"/>
      <c r="N457" s="2290"/>
      <c r="O457" s="2290"/>
      <c r="P457" s="2290"/>
      <c r="Q457" s="2290"/>
      <c r="R457" s="2290"/>
      <c r="S457" s="2290"/>
      <c r="T457" s="2290"/>
      <c r="U457" s="2290"/>
      <c r="V457" s="2290"/>
      <c r="W457" s="2290"/>
      <c r="X457" s="2290"/>
      <c r="Y457" s="2290"/>
      <c r="Z457" s="2290"/>
      <c r="AA457" s="2290"/>
      <c r="AB457" s="2290"/>
      <c r="AC457" s="2290"/>
      <c r="AD457" s="2290"/>
      <c r="AE457" s="2290"/>
      <c r="AF457" s="2290"/>
      <c r="AG457" s="2290"/>
      <c r="AH457" s="2290"/>
      <c r="AI457" s="2290"/>
      <c r="AJ457" s="2290"/>
      <c r="AK457" s="2290"/>
      <c r="AL457" s="2290"/>
      <c r="AM457" s="2290"/>
      <c r="AN457" s="2290"/>
      <c r="AO457" s="2290"/>
      <c r="AP457" s="2290"/>
      <c r="AQ457" s="2290"/>
      <c r="AR457" s="2290"/>
      <c r="AS457" s="2290"/>
      <c r="AT457" s="2290"/>
      <c r="AU457" s="2290"/>
      <c r="AV457" s="2290"/>
      <c r="AW457" s="2290"/>
      <c r="AX457" s="2290"/>
      <c r="AY457" s="2290"/>
      <c r="AZ457" s="2290"/>
      <c r="BA457" s="2290"/>
      <c r="BB457" s="2290"/>
      <c r="BC457" s="2290"/>
      <c r="BD457" s="2290"/>
      <c r="BE457" s="2290"/>
      <c r="BF457" s="2290"/>
      <c r="BG457" s="2290"/>
      <c r="BH457" s="2290"/>
      <c r="BI457" s="2290"/>
      <c r="BJ457" s="2290"/>
      <c r="BK457" s="2290"/>
      <c r="BL457" s="2290"/>
      <c r="BM457" s="2290"/>
      <c r="BN457" s="2290"/>
      <c r="BO457" s="2290"/>
      <c r="BP457" s="2290"/>
      <c r="BQ457" s="2290"/>
      <c r="BR457" s="2290"/>
      <c r="BS457" s="2290"/>
      <c r="BT457" s="2290"/>
      <c r="BU457" s="2290"/>
      <c r="BV457" s="2290"/>
      <c r="BW457" s="2290"/>
      <c r="BX457" s="2290"/>
      <c r="BY457" s="2290"/>
      <c r="BZ457" s="2290"/>
      <c r="CA457" s="2290"/>
    </row>
    <row r="458" spans="1:79">
      <c r="A458" s="2290"/>
      <c r="B458" s="2290"/>
      <c r="C458" s="2290"/>
      <c r="D458" s="2290"/>
      <c r="E458" s="2290"/>
      <c r="F458" s="2290"/>
      <c r="G458" s="2290"/>
      <c r="H458" s="2290"/>
      <c r="I458" s="2290"/>
      <c r="J458" s="2290"/>
      <c r="K458" s="2290"/>
      <c r="L458" s="2290"/>
      <c r="M458" s="2290"/>
      <c r="N458" s="2290"/>
      <c r="O458" s="2290"/>
      <c r="P458" s="2290"/>
      <c r="Q458" s="2290"/>
      <c r="R458" s="2290"/>
      <c r="S458" s="2290"/>
      <c r="T458" s="2290"/>
      <c r="U458" s="2290"/>
      <c r="V458" s="2290"/>
      <c r="W458" s="2290"/>
      <c r="X458" s="2290"/>
      <c r="Y458" s="2290"/>
      <c r="Z458" s="2290"/>
      <c r="AA458" s="2290"/>
      <c r="AB458" s="2290"/>
      <c r="AC458" s="2290"/>
      <c r="AD458" s="2290"/>
      <c r="AE458" s="2290"/>
      <c r="AF458" s="2290"/>
      <c r="AG458" s="2290"/>
      <c r="AH458" s="2290"/>
      <c r="AI458" s="2290"/>
      <c r="AJ458" s="2290"/>
      <c r="AK458" s="2290"/>
      <c r="AL458" s="2290"/>
      <c r="AM458" s="2290"/>
      <c r="AN458" s="2290"/>
      <c r="AO458" s="2290"/>
      <c r="AP458" s="2290"/>
      <c r="AQ458" s="2290"/>
      <c r="AR458" s="2290"/>
      <c r="AS458" s="2290"/>
      <c r="AT458" s="2290"/>
      <c r="AU458" s="2290"/>
      <c r="AV458" s="2290"/>
      <c r="AW458" s="2290"/>
      <c r="AX458" s="2290"/>
      <c r="AY458" s="2290"/>
      <c r="AZ458" s="2290"/>
      <c r="BA458" s="2290"/>
      <c r="BB458" s="2290"/>
      <c r="BC458" s="2290"/>
      <c r="BD458" s="2290"/>
      <c r="BE458" s="2290"/>
      <c r="BF458" s="2290"/>
      <c r="BG458" s="2290"/>
      <c r="BH458" s="2290"/>
      <c r="BI458" s="2290"/>
      <c r="BJ458" s="2290"/>
      <c r="BK458" s="2290"/>
      <c r="BL458" s="2290"/>
      <c r="BM458" s="2290"/>
      <c r="BN458" s="2290"/>
      <c r="BO458" s="2290"/>
      <c r="BP458" s="2290"/>
      <c r="BQ458" s="2290"/>
      <c r="BR458" s="2290"/>
      <c r="BS458" s="2290"/>
      <c r="BT458" s="2290"/>
      <c r="BU458" s="2290"/>
      <c r="BV458" s="2290"/>
      <c r="BW458" s="2290"/>
      <c r="BX458" s="2290"/>
      <c r="BY458" s="2290"/>
      <c r="BZ458" s="2290"/>
      <c r="CA458" s="2290"/>
    </row>
    <row r="459" spans="1:79">
      <c r="A459" s="2290"/>
      <c r="B459" s="2290"/>
      <c r="C459" s="2290"/>
      <c r="D459" s="2290"/>
      <c r="E459" s="2290"/>
      <c r="F459" s="2290"/>
      <c r="G459" s="2290"/>
      <c r="H459" s="2290"/>
      <c r="I459" s="2290"/>
      <c r="J459" s="2290"/>
      <c r="K459" s="2290"/>
      <c r="L459" s="2290"/>
      <c r="M459" s="2290"/>
      <c r="N459" s="2290"/>
      <c r="O459" s="2290"/>
      <c r="P459" s="2290"/>
      <c r="Q459" s="2290"/>
      <c r="R459" s="2290"/>
      <c r="S459" s="2290"/>
      <c r="T459" s="2290"/>
      <c r="U459" s="2290"/>
      <c r="V459" s="2290"/>
      <c r="W459" s="2290"/>
      <c r="X459" s="2290"/>
      <c r="Y459" s="2290"/>
      <c r="Z459" s="2290"/>
      <c r="AA459" s="2290"/>
      <c r="AB459" s="2290"/>
      <c r="AC459" s="2290"/>
      <c r="AD459" s="2290"/>
      <c r="AE459" s="2290"/>
      <c r="AF459" s="2290"/>
      <c r="AG459" s="2290"/>
      <c r="AH459" s="2290"/>
      <c r="AI459" s="2290"/>
      <c r="AJ459" s="2290"/>
      <c r="AK459" s="2290"/>
      <c r="AL459" s="2290"/>
      <c r="AM459" s="2290"/>
      <c r="AN459" s="2290"/>
      <c r="AO459" s="2290"/>
      <c r="AP459" s="2290"/>
      <c r="AQ459" s="2290"/>
      <c r="AR459" s="2290"/>
      <c r="AS459" s="2290"/>
      <c r="AT459" s="2290"/>
      <c r="AU459" s="2290"/>
      <c r="AV459" s="2290"/>
      <c r="AW459" s="2290"/>
      <c r="AX459" s="2290"/>
      <c r="AY459" s="2290"/>
      <c r="AZ459" s="2290"/>
      <c r="BA459" s="2290"/>
      <c r="BB459" s="2290"/>
      <c r="BC459" s="2290"/>
      <c r="BD459" s="2290"/>
      <c r="BE459" s="2290"/>
      <c r="BF459" s="2290"/>
      <c r="BG459" s="2290"/>
      <c r="BH459" s="2290"/>
      <c r="BI459" s="2290"/>
      <c r="BJ459" s="2290"/>
      <c r="BK459" s="2290"/>
      <c r="BL459" s="2290"/>
      <c r="BM459" s="2290"/>
      <c r="BN459" s="2290"/>
      <c r="BO459" s="2290"/>
      <c r="BP459" s="2290"/>
      <c r="BQ459" s="2290"/>
      <c r="BR459" s="2290"/>
      <c r="BS459" s="2290"/>
      <c r="BT459" s="2290"/>
      <c r="BU459" s="2290"/>
      <c r="BV459" s="2290"/>
      <c r="BW459" s="2290"/>
      <c r="BX459" s="2290"/>
      <c r="BY459" s="2290"/>
      <c r="BZ459" s="2290"/>
      <c r="CA459" s="2290"/>
    </row>
    <row r="460" spans="1:79">
      <c r="A460" s="2290"/>
      <c r="B460" s="2290"/>
      <c r="C460" s="2290"/>
      <c r="D460" s="2290"/>
      <c r="E460" s="2290"/>
      <c r="F460" s="2290"/>
      <c r="G460" s="2290"/>
      <c r="H460" s="2290"/>
      <c r="I460" s="2290"/>
      <c r="J460" s="2290"/>
      <c r="K460" s="2290"/>
      <c r="L460" s="2290"/>
      <c r="M460" s="2290"/>
      <c r="N460" s="2290"/>
      <c r="O460" s="2290"/>
      <c r="P460" s="2290"/>
      <c r="Q460" s="2290"/>
      <c r="R460" s="2290"/>
      <c r="S460" s="2290"/>
      <c r="T460" s="2290"/>
      <c r="U460" s="2290"/>
      <c r="V460" s="2290"/>
      <c r="W460" s="2290"/>
      <c r="X460" s="2290"/>
      <c r="Y460" s="2290"/>
      <c r="Z460" s="2290"/>
      <c r="AA460" s="2290"/>
      <c r="AB460" s="2290"/>
      <c r="AC460" s="2290"/>
      <c r="AD460" s="2290"/>
      <c r="AE460" s="2290"/>
      <c r="AF460" s="2290"/>
      <c r="AG460" s="2290"/>
      <c r="AH460" s="2290"/>
      <c r="AI460" s="2290"/>
      <c r="AJ460" s="2290"/>
      <c r="AK460" s="2290"/>
      <c r="AL460" s="2290"/>
      <c r="AM460" s="2290"/>
      <c r="AN460" s="2290"/>
      <c r="AO460" s="2290"/>
      <c r="AP460" s="2290"/>
      <c r="AQ460" s="2290"/>
      <c r="AR460" s="2290"/>
      <c r="AS460" s="2290"/>
      <c r="AT460" s="2290"/>
      <c r="AU460" s="2290"/>
      <c r="AV460" s="2290"/>
      <c r="AW460" s="2290"/>
      <c r="AX460" s="2290"/>
      <c r="AY460" s="2290"/>
      <c r="AZ460" s="2290"/>
      <c r="BA460" s="2290"/>
      <c r="BB460" s="2290"/>
      <c r="BC460" s="2290"/>
      <c r="BD460" s="2290"/>
      <c r="BE460" s="2290"/>
      <c r="BF460" s="2290"/>
      <c r="BG460" s="2290"/>
      <c r="BH460" s="2290"/>
      <c r="BI460" s="2290"/>
      <c r="BJ460" s="2290"/>
      <c r="BK460" s="2290"/>
      <c r="BL460" s="2290"/>
      <c r="BM460" s="2290"/>
      <c r="BN460" s="2290"/>
      <c r="BO460" s="2290"/>
      <c r="BP460" s="2290"/>
      <c r="BQ460" s="2290"/>
      <c r="BR460" s="2290"/>
      <c r="BS460" s="2290"/>
      <c r="BT460" s="2290"/>
      <c r="BU460" s="2290"/>
      <c r="BV460" s="2290"/>
      <c r="BW460" s="2290"/>
      <c r="BX460" s="2290"/>
      <c r="BY460" s="2290"/>
      <c r="BZ460" s="2290"/>
      <c r="CA460" s="2290"/>
    </row>
    <row r="461" spans="1:79">
      <c r="A461" s="2290"/>
      <c r="B461" s="2290"/>
      <c r="C461" s="2290"/>
      <c r="D461" s="2290"/>
      <c r="E461" s="2290"/>
      <c r="F461" s="2290"/>
      <c r="G461" s="2290"/>
      <c r="H461" s="2290"/>
      <c r="I461" s="2290"/>
      <c r="J461" s="2290"/>
      <c r="K461" s="2290"/>
      <c r="L461" s="2290"/>
      <c r="M461" s="2290"/>
      <c r="N461" s="2290"/>
      <c r="O461" s="2290"/>
      <c r="P461" s="2290"/>
      <c r="Q461" s="2290"/>
      <c r="R461" s="2290"/>
      <c r="S461" s="2290"/>
      <c r="T461" s="2290"/>
      <c r="U461" s="2290"/>
      <c r="V461" s="2290"/>
      <c r="W461" s="2290"/>
      <c r="X461" s="2290"/>
      <c r="Y461" s="2290"/>
      <c r="Z461" s="2290"/>
      <c r="AA461" s="2290"/>
      <c r="AB461" s="2290"/>
      <c r="AC461" s="2290"/>
      <c r="AD461" s="2290"/>
      <c r="AE461" s="2290"/>
      <c r="AF461" s="2290"/>
      <c r="AG461" s="2290"/>
      <c r="AH461" s="2290"/>
      <c r="AI461" s="2290"/>
      <c r="AJ461" s="2290"/>
      <c r="AK461" s="2290"/>
      <c r="AL461" s="2290"/>
      <c r="AM461" s="2290"/>
      <c r="AN461" s="2290"/>
      <c r="AO461" s="2290"/>
      <c r="AP461" s="2290"/>
      <c r="AQ461" s="2290"/>
      <c r="AR461" s="2290"/>
      <c r="AS461" s="2290"/>
      <c r="AT461" s="2290"/>
      <c r="AU461" s="2290"/>
      <c r="AV461" s="2290"/>
      <c r="AW461" s="2290"/>
      <c r="AX461" s="2290"/>
      <c r="AY461" s="2290"/>
      <c r="AZ461" s="2290"/>
      <c r="BA461" s="2290"/>
      <c r="BB461" s="2290"/>
      <c r="BC461" s="2290"/>
      <c r="BD461" s="2290"/>
      <c r="BE461" s="2290"/>
      <c r="BF461" s="2290"/>
      <c r="BG461" s="2290"/>
      <c r="BH461" s="2290"/>
      <c r="BI461" s="2290"/>
      <c r="BJ461" s="2290"/>
      <c r="BK461" s="2290"/>
      <c r="BL461" s="2290"/>
      <c r="BM461" s="2290"/>
      <c r="BN461" s="2290"/>
      <c r="BO461" s="2290"/>
      <c r="BP461" s="2290"/>
      <c r="BQ461" s="2290"/>
      <c r="BR461" s="2290"/>
      <c r="BS461" s="2290"/>
      <c r="BT461" s="2290"/>
      <c r="BU461" s="2290"/>
      <c r="BV461" s="2290"/>
      <c r="BW461" s="2290"/>
      <c r="BX461" s="2290"/>
      <c r="BY461" s="2290"/>
      <c r="BZ461" s="2290"/>
      <c r="CA461" s="2290"/>
    </row>
    <row r="462" spans="1:79">
      <c r="A462" s="2290"/>
      <c r="B462" s="2290"/>
      <c r="C462" s="2290"/>
      <c r="D462" s="2290"/>
      <c r="E462" s="2290"/>
      <c r="F462" s="2290"/>
      <c r="G462" s="2290"/>
      <c r="H462" s="2290"/>
      <c r="I462" s="2290"/>
      <c r="J462" s="2290"/>
      <c r="K462" s="2290"/>
      <c r="L462" s="2290"/>
      <c r="M462" s="2290"/>
      <c r="N462" s="2290"/>
      <c r="O462" s="2290"/>
      <c r="P462" s="2290"/>
      <c r="Q462" s="2290"/>
      <c r="R462" s="2290"/>
      <c r="S462" s="2290"/>
      <c r="T462" s="2290"/>
      <c r="U462" s="2290"/>
      <c r="V462" s="2290"/>
      <c r="W462" s="2290"/>
      <c r="X462" s="2290"/>
      <c r="Y462" s="2290"/>
      <c r="Z462" s="2290"/>
      <c r="AA462" s="2290"/>
      <c r="AB462" s="2290"/>
      <c r="AC462" s="2290"/>
      <c r="AD462" s="2290"/>
      <c r="AE462" s="2290"/>
      <c r="AF462" s="2290"/>
      <c r="AG462" s="2290"/>
      <c r="AH462" s="2290"/>
      <c r="AI462" s="2290"/>
      <c r="AJ462" s="2290"/>
      <c r="AK462" s="2290"/>
      <c r="AL462" s="2290"/>
      <c r="AM462" s="2290"/>
      <c r="AN462" s="2290"/>
      <c r="AO462" s="2290"/>
      <c r="AP462" s="2290"/>
      <c r="AQ462" s="2290"/>
      <c r="AR462" s="2290"/>
      <c r="AS462" s="2290"/>
      <c r="AT462" s="2290"/>
      <c r="AU462" s="2290"/>
      <c r="AV462" s="2290"/>
      <c r="AW462" s="2290"/>
      <c r="AX462" s="2290"/>
      <c r="AY462" s="2290"/>
      <c r="AZ462" s="2290"/>
      <c r="BA462" s="2290"/>
      <c r="BB462" s="2290"/>
      <c r="BC462" s="2290"/>
      <c r="BD462" s="2290"/>
      <c r="BE462" s="2290"/>
      <c r="BF462" s="2290"/>
      <c r="BG462" s="2290"/>
      <c r="BH462" s="2290"/>
      <c r="BI462" s="2290"/>
      <c r="BJ462" s="2290"/>
      <c r="BK462" s="2290"/>
      <c r="BL462" s="2290"/>
      <c r="BM462" s="2290"/>
      <c r="BN462" s="2290"/>
      <c r="BO462" s="2290"/>
      <c r="BP462" s="2290"/>
      <c r="BQ462" s="2290"/>
      <c r="BR462" s="2290"/>
      <c r="BS462" s="2290"/>
      <c r="BT462" s="2290"/>
      <c r="BU462" s="2290"/>
      <c r="BV462" s="2290"/>
      <c r="BW462" s="2290"/>
      <c r="BX462" s="2290"/>
      <c r="BY462" s="2290"/>
      <c r="BZ462" s="2290"/>
      <c r="CA462" s="2290"/>
    </row>
    <row r="463" spans="1:79">
      <c r="A463" s="2290"/>
      <c r="B463" s="2290"/>
      <c r="C463" s="2290"/>
      <c r="D463" s="2290"/>
      <c r="E463" s="2290"/>
      <c r="F463" s="2290"/>
      <c r="G463" s="2290"/>
      <c r="H463" s="2290"/>
      <c r="I463" s="2290"/>
      <c r="J463" s="2290"/>
      <c r="K463" s="2290"/>
      <c r="L463" s="2290"/>
      <c r="M463" s="2290"/>
      <c r="N463" s="2290"/>
      <c r="O463" s="2290"/>
      <c r="P463" s="2290"/>
      <c r="Q463" s="2290"/>
      <c r="R463" s="2290"/>
      <c r="S463" s="2290"/>
      <c r="T463" s="2290"/>
      <c r="U463" s="2290"/>
      <c r="V463" s="2290"/>
      <c r="W463" s="2290"/>
      <c r="X463" s="2290"/>
      <c r="Y463" s="2290"/>
      <c r="Z463" s="2290"/>
      <c r="AA463" s="2290"/>
      <c r="AB463" s="2290"/>
      <c r="AC463" s="2290"/>
      <c r="AD463" s="2290"/>
      <c r="AE463" s="2290"/>
      <c r="AF463" s="2290"/>
      <c r="AG463" s="2290"/>
      <c r="AH463" s="2290"/>
      <c r="AI463" s="2290"/>
      <c r="AJ463" s="2290"/>
      <c r="AK463" s="2290"/>
      <c r="AL463" s="2290"/>
      <c r="AM463" s="2290"/>
      <c r="AN463" s="2290"/>
      <c r="AO463" s="2290"/>
      <c r="AP463" s="2290"/>
      <c r="AQ463" s="2290"/>
      <c r="AR463" s="2290"/>
      <c r="AS463" s="2290"/>
      <c r="AT463" s="2290"/>
      <c r="AU463" s="2290"/>
      <c r="AV463" s="2290"/>
      <c r="AW463" s="2290"/>
      <c r="AX463" s="2290"/>
      <c r="AY463" s="2290"/>
      <c r="AZ463" s="2290"/>
      <c r="BA463" s="2290"/>
      <c r="BB463" s="2290"/>
      <c r="BC463" s="2290"/>
      <c r="BD463" s="2290"/>
      <c r="BE463" s="2290"/>
      <c r="BF463" s="2290"/>
      <c r="BG463" s="2290"/>
      <c r="BH463" s="2290"/>
      <c r="BI463" s="2290"/>
      <c r="BJ463" s="2290"/>
      <c r="BK463" s="2290"/>
      <c r="BL463" s="2290"/>
      <c r="BM463" s="2290"/>
      <c r="BN463" s="2290"/>
      <c r="BO463" s="2290"/>
      <c r="BP463" s="2290"/>
      <c r="BQ463" s="2290"/>
      <c r="BR463" s="2290"/>
      <c r="BS463" s="2290"/>
      <c r="BT463" s="2290"/>
      <c r="BU463" s="2290"/>
      <c r="BV463" s="2290"/>
      <c r="BW463" s="2290"/>
      <c r="BX463" s="2290"/>
      <c r="BY463" s="2290"/>
      <c r="BZ463" s="2290"/>
      <c r="CA463" s="2290"/>
    </row>
    <row r="464" spans="1:79">
      <c r="A464" s="2290"/>
      <c r="B464" s="2290"/>
      <c r="C464" s="2290"/>
      <c r="D464" s="2290"/>
      <c r="E464" s="2290"/>
      <c r="F464" s="2290"/>
      <c r="G464" s="2290"/>
      <c r="H464" s="2290"/>
      <c r="I464" s="2290"/>
      <c r="J464" s="2290"/>
      <c r="K464" s="2290"/>
      <c r="L464" s="2290"/>
      <c r="M464" s="2290"/>
      <c r="N464" s="2290"/>
      <c r="O464" s="2290"/>
      <c r="P464" s="2290"/>
      <c r="Q464" s="2290"/>
      <c r="R464" s="2290"/>
      <c r="S464" s="2290"/>
      <c r="T464" s="2290"/>
      <c r="U464" s="2290"/>
      <c r="V464" s="2290"/>
      <c r="W464" s="2290"/>
      <c r="X464" s="2290"/>
      <c r="Y464" s="2290"/>
      <c r="Z464" s="2290"/>
      <c r="AA464" s="2290"/>
      <c r="AB464" s="2290"/>
      <c r="AC464" s="2290"/>
      <c r="AD464" s="2290"/>
      <c r="AE464" s="2290"/>
      <c r="AF464" s="2290"/>
      <c r="AG464" s="2290"/>
      <c r="AH464" s="2290"/>
      <c r="AI464" s="2290"/>
      <c r="AJ464" s="2290"/>
      <c r="AK464" s="2290"/>
      <c r="AL464" s="2290"/>
      <c r="AM464" s="2290"/>
      <c r="AN464" s="2290"/>
      <c r="AO464" s="2290"/>
      <c r="AP464" s="2290"/>
      <c r="AQ464" s="2290"/>
      <c r="AR464" s="2290"/>
      <c r="AS464" s="2290"/>
      <c r="AT464" s="2290"/>
      <c r="AU464" s="2290"/>
      <c r="AV464" s="2290"/>
      <c r="AW464" s="2290"/>
      <c r="AX464" s="2290"/>
      <c r="AY464" s="2290"/>
      <c r="AZ464" s="2290"/>
      <c r="BA464" s="2290"/>
      <c r="BB464" s="2290"/>
      <c r="BC464" s="2290"/>
      <c r="BD464" s="2290"/>
      <c r="BE464" s="2290"/>
      <c r="BF464" s="2290"/>
      <c r="BG464" s="2290"/>
      <c r="BH464" s="2290"/>
      <c r="BI464" s="2290"/>
      <c r="BJ464" s="2290"/>
      <c r="BK464" s="2290"/>
      <c r="BL464" s="2290"/>
      <c r="BM464" s="2290"/>
      <c r="BN464" s="2290"/>
      <c r="BO464" s="2290"/>
      <c r="BP464" s="2290"/>
      <c r="BQ464" s="2290"/>
      <c r="BR464" s="2290"/>
      <c r="BS464" s="2290"/>
      <c r="BT464" s="2290"/>
      <c r="BU464" s="2290"/>
      <c r="BV464" s="2290"/>
      <c r="BW464" s="2290"/>
      <c r="BX464" s="2290"/>
      <c r="BY464" s="2290"/>
      <c r="BZ464" s="2290"/>
      <c r="CA464" s="2290"/>
    </row>
    <row r="465" spans="1:79">
      <c r="A465" s="2290"/>
      <c r="B465" s="2290"/>
      <c r="C465" s="2290"/>
      <c r="D465" s="2290"/>
      <c r="E465" s="2290"/>
      <c r="F465" s="2290"/>
      <c r="G465" s="2290"/>
      <c r="H465" s="2290"/>
      <c r="I465" s="2290"/>
      <c r="J465" s="2290"/>
      <c r="K465" s="2290"/>
      <c r="L465" s="2290"/>
      <c r="M465" s="2290"/>
      <c r="N465" s="2290"/>
      <c r="O465" s="2290"/>
      <c r="P465" s="2290"/>
      <c r="Q465" s="2290"/>
      <c r="R465" s="2290"/>
      <c r="S465" s="2290"/>
      <c r="T465" s="2290"/>
      <c r="U465" s="2290"/>
      <c r="V465" s="2290"/>
      <c r="W465" s="2290"/>
      <c r="X465" s="2290"/>
      <c r="Y465" s="2290"/>
      <c r="Z465" s="2290"/>
      <c r="AA465" s="2290"/>
      <c r="AB465" s="2290"/>
      <c r="AC465" s="2290"/>
      <c r="AD465" s="2290"/>
      <c r="AE465" s="2290"/>
      <c r="AF465" s="2290"/>
      <c r="AG465" s="2290"/>
      <c r="AH465" s="2290"/>
      <c r="AI465" s="2290"/>
      <c r="AJ465" s="2290"/>
      <c r="AK465" s="2290"/>
      <c r="AL465" s="2290"/>
      <c r="AM465" s="2290"/>
      <c r="AN465" s="2290"/>
      <c r="AO465" s="2290"/>
      <c r="AP465" s="2290"/>
      <c r="AQ465" s="2290"/>
      <c r="AR465" s="2290"/>
      <c r="AS465" s="2290"/>
      <c r="AT465" s="2290"/>
      <c r="AU465" s="2290"/>
      <c r="AV465" s="2290"/>
      <c r="AW465" s="2290"/>
      <c r="AX465" s="2290"/>
      <c r="AY465" s="2290"/>
      <c r="AZ465" s="2290"/>
      <c r="BA465" s="2290"/>
      <c r="BB465" s="2290"/>
      <c r="BC465" s="2290"/>
      <c r="BD465" s="2290"/>
      <c r="BE465" s="2290"/>
      <c r="BF465" s="2290"/>
      <c r="BG465" s="2290"/>
      <c r="BH465" s="2290"/>
      <c r="BI465" s="2290"/>
      <c r="BJ465" s="2290"/>
      <c r="BK465" s="2290"/>
      <c r="BL465" s="2290"/>
      <c r="BM465" s="2290"/>
      <c r="BN465" s="2290"/>
      <c r="BO465" s="2290"/>
      <c r="BP465" s="2290"/>
      <c r="BQ465" s="2290"/>
      <c r="BR465" s="2290"/>
      <c r="BS465" s="2290"/>
      <c r="BT465" s="2290"/>
      <c r="BU465" s="2290"/>
      <c r="BV465" s="2290"/>
      <c r="BW465" s="2290"/>
      <c r="BX465" s="2290"/>
      <c r="BY465" s="2290"/>
      <c r="BZ465" s="2290"/>
      <c r="CA465" s="2290"/>
    </row>
    <row r="466" spans="1:79">
      <c r="A466" s="2290"/>
      <c r="B466" s="2290"/>
      <c r="C466" s="2290"/>
      <c r="D466" s="2290"/>
      <c r="E466" s="2290"/>
      <c r="F466" s="2290"/>
      <c r="G466" s="2290"/>
      <c r="H466" s="2290"/>
      <c r="I466" s="2290"/>
      <c r="J466" s="2290"/>
      <c r="K466" s="2290"/>
      <c r="L466" s="2290"/>
      <c r="M466" s="2290"/>
      <c r="N466" s="2290"/>
      <c r="O466" s="2290"/>
      <c r="P466" s="2290"/>
      <c r="Q466" s="2290"/>
      <c r="R466" s="2290"/>
      <c r="S466" s="2290"/>
      <c r="T466" s="2290"/>
      <c r="U466" s="2290"/>
      <c r="V466" s="2290"/>
      <c r="W466" s="2290"/>
      <c r="X466" s="2290"/>
      <c r="Y466" s="2290"/>
      <c r="Z466" s="2290"/>
      <c r="AA466" s="2290"/>
      <c r="AB466" s="2290"/>
      <c r="AC466" s="2290"/>
      <c r="AD466" s="2290"/>
      <c r="AE466" s="2290"/>
      <c r="AF466" s="2290"/>
      <c r="AG466" s="2290"/>
      <c r="AH466" s="2290"/>
      <c r="AI466" s="2290"/>
      <c r="AJ466" s="2290"/>
      <c r="AK466" s="2290"/>
      <c r="AL466" s="2290"/>
      <c r="AM466" s="2290"/>
      <c r="AN466" s="2290"/>
      <c r="AO466" s="2290"/>
      <c r="AP466" s="2290"/>
      <c r="AQ466" s="2290"/>
      <c r="AR466" s="2290"/>
      <c r="AS466" s="2290"/>
      <c r="AT466" s="2290"/>
      <c r="AU466" s="2290"/>
      <c r="AV466" s="2290"/>
      <c r="AW466" s="2290"/>
      <c r="AX466" s="2290"/>
      <c r="AY466" s="2290"/>
      <c r="AZ466" s="2290"/>
      <c r="BA466" s="2290"/>
      <c r="BB466" s="2290"/>
      <c r="BC466" s="2290"/>
      <c r="BD466" s="2290"/>
      <c r="BE466" s="2290"/>
      <c r="BF466" s="2290"/>
      <c r="BG466" s="2290"/>
      <c r="BH466" s="2290"/>
      <c r="BI466" s="2290"/>
      <c r="BJ466" s="2290"/>
      <c r="BK466" s="2290"/>
      <c r="BL466" s="2290"/>
      <c r="BM466" s="2290"/>
      <c r="BN466" s="2290"/>
      <c r="BO466" s="2290"/>
      <c r="BP466" s="2290"/>
      <c r="BQ466" s="2290"/>
      <c r="BR466" s="2290"/>
      <c r="BS466" s="2290"/>
      <c r="BT466" s="2290"/>
      <c r="BU466" s="2290"/>
      <c r="BV466" s="2290"/>
      <c r="BW466" s="2290"/>
      <c r="BX466" s="2290"/>
      <c r="BY466" s="2290"/>
      <c r="BZ466" s="2290"/>
      <c r="CA466" s="2290"/>
    </row>
    <row r="467" spans="1:79">
      <c r="A467" s="2290"/>
      <c r="B467" s="2290"/>
      <c r="C467" s="2290"/>
      <c r="D467" s="2290"/>
      <c r="E467" s="2290"/>
      <c r="F467" s="2290"/>
      <c r="G467" s="2290"/>
      <c r="H467" s="2290"/>
      <c r="I467" s="2290"/>
      <c r="J467" s="2290"/>
      <c r="K467" s="2290"/>
      <c r="L467" s="2290"/>
      <c r="M467" s="2290"/>
      <c r="N467" s="2290"/>
      <c r="O467" s="2290"/>
      <c r="P467" s="2290"/>
      <c r="Q467" s="2290"/>
      <c r="R467" s="2290"/>
      <c r="S467" s="2290"/>
      <c r="T467" s="2290"/>
      <c r="U467" s="2290"/>
      <c r="V467" s="2290"/>
      <c r="W467" s="2290"/>
      <c r="X467" s="2290"/>
      <c r="Y467" s="2290"/>
      <c r="Z467" s="2290"/>
      <c r="AA467" s="2290"/>
      <c r="AB467" s="2290"/>
      <c r="AC467" s="2290"/>
      <c r="AD467" s="2290"/>
      <c r="AE467" s="2290"/>
      <c r="AF467" s="2290"/>
      <c r="AG467" s="2290"/>
      <c r="AH467" s="2290"/>
      <c r="AI467" s="2290"/>
      <c r="AJ467" s="2290"/>
      <c r="AK467" s="2290"/>
      <c r="AL467" s="2290"/>
      <c r="AM467" s="2290"/>
      <c r="AN467" s="2290"/>
      <c r="AO467" s="2290"/>
      <c r="AP467" s="2290"/>
      <c r="AQ467" s="2290"/>
      <c r="AR467" s="2290"/>
      <c r="AS467" s="2290"/>
      <c r="AT467" s="2290"/>
      <c r="AU467" s="2290"/>
      <c r="AV467" s="2290"/>
      <c r="AW467" s="2290"/>
      <c r="AX467" s="2290"/>
      <c r="AY467" s="2290"/>
      <c r="AZ467" s="2290"/>
      <c r="BA467" s="2290"/>
      <c r="BB467" s="2290"/>
      <c r="BC467" s="2290"/>
      <c r="BD467" s="2290"/>
      <c r="BE467" s="2290"/>
      <c r="BF467" s="2290"/>
      <c r="BG467" s="2290"/>
      <c r="BH467" s="2290"/>
      <c r="BI467" s="2290"/>
      <c r="BJ467" s="2290"/>
      <c r="BK467" s="2290"/>
      <c r="BL467" s="2290"/>
      <c r="BM467" s="2290"/>
      <c r="BN467" s="2290"/>
      <c r="BO467" s="2290"/>
      <c r="BP467" s="2290"/>
      <c r="BQ467" s="2290"/>
      <c r="BR467" s="2290"/>
      <c r="BS467" s="2290"/>
      <c r="BT467" s="2290"/>
      <c r="BU467" s="2290"/>
      <c r="BV467" s="2290"/>
      <c r="BW467" s="2290"/>
      <c r="BX467" s="2290"/>
      <c r="BY467" s="2290"/>
      <c r="BZ467" s="2290"/>
      <c r="CA467" s="2290"/>
    </row>
    <row r="468" spans="1:79">
      <c r="A468" s="2290"/>
      <c r="B468" s="2290"/>
      <c r="C468" s="2290"/>
      <c r="D468" s="2290"/>
      <c r="E468" s="2290"/>
      <c r="F468" s="2290"/>
      <c r="G468" s="2290"/>
      <c r="H468" s="2290"/>
      <c r="I468" s="2290"/>
      <c r="J468" s="2290"/>
      <c r="K468" s="2290"/>
      <c r="L468" s="2290"/>
      <c r="M468" s="2290"/>
      <c r="N468" s="2290"/>
      <c r="O468" s="2290"/>
      <c r="P468" s="2290"/>
      <c r="Q468" s="2290"/>
      <c r="R468" s="2290"/>
      <c r="S468" s="2290"/>
      <c r="T468" s="2290"/>
      <c r="U468" s="2290"/>
      <c r="V468" s="2290"/>
      <c r="W468" s="2290"/>
      <c r="X468" s="2290"/>
      <c r="Y468" s="2290"/>
      <c r="Z468" s="2290"/>
      <c r="AA468" s="2290"/>
      <c r="AB468" s="2290"/>
      <c r="AC468" s="2290"/>
      <c r="AD468" s="2290"/>
      <c r="AE468" s="2290"/>
      <c r="AF468" s="2290"/>
      <c r="AG468" s="2290"/>
      <c r="AH468" s="2290"/>
      <c r="AI468" s="2290"/>
      <c r="AJ468" s="2290"/>
      <c r="AK468" s="2290"/>
      <c r="AL468" s="2290"/>
      <c r="AM468" s="2290"/>
      <c r="AN468" s="2290"/>
      <c r="AO468" s="2290"/>
      <c r="AP468" s="2290"/>
      <c r="AQ468" s="2290"/>
      <c r="AR468" s="2290"/>
      <c r="AS468" s="2290"/>
      <c r="AT468" s="2290"/>
      <c r="AU468" s="2290"/>
      <c r="AV468" s="2290"/>
      <c r="AW468" s="2290"/>
      <c r="AX468" s="2290"/>
      <c r="AY468" s="2290"/>
      <c r="AZ468" s="2290"/>
      <c r="BA468" s="2290"/>
      <c r="BB468" s="2290"/>
      <c r="BC468" s="2290"/>
      <c r="BD468" s="2290"/>
      <c r="BE468" s="2290"/>
      <c r="BF468" s="2290"/>
      <c r="BG468" s="2290"/>
      <c r="BH468" s="2290"/>
      <c r="BI468" s="2290"/>
      <c r="BJ468" s="2290"/>
      <c r="BK468" s="2290"/>
      <c r="BL468" s="2290"/>
      <c r="BM468" s="2290"/>
      <c r="BN468" s="2290"/>
      <c r="BO468" s="2290"/>
      <c r="BP468" s="2290"/>
      <c r="BQ468" s="2290"/>
      <c r="BR468" s="2290"/>
      <c r="BS468" s="2290"/>
      <c r="BT468" s="2290"/>
      <c r="BU468" s="2290"/>
      <c r="BV468" s="2290"/>
      <c r="BW468" s="2290"/>
      <c r="BX468" s="2290"/>
      <c r="BY468" s="2290"/>
      <c r="BZ468" s="2290"/>
      <c r="CA468" s="2290"/>
    </row>
    <row r="469" spans="1:79">
      <c r="A469" s="2290"/>
      <c r="B469" s="2290"/>
      <c r="C469" s="2290"/>
      <c r="D469" s="2290"/>
      <c r="E469" s="2290"/>
      <c r="F469" s="2290"/>
      <c r="G469" s="2290"/>
      <c r="H469" s="2290"/>
      <c r="I469" s="2290"/>
      <c r="J469" s="2290"/>
      <c r="K469" s="2290"/>
      <c r="L469" s="2290"/>
      <c r="M469" s="2290"/>
      <c r="N469" s="2290"/>
      <c r="O469" s="2290"/>
      <c r="P469" s="2290"/>
      <c r="Q469" s="2290"/>
      <c r="R469" s="2290"/>
      <c r="S469" s="2290"/>
      <c r="T469" s="2290"/>
      <c r="U469" s="2290"/>
      <c r="V469" s="2290"/>
      <c r="W469" s="2290"/>
      <c r="X469" s="2290"/>
      <c r="Y469" s="2290"/>
      <c r="Z469" s="2290"/>
      <c r="AA469" s="2290"/>
      <c r="AB469" s="2290"/>
      <c r="AC469" s="2290"/>
      <c r="AD469" s="2290"/>
      <c r="AE469" s="2290"/>
      <c r="AF469" s="2290"/>
      <c r="AG469" s="2290"/>
      <c r="AH469" s="2290"/>
      <c r="AI469" s="2290"/>
      <c r="AJ469" s="2290"/>
      <c r="AK469" s="2290"/>
      <c r="AL469" s="2290"/>
      <c r="AM469" s="2290"/>
      <c r="AN469" s="2290"/>
      <c r="AO469" s="2290"/>
      <c r="AP469" s="2290"/>
      <c r="AQ469" s="2290"/>
      <c r="AR469" s="2290"/>
      <c r="AS469" s="2290"/>
      <c r="AT469" s="2290"/>
      <c r="AU469" s="2290"/>
      <c r="AV469" s="2290"/>
      <c r="AW469" s="2290"/>
      <c r="AX469" s="2290"/>
      <c r="AY469" s="2290"/>
      <c r="AZ469" s="2290"/>
      <c r="BA469" s="2290"/>
      <c r="BB469" s="2290"/>
      <c r="BC469" s="2290"/>
      <c r="BD469" s="2290"/>
      <c r="BE469" s="2290"/>
      <c r="BF469" s="2290"/>
      <c r="BG469" s="2290"/>
      <c r="BH469" s="2290"/>
      <c r="BI469" s="2290"/>
      <c r="BJ469" s="2290"/>
      <c r="BK469" s="2290"/>
      <c r="BL469" s="2290"/>
      <c r="BM469" s="2290"/>
      <c r="BN469" s="2290"/>
      <c r="BO469" s="2290"/>
      <c r="BP469" s="2290"/>
      <c r="BQ469" s="2290"/>
      <c r="BR469" s="2290"/>
      <c r="BS469" s="2290"/>
      <c r="BT469" s="2290"/>
      <c r="BU469" s="2290"/>
      <c r="BV469" s="2290"/>
      <c r="BW469" s="2290"/>
      <c r="BX469" s="2290"/>
      <c r="BY469" s="2290"/>
      <c r="BZ469" s="2290"/>
      <c r="CA469" s="2290"/>
    </row>
    <row r="470" spans="1:79">
      <c r="A470" s="2290"/>
      <c r="B470" s="2290"/>
      <c r="C470" s="2290"/>
      <c r="D470" s="2290"/>
      <c r="E470" s="2290"/>
      <c r="F470" s="2290"/>
      <c r="G470" s="2290"/>
      <c r="H470" s="2290"/>
      <c r="I470" s="2290"/>
      <c r="J470" s="2290"/>
      <c r="K470" s="2290"/>
      <c r="L470" s="2290"/>
      <c r="M470" s="2290"/>
      <c r="N470" s="2290"/>
      <c r="O470" s="2290"/>
      <c r="P470" s="2290"/>
      <c r="Q470" s="2290"/>
      <c r="R470" s="2290"/>
      <c r="S470" s="2290"/>
      <c r="T470" s="2290"/>
      <c r="U470" s="2290"/>
      <c r="V470" s="2290"/>
      <c r="W470" s="2290"/>
      <c r="X470" s="2290"/>
      <c r="Y470" s="2290"/>
      <c r="Z470" s="2290"/>
      <c r="AA470" s="2290"/>
      <c r="AB470" s="2290"/>
      <c r="AC470" s="2290"/>
      <c r="AD470" s="2290"/>
      <c r="AE470" s="2290"/>
      <c r="AF470" s="2290"/>
      <c r="AG470" s="2290"/>
      <c r="AH470" s="2290"/>
      <c r="AI470" s="2290"/>
      <c r="AJ470" s="2290"/>
      <c r="AK470" s="2290"/>
      <c r="AL470" s="2290"/>
      <c r="AM470" s="2290"/>
      <c r="AN470" s="2290"/>
      <c r="AO470" s="2290"/>
      <c r="AP470" s="2290"/>
      <c r="AQ470" s="2290"/>
      <c r="AR470" s="2290"/>
      <c r="AS470" s="2290"/>
      <c r="AT470" s="2290"/>
      <c r="AU470" s="2290"/>
      <c r="AV470" s="2290"/>
      <c r="AW470" s="2290"/>
      <c r="AX470" s="2290"/>
      <c r="AY470" s="2290"/>
      <c r="AZ470" s="2290"/>
      <c r="BA470" s="2290"/>
      <c r="BB470" s="2290"/>
      <c r="BC470" s="2290"/>
      <c r="BD470" s="2290"/>
      <c r="BE470" s="2290"/>
      <c r="BF470" s="2290"/>
      <c r="BG470" s="2290"/>
      <c r="BH470" s="2290"/>
      <c r="BI470" s="2290"/>
      <c r="BJ470" s="2290"/>
      <c r="BK470" s="2290"/>
      <c r="BL470" s="2290"/>
      <c r="BM470" s="2290"/>
      <c r="BN470" s="2290"/>
      <c r="BO470" s="2290"/>
      <c r="BP470" s="2290"/>
      <c r="BQ470" s="2290"/>
      <c r="BR470" s="2290"/>
      <c r="BS470" s="2290"/>
      <c r="BT470" s="2290"/>
      <c r="BU470" s="2290"/>
      <c r="BV470" s="2290"/>
      <c r="BW470" s="2290"/>
      <c r="BX470" s="2290"/>
      <c r="BY470" s="2290"/>
      <c r="BZ470" s="2290"/>
      <c r="CA470" s="2290"/>
    </row>
    <row r="471" spans="1:79">
      <c r="A471" s="2290"/>
      <c r="B471" s="2290"/>
      <c r="C471" s="2290"/>
      <c r="D471" s="2290"/>
      <c r="E471" s="2290"/>
      <c r="F471" s="2290"/>
      <c r="G471" s="2290"/>
      <c r="H471" s="2290"/>
      <c r="I471" s="2290"/>
      <c r="J471" s="2290"/>
      <c r="K471" s="2290"/>
      <c r="L471" s="2290"/>
      <c r="M471" s="2290"/>
      <c r="N471" s="2290"/>
      <c r="O471" s="2290"/>
      <c r="P471" s="2290"/>
      <c r="Q471" s="2290"/>
      <c r="R471" s="2290"/>
      <c r="S471" s="2290"/>
      <c r="T471" s="2290"/>
      <c r="U471" s="2290"/>
      <c r="V471" s="2290"/>
      <c r="W471" s="2290"/>
      <c r="X471" s="2290"/>
      <c r="Y471" s="2290"/>
      <c r="Z471" s="2290"/>
      <c r="AA471" s="2290"/>
      <c r="AB471" s="2290"/>
      <c r="AC471" s="2290"/>
      <c r="AD471" s="2290"/>
      <c r="AE471" s="2290"/>
      <c r="AF471" s="2290"/>
      <c r="AG471" s="2290"/>
      <c r="AH471" s="2290"/>
      <c r="AI471" s="2290"/>
      <c r="AJ471" s="2290"/>
      <c r="AK471" s="2290"/>
      <c r="AL471" s="2290"/>
      <c r="AM471" s="2290"/>
      <c r="AN471" s="2290"/>
      <c r="AO471" s="2290"/>
      <c r="AP471" s="2290"/>
      <c r="AQ471" s="2290"/>
      <c r="AR471" s="2290"/>
      <c r="AS471" s="2290"/>
      <c r="AT471" s="2290"/>
      <c r="AU471" s="2290"/>
      <c r="AV471" s="2290"/>
      <c r="AW471" s="2290"/>
      <c r="AX471" s="2290"/>
      <c r="AY471" s="2290"/>
      <c r="AZ471" s="2290"/>
      <c r="BA471" s="2290"/>
      <c r="BB471" s="2290"/>
      <c r="BC471" s="2290"/>
      <c r="BD471" s="2290"/>
      <c r="BE471" s="2290"/>
      <c r="BF471" s="2290"/>
      <c r="BG471" s="2290"/>
      <c r="BH471" s="2290"/>
      <c r="BI471" s="2290"/>
      <c r="BJ471" s="2290"/>
      <c r="BK471" s="2290"/>
      <c r="BL471" s="2290"/>
      <c r="BM471" s="2290"/>
      <c r="BN471" s="2290"/>
      <c r="BO471" s="2290"/>
      <c r="BP471" s="2290"/>
      <c r="BQ471" s="2290"/>
      <c r="BR471" s="2290"/>
      <c r="BS471" s="2290"/>
      <c r="BT471" s="2290"/>
      <c r="BU471" s="2290"/>
      <c r="BV471" s="2290"/>
      <c r="BW471" s="2290"/>
      <c r="BX471" s="2290"/>
      <c r="BY471" s="2290"/>
      <c r="BZ471" s="2290"/>
      <c r="CA471" s="2290"/>
    </row>
    <row r="472" spans="1:79">
      <c r="A472" s="2290"/>
      <c r="B472" s="2290"/>
      <c r="C472" s="2290"/>
      <c r="D472" s="2290"/>
      <c r="E472" s="2290"/>
      <c r="F472" s="2290"/>
      <c r="G472" s="2290"/>
      <c r="H472" s="2290"/>
      <c r="I472" s="2290"/>
      <c r="J472" s="2290"/>
      <c r="K472" s="2290"/>
      <c r="L472" s="2290"/>
      <c r="M472" s="2290"/>
      <c r="N472" s="2290"/>
      <c r="O472" s="2290"/>
      <c r="P472" s="2290"/>
      <c r="Q472" s="2290"/>
      <c r="R472" s="2290"/>
      <c r="S472" s="2290"/>
      <c r="T472" s="2290"/>
      <c r="U472" s="2290"/>
      <c r="V472" s="2290"/>
      <c r="W472" s="2290"/>
      <c r="X472" s="2290"/>
      <c r="Y472" s="2290"/>
      <c r="Z472" s="2290"/>
      <c r="AA472" s="2290"/>
      <c r="AB472" s="2290"/>
      <c r="AC472" s="2290"/>
      <c r="AD472" s="2290"/>
      <c r="AE472" s="2290"/>
      <c r="AF472" s="2290"/>
      <c r="AG472" s="2290"/>
      <c r="AH472" s="2290"/>
      <c r="AI472" s="2290"/>
      <c r="AJ472" s="2290"/>
      <c r="AK472" s="2290"/>
      <c r="AL472" s="2290"/>
      <c r="AM472" s="2290"/>
      <c r="AN472" s="2290"/>
      <c r="AO472" s="2290"/>
      <c r="AP472" s="2290"/>
      <c r="AQ472" s="2290"/>
      <c r="AR472" s="2290"/>
      <c r="AS472" s="2290"/>
      <c r="AT472" s="2290"/>
      <c r="AU472" s="2290"/>
      <c r="AV472" s="2290"/>
      <c r="AW472" s="2290"/>
      <c r="AX472" s="2290"/>
      <c r="AY472" s="2290"/>
      <c r="AZ472" s="2290"/>
      <c r="BA472" s="2290"/>
      <c r="BB472" s="2290"/>
      <c r="BC472" s="2290"/>
      <c r="BD472" s="2290"/>
      <c r="BE472" s="2290"/>
      <c r="BF472" s="2290"/>
      <c r="BG472" s="2290"/>
      <c r="BH472" s="2290"/>
      <c r="BI472" s="2290"/>
      <c r="BJ472" s="2290"/>
      <c r="BK472" s="2290"/>
      <c r="BL472" s="2290"/>
      <c r="BM472" s="2290"/>
      <c r="BN472" s="2290"/>
      <c r="BO472" s="2290"/>
      <c r="BP472" s="2290"/>
      <c r="BQ472" s="2290"/>
      <c r="BR472" s="2290"/>
      <c r="BS472" s="2290"/>
      <c r="BT472" s="2290"/>
      <c r="BU472" s="2290"/>
      <c r="BV472" s="2290"/>
      <c r="BW472" s="2290"/>
      <c r="BX472" s="2290"/>
      <c r="BY472" s="2290"/>
      <c r="BZ472" s="2290"/>
      <c r="CA472" s="2290"/>
    </row>
    <row r="473" spans="1:79">
      <c r="A473" s="2290"/>
      <c r="B473" s="2290"/>
      <c r="C473" s="2290"/>
      <c r="D473" s="2290"/>
      <c r="E473" s="2290"/>
      <c r="F473" s="2290"/>
      <c r="G473" s="2290"/>
      <c r="H473" s="2290"/>
      <c r="I473" s="2290"/>
      <c r="J473" s="2290"/>
      <c r="K473" s="2290"/>
      <c r="L473" s="2290"/>
      <c r="M473" s="2290"/>
      <c r="N473" s="2290"/>
      <c r="O473" s="2290"/>
      <c r="P473" s="2290"/>
      <c r="Q473" s="2290"/>
      <c r="R473" s="2290"/>
      <c r="S473" s="2290"/>
      <c r="T473" s="2290"/>
      <c r="U473" s="2290"/>
      <c r="V473" s="2290"/>
      <c r="W473" s="2290"/>
      <c r="X473" s="2290"/>
      <c r="Y473" s="2290"/>
      <c r="Z473" s="2290"/>
      <c r="AA473" s="2290"/>
      <c r="AB473" s="2290"/>
      <c r="AC473" s="2290"/>
      <c r="AD473" s="2290"/>
      <c r="AE473" s="2290"/>
      <c r="AF473" s="2290"/>
      <c r="AG473" s="2290"/>
      <c r="AH473" s="2290"/>
      <c r="AI473" s="2290"/>
      <c r="AJ473" s="2290"/>
      <c r="AK473" s="2290"/>
      <c r="AL473" s="2290"/>
      <c r="AM473" s="2290"/>
      <c r="AN473" s="2290"/>
      <c r="AO473" s="2290"/>
      <c r="AP473" s="2290"/>
      <c r="AQ473" s="2290"/>
      <c r="AR473" s="2290"/>
      <c r="AS473" s="2290"/>
      <c r="AT473" s="2290"/>
      <c r="AU473" s="2290"/>
      <c r="AV473" s="2290"/>
      <c r="AW473" s="2290"/>
      <c r="AX473" s="2290"/>
      <c r="AY473" s="2290"/>
      <c r="AZ473" s="2290"/>
      <c r="BA473" s="2290"/>
      <c r="BB473" s="2290"/>
      <c r="BC473" s="2290"/>
      <c r="BD473" s="2290"/>
      <c r="BE473" s="2290"/>
      <c r="BF473" s="2290"/>
      <c r="BG473" s="2290"/>
      <c r="BH473" s="2290"/>
      <c r="BI473" s="2290"/>
      <c r="BJ473" s="2290"/>
      <c r="BK473" s="2290"/>
      <c r="BL473" s="2290"/>
      <c r="BM473" s="2290"/>
      <c r="BN473" s="2290"/>
      <c r="BO473" s="2290"/>
      <c r="BP473" s="2290"/>
      <c r="BQ473" s="2290"/>
      <c r="BR473" s="2290"/>
      <c r="BS473" s="2290"/>
      <c r="BT473" s="2290"/>
      <c r="BU473" s="2290"/>
      <c r="BV473" s="2290"/>
      <c r="BW473" s="2290"/>
      <c r="BX473" s="2290"/>
      <c r="BY473" s="2290"/>
      <c r="BZ473" s="2290"/>
      <c r="CA473" s="2290"/>
    </row>
    <row r="474" spans="1:79">
      <c r="A474" s="2290"/>
      <c r="B474" s="2290"/>
      <c r="C474" s="2290"/>
      <c r="D474" s="2290"/>
      <c r="E474" s="2290"/>
      <c r="F474" s="2290"/>
      <c r="G474" s="2290"/>
      <c r="H474" s="2290"/>
      <c r="I474" s="2290"/>
      <c r="J474" s="2290"/>
      <c r="K474" s="2290"/>
      <c r="L474" s="2290"/>
      <c r="M474" s="2290"/>
      <c r="N474" s="2290"/>
      <c r="O474" s="2290"/>
      <c r="P474" s="2290"/>
      <c r="Q474" s="2290"/>
      <c r="R474" s="2290"/>
      <c r="S474" s="2290"/>
      <c r="T474" s="2290"/>
      <c r="U474" s="2290"/>
      <c r="V474" s="2290"/>
      <c r="W474" s="2290"/>
      <c r="X474" s="2290"/>
      <c r="Y474" s="2290"/>
      <c r="Z474" s="2290"/>
      <c r="AA474" s="2290"/>
      <c r="AB474" s="2290"/>
      <c r="AC474" s="2290"/>
      <c r="AD474" s="2290"/>
      <c r="AE474" s="2290"/>
      <c r="AF474" s="2290"/>
      <c r="AG474" s="2290"/>
      <c r="AH474" s="2290"/>
      <c r="AI474" s="2290"/>
      <c r="AJ474" s="2290"/>
      <c r="AK474" s="2290"/>
      <c r="AL474" s="2290"/>
      <c r="AM474" s="2290"/>
      <c r="AN474" s="2290"/>
      <c r="AO474" s="2290"/>
      <c r="AP474" s="2290"/>
      <c r="AQ474" s="2290"/>
      <c r="AR474" s="2290"/>
      <c r="AS474" s="2290"/>
      <c r="AT474" s="2290"/>
      <c r="AU474" s="2290"/>
      <c r="AV474" s="2290"/>
      <c r="AW474" s="2290"/>
      <c r="AX474" s="2290"/>
      <c r="AY474" s="2290"/>
      <c r="AZ474" s="2290"/>
      <c r="BA474" s="2290"/>
      <c r="BB474" s="2290"/>
      <c r="BC474" s="2290"/>
      <c r="BD474" s="2290"/>
      <c r="BE474" s="2290"/>
      <c r="BF474" s="2290"/>
      <c r="BG474" s="2290"/>
      <c r="BH474" s="2290"/>
      <c r="BI474" s="2290"/>
      <c r="BJ474" s="2290"/>
      <c r="BK474" s="2290"/>
      <c r="BL474" s="2290"/>
      <c r="BM474" s="2290"/>
      <c r="BN474" s="2290"/>
      <c r="BO474" s="2290"/>
      <c r="BP474" s="2290"/>
      <c r="BQ474" s="2290"/>
      <c r="BR474" s="2290"/>
      <c r="BS474" s="2290"/>
      <c r="BT474" s="2290"/>
      <c r="BU474" s="2290"/>
      <c r="BV474" s="2290"/>
      <c r="BW474" s="2290"/>
      <c r="BX474" s="2290"/>
      <c r="BY474" s="2290"/>
      <c r="BZ474" s="2290"/>
      <c r="CA474" s="2290"/>
    </row>
    <row r="475" spans="1:79">
      <c r="A475" s="2290"/>
      <c r="B475" s="2290"/>
      <c r="C475" s="2290"/>
      <c r="D475" s="2290"/>
      <c r="E475" s="2290"/>
      <c r="F475" s="2290"/>
      <c r="G475" s="2290"/>
      <c r="H475" s="2290"/>
      <c r="I475" s="2290"/>
      <c r="J475" s="2290"/>
      <c r="K475" s="2290"/>
      <c r="L475" s="2290"/>
      <c r="M475" s="2290"/>
      <c r="N475" s="2290"/>
      <c r="O475" s="2290"/>
      <c r="P475" s="2290"/>
      <c r="Q475" s="2290"/>
      <c r="R475" s="2290"/>
      <c r="S475" s="2290"/>
      <c r="T475" s="2290"/>
      <c r="U475" s="2290"/>
      <c r="V475" s="2290"/>
      <c r="W475" s="2290"/>
      <c r="X475" s="2290"/>
      <c r="Y475" s="2290"/>
      <c r="Z475" s="2290"/>
      <c r="AA475" s="2290"/>
      <c r="AB475" s="2290"/>
      <c r="AC475" s="2290"/>
      <c r="AD475" s="2290"/>
      <c r="AE475" s="2290"/>
      <c r="AF475" s="2290"/>
      <c r="AG475" s="2290"/>
      <c r="AH475" s="2290"/>
      <c r="AI475" s="2290"/>
      <c r="AJ475" s="2290"/>
      <c r="AK475" s="2290"/>
      <c r="AL475" s="2290"/>
      <c r="AM475" s="2290"/>
      <c r="AN475" s="2290"/>
      <c r="AO475" s="2290"/>
      <c r="AP475" s="2290"/>
      <c r="AQ475" s="2290"/>
      <c r="AR475" s="2290"/>
      <c r="AS475" s="2290"/>
      <c r="AT475" s="2290"/>
      <c r="AU475" s="2290"/>
      <c r="AV475" s="2290"/>
      <c r="AW475" s="2290"/>
      <c r="AX475" s="2290"/>
      <c r="AY475" s="2290"/>
      <c r="AZ475" s="2290"/>
      <c r="BA475" s="2290"/>
      <c r="BB475" s="2290"/>
      <c r="BC475" s="2290"/>
      <c r="BD475" s="2290"/>
      <c r="BE475" s="2290"/>
      <c r="BF475" s="2290"/>
      <c r="BG475" s="2290"/>
      <c r="BH475" s="2290"/>
      <c r="BI475" s="2290"/>
      <c r="BJ475" s="2290"/>
      <c r="BK475" s="2290"/>
      <c r="BL475" s="2290"/>
      <c r="BM475" s="2290"/>
      <c r="BN475" s="2290"/>
      <c r="BO475" s="2290"/>
      <c r="BP475" s="2290"/>
      <c r="BQ475" s="2290"/>
      <c r="BR475" s="2290"/>
      <c r="BS475" s="2290"/>
      <c r="BT475" s="2290"/>
      <c r="BU475" s="2290"/>
      <c r="BV475" s="2290"/>
      <c r="BW475" s="2290"/>
      <c r="BX475" s="2290"/>
      <c r="BY475" s="2290"/>
      <c r="BZ475" s="2290"/>
      <c r="CA475" s="2290"/>
    </row>
    <row r="476" spans="1:79">
      <c r="A476" s="2290"/>
      <c r="B476" s="2290"/>
      <c r="C476" s="2290"/>
      <c r="D476" s="2290"/>
      <c r="E476" s="2290"/>
      <c r="F476" s="2290"/>
      <c r="G476" s="2290"/>
      <c r="H476" s="2290"/>
      <c r="I476" s="2290"/>
      <c r="J476" s="2290"/>
      <c r="K476" s="2290"/>
      <c r="L476" s="2290"/>
      <c r="M476" s="2290"/>
      <c r="N476" s="2290"/>
      <c r="O476" s="2290"/>
      <c r="P476" s="2290"/>
      <c r="Q476" s="2290"/>
      <c r="R476" s="2290"/>
      <c r="S476" s="2290"/>
      <c r="T476" s="2290"/>
      <c r="U476" s="2290"/>
      <c r="V476" s="2290"/>
      <c r="W476" s="2290"/>
      <c r="X476" s="2290"/>
      <c r="Y476" s="2290"/>
      <c r="Z476" s="2290"/>
      <c r="AA476" s="2290"/>
      <c r="AB476" s="2290"/>
      <c r="AC476" s="2290"/>
      <c r="AD476" s="2290"/>
      <c r="AE476" s="2290"/>
      <c r="AF476" s="2290"/>
      <c r="AG476" s="2290"/>
      <c r="AH476" s="2290"/>
      <c r="AI476" s="2290"/>
      <c r="AJ476" s="2290"/>
      <c r="AK476" s="2290"/>
      <c r="AL476" s="2290"/>
      <c r="AM476" s="2290"/>
      <c r="AN476" s="2290"/>
      <c r="AO476" s="2290"/>
      <c r="AP476" s="2290"/>
      <c r="AQ476" s="2290"/>
      <c r="AR476" s="2290"/>
      <c r="AS476" s="2290"/>
      <c r="AT476" s="2290"/>
      <c r="AU476" s="2290"/>
      <c r="AV476" s="2290"/>
      <c r="AW476" s="2290"/>
      <c r="AX476" s="2290"/>
      <c r="AY476" s="2290"/>
      <c r="AZ476" s="2290"/>
      <c r="BA476" s="2290"/>
      <c r="BB476" s="2290"/>
      <c r="BC476" s="2290"/>
      <c r="BD476" s="2290"/>
      <c r="BE476" s="2290"/>
      <c r="BF476" s="2290"/>
      <c r="BG476" s="2290"/>
      <c r="BH476" s="2290"/>
      <c r="BI476" s="2290"/>
      <c r="BJ476" s="2290"/>
      <c r="BK476" s="2290"/>
      <c r="BL476" s="2290"/>
      <c r="BM476" s="2290"/>
      <c r="BN476" s="2290"/>
      <c r="BO476" s="2290"/>
      <c r="BP476" s="2290"/>
      <c r="BQ476" s="2290"/>
      <c r="BR476" s="2290"/>
      <c r="BS476" s="2290"/>
      <c r="BT476" s="2290"/>
      <c r="BU476" s="2290"/>
      <c r="BV476" s="2290"/>
      <c r="BW476" s="2290"/>
      <c r="BX476" s="2290"/>
      <c r="BY476" s="2290"/>
      <c r="BZ476" s="2290"/>
      <c r="CA476" s="2290"/>
    </row>
    <row r="477" spans="1:79">
      <c r="A477" s="2290"/>
      <c r="B477" s="2290"/>
      <c r="C477" s="2290"/>
      <c r="D477" s="2290"/>
      <c r="E477" s="2290"/>
      <c r="F477" s="2290"/>
      <c r="G477" s="2290"/>
      <c r="H477" s="2290"/>
      <c r="I477" s="2290"/>
      <c r="J477" s="2290"/>
      <c r="K477" s="2290"/>
      <c r="L477" s="2290"/>
      <c r="M477" s="2290"/>
      <c r="N477" s="2290"/>
      <c r="O477" s="2290"/>
      <c r="P477" s="2290"/>
      <c r="Q477" s="2290"/>
      <c r="R477" s="2290"/>
      <c r="S477" s="2290"/>
      <c r="T477" s="2290"/>
      <c r="U477" s="2290"/>
      <c r="V477" s="2290"/>
      <c r="W477" s="2290"/>
      <c r="X477" s="2290"/>
      <c r="Y477" s="2290"/>
      <c r="Z477" s="2290"/>
      <c r="AA477" s="2290"/>
      <c r="AB477" s="2290"/>
      <c r="AC477" s="2290"/>
      <c r="AD477" s="2290"/>
      <c r="AE477" s="2290"/>
      <c r="AF477" s="2290"/>
      <c r="AG477" s="2290"/>
      <c r="AH477" s="2290"/>
      <c r="AI477" s="2290"/>
      <c r="AJ477" s="2290"/>
      <c r="AK477" s="2290"/>
      <c r="AL477" s="2290"/>
      <c r="AM477" s="2290"/>
      <c r="AN477" s="2290"/>
      <c r="AO477" s="2290"/>
      <c r="AP477" s="2290"/>
      <c r="AQ477" s="2290"/>
      <c r="AR477" s="2290"/>
      <c r="AS477" s="2290"/>
      <c r="AT477" s="2290"/>
      <c r="AU477" s="2290"/>
      <c r="AV477" s="2290"/>
      <c r="AW477" s="2290"/>
      <c r="AX477" s="2290"/>
      <c r="AY477" s="2290"/>
      <c r="AZ477" s="2290"/>
      <c r="BA477" s="2290"/>
      <c r="BB477" s="2290"/>
      <c r="BC477" s="2290"/>
      <c r="BD477" s="2290"/>
      <c r="BE477" s="2290"/>
      <c r="BF477" s="2290"/>
      <c r="BG477" s="2290"/>
      <c r="BH477" s="2290"/>
      <c r="BI477" s="2290"/>
      <c r="BJ477" s="2290"/>
      <c r="BK477" s="2290"/>
      <c r="BL477" s="2290"/>
      <c r="BM477" s="2290"/>
      <c r="BN477" s="2290"/>
      <c r="BO477" s="2290"/>
      <c r="BP477" s="2290"/>
      <c r="BQ477" s="2290"/>
      <c r="BR477" s="2290"/>
      <c r="BS477" s="2290"/>
      <c r="BT477" s="2290"/>
      <c r="BU477" s="2290"/>
      <c r="BV477" s="2290"/>
      <c r="BW477" s="2290"/>
      <c r="BX477" s="2290"/>
      <c r="BY477" s="2290"/>
      <c r="BZ477" s="2290"/>
      <c r="CA477" s="2290"/>
    </row>
    <row r="478" spans="1:79">
      <c r="A478" s="2290"/>
      <c r="B478" s="2290"/>
      <c r="C478" s="2290"/>
      <c r="D478" s="2290"/>
      <c r="E478" s="2290"/>
      <c r="F478" s="2290"/>
      <c r="G478" s="2290"/>
      <c r="H478" s="2290"/>
      <c r="I478" s="2290"/>
      <c r="J478" s="2290"/>
      <c r="K478" s="2290"/>
      <c r="L478" s="2290"/>
      <c r="M478" s="2290"/>
      <c r="N478" s="2290"/>
      <c r="O478" s="2290"/>
      <c r="P478" s="2290"/>
      <c r="Q478" s="2290"/>
      <c r="R478" s="2290"/>
      <c r="S478" s="2290"/>
      <c r="T478" s="2290"/>
      <c r="U478" s="2290"/>
      <c r="V478" s="2290"/>
      <c r="W478" s="2290"/>
      <c r="X478" s="2290"/>
      <c r="Y478" s="2290"/>
      <c r="Z478" s="2290"/>
      <c r="AA478" s="2290"/>
      <c r="AB478" s="2290"/>
      <c r="AC478" s="2290"/>
      <c r="AD478" s="2290"/>
      <c r="AE478" s="2290"/>
      <c r="AF478" s="2290"/>
      <c r="AG478" s="2290"/>
      <c r="AH478" s="2290"/>
      <c r="AI478" s="2290"/>
      <c r="AJ478" s="2290"/>
      <c r="AK478" s="2290"/>
      <c r="AL478" s="2290"/>
      <c r="AM478" s="2290"/>
      <c r="AN478" s="2290"/>
      <c r="AO478" s="2290"/>
      <c r="AP478" s="2290"/>
      <c r="AQ478" s="2290"/>
      <c r="AR478" s="2290"/>
      <c r="AS478" s="2290"/>
      <c r="AT478" s="2290"/>
      <c r="AU478" s="2290"/>
      <c r="AV478" s="2290"/>
      <c r="AW478" s="2290"/>
      <c r="AX478" s="2290"/>
      <c r="AY478" s="2290"/>
      <c r="AZ478" s="2290"/>
      <c r="BA478" s="2290"/>
      <c r="BB478" s="2290"/>
      <c r="BC478" s="2290"/>
      <c r="BD478" s="2290"/>
      <c r="BE478" s="2290"/>
      <c r="BF478" s="2290"/>
      <c r="BG478" s="2290"/>
      <c r="BH478" s="2290"/>
      <c r="BI478" s="2290"/>
      <c r="BJ478" s="2290"/>
      <c r="BK478" s="2290"/>
      <c r="BL478" s="2290"/>
      <c r="BM478" s="2290"/>
      <c r="BN478" s="2290"/>
      <c r="BO478" s="2290"/>
      <c r="BP478" s="2290"/>
      <c r="BQ478" s="2290"/>
      <c r="BR478" s="2290"/>
      <c r="BS478" s="2290"/>
      <c r="BT478" s="2290"/>
      <c r="BU478" s="2290"/>
      <c r="BV478" s="2290"/>
      <c r="BW478" s="2290"/>
      <c r="BX478" s="2290"/>
      <c r="BY478" s="2290"/>
      <c r="BZ478" s="2290"/>
      <c r="CA478" s="2290"/>
    </row>
    <row r="479" spans="1:79">
      <c r="A479" s="2290"/>
      <c r="B479" s="2290"/>
      <c r="C479" s="2290"/>
      <c r="D479" s="2290"/>
      <c r="E479" s="2290"/>
      <c r="F479" s="2290"/>
      <c r="G479" s="2290"/>
      <c r="H479" s="2290"/>
      <c r="I479" s="2290"/>
      <c r="J479" s="2290"/>
      <c r="K479" s="2290"/>
      <c r="L479" s="2290"/>
      <c r="M479" s="2290"/>
      <c r="N479" s="2290"/>
      <c r="O479" s="2290"/>
      <c r="P479" s="2290"/>
      <c r="Q479" s="2290"/>
      <c r="R479" s="2290"/>
      <c r="S479" s="2290"/>
      <c r="T479" s="2290"/>
      <c r="U479" s="2290"/>
      <c r="V479" s="2290"/>
      <c r="W479" s="2290"/>
      <c r="X479" s="2290"/>
      <c r="Y479" s="2290"/>
      <c r="Z479" s="2290"/>
      <c r="AA479" s="2290"/>
      <c r="AB479" s="2290"/>
      <c r="AC479" s="2290"/>
      <c r="AD479" s="2290"/>
      <c r="AE479" s="2290"/>
      <c r="AF479" s="2290"/>
      <c r="AG479" s="2290"/>
      <c r="AH479" s="2290"/>
      <c r="AI479" s="2290"/>
      <c r="AJ479" s="2290"/>
      <c r="AK479" s="2290"/>
      <c r="AL479" s="2290"/>
      <c r="AM479" s="2290"/>
      <c r="AN479" s="2290"/>
      <c r="AO479" s="2290"/>
      <c r="AP479" s="2290"/>
      <c r="AQ479" s="2290"/>
      <c r="AR479" s="2290"/>
      <c r="AS479" s="2290"/>
      <c r="AT479" s="2290"/>
      <c r="AU479" s="2290"/>
      <c r="AV479" s="2290"/>
      <c r="AW479" s="2290"/>
      <c r="AX479" s="2290"/>
      <c r="AY479" s="2290"/>
      <c r="AZ479" s="2290"/>
      <c r="BA479" s="2290"/>
      <c r="BB479" s="2290"/>
      <c r="BC479" s="2290"/>
      <c r="BD479" s="2290"/>
      <c r="BE479" s="2290"/>
      <c r="BF479" s="2290"/>
      <c r="BG479" s="2290"/>
      <c r="BH479" s="2290"/>
      <c r="BI479" s="2290"/>
      <c r="BJ479" s="2290"/>
      <c r="BK479" s="2290"/>
      <c r="BL479" s="2290"/>
      <c r="BM479" s="2290"/>
      <c r="BN479" s="2290"/>
      <c r="BO479" s="2290"/>
      <c r="BP479" s="2290"/>
      <c r="BQ479" s="2290"/>
      <c r="BR479" s="2290"/>
      <c r="BS479" s="2290"/>
      <c r="BT479" s="2290"/>
      <c r="BU479" s="2290"/>
      <c r="BV479" s="2290"/>
      <c r="BW479" s="2290"/>
      <c r="BX479" s="2290"/>
      <c r="BY479" s="2290"/>
      <c r="BZ479" s="2290"/>
      <c r="CA479" s="2290"/>
    </row>
    <row r="480" spans="1:79">
      <c r="A480" s="2290"/>
      <c r="B480" s="2290"/>
      <c r="C480" s="2290"/>
      <c r="D480" s="2290"/>
      <c r="E480" s="2290"/>
      <c r="F480" s="2290"/>
      <c r="G480" s="2290"/>
      <c r="H480" s="2290"/>
      <c r="I480" s="2290"/>
      <c r="J480" s="2290"/>
      <c r="K480" s="2290"/>
      <c r="L480" s="2290"/>
      <c r="M480" s="2290"/>
      <c r="N480" s="2290"/>
      <c r="O480" s="2290"/>
      <c r="P480" s="2290"/>
      <c r="Q480" s="2290"/>
      <c r="R480" s="2290"/>
      <c r="S480" s="2290"/>
      <c r="T480" s="2290"/>
      <c r="U480" s="2290"/>
      <c r="V480" s="2290"/>
      <c r="W480" s="2290"/>
      <c r="X480" s="2290"/>
      <c r="Y480" s="2290"/>
      <c r="Z480" s="2290"/>
      <c r="AA480" s="2290"/>
      <c r="AB480" s="2290"/>
      <c r="AC480" s="2290"/>
      <c r="AD480" s="2290"/>
      <c r="AE480" s="2290"/>
      <c r="AF480" s="2290"/>
      <c r="AG480" s="2290"/>
      <c r="AH480" s="2290"/>
      <c r="AI480" s="2290"/>
      <c r="AJ480" s="2290"/>
      <c r="AK480" s="2290"/>
      <c r="AL480" s="2290"/>
      <c r="AM480" s="2290"/>
      <c r="AN480" s="2290"/>
      <c r="AO480" s="2290"/>
      <c r="AP480" s="2290"/>
      <c r="AQ480" s="2290"/>
      <c r="AR480" s="2290"/>
      <c r="AS480" s="2290"/>
      <c r="AT480" s="2290"/>
      <c r="AU480" s="2290"/>
      <c r="AV480" s="2290"/>
      <c r="AW480" s="2290"/>
      <c r="AX480" s="2290"/>
      <c r="AY480" s="2290"/>
      <c r="AZ480" s="2290"/>
      <c r="BA480" s="2290"/>
      <c r="BB480" s="2290"/>
      <c r="BC480" s="2290"/>
      <c r="BD480" s="2290"/>
      <c r="BE480" s="2290"/>
      <c r="BF480" s="2290"/>
      <c r="BG480" s="2290"/>
      <c r="BH480" s="2290"/>
      <c r="BI480" s="2290"/>
      <c r="BJ480" s="2290"/>
      <c r="BK480" s="2290"/>
      <c r="BL480" s="2290"/>
      <c r="BM480" s="2290"/>
      <c r="BN480" s="2290"/>
      <c r="BO480" s="2290"/>
      <c r="BP480" s="2290"/>
      <c r="BQ480" s="2290"/>
      <c r="BR480" s="2290"/>
      <c r="BS480" s="2290"/>
      <c r="BT480" s="2290"/>
      <c r="BU480" s="2290"/>
      <c r="BV480" s="2290"/>
      <c r="BW480" s="2290"/>
      <c r="BX480" s="2290"/>
      <c r="BY480" s="2290"/>
      <c r="BZ480" s="2290"/>
      <c r="CA480" s="2290"/>
    </row>
    <row r="481" spans="1:79">
      <c r="A481" s="2290"/>
      <c r="B481" s="2290"/>
      <c r="C481" s="2290"/>
      <c r="D481" s="2290"/>
      <c r="E481" s="2290"/>
      <c r="F481" s="2290"/>
      <c r="G481" s="2290"/>
      <c r="H481" s="2290"/>
      <c r="I481" s="2290"/>
      <c r="J481" s="2290"/>
      <c r="K481" s="2290"/>
      <c r="L481" s="2290"/>
      <c r="M481" s="2290"/>
      <c r="N481" s="2290"/>
      <c r="O481" s="2290"/>
      <c r="P481" s="2290"/>
      <c r="Q481" s="2290"/>
      <c r="R481" s="2290"/>
      <c r="S481" s="2290"/>
      <c r="T481" s="2290"/>
      <c r="U481" s="2290"/>
      <c r="V481" s="2290"/>
      <c r="W481" s="2290"/>
      <c r="X481" s="2290"/>
      <c r="Y481" s="2290"/>
      <c r="Z481" s="2290"/>
      <c r="AA481" s="2290"/>
      <c r="AB481" s="2290"/>
      <c r="AC481" s="2290"/>
      <c r="AD481" s="2290"/>
      <c r="AE481" s="2290"/>
      <c r="AF481" s="2290"/>
      <c r="AG481" s="2290"/>
      <c r="AH481" s="2290"/>
      <c r="AI481" s="2290"/>
      <c r="AJ481" s="2290"/>
      <c r="AK481" s="2290"/>
      <c r="AL481" s="2290"/>
      <c r="AM481" s="2290"/>
      <c r="AN481" s="2290"/>
      <c r="AO481" s="2290"/>
      <c r="AP481" s="2290"/>
      <c r="AQ481" s="2290"/>
      <c r="AR481" s="2290"/>
      <c r="AS481" s="2290"/>
      <c r="AT481" s="2290"/>
      <c r="AU481" s="2290"/>
      <c r="AV481" s="2290"/>
      <c r="AW481" s="2290"/>
      <c r="AX481" s="2290"/>
      <c r="AY481" s="2290"/>
      <c r="AZ481" s="2290"/>
      <c r="BA481" s="2290"/>
      <c r="BB481" s="2290"/>
      <c r="BC481" s="2290"/>
      <c r="BD481" s="2290"/>
      <c r="BE481" s="2290"/>
      <c r="BF481" s="2290"/>
      <c r="BG481" s="2290"/>
      <c r="BH481" s="2290"/>
      <c r="BI481" s="2290"/>
      <c r="BJ481" s="2290"/>
      <c r="BK481" s="2290"/>
      <c r="BL481" s="2290"/>
      <c r="BM481" s="2290"/>
      <c r="BN481" s="2290"/>
      <c r="BO481" s="2290"/>
      <c r="BP481" s="2290"/>
      <c r="BQ481" s="2290"/>
      <c r="BR481" s="2290"/>
      <c r="BS481" s="2290"/>
      <c r="BT481" s="2290"/>
      <c r="BU481" s="2290"/>
      <c r="BV481" s="2290"/>
      <c r="BW481" s="2290"/>
      <c r="BX481" s="2290"/>
      <c r="BY481" s="2290"/>
      <c r="BZ481" s="2290"/>
      <c r="CA481" s="2290"/>
    </row>
    <row r="482" spans="1:79">
      <c r="A482" s="2290"/>
      <c r="B482" s="2290"/>
      <c r="C482" s="2290"/>
      <c r="D482" s="2290"/>
      <c r="E482" s="2290"/>
      <c r="F482" s="2290"/>
      <c r="G482" s="2290"/>
      <c r="H482" s="2290"/>
      <c r="I482" s="2290"/>
      <c r="J482" s="2290"/>
      <c r="K482" s="2290"/>
      <c r="L482" s="2290"/>
      <c r="M482" s="2290"/>
      <c r="N482" s="2290"/>
      <c r="O482" s="2290"/>
      <c r="P482" s="2290"/>
      <c r="Q482" s="2290"/>
      <c r="R482" s="2290"/>
      <c r="S482" s="2290"/>
      <c r="T482" s="2290"/>
      <c r="U482" s="2290"/>
      <c r="V482" s="2290"/>
      <c r="W482" s="2290"/>
      <c r="X482" s="2290"/>
      <c r="Y482" s="2290"/>
      <c r="Z482" s="2290"/>
      <c r="AA482" s="2290"/>
      <c r="AB482" s="2290"/>
      <c r="AC482" s="2290"/>
      <c r="AD482" s="2290"/>
      <c r="AE482" s="2290"/>
      <c r="AF482" s="2290"/>
      <c r="AG482" s="2290"/>
      <c r="AH482" s="2290"/>
      <c r="AI482" s="2290"/>
      <c r="AJ482" s="2290"/>
      <c r="AK482" s="2290"/>
      <c r="AL482" s="2290"/>
      <c r="AM482" s="2290"/>
      <c r="AN482" s="2290"/>
      <c r="AO482" s="2290"/>
      <c r="AP482" s="2290"/>
      <c r="AQ482" s="2290"/>
      <c r="AR482" s="2290"/>
      <c r="AS482" s="2290"/>
      <c r="AT482" s="2290"/>
      <c r="AU482" s="2290"/>
      <c r="AV482" s="2290"/>
      <c r="AW482" s="2290"/>
      <c r="AX482" s="2290"/>
      <c r="AY482" s="2290"/>
      <c r="AZ482" s="2290"/>
      <c r="BA482" s="2290"/>
      <c r="BB482" s="2290"/>
      <c r="BC482" s="2290"/>
      <c r="BD482" s="2290"/>
      <c r="BE482" s="2290"/>
      <c r="BF482" s="2290"/>
      <c r="BG482" s="2290"/>
      <c r="BH482" s="2290"/>
      <c r="BI482" s="2290"/>
      <c r="BJ482" s="2290"/>
      <c r="BK482" s="2290"/>
      <c r="BL482" s="2290"/>
      <c r="BM482" s="2290"/>
      <c r="BN482" s="2290"/>
      <c r="BO482" s="2290"/>
      <c r="BP482" s="2290"/>
      <c r="BQ482" s="2290"/>
      <c r="BR482" s="2290"/>
      <c r="BS482" s="2290"/>
      <c r="BT482" s="2290"/>
      <c r="BU482" s="2290"/>
      <c r="BV482" s="2290"/>
      <c r="BW482" s="2290"/>
      <c r="BX482" s="2290"/>
      <c r="BY482" s="2290"/>
      <c r="BZ482" s="2290"/>
      <c r="CA482" s="2290"/>
    </row>
    <row r="483" spans="1:79">
      <c r="A483" s="2290"/>
      <c r="B483" s="2290"/>
      <c r="C483" s="2290"/>
      <c r="D483" s="2290"/>
      <c r="E483" s="2290"/>
      <c r="F483" s="2290"/>
      <c r="G483" s="2290"/>
      <c r="H483" s="2290"/>
      <c r="I483" s="2290"/>
      <c r="J483" s="2290"/>
      <c r="K483" s="2290"/>
      <c r="L483" s="2290"/>
      <c r="M483" s="2290"/>
      <c r="N483" s="2290"/>
      <c r="O483" s="2290"/>
      <c r="P483" s="2290"/>
      <c r="Q483" s="2290"/>
      <c r="R483" s="2290"/>
      <c r="S483" s="2290"/>
      <c r="T483" s="2290"/>
      <c r="U483" s="2290"/>
      <c r="V483" s="2290"/>
      <c r="W483" s="2290"/>
      <c r="X483" s="2290"/>
      <c r="Y483" s="2290"/>
      <c r="Z483" s="2290"/>
      <c r="AA483" s="2290"/>
      <c r="AB483" s="2290"/>
      <c r="AC483" s="2290"/>
      <c r="AD483" s="2290"/>
      <c r="AE483" s="2290"/>
      <c r="AF483" s="2290"/>
      <c r="AG483" s="2290"/>
      <c r="AH483" s="2290"/>
      <c r="AI483" s="2290"/>
      <c r="AJ483" s="2290"/>
      <c r="AK483" s="2290"/>
      <c r="AL483" s="2290"/>
      <c r="AM483" s="2290"/>
      <c r="AN483" s="2290"/>
      <c r="AO483" s="2290"/>
      <c r="AP483" s="2290"/>
      <c r="AQ483" s="2290"/>
      <c r="AR483" s="2290"/>
      <c r="AS483" s="2290"/>
      <c r="AT483" s="2290"/>
      <c r="AU483" s="2290"/>
      <c r="AV483" s="2290"/>
      <c r="AW483" s="2290"/>
      <c r="AX483" s="2290"/>
      <c r="AY483" s="2290"/>
      <c r="AZ483" s="2290"/>
      <c r="BA483" s="2290"/>
      <c r="BB483" s="2290"/>
      <c r="BC483" s="2290"/>
      <c r="BD483" s="2290"/>
      <c r="BE483" s="2290"/>
      <c r="BF483" s="2290"/>
      <c r="BG483" s="2290"/>
      <c r="BH483" s="2290"/>
      <c r="BI483" s="2290"/>
      <c r="BJ483" s="2290"/>
      <c r="BK483" s="2290"/>
      <c r="BL483" s="2290"/>
      <c r="BM483" s="2290"/>
      <c r="BN483" s="2290"/>
      <c r="BO483" s="2290"/>
      <c r="BP483" s="2290"/>
      <c r="BQ483" s="2290"/>
      <c r="BR483" s="2290"/>
      <c r="BS483" s="2290"/>
      <c r="BT483" s="2290"/>
      <c r="BU483" s="2290"/>
      <c r="BV483" s="2290"/>
      <c r="BW483" s="2290"/>
      <c r="BX483" s="2290"/>
      <c r="BY483" s="2290"/>
      <c r="BZ483" s="2290"/>
      <c r="CA483" s="2290"/>
    </row>
    <row r="484" spans="1:79">
      <c r="A484" s="2290"/>
      <c r="B484" s="2290"/>
      <c r="C484" s="2290"/>
      <c r="D484" s="2290"/>
      <c r="E484" s="2290"/>
      <c r="F484" s="2290"/>
      <c r="G484" s="2290"/>
      <c r="H484" s="2290"/>
      <c r="I484" s="2290"/>
      <c r="J484" s="2290"/>
      <c r="K484" s="2290"/>
      <c r="L484" s="2290"/>
      <c r="M484" s="2290"/>
      <c r="N484" s="2290"/>
      <c r="O484" s="2290"/>
      <c r="P484" s="2290"/>
      <c r="Q484" s="2290"/>
      <c r="R484" s="2290"/>
      <c r="S484" s="2290"/>
      <c r="T484" s="2290"/>
      <c r="U484" s="2290"/>
      <c r="V484" s="2290"/>
      <c r="W484" s="2290"/>
      <c r="X484" s="2290"/>
      <c r="Y484" s="2290"/>
      <c r="Z484" s="2290"/>
      <c r="AA484" s="2290"/>
      <c r="AB484" s="2290"/>
      <c r="AC484" s="2290"/>
      <c r="AD484" s="2290"/>
      <c r="AE484" s="2290"/>
      <c r="AF484" s="2290"/>
      <c r="AG484" s="2290"/>
      <c r="AH484" s="2290"/>
      <c r="AI484" s="2290"/>
      <c r="AJ484" s="2290"/>
      <c r="AK484" s="2290"/>
      <c r="AL484" s="2290"/>
      <c r="AM484" s="2290"/>
      <c r="AN484" s="2290"/>
      <c r="AO484" s="2290"/>
      <c r="AP484" s="2290"/>
      <c r="AQ484" s="2290"/>
      <c r="AR484" s="2290"/>
      <c r="AS484" s="2290"/>
      <c r="AT484" s="2290"/>
      <c r="AU484" s="2290"/>
      <c r="AV484" s="2290"/>
      <c r="AW484" s="2290"/>
      <c r="AX484" s="2290"/>
      <c r="AY484" s="2290"/>
      <c r="AZ484" s="2290"/>
      <c r="BA484" s="2290"/>
      <c r="BB484" s="2290"/>
      <c r="BC484" s="2290"/>
      <c r="BD484" s="2290"/>
      <c r="BE484" s="2290"/>
      <c r="BF484" s="2290"/>
      <c r="BG484" s="2290"/>
      <c r="BH484" s="2290"/>
      <c r="BI484" s="2290"/>
      <c r="BJ484" s="2290"/>
      <c r="BK484" s="2290"/>
      <c r="BL484" s="2290"/>
      <c r="BM484" s="2290"/>
      <c r="BN484" s="2290"/>
      <c r="BO484" s="2290"/>
      <c r="BP484" s="2290"/>
      <c r="BQ484" s="2290"/>
      <c r="BR484" s="2290"/>
      <c r="BS484" s="2290"/>
      <c r="BT484" s="2290"/>
      <c r="BU484" s="2290"/>
      <c r="BV484" s="2290"/>
      <c r="BW484" s="2290"/>
      <c r="BX484" s="2290"/>
      <c r="BY484" s="2290"/>
      <c r="BZ484" s="2290"/>
      <c r="CA484" s="2290"/>
    </row>
    <row r="485" spans="1:79">
      <c r="A485" s="2290"/>
      <c r="B485" s="2290"/>
      <c r="C485" s="2290"/>
      <c r="D485" s="2290"/>
      <c r="E485" s="2290"/>
      <c r="F485" s="2290"/>
      <c r="G485" s="2290"/>
      <c r="H485" s="2290"/>
      <c r="I485" s="2290"/>
      <c r="J485" s="2290"/>
      <c r="K485" s="2290"/>
      <c r="L485" s="2290"/>
      <c r="M485" s="2290"/>
      <c r="N485" s="2290"/>
      <c r="O485" s="2290"/>
      <c r="P485" s="2290"/>
      <c r="Q485" s="2290"/>
      <c r="R485" s="2290"/>
      <c r="S485" s="2290"/>
      <c r="T485" s="2290"/>
      <c r="U485" s="2290"/>
      <c r="V485" s="2290"/>
      <c r="W485" s="2290"/>
      <c r="X485" s="2290"/>
      <c r="Y485" s="2290"/>
      <c r="Z485" s="2290"/>
      <c r="AA485" s="2290"/>
      <c r="AB485" s="2290"/>
      <c r="AC485" s="2290"/>
      <c r="AD485" s="2290"/>
      <c r="AE485" s="2290"/>
      <c r="AF485" s="2290"/>
      <c r="AG485" s="2290"/>
      <c r="AH485" s="2290"/>
      <c r="AI485" s="2290"/>
      <c r="AJ485" s="2290"/>
      <c r="AK485" s="2290"/>
      <c r="AL485" s="2290"/>
      <c r="AM485" s="2290"/>
      <c r="AN485" s="2290"/>
      <c r="AO485" s="2290"/>
      <c r="AP485" s="2290"/>
      <c r="AQ485" s="2290"/>
      <c r="AR485" s="2290"/>
      <c r="AS485" s="2290"/>
      <c r="AT485" s="2290"/>
      <c r="AU485" s="2290"/>
      <c r="AV485" s="2290"/>
      <c r="AW485" s="2290"/>
      <c r="AX485" s="2290"/>
      <c r="AY485" s="2290"/>
      <c r="AZ485" s="2290"/>
      <c r="BA485" s="2290"/>
      <c r="BB485" s="2290"/>
      <c r="BC485" s="2290"/>
      <c r="BD485" s="2290"/>
      <c r="BE485" s="2290"/>
      <c r="BF485" s="2290"/>
      <c r="BG485" s="2290"/>
      <c r="BH485" s="2290"/>
      <c r="BI485" s="2290"/>
      <c r="BJ485" s="2290"/>
      <c r="BK485" s="2290"/>
      <c r="BL485" s="2290"/>
      <c r="BM485" s="2290"/>
      <c r="BN485" s="2290"/>
      <c r="BO485" s="2290"/>
      <c r="BP485" s="2290"/>
      <c r="BQ485" s="2290"/>
      <c r="BR485" s="2290"/>
      <c r="BS485" s="2290"/>
      <c r="BT485" s="2290"/>
      <c r="BU485" s="2290"/>
      <c r="BV485" s="2290"/>
      <c r="BW485" s="2290"/>
      <c r="BX485" s="2290"/>
      <c r="BY485" s="2290"/>
      <c r="BZ485" s="2290"/>
      <c r="CA485" s="2290"/>
    </row>
    <row r="486" spans="1:79">
      <c r="A486" s="2290"/>
      <c r="B486" s="2290"/>
      <c r="C486" s="2290"/>
      <c r="D486" s="2290"/>
      <c r="E486" s="2290"/>
      <c r="F486" s="2290"/>
      <c r="G486" s="2290"/>
      <c r="H486" s="2290"/>
      <c r="I486" s="2290"/>
      <c r="J486" s="2290"/>
      <c r="K486" s="2290"/>
      <c r="L486" s="2290"/>
      <c r="M486" s="2290"/>
      <c r="N486" s="2290"/>
      <c r="O486" s="2290"/>
      <c r="P486" s="2290"/>
      <c r="Q486" s="2290"/>
      <c r="R486" s="2290"/>
      <c r="S486" s="2290"/>
      <c r="T486" s="2290"/>
      <c r="U486" s="2290"/>
      <c r="V486" s="2290"/>
      <c r="W486" s="2290"/>
      <c r="X486" s="2290"/>
      <c r="Y486" s="2290"/>
      <c r="Z486" s="2290"/>
      <c r="AA486" s="2290"/>
      <c r="AB486" s="2290"/>
      <c r="AC486" s="2290"/>
      <c r="AD486" s="2290"/>
      <c r="AE486" s="2290"/>
      <c r="AF486" s="2290"/>
      <c r="AG486" s="2290"/>
      <c r="AH486" s="2290"/>
      <c r="AI486" s="2290"/>
      <c r="AJ486" s="2290"/>
      <c r="AK486" s="2290"/>
      <c r="AL486" s="2290"/>
      <c r="AM486" s="2290"/>
      <c r="AN486" s="2290"/>
      <c r="AO486" s="2290"/>
      <c r="AP486" s="2290"/>
      <c r="AQ486" s="2290"/>
      <c r="AR486" s="2290"/>
      <c r="AS486" s="2290"/>
      <c r="AT486" s="2290"/>
      <c r="AU486" s="2290"/>
      <c r="AV486" s="2290"/>
      <c r="AW486" s="2290"/>
      <c r="AX486" s="2290"/>
      <c r="AY486" s="2290"/>
      <c r="AZ486" s="2290"/>
      <c r="BA486" s="2290"/>
      <c r="BB486" s="2290"/>
      <c r="BC486" s="2290"/>
      <c r="BD486" s="2290"/>
      <c r="BE486" s="2290"/>
      <c r="BF486" s="2290"/>
      <c r="BG486" s="2290"/>
      <c r="BH486" s="2290"/>
      <c r="BI486" s="2290"/>
      <c r="BJ486" s="2290"/>
      <c r="BK486" s="2290"/>
      <c r="BL486" s="2290"/>
      <c r="BM486" s="2290"/>
      <c r="BN486" s="2290"/>
      <c r="BO486" s="2290"/>
      <c r="BP486" s="2290"/>
      <c r="BQ486" s="2290"/>
      <c r="BR486" s="2290"/>
      <c r="BS486" s="2290"/>
      <c r="BT486" s="2290"/>
      <c r="BU486" s="2290"/>
      <c r="BV486" s="2290"/>
      <c r="BW486" s="2290"/>
      <c r="BX486" s="2290"/>
      <c r="BY486" s="2290"/>
      <c r="BZ486" s="2290"/>
      <c r="CA486" s="2290"/>
    </row>
    <row r="487" spans="1:79">
      <c r="A487" s="2290"/>
      <c r="B487" s="2290"/>
      <c r="C487" s="2290"/>
      <c r="D487" s="2290"/>
      <c r="E487" s="2290"/>
      <c r="F487" s="2290"/>
      <c r="G487" s="2290"/>
      <c r="H487" s="2290"/>
      <c r="I487" s="2290"/>
      <c r="J487" s="2290"/>
      <c r="K487" s="2290"/>
      <c r="L487" s="2290"/>
      <c r="M487" s="2290"/>
      <c r="N487" s="2290"/>
      <c r="O487" s="2290"/>
      <c r="P487" s="2290"/>
      <c r="Q487" s="2290"/>
      <c r="R487" s="2290"/>
      <c r="S487" s="2290"/>
      <c r="T487" s="2290"/>
      <c r="U487" s="2290"/>
      <c r="V487" s="2290"/>
      <c r="W487" s="2290"/>
      <c r="X487" s="2290"/>
      <c r="Y487" s="2290"/>
      <c r="Z487" s="2290"/>
      <c r="AA487" s="2290"/>
      <c r="AB487" s="2290"/>
      <c r="AC487" s="2290"/>
      <c r="AD487" s="2290"/>
      <c r="AE487" s="2290"/>
      <c r="AF487" s="2290"/>
      <c r="AG487" s="2290"/>
      <c r="AH487" s="2290"/>
      <c r="AI487" s="2290"/>
      <c r="AJ487" s="2290"/>
      <c r="AK487" s="2290"/>
      <c r="AL487" s="2290"/>
      <c r="AM487" s="2290"/>
      <c r="AN487" s="2290"/>
      <c r="AO487" s="2290"/>
      <c r="AP487" s="2290"/>
      <c r="AQ487" s="2290"/>
      <c r="AR487" s="2290"/>
      <c r="AS487" s="2290"/>
      <c r="AT487" s="2290"/>
      <c r="AU487" s="2290"/>
      <c r="AV487" s="2290"/>
      <c r="AW487" s="2290"/>
      <c r="AX487" s="2290"/>
      <c r="AY487" s="2290"/>
      <c r="AZ487" s="2290"/>
      <c r="BA487" s="2290"/>
      <c r="BB487" s="2290"/>
      <c r="BC487" s="2290"/>
      <c r="BD487" s="2290"/>
      <c r="BE487" s="2290"/>
      <c r="BF487" s="2290"/>
      <c r="BG487" s="2290"/>
      <c r="BH487" s="2290"/>
      <c r="BI487" s="2290"/>
      <c r="BJ487" s="2290"/>
      <c r="BK487" s="2290"/>
      <c r="BL487" s="2290"/>
      <c r="BM487" s="2290"/>
      <c r="BN487" s="2290"/>
      <c r="BO487" s="2290"/>
      <c r="BP487" s="2290"/>
      <c r="BQ487" s="2290"/>
      <c r="BR487" s="2290"/>
      <c r="BS487" s="2290"/>
      <c r="BT487" s="2290"/>
      <c r="BU487" s="2290"/>
      <c r="BV487" s="2290"/>
      <c r="BW487" s="2290"/>
      <c r="BX487" s="2290"/>
      <c r="BY487" s="2290"/>
      <c r="BZ487" s="2290"/>
      <c r="CA487" s="2290"/>
    </row>
    <row r="488" spans="1:79">
      <c r="A488" s="2290"/>
      <c r="B488" s="2290"/>
      <c r="C488" s="2290"/>
      <c r="D488" s="2290"/>
      <c r="E488" s="2290"/>
      <c r="F488" s="2290"/>
      <c r="G488" s="2290"/>
      <c r="H488" s="2290"/>
      <c r="I488" s="2290"/>
      <c r="J488" s="2290"/>
      <c r="K488" s="2290"/>
      <c r="L488" s="2290"/>
      <c r="M488" s="2290"/>
      <c r="N488" s="2290"/>
      <c r="O488" s="2290"/>
      <c r="P488" s="2290"/>
      <c r="Q488" s="2290"/>
      <c r="R488" s="2290"/>
      <c r="S488" s="2290"/>
      <c r="T488" s="2290"/>
      <c r="U488" s="2290"/>
      <c r="V488" s="2290"/>
      <c r="W488" s="2290"/>
      <c r="X488" s="2290"/>
      <c r="Y488" s="2290"/>
      <c r="Z488" s="2290"/>
      <c r="AA488" s="2290"/>
      <c r="AB488" s="2290"/>
      <c r="AC488" s="2290"/>
      <c r="AD488" s="2290"/>
      <c r="AE488" s="2290"/>
      <c r="AF488" s="2290"/>
      <c r="AG488" s="2290"/>
      <c r="AH488" s="2290"/>
      <c r="AI488" s="2290"/>
      <c r="AJ488" s="2290"/>
      <c r="AK488" s="2290"/>
      <c r="AL488" s="2290"/>
      <c r="AM488" s="2290"/>
      <c r="AN488" s="2290"/>
      <c r="AO488" s="2290"/>
      <c r="AP488" s="2290"/>
      <c r="AQ488" s="2290"/>
      <c r="AR488" s="2290"/>
      <c r="AS488" s="2290"/>
      <c r="AT488" s="2290"/>
      <c r="AU488" s="2290"/>
      <c r="AV488" s="2290"/>
      <c r="AW488" s="2290"/>
      <c r="AX488" s="2290"/>
      <c r="AY488" s="2290"/>
      <c r="AZ488" s="2290"/>
      <c r="BA488" s="2290"/>
      <c r="BB488" s="2290"/>
      <c r="BC488" s="2290"/>
      <c r="BD488" s="2290"/>
      <c r="BE488" s="2290"/>
      <c r="BF488" s="2290"/>
      <c r="BG488" s="2290"/>
      <c r="BH488" s="2290"/>
      <c r="BI488" s="2290"/>
      <c r="BJ488" s="2290"/>
      <c r="BK488" s="2290"/>
      <c r="BL488" s="2290"/>
      <c r="BM488" s="2290"/>
      <c r="BN488" s="2290"/>
      <c r="BO488" s="2290"/>
      <c r="BP488" s="2290"/>
      <c r="BQ488" s="2290"/>
      <c r="BR488" s="2290"/>
      <c r="BS488" s="2290"/>
      <c r="BT488" s="2290"/>
      <c r="BU488" s="2290"/>
      <c r="BV488" s="2290"/>
      <c r="BW488" s="2290"/>
      <c r="BX488" s="2290"/>
      <c r="BY488" s="2290"/>
      <c r="BZ488" s="2290"/>
      <c r="CA488" s="2290"/>
    </row>
    <row r="489" spans="1:79">
      <c r="A489" s="2290"/>
      <c r="B489" s="2290"/>
      <c r="C489" s="2290"/>
      <c r="D489" s="2290"/>
      <c r="E489" s="2290"/>
      <c r="F489" s="2290"/>
      <c r="G489" s="2290"/>
      <c r="H489" s="2290"/>
      <c r="I489" s="2290"/>
      <c r="J489" s="2290"/>
      <c r="K489" s="2290"/>
      <c r="L489" s="2290"/>
      <c r="M489" s="2290"/>
      <c r="N489" s="2290"/>
      <c r="O489" s="2290"/>
      <c r="P489" s="2290"/>
      <c r="Q489" s="2290"/>
      <c r="R489" s="2290"/>
      <c r="S489" s="2290"/>
      <c r="T489" s="2290"/>
      <c r="U489" s="2290"/>
      <c r="V489" s="2290"/>
      <c r="W489" s="2290"/>
      <c r="X489" s="2290"/>
      <c r="Y489" s="2290"/>
      <c r="Z489" s="2290"/>
      <c r="AA489" s="2290"/>
      <c r="AB489" s="2290"/>
      <c r="AC489" s="2290"/>
      <c r="AD489" s="2290"/>
      <c r="AE489" s="2290"/>
      <c r="AF489" s="2290"/>
      <c r="AG489" s="2290"/>
      <c r="AH489" s="2290"/>
      <c r="AI489" s="2290"/>
      <c r="AJ489" s="2290"/>
      <c r="AK489" s="2290"/>
      <c r="AL489" s="2290"/>
      <c r="AM489" s="2290"/>
      <c r="AN489" s="2290"/>
      <c r="AO489" s="2290"/>
      <c r="AP489" s="2290"/>
      <c r="AQ489" s="2290"/>
      <c r="AR489" s="2290"/>
      <c r="AS489" s="2290"/>
      <c r="AT489" s="2290"/>
      <c r="AU489" s="2290"/>
      <c r="AV489" s="2290"/>
      <c r="AW489" s="2290"/>
      <c r="AX489" s="2290"/>
      <c r="AY489" s="2290"/>
      <c r="AZ489" s="2290"/>
      <c r="BA489" s="2290"/>
      <c r="BB489" s="2290"/>
      <c r="BC489" s="2290"/>
      <c r="BD489" s="2290"/>
      <c r="BE489" s="2290"/>
      <c r="BF489" s="2290"/>
      <c r="BG489" s="2290"/>
      <c r="BH489" s="2290"/>
      <c r="BI489" s="2290"/>
      <c r="BJ489" s="2290"/>
      <c r="BK489" s="2290"/>
      <c r="BL489" s="2290"/>
      <c r="BM489" s="2290"/>
      <c r="BN489" s="2290"/>
      <c r="BO489" s="2290"/>
      <c r="BP489" s="2290"/>
      <c r="BQ489" s="2290"/>
      <c r="BR489" s="2290"/>
      <c r="BS489" s="2290"/>
      <c r="BT489" s="2290"/>
      <c r="BU489" s="2290"/>
      <c r="BV489" s="2290"/>
      <c r="BW489" s="2290"/>
      <c r="BX489" s="2290"/>
      <c r="BY489" s="2290"/>
      <c r="BZ489" s="2290"/>
      <c r="CA489" s="2290"/>
    </row>
    <row r="490" spans="1:79">
      <c r="A490" s="2290"/>
      <c r="B490" s="2290"/>
      <c r="C490" s="2290"/>
      <c r="D490" s="2290"/>
      <c r="E490" s="2290"/>
      <c r="F490" s="2290"/>
      <c r="G490" s="2290"/>
      <c r="H490" s="2290"/>
      <c r="I490" s="2290"/>
      <c r="J490" s="2290"/>
      <c r="K490" s="2290"/>
      <c r="L490" s="2290"/>
      <c r="M490" s="2290"/>
      <c r="N490" s="2290"/>
      <c r="O490" s="2290"/>
      <c r="P490" s="2290"/>
      <c r="Q490" s="2290"/>
      <c r="R490" s="2290"/>
      <c r="S490" s="2290"/>
      <c r="T490" s="2290"/>
      <c r="U490" s="2290"/>
      <c r="V490" s="2290"/>
      <c r="W490" s="2290"/>
      <c r="X490" s="2290"/>
      <c r="Y490" s="2290"/>
      <c r="Z490" s="2290"/>
      <c r="AA490" s="2290"/>
      <c r="AB490" s="2290"/>
      <c r="AC490" s="2290"/>
      <c r="AD490" s="2290"/>
      <c r="AE490" s="2290"/>
      <c r="AF490" s="2290"/>
      <c r="AG490" s="2290"/>
      <c r="AH490" s="2290"/>
      <c r="AI490" s="2290"/>
      <c r="AJ490" s="2290"/>
      <c r="AK490" s="2290"/>
      <c r="AL490" s="2290"/>
      <c r="AM490" s="2290"/>
      <c r="AN490" s="2290"/>
      <c r="AO490" s="2290"/>
      <c r="AP490" s="2290"/>
      <c r="AQ490" s="2290"/>
      <c r="AR490" s="2290"/>
      <c r="AS490" s="2290"/>
      <c r="AT490" s="2290"/>
      <c r="AU490" s="2290"/>
      <c r="AV490" s="2290"/>
      <c r="AW490" s="2290"/>
      <c r="AX490" s="2290"/>
      <c r="AY490" s="2290"/>
      <c r="AZ490" s="2290"/>
      <c r="BA490" s="2290"/>
      <c r="BB490" s="2290"/>
      <c r="BC490" s="2290"/>
      <c r="BD490" s="2290"/>
      <c r="BE490" s="2290"/>
      <c r="BF490" s="2290"/>
      <c r="BG490" s="2290"/>
      <c r="BH490" s="2290"/>
      <c r="BI490" s="2290"/>
      <c r="BJ490" s="2290"/>
      <c r="BK490" s="2290"/>
      <c r="BL490" s="2290"/>
      <c r="BM490" s="2290"/>
      <c r="BN490" s="2290"/>
      <c r="BO490" s="2290"/>
      <c r="BP490" s="2290"/>
      <c r="BQ490" s="2290"/>
      <c r="BR490" s="2290"/>
      <c r="BS490" s="2290"/>
      <c r="BT490" s="2290"/>
      <c r="BU490" s="2290"/>
      <c r="BV490" s="2290"/>
      <c r="BW490" s="2290"/>
      <c r="BX490" s="2290"/>
      <c r="BY490" s="2290"/>
      <c r="BZ490" s="2290"/>
      <c r="CA490" s="2290"/>
    </row>
    <row r="491" spans="1:79">
      <c r="A491" s="2290"/>
      <c r="B491" s="2290"/>
      <c r="C491" s="2290"/>
      <c r="D491" s="2290"/>
      <c r="E491" s="2290"/>
      <c r="F491" s="2290"/>
      <c r="G491" s="2290"/>
      <c r="H491" s="2290"/>
      <c r="I491" s="2290"/>
      <c r="J491" s="2290"/>
      <c r="K491" s="2290"/>
      <c r="L491" s="2290"/>
      <c r="M491" s="2290"/>
      <c r="N491" s="2290"/>
      <c r="O491" s="2290"/>
      <c r="P491" s="2290"/>
      <c r="Q491" s="2290"/>
      <c r="R491" s="2290"/>
      <c r="S491" s="2290"/>
      <c r="T491" s="2290"/>
      <c r="U491" s="2290"/>
      <c r="V491" s="2290"/>
      <c r="W491" s="2290"/>
      <c r="X491" s="2290"/>
      <c r="Y491" s="2290"/>
      <c r="Z491" s="2290"/>
      <c r="AA491" s="2290"/>
      <c r="AB491" s="2290"/>
      <c r="AC491" s="2290"/>
      <c r="AD491" s="2290"/>
      <c r="AE491" s="2290"/>
      <c r="AF491" s="2290"/>
      <c r="AG491" s="2290"/>
      <c r="AH491" s="2290"/>
      <c r="AI491" s="2290"/>
      <c r="AJ491" s="2290"/>
      <c r="AK491" s="2290"/>
      <c r="AL491" s="2290"/>
      <c r="AM491" s="2290"/>
      <c r="AN491" s="2290"/>
      <c r="AO491" s="2290"/>
      <c r="AP491" s="2290"/>
      <c r="AQ491" s="2290"/>
      <c r="AR491" s="2290"/>
      <c r="AS491" s="2290"/>
      <c r="AT491" s="2290"/>
      <c r="AU491" s="2290"/>
      <c r="AV491" s="2290"/>
      <c r="AW491" s="2290"/>
      <c r="AX491" s="2290"/>
      <c r="AY491" s="2290"/>
      <c r="AZ491" s="2290"/>
      <c r="BA491" s="2290"/>
      <c r="BB491" s="2290"/>
      <c r="BC491" s="2290"/>
      <c r="BD491" s="2290"/>
      <c r="BE491" s="2290"/>
      <c r="BF491" s="2290"/>
      <c r="BG491" s="2290"/>
      <c r="BH491" s="2290"/>
      <c r="BI491" s="2290"/>
      <c r="BJ491" s="2290"/>
      <c r="BK491" s="2290"/>
      <c r="BL491" s="2290"/>
      <c r="BM491" s="2290"/>
      <c r="BN491" s="2290"/>
      <c r="BO491" s="2290"/>
      <c r="BP491" s="2290"/>
      <c r="BQ491" s="2290"/>
      <c r="BR491" s="2290"/>
      <c r="BS491" s="2290"/>
      <c r="BT491" s="2290"/>
      <c r="BU491" s="2290"/>
      <c r="BV491" s="2290"/>
      <c r="BW491" s="2290"/>
      <c r="BX491" s="2290"/>
      <c r="BY491" s="2290"/>
      <c r="BZ491" s="2290"/>
      <c r="CA491" s="2290"/>
    </row>
    <row r="492" spans="1:79">
      <c r="A492" s="2290"/>
      <c r="B492" s="2290"/>
      <c r="C492" s="2290"/>
      <c r="D492" s="2290"/>
      <c r="E492" s="2290"/>
      <c r="F492" s="2290"/>
      <c r="G492" s="2290"/>
      <c r="H492" s="2290"/>
      <c r="I492" s="2290"/>
      <c r="J492" s="2290"/>
      <c r="K492" s="2290"/>
      <c r="L492" s="2290"/>
      <c r="M492" s="2290"/>
      <c r="N492" s="2290"/>
      <c r="O492" s="2290"/>
      <c r="P492" s="2290"/>
      <c r="Q492" s="2290"/>
      <c r="R492" s="2290"/>
      <c r="S492" s="2290"/>
      <c r="T492" s="2290"/>
      <c r="U492" s="2290"/>
      <c r="V492" s="2290"/>
      <c r="W492" s="2290"/>
      <c r="X492" s="2290"/>
      <c r="Y492" s="2290"/>
      <c r="Z492" s="2290"/>
      <c r="AA492" s="2290"/>
      <c r="AB492" s="2290"/>
      <c r="AC492" s="2290"/>
      <c r="AD492" s="2290"/>
      <c r="AE492" s="2290"/>
      <c r="AF492" s="2290"/>
      <c r="AG492" s="2290"/>
      <c r="AH492" s="2290"/>
      <c r="AI492" s="2290"/>
      <c r="AJ492" s="2290"/>
      <c r="AK492" s="2290"/>
      <c r="AL492" s="2290"/>
      <c r="AM492" s="2290"/>
      <c r="AN492" s="2290"/>
      <c r="AO492" s="2290"/>
      <c r="AP492" s="2290"/>
      <c r="AQ492" s="2290"/>
      <c r="AR492" s="2290"/>
      <c r="AS492" s="2290"/>
      <c r="AT492" s="2290"/>
      <c r="AU492" s="2290"/>
      <c r="AV492" s="2290"/>
      <c r="AW492" s="2290"/>
      <c r="AX492" s="2290"/>
      <c r="AY492" s="2290"/>
      <c r="AZ492" s="2290"/>
      <c r="BA492" s="2290"/>
      <c r="BB492" s="2290"/>
      <c r="BC492" s="2290"/>
      <c r="BD492" s="2290"/>
      <c r="BE492" s="2290"/>
      <c r="BF492" s="2290"/>
      <c r="BG492" s="2290"/>
      <c r="BH492" s="2290"/>
      <c r="BI492" s="2290"/>
      <c r="BJ492" s="2290"/>
      <c r="BK492" s="2290"/>
      <c r="BL492" s="2290"/>
      <c r="BM492" s="2290"/>
      <c r="BN492" s="2290"/>
      <c r="BO492" s="2290"/>
      <c r="BP492" s="2290"/>
      <c r="BQ492" s="2290"/>
      <c r="BR492" s="2290"/>
      <c r="BS492" s="2290"/>
      <c r="BT492" s="2290"/>
      <c r="BU492" s="2290"/>
      <c r="BV492" s="2290"/>
      <c r="BW492" s="2290"/>
      <c r="BX492" s="2290"/>
      <c r="BY492" s="2290"/>
      <c r="BZ492" s="2290"/>
      <c r="CA492" s="2290"/>
    </row>
    <row r="493" spans="1:79">
      <c r="A493" s="2290"/>
      <c r="B493" s="2290"/>
      <c r="C493" s="2290"/>
      <c r="D493" s="2290"/>
      <c r="E493" s="2290"/>
      <c r="F493" s="2290"/>
      <c r="G493" s="2290"/>
      <c r="H493" s="2290"/>
      <c r="I493" s="2290"/>
      <c r="J493" s="2290"/>
      <c r="K493" s="2290"/>
      <c r="L493" s="2290"/>
      <c r="M493" s="2290"/>
      <c r="N493" s="2290"/>
      <c r="O493" s="2290"/>
      <c r="P493" s="2290"/>
      <c r="Q493" s="2290"/>
      <c r="R493" s="2290"/>
      <c r="S493" s="2290"/>
      <c r="T493" s="2290"/>
      <c r="U493" s="2290"/>
      <c r="V493" s="2290"/>
      <c r="W493" s="2290"/>
      <c r="X493" s="2290"/>
      <c r="Y493" s="2290"/>
      <c r="Z493" s="2290"/>
      <c r="AA493" s="2290"/>
      <c r="AB493" s="2290"/>
      <c r="AC493" s="2290"/>
      <c r="AD493" s="2290"/>
      <c r="AE493" s="2290"/>
      <c r="AF493" s="2290"/>
      <c r="AG493" s="2290"/>
      <c r="AH493" s="2290"/>
      <c r="AI493" s="2290"/>
      <c r="AJ493" s="2290"/>
      <c r="AK493" s="2290"/>
      <c r="AL493" s="2290"/>
      <c r="AM493" s="2290"/>
      <c r="AN493" s="2290"/>
      <c r="AO493" s="2290"/>
      <c r="AP493" s="2290"/>
      <c r="AQ493" s="2290"/>
      <c r="AR493" s="2290"/>
      <c r="AS493" s="2290"/>
      <c r="AT493" s="2290"/>
      <c r="AU493" s="2290"/>
      <c r="AV493" s="2290"/>
      <c r="AW493" s="2290"/>
      <c r="AX493" s="2290"/>
      <c r="AY493" s="2290"/>
      <c r="AZ493" s="2290"/>
      <c r="BA493" s="2290"/>
      <c r="BB493" s="2290"/>
      <c r="BC493" s="2290"/>
      <c r="BD493" s="2290"/>
      <c r="BE493" s="2290"/>
      <c r="BF493" s="2290"/>
      <c r="BG493" s="2290"/>
      <c r="BH493" s="2290"/>
      <c r="BI493" s="2290"/>
      <c r="BJ493" s="2290"/>
      <c r="BK493" s="2290"/>
      <c r="BL493" s="2290"/>
      <c r="BM493" s="2290"/>
      <c r="BN493" s="2290"/>
      <c r="BO493" s="2290"/>
      <c r="BP493" s="2290"/>
      <c r="BQ493" s="2290"/>
      <c r="BR493" s="2290"/>
      <c r="BS493" s="2290"/>
      <c r="BT493" s="2290"/>
      <c r="BU493" s="2290"/>
      <c r="BV493" s="2290"/>
      <c r="BW493" s="2290"/>
      <c r="BX493" s="2290"/>
      <c r="BY493" s="2290"/>
      <c r="BZ493" s="2290"/>
      <c r="CA493" s="2290"/>
    </row>
  </sheetData>
  <sheetProtection formatCells="0" formatColumns="0" formatRows="0" insertColumns="0" insertRows="0" insertHyperlinks="0" deleteColumns="0" deleteRows="0" selectLockedCells="1" sort="0" autoFilter="0" pivotTables="0"/>
  <mergeCells count="2">
    <mergeCell ref="F9:F10"/>
    <mergeCell ref="F37:G37"/>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201"/>
  <sheetViews>
    <sheetView topLeftCell="A26" workbookViewId="0">
      <pane ySplit="2655" topLeftCell="A129" activePane="bottomLeft"/>
      <selection activeCell="P1" sqref="P1:P1048576"/>
      <selection pane="bottomLeft" activeCell="A142" sqref="A142:AY142"/>
    </sheetView>
  </sheetViews>
  <sheetFormatPr baseColWidth="10" defaultColWidth="11.125" defaultRowHeight="14.25"/>
  <cols>
    <col min="2" max="15" width="5.625" style="128" customWidth="1"/>
    <col min="16" max="16" width="5.25" style="438" customWidth="1"/>
    <col min="17" max="51" width="5.625" style="128" customWidth="1"/>
  </cols>
  <sheetData>
    <row r="1" spans="1:54" ht="15">
      <c r="A1" s="116"/>
      <c r="B1" s="117"/>
      <c r="C1" s="117"/>
      <c r="D1" s="117"/>
      <c r="E1" s="117"/>
      <c r="F1" s="117"/>
      <c r="G1" s="117"/>
      <c r="H1" s="117"/>
      <c r="I1" s="117"/>
      <c r="J1" s="117"/>
      <c r="K1" s="117"/>
      <c r="L1" s="117"/>
      <c r="M1" s="117"/>
      <c r="N1" s="117"/>
      <c r="O1" s="117"/>
      <c r="P1" s="433"/>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3"/>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3"/>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3"/>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4"/>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MIN(A9:A302)</f>
        <v>42035</v>
      </c>
      <c r="B6" s="122" t="s">
        <v>30</v>
      </c>
      <c r="C6" s="122"/>
      <c r="D6" s="122"/>
      <c r="E6" s="122"/>
      <c r="F6" s="122"/>
      <c r="G6" s="122"/>
      <c r="H6" s="122"/>
      <c r="I6" s="122"/>
      <c r="J6" s="122"/>
      <c r="K6" s="122"/>
      <c r="L6" s="122" t="s">
        <v>30</v>
      </c>
      <c r="M6" s="117"/>
      <c r="N6" s="117"/>
      <c r="O6" s="117"/>
      <c r="P6" s="434"/>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MAX(A9:A302)</f>
        <v>46081</v>
      </c>
      <c r="B7" s="122" t="s">
        <v>127</v>
      </c>
      <c r="C7" s="122"/>
      <c r="D7" s="122"/>
      <c r="E7" s="122"/>
      <c r="F7" s="122"/>
      <c r="G7" s="122"/>
      <c r="H7" s="122"/>
      <c r="I7" s="122"/>
      <c r="J7" s="122"/>
      <c r="K7" s="122"/>
      <c r="L7" s="122" t="s">
        <v>127</v>
      </c>
      <c r="M7" s="122"/>
      <c r="N7" s="122"/>
      <c r="O7" s="122"/>
      <c r="P7" s="435"/>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35">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76">
        <v>3.07</v>
      </c>
      <c r="C9" s="676">
        <v>3.17</v>
      </c>
      <c r="D9" s="676">
        <v>3.31</v>
      </c>
      <c r="E9" s="676">
        <v>3.46</v>
      </c>
      <c r="F9" s="676">
        <v>3.6</v>
      </c>
      <c r="G9" s="676">
        <v>3.74</v>
      </c>
      <c r="H9" s="676">
        <v>3.87</v>
      </c>
      <c r="I9" s="676">
        <v>3.98</v>
      </c>
      <c r="J9" s="676">
        <v>4.09</v>
      </c>
      <c r="K9" s="676">
        <v>4.18</v>
      </c>
      <c r="L9" s="676">
        <v>4.2699999999999996</v>
      </c>
      <c r="M9" s="676">
        <v>4.34</v>
      </c>
      <c r="N9" s="676">
        <v>4.41</v>
      </c>
      <c r="O9" s="676">
        <v>4.46</v>
      </c>
      <c r="P9" s="2225">
        <v>4.51</v>
      </c>
      <c r="Q9" s="676">
        <v>4.53</v>
      </c>
      <c r="R9" s="676">
        <v>4.5599999999999996</v>
      </c>
      <c r="S9" s="676">
        <v>4.57</v>
      </c>
      <c r="T9" s="676">
        <v>4.59</v>
      </c>
      <c r="U9" s="676">
        <v>4.6100000000000003</v>
      </c>
      <c r="V9" s="676">
        <v>4.5999999999999996</v>
      </c>
      <c r="W9" s="676">
        <v>4.59</v>
      </c>
      <c r="X9" s="676">
        <v>4.59</v>
      </c>
      <c r="Y9" s="676">
        <v>4.58</v>
      </c>
      <c r="Z9" s="676">
        <v>4.58</v>
      </c>
      <c r="AA9" s="676">
        <v>4.5599999999999996</v>
      </c>
      <c r="AB9" s="676">
        <v>4.55</v>
      </c>
      <c r="AC9" s="676">
        <v>4.54</v>
      </c>
      <c r="AD9" s="676">
        <v>4.53</v>
      </c>
      <c r="AE9" s="676">
        <v>4.5199999999999996</v>
      </c>
      <c r="AF9" s="676">
        <v>4.5</v>
      </c>
      <c r="AG9" s="676">
        <v>4.49</v>
      </c>
      <c r="AH9" s="676">
        <v>4.4800000000000004</v>
      </c>
      <c r="AI9" s="676">
        <v>4.47</v>
      </c>
      <c r="AJ9" s="676">
        <v>4.46</v>
      </c>
      <c r="AK9" s="676">
        <v>4.46</v>
      </c>
      <c r="AL9" s="676">
        <v>4.45</v>
      </c>
      <c r="AM9" s="676">
        <v>4.4400000000000004</v>
      </c>
      <c r="AN9" s="676">
        <v>4.43</v>
      </c>
      <c r="AO9" s="676">
        <v>4.43</v>
      </c>
      <c r="AP9" s="676">
        <v>4.42</v>
      </c>
      <c r="AQ9" s="676">
        <v>4.42</v>
      </c>
      <c r="AR9" s="676">
        <v>4.41</v>
      </c>
      <c r="AS9" s="676">
        <v>4.41</v>
      </c>
      <c r="AT9" s="676">
        <v>4.4000000000000004</v>
      </c>
      <c r="AU9" s="676">
        <v>4.4000000000000004</v>
      </c>
      <c r="AV9" s="676">
        <v>4.4000000000000004</v>
      </c>
      <c r="AW9" s="676">
        <v>4.3899999999999997</v>
      </c>
      <c r="AX9" s="676">
        <v>4.3899999999999997</v>
      </c>
      <c r="AY9" s="676">
        <v>4.38</v>
      </c>
      <c r="BB9" s="349">
        <v>4.4800000000000004</v>
      </c>
    </row>
    <row r="10" spans="1:54">
      <c r="A10" s="111">
        <v>42063</v>
      </c>
      <c r="B10" s="349">
        <v>3.05</v>
      </c>
      <c r="C10" s="349">
        <v>3.15</v>
      </c>
      <c r="D10" s="349">
        <v>3.29</v>
      </c>
      <c r="E10" s="349">
        <v>3.44</v>
      </c>
      <c r="F10" s="349">
        <v>3.58</v>
      </c>
      <c r="G10" s="349">
        <v>3.72</v>
      </c>
      <c r="H10" s="349">
        <v>3.84</v>
      </c>
      <c r="I10" s="349">
        <v>3.96</v>
      </c>
      <c r="J10" s="349">
        <v>4.0599999999999996</v>
      </c>
      <c r="K10" s="349">
        <v>4.16</v>
      </c>
      <c r="L10" s="349">
        <v>4.24</v>
      </c>
      <c r="M10" s="349">
        <v>4.32</v>
      </c>
      <c r="N10" s="349">
        <v>4.38</v>
      </c>
      <c r="O10" s="349">
        <v>4.4400000000000004</v>
      </c>
      <c r="P10" s="2226">
        <v>4.4800000000000004</v>
      </c>
      <c r="Q10" s="349">
        <v>4.51</v>
      </c>
      <c r="R10" s="349">
        <v>4.53</v>
      </c>
      <c r="S10" s="349">
        <v>4.55</v>
      </c>
      <c r="T10" s="349">
        <v>4.5599999999999996</v>
      </c>
      <c r="U10" s="349">
        <v>4.58</v>
      </c>
      <c r="V10" s="349">
        <v>4.57</v>
      </c>
      <c r="W10" s="349">
        <v>4.57</v>
      </c>
      <c r="X10" s="349">
        <v>4.5599999999999996</v>
      </c>
      <c r="Y10" s="349">
        <v>4.5599999999999996</v>
      </c>
      <c r="Z10" s="349">
        <v>4.55</v>
      </c>
      <c r="AA10" s="349">
        <v>4.54</v>
      </c>
      <c r="AB10" s="349">
        <v>4.5199999999999996</v>
      </c>
      <c r="AC10" s="349">
        <v>4.51</v>
      </c>
      <c r="AD10" s="349">
        <v>4.5</v>
      </c>
      <c r="AE10" s="349">
        <v>4.49</v>
      </c>
      <c r="AF10" s="349">
        <v>4.4800000000000004</v>
      </c>
      <c r="AG10" s="349">
        <v>4.47</v>
      </c>
      <c r="AH10" s="349">
        <v>4.46</v>
      </c>
      <c r="AI10" s="349">
        <v>4.45</v>
      </c>
      <c r="AJ10" s="349">
        <v>4.4400000000000004</v>
      </c>
      <c r="AK10" s="349">
        <v>4.43</v>
      </c>
      <c r="AL10" s="349">
        <v>4.42</v>
      </c>
      <c r="AM10" s="349">
        <v>4.41</v>
      </c>
      <c r="AN10" s="349">
        <v>4.41</v>
      </c>
      <c r="AO10" s="349">
        <v>4.4000000000000004</v>
      </c>
      <c r="AP10" s="349">
        <v>4.3899999999999997</v>
      </c>
      <c r="AQ10" s="349">
        <v>4.3899999999999997</v>
      </c>
      <c r="AR10" s="349">
        <v>4.3899999999999997</v>
      </c>
      <c r="AS10" s="349">
        <v>4.38</v>
      </c>
      <c r="AT10" s="349">
        <v>4.38</v>
      </c>
      <c r="AU10" s="349">
        <v>4.37</v>
      </c>
      <c r="AV10" s="349">
        <v>4.37</v>
      </c>
      <c r="AW10" s="349">
        <v>4.37</v>
      </c>
      <c r="AX10" s="349">
        <v>4.3600000000000003</v>
      </c>
      <c r="AY10" s="349">
        <v>4.3600000000000003</v>
      </c>
      <c r="BB10" s="349">
        <v>4.43</v>
      </c>
    </row>
    <row r="11" spans="1:54">
      <c r="A11" s="111">
        <v>42094</v>
      </c>
      <c r="B11" s="349">
        <v>3.03</v>
      </c>
      <c r="C11" s="349">
        <v>3.13</v>
      </c>
      <c r="D11" s="349">
        <v>3.26</v>
      </c>
      <c r="E11" s="349">
        <v>3.41</v>
      </c>
      <c r="F11" s="349">
        <v>3.56</v>
      </c>
      <c r="G11" s="349">
        <v>3.69</v>
      </c>
      <c r="H11" s="349">
        <v>3.82</v>
      </c>
      <c r="I11" s="349">
        <v>3.93</v>
      </c>
      <c r="J11" s="349">
        <v>4.04</v>
      </c>
      <c r="K11" s="349">
        <v>4.13</v>
      </c>
      <c r="L11" s="349">
        <v>4.22</v>
      </c>
      <c r="M11" s="349">
        <v>4.29</v>
      </c>
      <c r="N11" s="349">
        <v>4.3499999999999996</v>
      </c>
      <c r="O11" s="349">
        <v>4.41</v>
      </c>
      <c r="P11" s="2226">
        <v>4.46</v>
      </c>
      <c r="Q11" s="349">
        <v>4.4800000000000004</v>
      </c>
      <c r="R11" s="349">
        <v>4.5</v>
      </c>
      <c r="S11" s="349">
        <v>4.5199999999999996</v>
      </c>
      <c r="T11" s="349">
        <v>4.54</v>
      </c>
      <c r="U11" s="349">
        <v>4.55</v>
      </c>
      <c r="V11" s="349">
        <v>4.54</v>
      </c>
      <c r="W11" s="349">
        <v>4.54</v>
      </c>
      <c r="X11" s="349">
        <v>4.53</v>
      </c>
      <c r="Y11" s="349">
        <v>4.53</v>
      </c>
      <c r="Z11" s="349">
        <v>4.5199999999999996</v>
      </c>
      <c r="AA11" s="349">
        <v>4.51</v>
      </c>
      <c r="AB11" s="349">
        <v>4.5</v>
      </c>
      <c r="AC11" s="349">
        <v>4.4800000000000004</v>
      </c>
      <c r="AD11" s="349">
        <v>4.47</v>
      </c>
      <c r="AE11" s="349">
        <v>4.46</v>
      </c>
      <c r="AF11" s="349">
        <v>4.45</v>
      </c>
      <c r="AG11" s="349">
        <v>4.4400000000000004</v>
      </c>
      <c r="AH11" s="349">
        <v>4.43</v>
      </c>
      <c r="AI11" s="349">
        <v>4.42</v>
      </c>
      <c r="AJ11" s="349">
        <v>4.41</v>
      </c>
      <c r="AK11" s="349">
        <v>4.4000000000000004</v>
      </c>
      <c r="AL11" s="349">
        <v>4.3899999999999997</v>
      </c>
      <c r="AM11" s="349">
        <v>4.38</v>
      </c>
      <c r="AN11" s="349">
        <v>4.38</v>
      </c>
      <c r="AO11" s="349">
        <v>4.37</v>
      </c>
      <c r="AP11" s="349">
        <v>4.37</v>
      </c>
      <c r="AQ11" s="349">
        <v>4.3600000000000003</v>
      </c>
      <c r="AR11" s="349">
        <v>4.3600000000000003</v>
      </c>
      <c r="AS11" s="349">
        <v>4.3499999999999996</v>
      </c>
      <c r="AT11" s="349">
        <v>4.3499999999999996</v>
      </c>
      <c r="AU11" s="349">
        <v>4.34</v>
      </c>
      <c r="AV11" s="349">
        <v>4.34</v>
      </c>
      <c r="AW11" s="349">
        <v>4.34</v>
      </c>
      <c r="AX11" s="349">
        <v>4.33</v>
      </c>
      <c r="AY11" s="349">
        <v>4.33</v>
      </c>
      <c r="BB11" s="349">
        <v>4.37</v>
      </c>
    </row>
    <row r="12" spans="1:54">
      <c r="A12" s="111">
        <v>42124</v>
      </c>
      <c r="B12" s="349">
        <v>3.02</v>
      </c>
      <c r="C12" s="349">
        <v>3.11</v>
      </c>
      <c r="D12" s="349">
        <v>3.24</v>
      </c>
      <c r="E12" s="349">
        <v>3.39</v>
      </c>
      <c r="F12" s="349">
        <v>3.53</v>
      </c>
      <c r="G12" s="349">
        <v>3.67</v>
      </c>
      <c r="H12" s="349">
        <v>3.8</v>
      </c>
      <c r="I12" s="349">
        <v>3.91</v>
      </c>
      <c r="J12" s="349">
        <v>4.01</v>
      </c>
      <c r="K12" s="349">
        <v>4.0999999999999996</v>
      </c>
      <c r="L12" s="349">
        <v>4.1900000000000004</v>
      </c>
      <c r="M12" s="349">
        <v>4.26</v>
      </c>
      <c r="N12" s="349">
        <v>4.33</v>
      </c>
      <c r="O12" s="349">
        <v>4.38</v>
      </c>
      <c r="P12" s="2226">
        <v>4.43</v>
      </c>
      <c r="Q12" s="349">
        <v>4.45</v>
      </c>
      <c r="R12" s="349">
        <v>4.47</v>
      </c>
      <c r="S12" s="349">
        <v>4.49</v>
      </c>
      <c r="T12" s="349">
        <v>4.51</v>
      </c>
      <c r="U12" s="349">
        <v>4.53</v>
      </c>
      <c r="V12" s="349">
        <v>4.5199999999999996</v>
      </c>
      <c r="W12" s="349">
        <v>4.51</v>
      </c>
      <c r="X12" s="349">
        <v>4.51</v>
      </c>
      <c r="Y12" s="349">
        <v>4.5</v>
      </c>
      <c r="Z12" s="349">
        <v>4.5</v>
      </c>
      <c r="AA12" s="349">
        <v>4.4800000000000004</v>
      </c>
      <c r="AB12" s="349">
        <v>4.47</v>
      </c>
      <c r="AC12" s="349">
        <v>4.46</v>
      </c>
      <c r="AD12" s="349">
        <v>4.4400000000000004</v>
      </c>
      <c r="AE12" s="349">
        <v>4.43</v>
      </c>
      <c r="AF12" s="349">
        <v>4.42</v>
      </c>
      <c r="AG12" s="349">
        <v>4.41</v>
      </c>
      <c r="AH12" s="349">
        <v>4.4000000000000004</v>
      </c>
      <c r="AI12" s="349">
        <v>4.3899999999999997</v>
      </c>
      <c r="AJ12" s="349">
        <v>4.38</v>
      </c>
      <c r="AK12" s="349">
        <v>4.37</v>
      </c>
      <c r="AL12" s="349">
        <v>4.37</v>
      </c>
      <c r="AM12" s="349">
        <v>4.3600000000000003</v>
      </c>
      <c r="AN12" s="349">
        <v>4.3499999999999996</v>
      </c>
      <c r="AO12" s="349">
        <v>4.34</v>
      </c>
      <c r="AP12" s="349">
        <v>4.34</v>
      </c>
      <c r="AQ12" s="349">
        <v>4.33</v>
      </c>
      <c r="AR12" s="349">
        <v>4.33</v>
      </c>
      <c r="AS12" s="349">
        <v>4.32</v>
      </c>
      <c r="AT12" s="349">
        <v>4.32</v>
      </c>
      <c r="AU12" s="349">
        <v>4.32</v>
      </c>
      <c r="AV12" s="349">
        <v>4.3099999999999996</v>
      </c>
      <c r="AW12" s="349">
        <v>4.3099999999999996</v>
      </c>
      <c r="AX12" s="349">
        <v>4.3</v>
      </c>
      <c r="AY12" s="349">
        <v>4.3</v>
      </c>
      <c r="BB12" s="349">
        <v>4.3099999999999996</v>
      </c>
    </row>
    <row r="13" spans="1:54">
      <c r="A13" s="111">
        <v>42155</v>
      </c>
      <c r="B13" s="349">
        <v>3</v>
      </c>
      <c r="C13" s="349">
        <v>3.09</v>
      </c>
      <c r="D13" s="349">
        <v>3.23</v>
      </c>
      <c r="E13" s="349">
        <v>3.37</v>
      </c>
      <c r="F13" s="349">
        <v>3.51</v>
      </c>
      <c r="G13" s="349">
        <v>3.65</v>
      </c>
      <c r="H13" s="349">
        <v>3.78</v>
      </c>
      <c r="I13" s="349">
        <v>3.89</v>
      </c>
      <c r="J13" s="349">
        <v>3.99</v>
      </c>
      <c r="K13" s="349">
        <v>4.08</v>
      </c>
      <c r="L13" s="349">
        <v>4.17</v>
      </c>
      <c r="M13" s="349">
        <v>4.24</v>
      </c>
      <c r="N13" s="349">
        <v>4.3099999999999996</v>
      </c>
      <c r="O13" s="349">
        <v>4.3600000000000003</v>
      </c>
      <c r="P13" s="2226">
        <v>4.41</v>
      </c>
      <c r="Q13" s="349">
        <v>4.43</v>
      </c>
      <c r="R13" s="349">
        <v>4.45</v>
      </c>
      <c r="S13" s="349">
        <v>4.47</v>
      </c>
      <c r="T13" s="349">
        <v>4.49</v>
      </c>
      <c r="U13" s="349">
        <v>4.5</v>
      </c>
      <c r="V13" s="349">
        <v>4.5</v>
      </c>
      <c r="W13" s="349">
        <v>4.49</v>
      </c>
      <c r="X13" s="349">
        <v>4.4800000000000004</v>
      </c>
      <c r="Y13" s="349">
        <v>4.4800000000000004</v>
      </c>
      <c r="Z13" s="349">
        <v>4.47</v>
      </c>
      <c r="AA13" s="349">
        <v>4.46</v>
      </c>
      <c r="AB13" s="349">
        <v>4.45</v>
      </c>
      <c r="AC13" s="349">
        <v>4.43</v>
      </c>
      <c r="AD13" s="349">
        <v>4.42</v>
      </c>
      <c r="AE13" s="349">
        <v>4.41</v>
      </c>
      <c r="AF13" s="349">
        <v>4.4000000000000004</v>
      </c>
      <c r="AG13" s="349">
        <v>4.3899999999999997</v>
      </c>
      <c r="AH13" s="349">
        <v>4.38</v>
      </c>
      <c r="AI13" s="349">
        <v>4.37</v>
      </c>
      <c r="AJ13" s="349">
        <v>4.3600000000000003</v>
      </c>
      <c r="AK13" s="349">
        <v>4.3499999999999996</v>
      </c>
      <c r="AL13" s="349">
        <v>4.34</v>
      </c>
      <c r="AM13" s="349">
        <v>4.34</v>
      </c>
      <c r="AN13" s="349">
        <v>4.33</v>
      </c>
      <c r="AO13" s="349">
        <v>4.32</v>
      </c>
      <c r="AP13" s="349">
        <v>4.32</v>
      </c>
      <c r="AQ13" s="349">
        <v>4.3099999999999996</v>
      </c>
      <c r="AR13" s="349">
        <v>4.3099999999999996</v>
      </c>
      <c r="AS13" s="349">
        <v>4.3</v>
      </c>
      <c r="AT13" s="349">
        <v>4.3</v>
      </c>
      <c r="AU13" s="349">
        <v>4.29</v>
      </c>
      <c r="AV13" s="349">
        <v>4.29</v>
      </c>
      <c r="AW13" s="349">
        <v>4.29</v>
      </c>
      <c r="AX13" s="349">
        <v>4.28</v>
      </c>
      <c r="AY13" s="349">
        <v>4.28</v>
      </c>
      <c r="BB13" s="349">
        <v>4.26</v>
      </c>
    </row>
    <row r="14" spans="1:54">
      <c r="A14" s="111">
        <v>42185</v>
      </c>
      <c r="B14" s="349">
        <v>2.99</v>
      </c>
      <c r="C14" s="349">
        <v>3.08</v>
      </c>
      <c r="D14" s="349">
        <v>3.21</v>
      </c>
      <c r="E14" s="349">
        <v>3.36</v>
      </c>
      <c r="F14" s="349">
        <v>3.5</v>
      </c>
      <c r="G14" s="349">
        <v>3.64</v>
      </c>
      <c r="H14" s="349">
        <v>3.76</v>
      </c>
      <c r="I14" s="349">
        <v>3.87</v>
      </c>
      <c r="J14" s="349">
        <v>3.98</v>
      </c>
      <c r="K14" s="349">
        <v>4.07</v>
      </c>
      <c r="L14" s="349">
        <v>4.16</v>
      </c>
      <c r="M14" s="349">
        <v>4.2300000000000004</v>
      </c>
      <c r="N14" s="349">
        <v>4.29</v>
      </c>
      <c r="O14" s="349">
        <v>4.3499999999999996</v>
      </c>
      <c r="P14" s="2226">
        <v>4.3899999999999997</v>
      </c>
      <c r="Q14" s="349">
        <v>4.42</v>
      </c>
      <c r="R14" s="349">
        <v>4.4400000000000004</v>
      </c>
      <c r="S14" s="349">
        <v>4.46</v>
      </c>
      <c r="T14" s="349">
        <v>4.47</v>
      </c>
      <c r="U14" s="349">
        <v>4.49</v>
      </c>
      <c r="V14" s="349">
        <v>4.4800000000000004</v>
      </c>
      <c r="W14" s="349">
        <v>4.4800000000000004</v>
      </c>
      <c r="X14" s="349">
        <v>4.47</v>
      </c>
      <c r="Y14" s="349">
        <v>4.46</v>
      </c>
      <c r="Z14" s="349">
        <v>4.46</v>
      </c>
      <c r="AA14" s="349">
        <v>4.4400000000000004</v>
      </c>
      <c r="AB14" s="349">
        <v>4.43</v>
      </c>
      <c r="AC14" s="349">
        <v>4.42</v>
      </c>
      <c r="AD14" s="349">
        <v>4.41</v>
      </c>
      <c r="AE14" s="349">
        <v>4.3899999999999997</v>
      </c>
      <c r="AF14" s="349">
        <v>4.38</v>
      </c>
      <c r="AG14" s="349">
        <v>4.37</v>
      </c>
      <c r="AH14" s="349">
        <v>4.3600000000000003</v>
      </c>
      <c r="AI14" s="349">
        <v>4.3499999999999996</v>
      </c>
      <c r="AJ14" s="349">
        <v>4.34</v>
      </c>
      <c r="AK14" s="349">
        <v>4.34</v>
      </c>
      <c r="AL14" s="349">
        <v>4.33</v>
      </c>
      <c r="AM14" s="349">
        <v>4.32</v>
      </c>
      <c r="AN14" s="349">
        <v>4.3099999999999996</v>
      </c>
      <c r="AO14" s="349">
        <v>4.3099999999999996</v>
      </c>
      <c r="AP14" s="349">
        <v>4.3</v>
      </c>
      <c r="AQ14" s="349">
        <v>4.3</v>
      </c>
      <c r="AR14" s="349">
        <v>4.29</v>
      </c>
      <c r="AS14" s="349">
        <v>4.29</v>
      </c>
      <c r="AT14" s="349">
        <v>4.28</v>
      </c>
      <c r="AU14" s="349">
        <v>4.28</v>
      </c>
      <c r="AV14" s="349">
        <v>4.2699999999999996</v>
      </c>
      <c r="AW14" s="349">
        <v>4.2699999999999996</v>
      </c>
      <c r="AX14" s="349">
        <v>4.2699999999999996</v>
      </c>
      <c r="AY14" s="349">
        <v>4.26</v>
      </c>
      <c r="BB14" s="349">
        <v>4.21</v>
      </c>
    </row>
    <row r="15" spans="1:54">
      <c r="A15" s="111">
        <v>42216</v>
      </c>
      <c r="B15" s="349">
        <v>2.97</v>
      </c>
      <c r="C15" s="349">
        <v>3.06</v>
      </c>
      <c r="D15" s="349">
        <v>3.19</v>
      </c>
      <c r="E15" s="349">
        <v>3.34</v>
      </c>
      <c r="F15" s="349">
        <v>3.48</v>
      </c>
      <c r="G15" s="349">
        <v>3.62</v>
      </c>
      <c r="H15" s="349">
        <v>3.74</v>
      </c>
      <c r="I15" s="349">
        <v>3.86</v>
      </c>
      <c r="J15" s="349">
        <v>3.96</v>
      </c>
      <c r="K15" s="349">
        <v>4.05</v>
      </c>
      <c r="L15" s="349">
        <v>4.1399999999999997</v>
      </c>
      <c r="M15" s="349">
        <v>4.21</v>
      </c>
      <c r="N15" s="349">
        <v>4.28</v>
      </c>
      <c r="O15" s="349">
        <v>4.33</v>
      </c>
      <c r="P15" s="2226">
        <v>4.38</v>
      </c>
      <c r="Q15" s="349">
        <v>4.4000000000000004</v>
      </c>
      <c r="R15" s="349">
        <v>4.42</v>
      </c>
      <c r="S15" s="349">
        <v>4.4400000000000004</v>
      </c>
      <c r="T15" s="349">
        <v>4.46</v>
      </c>
      <c r="U15" s="349">
        <v>4.47</v>
      </c>
      <c r="V15" s="349">
        <v>4.46</v>
      </c>
      <c r="W15" s="349">
        <v>4.46</v>
      </c>
      <c r="X15" s="349">
        <v>4.45</v>
      </c>
      <c r="Y15" s="349">
        <v>4.45</v>
      </c>
      <c r="Z15" s="349">
        <v>4.4400000000000004</v>
      </c>
      <c r="AA15" s="349">
        <v>4.43</v>
      </c>
      <c r="AB15" s="349">
        <v>4.41</v>
      </c>
      <c r="AC15" s="349">
        <v>4.4000000000000004</v>
      </c>
      <c r="AD15" s="349">
        <v>4.3899999999999997</v>
      </c>
      <c r="AE15" s="349">
        <v>4.38</v>
      </c>
      <c r="AF15" s="349">
        <v>4.37</v>
      </c>
      <c r="AG15" s="349">
        <v>4.3499999999999996</v>
      </c>
      <c r="AH15" s="349">
        <v>4.34</v>
      </c>
      <c r="AI15" s="349">
        <v>4.33</v>
      </c>
      <c r="AJ15" s="349">
        <v>4.33</v>
      </c>
      <c r="AK15" s="349">
        <v>4.32</v>
      </c>
      <c r="AL15" s="349">
        <v>4.3099999999999996</v>
      </c>
      <c r="AM15" s="349">
        <v>4.3</v>
      </c>
      <c r="AN15" s="349">
        <v>4.29</v>
      </c>
      <c r="AO15" s="349">
        <v>4.29</v>
      </c>
      <c r="AP15" s="349">
        <v>4.28</v>
      </c>
      <c r="AQ15" s="349">
        <v>4.28</v>
      </c>
      <c r="AR15" s="349">
        <v>4.2699999999999996</v>
      </c>
      <c r="AS15" s="349">
        <v>4.2699999999999996</v>
      </c>
      <c r="AT15" s="349">
        <v>4.26</v>
      </c>
      <c r="AU15" s="349">
        <v>4.26</v>
      </c>
      <c r="AV15" s="349">
        <v>4.25</v>
      </c>
      <c r="AW15" s="349">
        <v>4.25</v>
      </c>
      <c r="AX15" s="349">
        <v>4.25</v>
      </c>
      <c r="AY15" s="349">
        <v>4.24</v>
      </c>
      <c r="BB15" s="349">
        <v>4.17</v>
      </c>
    </row>
    <row r="16" spans="1:54">
      <c r="A16" s="111">
        <v>42247</v>
      </c>
      <c r="B16" s="349">
        <v>2.95</v>
      </c>
      <c r="C16" s="349">
        <v>3.05</v>
      </c>
      <c r="D16" s="349">
        <v>3.18</v>
      </c>
      <c r="E16" s="349">
        <v>3.33</v>
      </c>
      <c r="F16" s="349">
        <v>3.47</v>
      </c>
      <c r="G16" s="349">
        <v>3.61</v>
      </c>
      <c r="H16" s="349">
        <v>3.73</v>
      </c>
      <c r="I16" s="349">
        <v>3.84</v>
      </c>
      <c r="J16" s="349">
        <v>3.94</v>
      </c>
      <c r="K16" s="349">
        <v>4.04</v>
      </c>
      <c r="L16" s="349">
        <v>4.13</v>
      </c>
      <c r="M16" s="349">
        <v>4.2</v>
      </c>
      <c r="N16" s="349">
        <v>4.26</v>
      </c>
      <c r="O16" s="349">
        <v>4.32</v>
      </c>
      <c r="P16" s="2226">
        <v>4.3600000000000003</v>
      </c>
      <c r="Q16" s="349">
        <v>4.3899999999999997</v>
      </c>
      <c r="R16" s="349">
        <v>4.41</v>
      </c>
      <c r="S16" s="349">
        <v>4.43</v>
      </c>
      <c r="T16" s="349">
        <v>4.4400000000000004</v>
      </c>
      <c r="U16" s="349">
        <v>4.46</v>
      </c>
      <c r="V16" s="349">
        <v>4.45</v>
      </c>
      <c r="W16" s="349">
        <v>4.4400000000000004</v>
      </c>
      <c r="X16" s="349">
        <v>4.4400000000000004</v>
      </c>
      <c r="Y16" s="349">
        <v>4.43</v>
      </c>
      <c r="Z16" s="349">
        <v>4.43</v>
      </c>
      <c r="AA16" s="349">
        <v>4.41</v>
      </c>
      <c r="AB16" s="349">
        <v>4.4000000000000004</v>
      </c>
      <c r="AC16" s="349">
        <v>4.3899999999999997</v>
      </c>
      <c r="AD16" s="349">
        <v>4.37</v>
      </c>
      <c r="AE16" s="349">
        <v>4.3600000000000003</v>
      </c>
      <c r="AF16" s="349">
        <v>4.3499999999999996</v>
      </c>
      <c r="AG16" s="349">
        <v>4.34</v>
      </c>
      <c r="AH16" s="349">
        <v>4.33</v>
      </c>
      <c r="AI16" s="349">
        <v>4.32</v>
      </c>
      <c r="AJ16" s="349">
        <v>4.3099999999999996</v>
      </c>
      <c r="AK16" s="349">
        <v>4.3</v>
      </c>
      <c r="AL16" s="349">
        <v>4.29</v>
      </c>
      <c r="AM16" s="349">
        <v>4.29</v>
      </c>
      <c r="AN16" s="349">
        <v>4.28</v>
      </c>
      <c r="AO16" s="349">
        <v>4.2699999999999996</v>
      </c>
      <c r="AP16" s="349">
        <v>4.2699999999999996</v>
      </c>
      <c r="AQ16" s="349">
        <v>4.26</v>
      </c>
      <c r="AR16" s="349">
        <v>4.26</v>
      </c>
      <c r="AS16" s="349">
        <v>4.25</v>
      </c>
      <c r="AT16" s="349">
        <v>4.25</v>
      </c>
      <c r="AU16" s="349">
        <v>4.24</v>
      </c>
      <c r="AV16" s="349">
        <v>4.24</v>
      </c>
      <c r="AW16" s="349">
        <v>4.24</v>
      </c>
      <c r="AX16" s="349">
        <v>4.2300000000000004</v>
      </c>
      <c r="AY16" s="349">
        <v>4.2300000000000004</v>
      </c>
      <c r="BB16" s="349">
        <v>4.12</v>
      </c>
    </row>
    <row r="17" spans="1:54">
      <c r="A17" s="111">
        <v>42277</v>
      </c>
      <c r="B17" s="349">
        <v>2.94</v>
      </c>
      <c r="C17" s="349">
        <v>3.03</v>
      </c>
      <c r="D17" s="349">
        <v>3.16</v>
      </c>
      <c r="E17" s="349">
        <v>3.31</v>
      </c>
      <c r="F17" s="349">
        <v>3.45</v>
      </c>
      <c r="G17" s="349">
        <v>3.59</v>
      </c>
      <c r="H17" s="349">
        <v>3.71</v>
      </c>
      <c r="I17" s="349">
        <v>3.83</v>
      </c>
      <c r="J17" s="349">
        <v>3.93</v>
      </c>
      <c r="K17" s="349">
        <v>4.0199999999999996</v>
      </c>
      <c r="L17" s="349">
        <v>4.1100000000000003</v>
      </c>
      <c r="M17" s="349">
        <v>4.1900000000000004</v>
      </c>
      <c r="N17" s="349">
        <v>4.25</v>
      </c>
      <c r="O17" s="349">
        <v>4.3</v>
      </c>
      <c r="P17" s="2226">
        <v>4.3499999999999996</v>
      </c>
      <c r="Q17" s="349">
        <v>4.37</v>
      </c>
      <c r="R17" s="349">
        <v>4.3899999999999997</v>
      </c>
      <c r="S17" s="349">
        <v>4.41</v>
      </c>
      <c r="T17" s="349">
        <v>4.43</v>
      </c>
      <c r="U17" s="349">
        <v>4.4400000000000004</v>
      </c>
      <c r="V17" s="349">
        <v>4.4400000000000004</v>
      </c>
      <c r="W17" s="349">
        <v>4.43</v>
      </c>
      <c r="X17" s="349">
        <v>4.42</v>
      </c>
      <c r="Y17" s="349">
        <v>4.42</v>
      </c>
      <c r="Z17" s="349">
        <v>4.41</v>
      </c>
      <c r="AA17" s="349">
        <v>4.4000000000000004</v>
      </c>
      <c r="AB17" s="349">
        <v>4.38</v>
      </c>
      <c r="AC17" s="349">
        <v>4.37</v>
      </c>
      <c r="AD17" s="349">
        <v>4.3600000000000003</v>
      </c>
      <c r="AE17" s="349">
        <v>4.3499999999999996</v>
      </c>
      <c r="AF17" s="349">
        <v>4.34</v>
      </c>
      <c r="AG17" s="349">
        <v>4.33</v>
      </c>
      <c r="AH17" s="349">
        <v>4.32</v>
      </c>
      <c r="AI17" s="349">
        <v>4.3099999999999996</v>
      </c>
      <c r="AJ17" s="349">
        <v>4.3</v>
      </c>
      <c r="AK17" s="349">
        <v>4.29</v>
      </c>
      <c r="AL17" s="349">
        <v>4.28</v>
      </c>
      <c r="AM17" s="349">
        <v>4.2699999999999996</v>
      </c>
      <c r="AN17" s="349">
        <v>4.2699999999999996</v>
      </c>
      <c r="AO17" s="349">
        <v>4.26</v>
      </c>
      <c r="AP17" s="349">
        <v>4.25</v>
      </c>
      <c r="AQ17" s="349">
        <v>4.25</v>
      </c>
      <c r="AR17" s="349">
        <v>4.24</v>
      </c>
      <c r="AS17" s="349">
        <v>4.24</v>
      </c>
      <c r="AT17" s="349">
        <v>4.2300000000000004</v>
      </c>
      <c r="AU17" s="349">
        <v>4.2300000000000004</v>
      </c>
      <c r="AV17" s="349">
        <v>4.2300000000000004</v>
      </c>
      <c r="AW17" s="349">
        <v>4.22</v>
      </c>
      <c r="AX17" s="349">
        <v>4.22</v>
      </c>
      <c r="AY17" s="349">
        <v>4.21</v>
      </c>
      <c r="BB17" s="349">
        <v>4.07</v>
      </c>
    </row>
    <row r="18" spans="1:54">
      <c r="A18" s="111">
        <v>42308</v>
      </c>
      <c r="B18" s="349">
        <v>2.92</v>
      </c>
      <c r="C18" s="349">
        <v>3.01</v>
      </c>
      <c r="D18" s="349">
        <v>3.14</v>
      </c>
      <c r="E18" s="349">
        <v>3.29</v>
      </c>
      <c r="F18" s="349">
        <v>3.43</v>
      </c>
      <c r="G18" s="349">
        <v>3.57</v>
      </c>
      <c r="H18" s="349">
        <v>3.7</v>
      </c>
      <c r="I18" s="349">
        <v>3.81</v>
      </c>
      <c r="J18" s="349">
        <v>3.91</v>
      </c>
      <c r="K18" s="349">
        <v>4.01</v>
      </c>
      <c r="L18" s="349">
        <v>4.0999999999999996</v>
      </c>
      <c r="M18" s="349">
        <v>4.17</v>
      </c>
      <c r="N18" s="349">
        <v>4.2300000000000004</v>
      </c>
      <c r="O18" s="349">
        <v>4.29</v>
      </c>
      <c r="P18" s="2226">
        <v>4.33</v>
      </c>
      <c r="Q18" s="349">
        <v>4.3600000000000003</v>
      </c>
      <c r="R18" s="349">
        <v>4.38</v>
      </c>
      <c r="S18" s="349">
        <v>4.4000000000000004</v>
      </c>
      <c r="T18" s="349">
        <v>4.41</v>
      </c>
      <c r="U18" s="349">
        <v>4.43</v>
      </c>
      <c r="V18" s="349">
        <v>4.42</v>
      </c>
      <c r="W18" s="349">
        <v>4.41</v>
      </c>
      <c r="X18" s="349">
        <v>4.41</v>
      </c>
      <c r="Y18" s="349">
        <v>4.4000000000000004</v>
      </c>
      <c r="Z18" s="349">
        <v>4.4000000000000004</v>
      </c>
      <c r="AA18" s="349">
        <v>4.38</v>
      </c>
      <c r="AB18" s="349">
        <v>4.37</v>
      </c>
      <c r="AC18" s="349">
        <v>4.3600000000000003</v>
      </c>
      <c r="AD18" s="349">
        <v>4.34</v>
      </c>
      <c r="AE18" s="349">
        <v>4.33</v>
      </c>
      <c r="AF18" s="349">
        <v>4.32</v>
      </c>
      <c r="AG18" s="349">
        <v>4.3099999999999996</v>
      </c>
      <c r="AH18" s="349">
        <v>4.3</v>
      </c>
      <c r="AI18" s="349">
        <v>4.29</v>
      </c>
      <c r="AJ18" s="349">
        <v>4.28</v>
      </c>
      <c r="AK18" s="349">
        <v>4.2699999999999996</v>
      </c>
      <c r="AL18" s="349">
        <v>4.26</v>
      </c>
      <c r="AM18" s="349">
        <v>4.26</v>
      </c>
      <c r="AN18" s="349">
        <v>4.25</v>
      </c>
      <c r="AO18" s="349">
        <v>4.24</v>
      </c>
      <c r="AP18" s="349">
        <v>4.24</v>
      </c>
      <c r="AQ18" s="349">
        <v>4.2300000000000004</v>
      </c>
      <c r="AR18" s="349">
        <v>4.2300000000000004</v>
      </c>
      <c r="AS18" s="349">
        <v>4.22</v>
      </c>
      <c r="AT18" s="349">
        <v>4.22</v>
      </c>
      <c r="AU18" s="349">
        <v>4.21</v>
      </c>
      <c r="AV18" s="349">
        <v>4.21</v>
      </c>
      <c r="AW18" s="349">
        <v>4.21</v>
      </c>
      <c r="AX18" s="349">
        <v>4.2</v>
      </c>
      <c r="AY18" s="349">
        <v>4.2</v>
      </c>
      <c r="BB18" s="349">
        <v>4</v>
      </c>
    </row>
    <row r="19" spans="1:54">
      <c r="A19" s="111">
        <v>42338</v>
      </c>
      <c r="B19" s="349">
        <v>2.9</v>
      </c>
      <c r="C19" s="349">
        <v>2.99</v>
      </c>
      <c r="D19" s="349">
        <v>3.12</v>
      </c>
      <c r="E19" s="349">
        <v>3.27</v>
      </c>
      <c r="F19" s="349">
        <v>3.41</v>
      </c>
      <c r="G19" s="349">
        <v>3.55</v>
      </c>
      <c r="H19" s="349">
        <v>3.68</v>
      </c>
      <c r="I19" s="349">
        <v>3.79</v>
      </c>
      <c r="J19" s="349">
        <v>3.89</v>
      </c>
      <c r="K19" s="349">
        <v>3.99</v>
      </c>
      <c r="L19" s="349">
        <v>4.08</v>
      </c>
      <c r="M19" s="349">
        <v>4.1500000000000004</v>
      </c>
      <c r="N19" s="349">
        <v>4.22</v>
      </c>
      <c r="O19" s="349">
        <v>4.2699999999999996</v>
      </c>
      <c r="P19" s="2226">
        <v>4.32</v>
      </c>
      <c r="Q19" s="349">
        <v>4.34</v>
      </c>
      <c r="R19" s="349">
        <v>4.3600000000000003</v>
      </c>
      <c r="S19" s="349">
        <v>4.38</v>
      </c>
      <c r="T19" s="349">
        <v>4.4000000000000004</v>
      </c>
      <c r="U19" s="349">
        <v>4.41</v>
      </c>
      <c r="V19" s="349">
        <v>4.41</v>
      </c>
      <c r="W19" s="349">
        <v>4.4000000000000004</v>
      </c>
      <c r="X19" s="349">
        <v>4.3899999999999997</v>
      </c>
      <c r="Y19" s="349">
        <v>4.3899999999999997</v>
      </c>
      <c r="Z19" s="349">
        <v>4.38</v>
      </c>
      <c r="AA19" s="349">
        <v>4.37</v>
      </c>
      <c r="AB19" s="349">
        <v>4.3499999999999996</v>
      </c>
      <c r="AC19" s="349">
        <v>4.34</v>
      </c>
      <c r="AD19" s="349">
        <v>4.33</v>
      </c>
      <c r="AE19" s="349">
        <v>4.32</v>
      </c>
      <c r="AF19" s="349">
        <v>4.3</v>
      </c>
      <c r="AG19" s="349">
        <v>4.29</v>
      </c>
      <c r="AH19" s="349">
        <v>4.28</v>
      </c>
      <c r="AI19" s="349">
        <v>4.2699999999999996</v>
      </c>
      <c r="AJ19" s="349">
        <v>4.2699999999999996</v>
      </c>
      <c r="AK19" s="349">
        <v>4.26</v>
      </c>
      <c r="AL19" s="349">
        <v>4.25</v>
      </c>
      <c r="AM19" s="349">
        <v>4.24</v>
      </c>
      <c r="AN19" s="349">
        <v>4.2300000000000004</v>
      </c>
      <c r="AO19" s="349">
        <v>4.2300000000000004</v>
      </c>
      <c r="AP19" s="349">
        <v>4.22</v>
      </c>
      <c r="AQ19" s="349">
        <v>4.22</v>
      </c>
      <c r="AR19" s="349">
        <v>4.21</v>
      </c>
      <c r="AS19" s="349">
        <v>4.21</v>
      </c>
      <c r="AT19" s="349">
        <v>4.2</v>
      </c>
      <c r="AU19" s="349">
        <v>4.2</v>
      </c>
      <c r="AV19" s="349">
        <v>4.1900000000000004</v>
      </c>
      <c r="AW19" s="349">
        <v>4.1900000000000004</v>
      </c>
      <c r="AX19" s="349">
        <v>4.1900000000000004</v>
      </c>
      <c r="AY19" s="349">
        <v>4.18</v>
      </c>
      <c r="BB19" s="349">
        <v>3.94</v>
      </c>
    </row>
    <row r="20" spans="1:54">
      <c r="A20" s="111">
        <v>42369</v>
      </c>
      <c r="B20" s="349">
        <v>2.89</v>
      </c>
      <c r="C20" s="349">
        <v>2.97</v>
      </c>
      <c r="D20" s="349">
        <v>3.1</v>
      </c>
      <c r="E20" s="349">
        <v>3.25</v>
      </c>
      <c r="F20" s="349">
        <v>3.39</v>
      </c>
      <c r="G20" s="349">
        <v>3.53</v>
      </c>
      <c r="H20" s="349">
        <v>3.66</v>
      </c>
      <c r="I20" s="349">
        <v>3.78</v>
      </c>
      <c r="J20" s="349">
        <v>3.88</v>
      </c>
      <c r="K20" s="349">
        <v>3.97</v>
      </c>
      <c r="L20" s="349">
        <v>4.0599999999999996</v>
      </c>
      <c r="M20" s="349">
        <v>4.1399999999999997</v>
      </c>
      <c r="N20" s="349">
        <v>4.2</v>
      </c>
      <c r="O20" s="349">
        <v>4.26</v>
      </c>
      <c r="P20" s="2226">
        <v>4.3099999999999996</v>
      </c>
      <c r="Q20" s="349">
        <v>4.33</v>
      </c>
      <c r="R20" s="349">
        <v>4.3499999999999996</v>
      </c>
      <c r="S20" s="349">
        <v>4.37</v>
      </c>
      <c r="T20" s="349">
        <v>4.3899999999999997</v>
      </c>
      <c r="U20" s="349">
        <v>4.4000000000000004</v>
      </c>
      <c r="V20" s="349">
        <v>4.3899999999999997</v>
      </c>
      <c r="W20" s="349">
        <v>4.3899999999999997</v>
      </c>
      <c r="X20" s="349">
        <v>4.38</v>
      </c>
      <c r="Y20" s="349">
        <v>4.37</v>
      </c>
      <c r="Z20" s="349">
        <v>4.37</v>
      </c>
      <c r="AA20" s="349">
        <v>4.3499999999999996</v>
      </c>
      <c r="AB20" s="349">
        <v>4.34</v>
      </c>
      <c r="AC20" s="349">
        <v>4.33</v>
      </c>
      <c r="AD20" s="349">
        <v>4.32</v>
      </c>
      <c r="AE20" s="349">
        <v>4.3</v>
      </c>
      <c r="AF20" s="349">
        <v>4.29</v>
      </c>
      <c r="AG20" s="349">
        <v>4.28</v>
      </c>
      <c r="AH20" s="349">
        <v>4.2699999999999996</v>
      </c>
      <c r="AI20" s="349">
        <v>4.26</v>
      </c>
      <c r="AJ20" s="349">
        <v>4.25</v>
      </c>
      <c r="AK20" s="349">
        <v>4.24</v>
      </c>
      <c r="AL20" s="349">
        <v>4.24</v>
      </c>
      <c r="AM20" s="349">
        <v>4.2300000000000004</v>
      </c>
      <c r="AN20" s="349">
        <v>4.22</v>
      </c>
      <c r="AO20" s="349">
        <v>4.21</v>
      </c>
      <c r="AP20" s="349">
        <v>4.21</v>
      </c>
      <c r="AQ20" s="349">
        <v>4.2</v>
      </c>
      <c r="AR20" s="349">
        <v>4.2</v>
      </c>
      <c r="AS20" s="349">
        <v>4.1900000000000004</v>
      </c>
      <c r="AT20" s="349">
        <v>4.1900000000000004</v>
      </c>
      <c r="AU20" s="349">
        <v>4.18</v>
      </c>
      <c r="AV20" s="349">
        <v>4.18</v>
      </c>
      <c r="AW20" s="349">
        <v>4.18</v>
      </c>
      <c r="AX20" s="349">
        <v>4.17</v>
      </c>
      <c r="AY20" s="349">
        <v>4.17</v>
      </c>
      <c r="BB20" s="349">
        <v>3.89</v>
      </c>
    </row>
    <row r="21" spans="1:54">
      <c r="A21" s="111">
        <v>42400</v>
      </c>
      <c r="B21" s="349">
        <v>2.87</v>
      </c>
      <c r="C21" s="349">
        <v>2.95</v>
      </c>
      <c r="D21" s="349">
        <v>3.08</v>
      </c>
      <c r="E21" s="349">
        <v>3.23</v>
      </c>
      <c r="F21" s="349">
        <v>3.37</v>
      </c>
      <c r="G21" s="349">
        <v>3.51</v>
      </c>
      <c r="H21" s="349">
        <v>3.64</v>
      </c>
      <c r="I21" s="349">
        <v>3.75</v>
      </c>
      <c r="J21" s="349">
        <v>3.86</v>
      </c>
      <c r="K21" s="349">
        <v>3.96</v>
      </c>
      <c r="L21" s="349">
        <v>4.04</v>
      </c>
      <c r="M21" s="349">
        <v>4.12</v>
      </c>
      <c r="N21" s="349">
        <v>4.18</v>
      </c>
      <c r="O21" s="349">
        <v>4.24</v>
      </c>
      <c r="P21" s="2226">
        <v>4.29</v>
      </c>
      <c r="Q21" s="349">
        <v>4.3099999999999996</v>
      </c>
      <c r="R21" s="349">
        <v>4.33</v>
      </c>
      <c r="S21" s="349">
        <v>4.3499999999999996</v>
      </c>
      <c r="T21" s="349">
        <v>4.37</v>
      </c>
      <c r="U21" s="349">
        <v>4.38</v>
      </c>
      <c r="V21" s="349">
        <v>4.38</v>
      </c>
      <c r="W21" s="349">
        <v>4.37</v>
      </c>
      <c r="X21" s="349">
        <v>4.3600000000000003</v>
      </c>
      <c r="Y21" s="349">
        <v>4.3600000000000003</v>
      </c>
      <c r="Z21" s="349">
        <v>4.3499999999999996</v>
      </c>
      <c r="AA21" s="349">
        <v>4.34</v>
      </c>
      <c r="AB21" s="349">
        <v>4.32</v>
      </c>
      <c r="AC21" s="349">
        <v>4.3099999999999996</v>
      </c>
      <c r="AD21" s="349">
        <v>4.3</v>
      </c>
      <c r="AE21" s="349">
        <v>4.29</v>
      </c>
      <c r="AF21" s="349">
        <v>4.28</v>
      </c>
      <c r="AG21" s="349">
        <v>4.26</v>
      </c>
      <c r="AH21" s="349">
        <v>4.25</v>
      </c>
      <c r="AI21" s="349">
        <v>4.24</v>
      </c>
      <c r="AJ21" s="349">
        <v>4.24</v>
      </c>
      <c r="AK21" s="349">
        <v>4.2300000000000004</v>
      </c>
      <c r="AL21" s="349">
        <v>4.22</v>
      </c>
      <c r="AM21" s="349">
        <v>4.21</v>
      </c>
      <c r="AN21" s="349">
        <v>4.2</v>
      </c>
      <c r="AO21" s="349">
        <v>4.2</v>
      </c>
      <c r="AP21" s="349">
        <v>4.1900000000000004</v>
      </c>
      <c r="AQ21" s="349">
        <v>4.1900000000000004</v>
      </c>
      <c r="AR21" s="349">
        <v>4.18</v>
      </c>
      <c r="AS21" s="349">
        <v>4.18</v>
      </c>
      <c r="AT21" s="349">
        <v>4.17</v>
      </c>
      <c r="AU21" s="349">
        <v>4.17</v>
      </c>
      <c r="AV21" s="349">
        <v>4.16</v>
      </c>
      <c r="AW21" s="349">
        <v>4.16</v>
      </c>
      <c r="AX21" s="349">
        <v>4.16</v>
      </c>
      <c r="AY21" s="349">
        <v>4.1500000000000004</v>
      </c>
      <c r="BB21" s="349">
        <v>3.83</v>
      </c>
    </row>
    <row r="22" spans="1:54">
      <c r="A22" s="111">
        <v>42429</v>
      </c>
      <c r="B22" s="349">
        <v>2.84</v>
      </c>
      <c r="C22" s="349">
        <v>2.93</v>
      </c>
      <c r="D22" s="349">
        <v>3.06</v>
      </c>
      <c r="E22" s="349">
        <v>3.2</v>
      </c>
      <c r="F22" s="349">
        <v>3.35</v>
      </c>
      <c r="G22" s="349">
        <v>3.49</v>
      </c>
      <c r="H22" s="349">
        <v>3.62</v>
      </c>
      <c r="I22" s="349">
        <v>3.73</v>
      </c>
      <c r="J22" s="349">
        <v>3.84</v>
      </c>
      <c r="K22" s="349">
        <v>3.93</v>
      </c>
      <c r="L22" s="349">
        <v>4.0199999999999996</v>
      </c>
      <c r="M22" s="349">
        <v>4.0999999999999996</v>
      </c>
      <c r="N22" s="349">
        <v>4.16</v>
      </c>
      <c r="O22" s="349">
        <v>4.22</v>
      </c>
      <c r="P22" s="2226">
        <v>4.2699999999999996</v>
      </c>
      <c r="Q22" s="349">
        <v>4.29</v>
      </c>
      <c r="R22" s="349">
        <v>4.3099999999999996</v>
      </c>
      <c r="S22" s="349">
        <v>4.33</v>
      </c>
      <c r="T22" s="349">
        <v>4.3499999999999996</v>
      </c>
      <c r="U22" s="349">
        <v>4.3600000000000003</v>
      </c>
      <c r="V22" s="349">
        <v>4.3600000000000003</v>
      </c>
      <c r="W22" s="349">
        <v>4.3499999999999996</v>
      </c>
      <c r="X22" s="349">
        <v>4.34</v>
      </c>
      <c r="Y22" s="349">
        <v>4.34</v>
      </c>
      <c r="Z22" s="349">
        <v>4.33</v>
      </c>
      <c r="AA22" s="349">
        <v>4.32</v>
      </c>
      <c r="AB22" s="349">
        <v>4.3</v>
      </c>
      <c r="AC22" s="349">
        <v>4.29</v>
      </c>
      <c r="AD22" s="349">
        <v>4.28</v>
      </c>
      <c r="AE22" s="349">
        <v>4.2699999999999996</v>
      </c>
      <c r="AF22" s="349">
        <v>4.26</v>
      </c>
      <c r="AG22" s="349">
        <v>4.24</v>
      </c>
      <c r="AH22" s="349">
        <v>4.2300000000000004</v>
      </c>
      <c r="AI22" s="349">
        <v>4.2300000000000004</v>
      </c>
      <c r="AJ22" s="349">
        <v>4.22</v>
      </c>
      <c r="AK22" s="349">
        <v>4.21</v>
      </c>
      <c r="AL22" s="349">
        <v>4.2</v>
      </c>
      <c r="AM22" s="349">
        <v>4.1900000000000004</v>
      </c>
      <c r="AN22" s="349">
        <v>4.18</v>
      </c>
      <c r="AO22" s="349">
        <v>4.18</v>
      </c>
      <c r="AP22" s="349">
        <v>4.17</v>
      </c>
      <c r="AQ22" s="349">
        <v>4.17</v>
      </c>
      <c r="AR22" s="349">
        <v>4.16</v>
      </c>
      <c r="AS22" s="349">
        <v>4.16</v>
      </c>
      <c r="AT22" s="349">
        <v>4.1500000000000004</v>
      </c>
      <c r="AU22" s="349">
        <v>4.1500000000000004</v>
      </c>
      <c r="AV22" s="349">
        <v>4.1399999999999997</v>
      </c>
      <c r="AW22" s="349">
        <v>4.1399999999999997</v>
      </c>
      <c r="AX22" s="349">
        <v>4.1399999999999997</v>
      </c>
      <c r="AY22" s="349">
        <v>4.13</v>
      </c>
      <c r="BB22" s="349">
        <v>3.76</v>
      </c>
    </row>
    <row r="23" spans="1:54">
      <c r="A23" s="111">
        <v>42460</v>
      </c>
      <c r="B23" s="349">
        <v>2.82</v>
      </c>
      <c r="C23" s="349">
        <v>2.9</v>
      </c>
      <c r="D23" s="349">
        <v>3.03</v>
      </c>
      <c r="E23" s="349">
        <v>3.18</v>
      </c>
      <c r="F23" s="349">
        <v>3.32</v>
      </c>
      <c r="G23" s="349">
        <v>3.46</v>
      </c>
      <c r="H23" s="349">
        <v>3.59</v>
      </c>
      <c r="I23" s="349">
        <v>3.71</v>
      </c>
      <c r="J23" s="349">
        <v>3.81</v>
      </c>
      <c r="K23" s="349">
        <v>3.91</v>
      </c>
      <c r="L23" s="349">
        <v>4</v>
      </c>
      <c r="M23" s="349">
        <v>4.08</v>
      </c>
      <c r="N23" s="349">
        <v>4.1399999999999997</v>
      </c>
      <c r="O23" s="349">
        <v>4.2</v>
      </c>
      <c r="P23" s="2226">
        <v>4.24</v>
      </c>
      <c r="Q23" s="349">
        <v>4.2699999999999996</v>
      </c>
      <c r="R23" s="349">
        <v>4.29</v>
      </c>
      <c r="S23" s="349">
        <v>4.3099999999999996</v>
      </c>
      <c r="T23" s="349">
        <v>4.33</v>
      </c>
      <c r="U23" s="349">
        <v>4.34</v>
      </c>
      <c r="V23" s="349">
        <v>4.33</v>
      </c>
      <c r="W23" s="349">
        <v>4.33</v>
      </c>
      <c r="X23" s="349">
        <v>4.32</v>
      </c>
      <c r="Y23" s="349">
        <v>4.32</v>
      </c>
      <c r="Z23" s="349">
        <v>4.3099999999999996</v>
      </c>
      <c r="AA23" s="349">
        <v>4.3</v>
      </c>
      <c r="AB23" s="349">
        <v>4.28</v>
      </c>
      <c r="AC23" s="349">
        <v>4.2699999999999996</v>
      </c>
      <c r="AD23" s="349">
        <v>4.26</v>
      </c>
      <c r="AE23" s="349">
        <v>4.24</v>
      </c>
      <c r="AF23" s="349">
        <v>4.2300000000000004</v>
      </c>
      <c r="AG23" s="349">
        <v>4.22</v>
      </c>
      <c r="AH23" s="349">
        <v>4.21</v>
      </c>
      <c r="AI23" s="349">
        <v>4.2</v>
      </c>
      <c r="AJ23" s="349">
        <v>4.1900000000000004</v>
      </c>
      <c r="AK23" s="349">
        <v>4.18</v>
      </c>
      <c r="AL23" s="349">
        <v>4.18</v>
      </c>
      <c r="AM23" s="349">
        <v>4.17</v>
      </c>
      <c r="AN23" s="349">
        <v>4.16</v>
      </c>
      <c r="AO23" s="349">
        <v>4.1500000000000004</v>
      </c>
      <c r="AP23" s="349">
        <v>4.1500000000000004</v>
      </c>
      <c r="AQ23" s="349">
        <v>4.1399999999999997</v>
      </c>
      <c r="AR23" s="349">
        <v>4.1399999999999997</v>
      </c>
      <c r="AS23" s="349">
        <v>4.13</v>
      </c>
      <c r="AT23" s="349">
        <v>4.13</v>
      </c>
      <c r="AU23" s="349">
        <v>4.12</v>
      </c>
      <c r="AV23" s="349">
        <v>4.12</v>
      </c>
      <c r="AW23" s="349">
        <v>4.12</v>
      </c>
      <c r="AX23" s="349">
        <v>4.1100000000000003</v>
      </c>
      <c r="AY23" s="349">
        <v>4.1100000000000003</v>
      </c>
      <c r="BB23" s="349">
        <v>3.7</v>
      </c>
    </row>
    <row r="24" spans="1:54">
      <c r="A24" s="111">
        <v>42490</v>
      </c>
      <c r="B24" s="349">
        <v>2.79</v>
      </c>
      <c r="C24" s="349">
        <v>2.87</v>
      </c>
      <c r="D24" s="349">
        <v>3</v>
      </c>
      <c r="E24" s="349">
        <v>3.15</v>
      </c>
      <c r="F24" s="349">
        <v>3.29</v>
      </c>
      <c r="G24" s="349">
        <v>3.44</v>
      </c>
      <c r="H24" s="349">
        <v>3.56</v>
      </c>
      <c r="I24" s="349">
        <v>3.68</v>
      </c>
      <c r="J24" s="349">
        <v>3.79</v>
      </c>
      <c r="K24" s="349">
        <v>3.88</v>
      </c>
      <c r="L24" s="349">
        <v>3.97</v>
      </c>
      <c r="M24" s="349">
        <v>4.05</v>
      </c>
      <c r="N24" s="349">
        <v>4.12</v>
      </c>
      <c r="O24" s="349">
        <v>4.17</v>
      </c>
      <c r="P24" s="2226">
        <v>4.22</v>
      </c>
      <c r="Q24" s="349">
        <v>4.24</v>
      </c>
      <c r="R24" s="349">
        <v>4.2699999999999996</v>
      </c>
      <c r="S24" s="349">
        <v>4.29</v>
      </c>
      <c r="T24" s="349">
        <v>4.3</v>
      </c>
      <c r="U24" s="349">
        <v>4.32</v>
      </c>
      <c r="V24" s="349">
        <v>4.3099999999999996</v>
      </c>
      <c r="W24" s="349">
        <v>4.3</v>
      </c>
      <c r="X24" s="349">
        <v>4.3</v>
      </c>
      <c r="Y24" s="349">
        <v>4.29</v>
      </c>
      <c r="Z24" s="349">
        <v>4.29</v>
      </c>
      <c r="AA24" s="349">
        <v>4.2699999999999996</v>
      </c>
      <c r="AB24" s="349">
        <v>4.26</v>
      </c>
      <c r="AC24" s="349">
        <v>4.24</v>
      </c>
      <c r="AD24" s="349">
        <v>4.2300000000000004</v>
      </c>
      <c r="AE24" s="349">
        <v>4.22</v>
      </c>
      <c r="AF24" s="349">
        <v>4.21</v>
      </c>
      <c r="AG24" s="349">
        <v>4.2</v>
      </c>
      <c r="AH24" s="349">
        <v>4.1900000000000004</v>
      </c>
      <c r="AI24" s="349">
        <v>4.18</v>
      </c>
      <c r="AJ24" s="349">
        <v>4.17</v>
      </c>
      <c r="AK24" s="349">
        <v>4.16</v>
      </c>
      <c r="AL24" s="349">
        <v>4.1500000000000004</v>
      </c>
      <c r="AM24" s="349">
        <v>4.1500000000000004</v>
      </c>
      <c r="AN24" s="349">
        <v>4.1399999999999997</v>
      </c>
      <c r="AO24" s="349">
        <v>4.13</v>
      </c>
      <c r="AP24" s="349">
        <v>4.13</v>
      </c>
      <c r="AQ24" s="349">
        <v>4.12</v>
      </c>
      <c r="AR24" s="349">
        <v>4.12</v>
      </c>
      <c r="AS24" s="349">
        <v>4.1100000000000003</v>
      </c>
      <c r="AT24" s="349">
        <v>4.1100000000000003</v>
      </c>
      <c r="AU24" s="349">
        <v>4.0999999999999996</v>
      </c>
      <c r="AV24" s="349">
        <v>4.0999999999999996</v>
      </c>
      <c r="AW24" s="349">
        <v>4.09</v>
      </c>
      <c r="AX24" s="349">
        <v>4.09</v>
      </c>
      <c r="AY24" s="349">
        <v>4.09</v>
      </c>
      <c r="BB24" s="349">
        <v>3.64</v>
      </c>
    </row>
    <row r="25" spans="1:54">
      <c r="A25" s="111">
        <v>42521</v>
      </c>
      <c r="B25" s="349">
        <v>2.77</v>
      </c>
      <c r="C25" s="349">
        <v>2.84</v>
      </c>
      <c r="D25" s="349">
        <v>2.97</v>
      </c>
      <c r="E25" s="349">
        <v>3.12</v>
      </c>
      <c r="F25" s="349">
        <v>3.26</v>
      </c>
      <c r="G25" s="349">
        <v>3.41</v>
      </c>
      <c r="H25" s="349">
        <v>3.53</v>
      </c>
      <c r="I25" s="349">
        <v>3.65</v>
      </c>
      <c r="J25" s="349">
        <v>3.76</v>
      </c>
      <c r="K25" s="349">
        <v>3.86</v>
      </c>
      <c r="L25" s="349">
        <v>3.95</v>
      </c>
      <c r="M25" s="349">
        <v>4.0199999999999996</v>
      </c>
      <c r="N25" s="349">
        <v>4.09</v>
      </c>
      <c r="O25" s="349">
        <v>4.1500000000000004</v>
      </c>
      <c r="P25" s="2226">
        <v>4.2</v>
      </c>
      <c r="Q25" s="349">
        <v>4.22</v>
      </c>
      <c r="R25" s="349">
        <v>4.24</v>
      </c>
      <c r="S25" s="349">
        <v>4.26</v>
      </c>
      <c r="T25" s="349">
        <v>4.28</v>
      </c>
      <c r="U25" s="349">
        <v>4.29</v>
      </c>
      <c r="V25" s="349">
        <v>4.28</v>
      </c>
      <c r="W25" s="349">
        <v>4.28</v>
      </c>
      <c r="X25" s="349">
        <v>4.2699999999999996</v>
      </c>
      <c r="Y25" s="349">
        <v>4.2699999999999996</v>
      </c>
      <c r="Z25" s="349">
        <v>4.26</v>
      </c>
      <c r="AA25" s="349">
        <v>4.25</v>
      </c>
      <c r="AB25" s="349">
        <v>4.2300000000000004</v>
      </c>
      <c r="AC25" s="349">
        <v>4.22</v>
      </c>
      <c r="AD25" s="349">
        <v>4.21</v>
      </c>
      <c r="AE25" s="349">
        <v>4.2</v>
      </c>
      <c r="AF25" s="349">
        <v>4.18</v>
      </c>
      <c r="AG25" s="349">
        <v>4.17</v>
      </c>
      <c r="AH25" s="349">
        <v>4.16</v>
      </c>
      <c r="AI25" s="349">
        <v>4.1500000000000004</v>
      </c>
      <c r="AJ25" s="349">
        <v>4.1399999999999997</v>
      </c>
      <c r="AK25" s="349">
        <v>4.1399999999999997</v>
      </c>
      <c r="AL25" s="349">
        <v>4.13</v>
      </c>
      <c r="AM25" s="349">
        <v>4.12</v>
      </c>
      <c r="AN25" s="349">
        <v>4.1100000000000003</v>
      </c>
      <c r="AO25" s="349">
        <v>4.1100000000000003</v>
      </c>
      <c r="AP25" s="349">
        <v>4.0999999999999996</v>
      </c>
      <c r="AQ25" s="349">
        <v>4.09</v>
      </c>
      <c r="AR25" s="349">
        <v>4.09</v>
      </c>
      <c r="AS25" s="349">
        <v>4.08</v>
      </c>
      <c r="AT25" s="349">
        <v>4.08</v>
      </c>
      <c r="AU25" s="349">
        <v>4.08</v>
      </c>
      <c r="AV25" s="349">
        <v>4.07</v>
      </c>
      <c r="AW25" s="349">
        <v>4.07</v>
      </c>
      <c r="AX25" s="349">
        <v>4.0599999999999996</v>
      </c>
      <c r="AY25" s="349">
        <v>4.0599999999999996</v>
      </c>
      <c r="BB25" s="349">
        <v>3.58</v>
      </c>
    </row>
    <row r="26" spans="1:54">
      <c r="A26" s="111">
        <v>42551</v>
      </c>
      <c r="B26" s="349">
        <v>2.74</v>
      </c>
      <c r="C26" s="349">
        <v>2.81</v>
      </c>
      <c r="D26" s="349">
        <v>2.94</v>
      </c>
      <c r="E26" s="349">
        <v>3.09</v>
      </c>
      <c r="F26" s="349">
        <v>3.23</v>
      </c>
      <c r="G26" s="349">
        <v>3.37</v>
      </c>
      <c r="H26" s="349">
        <v>3.5</v>
      </c>
      <c r="I26" s="349">
        <v>3.62</v>
      </c>
      <c r="J26" s="349">
        <v>3.73</v>
      </c>
      <c r="K26" s="349">
        <v>3.83</v>
      </c>
      <c r="L26" s="349">
        <v>3.92</v>
      </c>
      <c r="M26" s="349">
        <v>3.99</v>
      </c>
      <c r="N26" s="349">
        <v>4.0599999999999996</v>
      </c>
      <c r="O26" s="349">
        <v>4.12</v>
      </c>
      <c r="P26" s="2226">
        <v>4.17</v>
      </c>
      <c r="Q26" s="349">
        <v>4.1900000000000004</v>
      </c>
      <c r="R26" s="349">
        <v>4.21</v>
      </c>
      <c r="S26" s="349">
        <v>4.2300000000000004</v>
      </c>
      <c r="T26" s="349">
        <v>4.25</v>
      </c>
      <c r="U26" s="349">
        <v>4.26</v>
      </c>
      <c r="V26" s="349">
        <v>4.26</v>
      </c>
      <c r="W26" s="349">
        <v>4.25</v>
      </c>
      <c r="X26" s="349">
        <v>4.24</v>
      </c>
      <c r="Y26" s="349">
        <v>4.24</v>
      </c>
      <c r="Z26" s="349">
        <v>4.2300000000000004</v>
      </c>
      <c r="AA26" s="349">
        <v>4.22</v>
      </c>
      <c r="AB26" s="349">
        <v>4.2</v>
      </c>
      <c r="AC26" s="349">
        <v>4.1900000000000004</v>
      </c>
      <c r="AD26" s="349">
        <v>4.18</v>
      </c>
      <c r="AE26" s="349">
        <v>4.17</v>
      </c>
      <c r="AF26" s="349">
        <v>4.16</v>
      </c>
      <c r="AG26" s="349">
        <v>4.1399999999999997</v>
      </c>
      <c r="AH26" s="349">
        <v>4.13</v>
      </c>
      <c r="AI26" s="349">
        <v>4.12</v>
      </c>
      <c r="AJ26" s="349">
        <v>4.12</v>
      </c>
      <c r="AK26" s="349">
        <v>4.1100000000000003</v>
      </c>
      <c r="AL26" s="349">
        <v>4.0999999999999996</v>
      </c>
      <c r="AM26" s="349">
        <v>4.09</v>
      </c>
      <c r="AN26" s="349">
        <v>4.08</v>
      </c>
      <c r="AO26" s="349">
        <v>4.08</v>
      </c>
      <c r="AP26" s="349">
        <v>4.07</v>
      </c>
      <c r="AQ26" s="349">
        <v>4.07</v>
      </c>
      <c r="AR26" s="349">
        <v>4.0599999999999996</v>
      </c>
      <c r="AS26" s="349">
        <v>4.0599999999999996</v>
      </c>
      <c r="AT26" s="349">
        <v>4.05</v>
      </c>
      <c r="AU26" s="349">
        <v>4.05</v>
      </c>
      <c r="AV26" s="349">
        <v>4.04</v>
      </c>
      <c r="AW26" s="349">
        <v>4.04</v>
      </c>
      <c r="AX26" s="349">
        <v>4.04</v>
      </c>
      <c r="AY26" s="349">
        <v>4.03</v>
      </c>
      <c r="BB26" s="349">
        <v>3.52</v>
      </c>
    </row>
    <row r="27" spans="1:54">
      <c r="A27" s="111">
        <v>42582</v>
      </c>
      <c r="B27" s="349">
        <v>2.71</v>
      </c>
      <c r="C27" s="349">
        <v>2.78</v>
      </c>
      <c r="D27" s="349">
        <v>2.91</v>
      </c>
      <c r="E27" s="349">
        <v>3.06</v>
      </c>
      <c r="F27" s="349">
        <v>3.2</v>
      </c>
      <c r="G27" s="349">
        <v>3.34</v>
      </c>
      <c r="H27" s="349">
        <v>3.47</v>
      </c>
      <c r="I27" s="349">
        <v>3.59</v>
      </c>
      <c r="J27" s="349">
        <v>3.7</v>
      </c>
      <c r="K27" s="349">
        <v>3.8</v>
      </c>
      <c r="L27" s="349">
        <v>3.89</v>
      </c>
      <c r="M27" s="349">
        <v>3.96</v>
      </c>
      <c r="N27" s="349">
        <v>4.03</v>
      </c>
      <c r="O27" s="349">
        <v>4.09</v>
      </c>
      <c r="P27" s="2226">
        <v>4.1399999999999997</v>
      </c>
      <c r="Q27" s="349">
        <v>4.16</v>
      </c>
      <c r="R27" s="349">
        <v>4.18</v>
      </c>
      <c r="S27" s="349">
        <v>4.2</v>
      </c>
      <c r="T27" s="349">
        <v>4.22</v>
      </c>
      <c r="U27" s="349">
        <v>4.2300000000000004</v>
      </c>
      <c r="V27" s="349">
        <v>4.2300000000000004</v>
      </c>
      <c r="W27" s="349">
        <v>4.22</v>
      </c>
      <c r="X27" s="349">
        <v>4.21</v>
      </c>
      <c r="Y27" s="349">
        <v>4.21</v>
      </c>
      <c r="Z27" s="349">
        <v>4.2</v>
      </c>
      <c r="AA27" s="349">
        <v>4.1900000000000004</v>
      </c>
      <c r="AB27" s="349">
        <v>4.17</v>
      </c>
      <c r="AC27" s="349">
        <v>4.16</v>
      </c>
      <c r="AD27" s="349">
        <v>4.1500000000000004</v>
      </c>
      <c r="AE27" s="349">
        <v>4.1399999999999997</v>
      </c>
      <c r="AF27" s="349">
        <v>4.12</v>
      </c>
      <c r="AG27" s="349">
        <v>4.1100000000000003</v>
      </c>
      <c r="AH27" s="349">
        <v>4.0999999999999996</v>
      </c>
      <c r="AI27" s="349">
        <v>4.09</v>
      </c>
      <c r="AJ27" s="349">
        <v>4.08</v>
      </c>
      <c r="AK27" s="349">
        <v>4.08</v>
      </c>
      <c r="AL27" s="349">
        <v>4.07</v>
      </c>
      <c r="AM27" s="349">
        <v>4.0599999999999996</v>
      </c>
      <c r="AN27" s="349">
        <v>4.05</v>
      </c>
      <c r="AO27" s="349">
        <v>4.05</v>
      </c>
      <c r="AP27" s="349">
        <v>4.04</v>
      </c>
      <c r="AQ27" s="349">
        <v>4.04</v>
      </c>
      <c r="AR27" s="349">
        <v>4.03</v>
      </c>
      <c r="AS27" s="349">
        <v>4.03</v>
      </c>
      <c r="AT27" s="349">
        <v>4.0199999999999996</v>
      </c>
      <c r="AU27" s="349">
        <v>4.0199999999999996</v>
      </c>
      <c r="AV27" s="349">
        <v>4.01</v>
      </c>
      <c r="AW27" s="349">
        <v>4.01</v>
      </c>
      <c r="AX27" s="349">
        <v>4</v>
      </c>
      <c r="AY27" s="349">
        <v>4</v>
      </c>
      <c r="BB27" s="349">
        <v>3.47</v>
      </c>
    </row>
    <row r="28" spans="1:54">
      <c r="A28" s="111">
        <v>42613</v>
      </c>
      <c r="B28" s="349">
        <v>2.68</v>
      </c>
      <c r="C28" s="349">
        <v>2.75</v>
      </c>
      <c r="D28" s="349">
        <v>2.88</v>
      </c>
      <c r="E28" s="349">
        <v>3.02</v>
      </c>
      <c r="F28" s="349">
        <v>3.17</v>
      </c>
      <c r="G28" s="349">
        <v>3.31</v>
      </c>
      <c r="H28" s="349">
        <v>3.44</v>
      </c>
      <c r="I28" s="349">
        <v>3.56</v>
      </c>
      <c r="J28" s="349">
        <v>3.67</v>
      </c>
      <c r="K28" s="349">
        <v>3.77</v>
      </c>
      <c r="L28" s="349">
        <v>3.86</v>
      </c>
      <c r="M28" s="349">
        <v>3.93</v>
      </c>
      <c r="N28" s="349">
        <v>4</v>
      </c>
      <c r="O28" s="349">
        <v>4.0599999999999996</v>
      </c>
      <c r="P28" s="2226">
        <v>4.1100000000000003</v>
      </c>
      <c r="Q28" s="349">
        <v>4.13</v>
      </c>
      <c r="R28" s="349">
        <v>4.1500000000000004</v>
      </c>
      <c r="S28" s="349">
        <v>4.17</v>
      </c>
      <c r="T28" s="349">
        <v>4.1900000000000004</v>
      </c>
      <c r="U28" s="349">
        <v>4.2</v>
      </c>
      <c r="V28" s="349">
        <v>4.2</v>
      </c>
      <c r="W28" s="349">
        <v>4.1900000000000004</v>
      </c>
      <c r="X28" s="349">
        <v>4.18</v>
      </c>
      <c r="Y28" s="349">
        <v>4.18</v>
      </c>
      <c r="Z28" s="349">
        <v>4.17</v>
      </c>
      <c r="AA28" s="349">
        <v>4.16</v>
      </c>
      <c r="AB28" s="349">
        <v>4.1399999999999997</v>
      </c>
      <c r="AC28" s="349">
        <v>4.13</v>
      </c>
      <c r="AD28" s="349">
        <v>4.12</v>
      </c>
      <c r="AE28" s="349">
        <v>4.1100000000000003</v>
      </c>
      <c r="AF28" s="349">
        <v>4.0999999999999996</v>
      </c>
      <c r="AG28" s="349">
        <v>4.09</v>
      </c>
      <c r="AH28" s="349">
        <v>4.08</v>
      </c>
      <c r="AI28" s="349">
        <v>4.07</v>
      </c>
      <c r="AJ28" s="349">
        <v>4.0599999999999996</v>
      </c>
      <c r="AK28" s="349">
        <v>4.05</v>
      </c>
      <c r="AL28" s="349">
        <v>4.04</v>
      </c>
      <c r="AM28" s="349">
        <v>4.03</v>
      </c>
      <c r="AN28" s="349">
        <v>4.0199999999999996</v>
      </c>
      <c r="AO28" s="349">
        <v>4.0199999999999996</v>
      </c>
      <c r="AP28" s="349">
        <v>4.01</v>
      </c>
      <c r="AQ28" s="349">
        <v>4.01</v>
      </c>
      <c r="AR28" s="349">
        <v>4</v>
      </c>
      <c r="AS28" s="349">
        <v>4</v>
      </c>
      <c r="AT28" s="349">
        <v>3.99</v>
      </c>
      <c r="AU28" s="349">
        <v>3.99</v>
      </c>
      <c r="AV28" s="349">
        <v>3.98</v>
      </c>
      <c r="AW28" s="349">
        <v>3.98</v>
      </c>
      <c r="AX28" s="349">
        <v>3.98</v>
      </c>
      <c r="AY28" s="349">
        <v>3.97</v>
      </c>
      <c r="BB28" s="349">
        <v>3.42</v>
      </c>
    </row>
    <row r="29" spans="1:54">
      <c r="A29" s="111">
        <v>42643</v>
      </c>
      <c r="B29" s="349">
        <v>2.65</v>
      </c>
      <c r="C29" s="349">
        <v>2.72</v>
      </c>
      <c r="D29" s="349">
        <v>2.85</v>
      </c>
      <c r="E29" s="349">
        <v>2.99</v>
      </c>
      <c r="F29" s="349">
        <v>3.14</v>
      </c>
      <c r="G29" s="349">
        <v>3.28</v>
      </c>
      <c r="H29" s="349">
        <v>3.41</v>
      </c>
      <c r="I29" s="349">
        <v>3.53</v>
      </c>
      <c r="J29" s="349">
        <v>3.64</v>
      </c>
      <c r="K29" s="349">
        <v>3.74</v>
      </c>
      <c r="L29" s="349">
        <v>3.83</v>
      </c>
      <c r="M29" s="349">
        <v>3.91</v>
      </c>
      <c r="N29" s="349">
        <v>3.97</v>
      </c>
      <c r="O29" s="349">
        <v>4.03</v>
      </c>
      <c r="P29" s="2226">
        <v>4.08</v>
      </c>
      <c r="Q29" s="349">
        <v>4.0999999999999996</v>
      </c>
      <c r="R29" s="349">
        <v>4.13</v>
      </c>
      <c r="S29" s="349">
        <v>4.1399999999999997</v>
      </c>
      <c r="T29" s="349">
        <v>4.16</v>
      </c>
      <c r="U29" s="349">
        <v>4.18</v>
      </c>
      <c r="V29" s="349">
        <v>4.17</v>
      </c>
      <c r="W29" s="349">
        <v>4.16</v>
      </c>
      <c r="X29" s="349">
        <v>4.16</v>
      </c>
      <c r="Y29" s="349">
        <v>4.1500000000000004</v>
      </c>
      <c r="Z29" s="349">
        <v>4.1500000000000004</v>
      </c>
      <c r="AA29" s="349">
        <v>4.13</v>
      </c>
      <c r="AB29" s="349">
        <v>4.12</v>
      </c>
      <c r="AC29" s="349">
        <v>4.1100000000000003</v>
      </c>
      <c r="AD29" s="349">
        <v>4.09</v>
      </c>
      <c r="AE29" s="349">
        <v>4.08</v>
      </c>
      <c r="AF29" s="349">
        <v>4.07</v>
      </c>
      <c r="AG29" s="349">
        <v>4.0599999999999996</v>
      </c>
      <c r="AH29" s="349">
        <v>4.05</v>
      </c>
      <c r="AI29" s="349">
        <v>4.04</v>
      </c>
      <c r="AJ29" s="349">
        <v>4.03</v>
      </c>
      <c r="AK29" s="349">
        <v>4.0199999999999996</v>
      </c>
      <c r="AL29" s="349">
        <v>4.01</v>
      </c>
      <c r="AM29" s="349">
        <v>4.01</v>
      </c>
      <c r="AN29" s="349">
        <v>4</v>
      </c>
      <c r="AO29" s="349">
        <v>3.99</v>
      </c>
      <c r="AP29" s="349">
        <v>3.99</v>
      </c>
      <c r="AQ29" s="349">
        <v>3.98</v>
      </c>
      <c r="AR29" s="349">
        <v>3.98</v>
      </c>
      <c r="AS29" s="349">
        <v>3.97</v>
      </c>
      <c r="AT29" s="349">
        <v>3.97</v>
      </c>
      <c r="AU29" s="349">
        <v>3.96</v>
      </c>
      <c r="AV29" s="349">
        <v>3.96</v>
      </c>
      <c r="AW29" s="349">
        <v>3.95</v>
      </c>
      <c r="AX29" s="349">
        <v>3.95</v>
      </c>
      <c r="AY29" s="349">
        <v>3.95</v>
      </c>
      <c r="BB29" s="349">
        <v>3.37</v>
      </c>
    </row>
    <row r="30" spans="1:54">
      <c r="A30" s="111">
        <v>42674</v>
      </c>
      <c r="B30" s="349">
        <v>2.61</v>
      </c>
      <c r="C30" s="349">
        <v>2.69</v>
      </c>
      <c r="D30" s="349">
        <v>2.82</v>
      </c>
      <c r="E30" s="349">
        <v>2.96</v>
      </c>
      <c r="F30" s="349">
        <v>3.11</v>
      </c>
      <c r="G30" s="349">
        <v>3.25</v>
      </c>
      <c r="H30" s="349">
        <v>3.38</v>
      </c>
      <c r="I30" s="349">
        <v>3.5</v>
      </c>
      <c r="J30" s="349">
        <v>3.61</v>
      </c>
      <c r="K30" s="349">
        <v>3.71</v>
      </c>
      <c r="L30" s="349">
        <v>3.8</v>
      </c>
      <c r="M30" s="349">
        <v>3.88</v>
      </c>
      <c r="N30" s="349">
        <v>3.95</v>
      </c>
      <c r="O30" s="349">
        <v>4.01</v>
      </c>
      <c r="P30" s="2226">
        <v>4.0599999999999996</v>
      </c>
      <c r="Q30" s="349">
        <v>4.08</v>
      </c>
      <c r="R30" s="349">
        <v>4.0999999999999996</v>
      </c>
      <c r="S30" s="349">
        <v>4.12</v>
      </c>
      <c r="T30" s="349">
        <v>4.1399999999999997</v>
      </c>
      <c r="U30" s="349">
        <v>4.1500000000000004</v>
      </c>
      <c r="V30" s="349">
        <v>4.1500000000000004</v>
      </c>
      <c r="W30" s="349">
        <v>4.1399999999999997</v>
      </c>
      <c r="X30" s="349">
        <v>4.13</v>
      </c>
      <c r="Y30" s="349">
        <v>4.13</v>
      </c>
      <c r="Z30" s="349">
        <v>4.12</v>
      </c>
      <c r="AA30" s="349">
        <v>4.1100000000000003</v>
      </c>
      <c r="AB30" s="349">
        <v>4.09</v>
      </c>
      <c r="AC30" s="349">
        <v>4.08</v>
      </c>
      <c r="AD30" s="349">
        <v>4.07</v>
      </c>
      <c r="AE30" s="349">
        <v>4.0599999999999996</v>
      </c>
      <c r="AF30" s="349">
        <v>4.05</v>
      </c>
      <c r="AG30" s="349">
        <v>4.04</v>
      </c>
      <c r="AH30" s="349">
        <v>4.03</v>
      </c>
      <c r="AI30" s="349">
        <v>4.0199999999999996</v>
      </c>
      <c r="AJ30" s="349">
        <v>4.01</v>
      </c>
      <c r="AK30" s="349">
        <v>4</v>
      </c>
      <c r="AL30" s="349">
        <v>3.99</v>
      </c>
      <c r="AM30" s="349">
        <v>3.98</v>
      </c>
      <c r="AN30" s="349">
        <v>3.98</v>
      </c>
      <c r="AO30" s="349">
        <v>3.97</v>
      </c>
      <c r="AP30" s="349">
        <v>3.96</v>
      </c>
      <c r="AQ30" s="349">
        <v>3.96</v>
      </c>
      <c r="AR30" s="349">
        <v>3.95</v>
      </c>
      <c r="AS30" s="349">
        <v>3.95</v>
      </c>
      <c r="AT30" s="349">
        <v>3.94</v>
      </c>
      <c r="AU30" s="349">
        <v>3.94</v>
      </c>
      <c r="AV30" s="349">
        <v>3.93</v>
      </c>
      <c r="AW30" s="349">
        <v>3.93</v>
      </c>
      <c r="AX30" s="349">
        <v>3.93</v>
      </c>
      <c r="AY30" s="349">
        <v>3.92</v>
      </c>
      <c r="BB30" s="349">
        <v>3.32</v>
      </c>
    </row>
    <row r="31" spans="1:54">
      <c r="A31" s="111">
        <v>42704</v>
      </c>
      <c r="B31" s="349">
        <v>2.58</v>
      </c>
      <c r="C31" s="349">
        <v>2.66</v>
      </c>
      <c r="D31" s="349">
        <v>2.79</v>
      </c>
      <c r="E31" s="349">
        <v>2.93</v>
      </c>
      <c r="F31" s="349">
        <v>3.08</v>
      </c>
      <c r="G31" s="349">
        <v>3.22</v>
      </c>
      <c r="H31" s="349">
        <v>3.35</v>
      </c>
      <c r="I31" s="349">
        <v>3.48</v>
      </c>
      <c r="J31" s="349">
        <v>3.59</v>
      </c>
      <c r="K31" s="349">
        <v>3.69</v>
      </c>
      <c r="L31" s="349">
        <v>3.78</v>
      </c>
      <c r="M31" s="349">
        <v>3.86</v>
      </c>
      <c r="N31" s="349">
        <v>3.93</v>
      </c>
      <c r="O31" s="349">
        <v>3.98</v>
      </c>
      <c r="P31" s="2226">
        <v>4.03</v>
      </c>
      <c r="Q31" s="349">
        <v>4.0599999999999996</v>
      </c>
      <c r="R31" s="349">
        <v>4.08</v>
      </c>
      <c r="S31" s="349">
        <v>4.0999999999999996</v>
      </c>
      <c r="T31" s="349">
        <v>4.12</v>
      </c>
      <c r="U31" s="349">
        <v>4.13</v>
      </c>
      <c r="V31" s="349">
        <v>4.13</v>
      </c>
      <c r="W31" s="349">
        <v>4.12</v>
      </c>
      <c r="X31" s="349">
        <v>4.1100000000000003</v>
      </c>
      <c r="Y31" s="349">
        <v>4.1100000000000003</v>
      </c>
      <c r="Z31" s="349">
        <v>4.0999999999999996</v>
      </c>
      <c r="AA31" s="349">
        <v>4.09</v>
      </c>
      <c r="AB31" s="349">
        <v>4.07</v>
      </c>
      <c r="AC31" s="349">
        <v>4.0599999999999996</v>
      </c>
      <c r="AD31" s="349">
        <v>4.05</v>
      </c>
      <c r="AE31" s="349">
        <v>4.04</v>
      </c>
      <c r="AF31" s="349">
        <v>4.03</v>
      </c>
      <c r="AG31" s="349">
        <v>4.0199999999999996</v>
      </c>
      <c r="AH31" s="349">
        <v>4.01</v>
      </c>
      <c r="AI31" s="349">
        <v>4</v>
      </c>
      <c r="AJ31" s="349">
        <v>3.99</v>
      </c>
      <c r="AK31" s="349">
        <v>3.98</v>
      </c>
      <c r="AL31" s="349">
        <v>3.97</v>
      </c>
      <c r="AM31" s="349">
        <v>3.96</v>
      </c>
      <c r="AN31" s="349">
        <v>3.96</v>
      </c>
      <c r="AO31" s="349">
        <v>3.95</v>
      </c>
      <c r="AP31" s="349">
        <v>3.94</v>
      </c>
      <c r="AQ31" s="349">
        <v>3.94</v>
      </c>
      <c r="AR31" s="349">
        <v>3.93</v>
      </c>
      <c r="AS31" s="349">
        <v>3.93</v>
      </c>
      <c r="AT31" s="349">
        <v>3.92</v>
      </c>
      <c r="AU31" s="349">
        <v>3.92</v>
      </c>
      <c r="AV31" s="349">
        <v>3.92</v>
      </c>
      <c r="AW31" s="349">
        <v>3.91</v>
      </c>
      <c r="AX31" s="349">
        <v>3.91</v>
      </c>
      <c r="AY31" s="349">
        <v>3.9</v>
      </c>
      <c r="BB31" s="349">
        <v>3.28</v>
      </c>
    </row>
    <row r="32" spans="1:54">
      <c r="A32" s="111">
        <v>42735</v>
      </c>
      <c r="B32" s="349">
        <v>2.5499999999999998</v>
      </c>
      <c r="C32" s="349">
        <v>2.62</v>
      </c>
      <c r="D32" s="349">
        <v>2.75</v>
      </c>
      <c r="E32" s="349">
        <v>2.9</v>
      </c>
      <c r="F32" s="349">
        <v>3.05</v>
      </c>
      <c r="G32" s="349">
        <v>3.19</v>
      </c>
      <c r="H32" s="349">
        <v>3.33</v>
      </c>
      <c r="I32" s="349">
        <v>3.45</v>
      </c>
      <c r="J32" s="349">
        <v>3.56</v>
      </c>
      <c r="K32" s="349">
        <v>3.66</v>
      </c>
      <c r="L32" s="349">
        <v>3.75</v>
      </c>
      <c r="M32" s="349">
        <v>3.83</v>
      </c>
      <c r="N32" s="349">
        <v>3.9</v>
      </c>
      <c r="O32" s="349">
        <v>3.96</v>
      </c>
      <c r="P32" s="2226">
        <v>4.01</v>
      </c>
      <c r="Q32" s="349">
        <v>4.04</v>
      </c>
      <c r="R32" s="349">
        <v>4.0599999999999996</v>
      </c>
      <c r="S32" s="349">
        <v>4.08</v>
      </c>
      <c r="T32" s="349">
        <v>4.09</v>
      </c>
      <c r="U32" s="349">
        <v>4.1100000000000003</v>
      </c>
      <c r="V32" s="349">
        <v>4.0999999999999996</v>
      </c>
      <c r="W32" s="349">
        <v>4.0999999999999996</v>
      </c>
      <c r="X32" s="349">
        <v>4.09</v>
      </c>
      <c r="Y32" s="349">
        <v>4.09</v>
      </c>
      <c r="Z32" s="349">
        <v>4.08</v>
      </c>
      <c r="AA32" s="349">
        <v>4.07</v>
      </c>
      <c r="AB32" s="349">
        <v>4.05</v>
      </c>
      <c r="AC32" s="349">
        <v>4.04</v>
      </c>
      <c r="AD32" s="349">
        <v>4.03</v>
      </c>
      <c r="AE32" s="349">
        <v>4.0199999999999996</v>
      </c>
      <c r="AF32" s="349">
        <v>4</v>
      </c>
      <c r="AG32" s="349">
        <v>3.99</v>
      </c>
      <c r="AH32" s="349">
        <v>3.98</v>
      </c>
      <c r="AI32" s="349">
        <v>3.97</v>
      </c>
      <c r="AJ32" s="349">
        <v>3.97</v>
      </c>
      <c r="AK32" s="349">
        <v>3.96</v>
      </c>
      <c r="AL32" s="349">
        <v>3.95</v>
      </c>
      <c r="AM32" s="349">
        <v>3.94</v>
      </c>
      <c r="AN32" s="349">
        <v>3.93</v>
      </c>
      <c r="AO32" s="349">
        <v>3.93</v>
      </c>
      <c r="AP32" s="349">
        <v>3.92</v>
      </c>
      <c r="AQ32" s="349">
        <v>3.92</v>
      </c>
      <c r="AR32" s="349">
        <v>3.91</v>
      </c>
      <c r="AS32" s="349">
        <v>3.91</v>
      </c>
      <c r="AT32" s="349">
        <v>3.9</v>
      </c>
      <c r="AU32" s="349">
        <v>3.9</v>
      </c>
      <c r="AV32" s="349">
        <v>3.89</v>
      </c>
      <c r="AW32" s="349">
        <v>3.89</v>
      </c>
      <c r="AX32" s="349">
        <v>3.89</v>
      </c>
      <c r="AY32" s="349">
        <v>3.88</v>
      </c>
      <c r="BB32" s="349">
        <v>3.24</v>
      </c>
    </row>
    <row r="33" spans="1:54">
      <c r="A33" s="111">
        <v>42766</v>
      </c>
      <c r="B33" s="349">
        <v>2.52</v>
      </c>
      <c r="C33" s="349">
        <v>2.59</v>
      </c>
      <c r="D33" s="349">
        <v>2.72</v>
      </c>
      <c r="E33" s="349">
        <v>2.87</v>
      </c>
      <c r="F33" s="349">
        <v>3.02</v>
      </c>
      <c r="G33" s="349">
        <v>3.16</v>
      </c>
      <c r="H33" s="349">
        <v>3.3</v>
      </c>
      <c r="I33" s="349">
        <v>3.42</v>
      </c>
      <c r="J33" s="349">
        <v>3.53</v>
      </c>
      <c r="K33" s="349">
        <v>3.63</v>
      </c>
      <c r="L33" s="349">
        <v>3.73</v>
      </c>
      <c r="M33" s="349">
        <v>3.81</v>
      </c>
      <c r="N33" s="349">
        <v>3.88</v>
      </c>
      <c r="O33" s="349">
        <v>3.94</v>
      </c>
      <c r="P33" s="2226">
        <v>3.99</v>
      </c>
      <c r="Q33" s="349">
        <v>4.01</v>
      </c>
      <c r="R33" s="349">
        <v>4.03</v>
      </c>
      <c r="S33" s="349">
        <v>4.05</v>
      </c>
      <c r="T33" s="349">
        <v>4.07</v>
      </c>
      <c r="U33" s="349">
        <v>4.09</v>
      </c>
      <c r="V33" s="349">
        <v>4.08</v>
      </c>
      <c r="W33" s="349">
        <v>4.07</v>
      </c>
      <c r="X33" s="349">
        <v>4.07</v>
      </c>
      <c r="Y33" s="349">
        <v>4.0599999999999996</v>
      </c>
      <c r="Z33" s="349">
        <v>4.0599999999999996</v>
      </c>
      <c r="AA33" s="349">
        <v>4.04</v>
      </c>
      <c r="AB33" s="349">
        <v>4.03</v>
      </c>
      <c r="AC33" s="349">
        <v>4.0199999999999996</v>
      </c>
      <c r="AD33" s="349">
        <v>4.01</v>
      </c>
      <c r="AE33" s="349">
        <v>4</v>
      </c>
      <c r="AF33" s="349">
        <v>3.98</v>
      </c>
      <c r="AG33" s="349">
        <v>3.97</v>
      </c>
      <c r="AH33" s="349">
        <v>3.96</v>
      </c>
      <c r="AI33" s="349">
        <v>3.95</v>
      </c>
      <c r="AJ33" s="349">
        <v>3.94</v>
      </c>
      <c r="AK33" s="349">
        <v>3.94</v>
      </c>
      <c r="AL33" s="349">
        <v>3.93</v>
      </c>
      <c r="AM33" s="349">
        <v>3.92</v>
      </c>
      <c r="AN33" s="349">
        <v>3.91</v>
      </c>
      <c r="AO33" s="349">
        <v>3.91</v>
      </c>
      <c r="AP33" s="349">
        <v>3.9</v>
      </c>
      <c r="AQ33" s="349">
        <v>3.9</v>
      </c>
      <c r="AR33" s="349">
        <v>3.89</v>
      </c>
      <c r="AS33" s="349">
        <v>3.89</v>
      </c>
      <c r="AT33" s="349">
        <v>3.88</v>
      </c>
      <c r="AU33" s="349">
        <v>3.88</v>
      </c>
      <c r="AV33" s="349">
        <v>3.87</v>
      </c>
      <c r="AW33" s="349">
        <v>3.87</v>
      </c>
      <c r="AX33" s="349">
        <v>3.87</v>
      </c>
      <c r="AY33" s="349">
        <v>3.86</v>
      </c>
      <c r="BB33" s="349">
        <v>3.2</v>
      </c>
    </row>
    <row r="34" spans="1:54" s="127" customFormat="1" ht="12.75">
      <c r="A34" s="109">
        <v>42794</v>
      </c>
      <c r="B34" s="349">
        <v>2.48</v>
      </c>
      <c r="C34" s="349">
        <v>2.56</v>
      </c>
      <c r="D34" s="349">
        <v>2.69</v>
      </c>
      <c r="E34" s="349">
        <v>2.84</v>
      </c>
      <c r="F34" s="349">
        <v>2.99</v>
      </c>
      <c r="G34" s="349">
        <v>3.13</v>
      </c>
      <c r="H34" s="349">
        <v>3.27</v>
      </c>
      <c r="I34" s="349">
        <v>3.39</v>
      </c>
      <c r="J34" s="349">
        <v>3.5</v>
      </c>
      <c r="K34" s="349">
        <v>3.61</v>
      </c>
      <c r="L34" s="349">
        <v>3.7</v>
      </c>
      <c r="M34" s="349">
        <v>3.78</v>
      </c>
      <c r="N34" s="349">
        <v>3.85</v>
      </c>
      <c r="O34" s="349">
        <v>3.91</v>
      </c>
      <c r="P34" s="2226">
        <v>3.96</v>
      </c>
      <c r="Q34" s="349">
        <v>3.99</v>
      </c>
      <c r="R34" s="349">
        <v>4.01</v>
      </c>
      <c r="S34" s="349">
        <v>4.03</v>
      </c>
      <c r="T34" s="349">
        <v>4.05</v>
      </c>
      <c r="U34" s="349">
        <v>4.0599999999999996</v>
      </c>
      <c r="V34" s="349">
        <v>4.0599999999999996</v>
      </c>
      <c r="W34" s="349">
        <v>4.05</v>
      </c>
      <c r="X34" s="349">
        <v>4.05</v>
      </c>
      <c r="Y34" s="349">
        <v>4.04</v>
      </c>
      <c r="Z34" s="349">
        <v>4.04</v>
      </c>
      <c r="AA34" s="349">
        <v>4.0199999999999996</v>
      </c>
      <c r="AB34" s="349">
        <v>4.01</v>
      </c>
      <c r="AC34" s="349">
        <v>4</v>
      </c>
      <c r="AD34" s="349">
        <v>3.98</v>
      </c>
      <c r="AE34" s="349">
        <v>3.97</v>
      </c>
      <c r="AF34" s="349">
        <v>3.96</v>
      </c>
      <c r="AG34" s="349">
        <v>3.95</v>
      </c>
      <c r="AH34" s="349">
        <v>3.94</v>
      </c>
      <c r="AI34" s="349">
        <v>3.93</v>
      </c>
      <c r="AJ34" s="349">
        <v>3.92</v>
      </c>
      <c r="AK34" s="349">
        <v>3.91</v>
      </c>
      <c r="AL34" s="349">
        <v>3.91</v>
      </c>
      <c r="AM34" s="349">
        <v>3.9</v>
      </c>
      <c r="AN34" s="349">
        <v>3.89</v>
      </c>
      <c r="AO34" s="349">
        <v>3.89</v>
      </c>
      <c r="AP34" s="349">
        <v>3.88</v>
      </c>
      <c r="AQ34" s="349">
        <v>3.87</v>
      </c>
      <c r="AR34" s="349">
        <v>3.87</v>
      </c>
      <c r="AS34" s="349">
        <v>3.86</v>
      </c>
      <c r="AT34" s="349">
        <v>3.86</v>
      </c>
      <c r="AU34" s="349">
        <v>3.86</v>
      </c>
      <c r="AV34" s="349">
        <v>3.85</v>
      </c>
      <c r="AW34" s="349">
        <v>3.85</v>
      </c>
      <c r="AX34" s="349">
        <v>3.84</v>
      </c>
      <c r="AY34" s="349">
        <v>3.84</v>
      </c>
      <c r="BB34" s="349">
        <v>3.16</v>
      </c>
    </row>
    <row r="35" spans="1:54">
      <c r="A35" s="111">
        <v>42825</v>
      </c>
      <c r="B35" s="349">
        <v>2.4500000000000002</v>
      </c>
      <c r="C35" s="349">
        <v>2.52</v>
      </c>
      <c r="D35" s="349">
        <v>2.65</v>
      </c>
      <c r="E35" s="349">
        <v>2.81</v>
      </c>
      <c r="F35" s="349">
        <v>2.96</v>
      </c>
      <c r="G35" s="349">
        <v>3.1</v>
      </c>
      <c r="H35" s="349">
        <v>3.24</v>
      </c>
      <c r="I35" s="349">
        <v>3.36</v>
      </c>
      <c r="J35" s="349">
        <v>3.48</v>
      </c>
      <c r="K35" s="349">
        <v>3.58</v>
      </c>
      <c r="L35" s="349">
        <v>3.68</v>
      </c>
      <c r="M35" s="349">
        <v>3.76</v>
      </c>
      <c r="N35" s="349">
        <v>3.83</v>
      </c>
      <c r="O35" s="349">
        <v>3.89</v>
      </c>
      <c r="P35" s="2226">
        <v>3.94</v>
      </c>
      <c r="Q35" s="349">
        <v>3.96</v>
      </c>
      <c r="R35" s="349">
        <v>3.99</v>
      </c>
      <c r="S35" s="349">
        <v>4.01</v>
      </c>
      <c r="T35" s="349">
        <v>4.0199999999999996</v>
      </c>
      <c r="U35" s="349">
        <v>4.04</v>
      </c>
      <c r="V35" s="349">
        <v>4.03</v>
      </c>
      <c r="W35" s="349">
        <v>4.03</v>
      </c>
      <c r="X35" s="349">
        <v>4.0199999999999996</v>
      </c>
      <c r="Y35" s="349">
        <v>4.0199999999999996</v>
      </c>
      <c r="Z35" s="349">
        <v>4.01</v>
      </c>
      <c r="AA35" s="349">
        <v>4</v>
      </c>
      <c r="AB35" s="349">
        <v>3.98</v>
      </c>
      <c r="AC35" s="349">
        <v>3.97</v>
      </c>
      <c r="AD35" s="349">
        <v>3.96</v>
      </c>
      <c r="AE35" s="349">
        <v>3.95</v>
      </c>
      <c r="AF35" s="349">
        <v>3.94</v>
      </c>
      <c r="AG35" s="349">
        <v>3.93</v>
      </c>
      <c r="AH35" s="349">
        <v>3.92</v>
      </c>
      <c r="AI35" s="349">
        <v>3.91</v>
      </c>
      <c r="AJ35" s="349">
        <v>3.9</v>
      </c>
      <c r="AK35" s="349">
        <v>3.89</v>
      </c>
      <c r="AL35" s="349">
        <v>3.88</v>
      </c>
      <c r="AM35" s="349">
        <v>3.88</v>
      </c>
      <c r="AN35" s="349">
        <v>3.87</v>
      </c>
      <c r="AO35" s="349">
        <v>3.86</v>
      </c>
      <c r="AP35" s="349">
        <v>3.86</v>
      </c>
      <c r="AQ35" s="349">
        <v>3.85</v>
      </c>
      <c r="AR35" s="349">
        <v>3.85</v>
      </c>
      <c r="AS35" s="349">
        <v>3.84</v>
      </c>
      <c r="AT35" s="349">
        <v>3.84</v>
      </c>
      <c r="AU35" s="349">
        <v>3.83</v>
      </c>
      <c r="AV35" s="349">
        <v>3.83</v>
      </c>
      <c r="AW35" s="349">
        <v>3.83</v>
      </c>
      <c r="AX35" s="349">
        <v>3.82</v>
      </c>
      <c r="AY35" s="349">
        <v>3.82</v>
      </c>
      <c r="BB35" s="349">
        <v>3.12</v>
      </c>
    </row>
    <row r="36" spans="1:54">
      <c r="A36" s="111">
        <v>42855</v>
      </c>
      <c r="B36" s="349">
        <v>2.41</v>
      </c>
      <c r="C36" s="349">
        <v>2.4900000000000002</v>
      </c>
      <c r="D36" s="349">
        <v>2.62</v>
      </c>
      <c r="E36" s="349">
        <v>2.77</v>
      </c>
      <c r="F36" s="349">
        <v>2.92</v>
      </c>
      <c r="G36" s="349">
        <v>3.07</v>
      </c>
      <c r="H36" s="349">
        <v>3.21</v>
      </c>
      <c r="I36" s="349">
        <v>3.33</v>
      </c>
      <c r="J36" s="349">
        <v>3.45</v>
      </c>
      <c r="K36" s="349">
        <v>3.55</v>
      </c>
      <c r="L36" s="349">
        <v>3.65</v>
      </c>
      <c r="M36" s="349">
        <v>3.73</v>
      </c>
      <c r="N36" s="349">
        <v>3.8</v>
      </c>
      <c r="O36" s="349">
        <v>3.86</v>
      </c>
      <c r="P36" s="2226">
        <v>3.91</v>
      </c>
      <c r="Q36" s="349">
        <v>3.94</v>
      </c>
      <c r="R36" s="349">
        <v>3.96</v>
      </c>
      <c r="S36" s="349">
        <v>3.98</v>
      </c>
      <c r="T36" s="349">
        <v>4</v>
      </c>
      <c r="U36" s="349">
        <v>4.0199999999999996</v>
      </c>
      <c r="V36" s="349">
        <v>4.01</v>
      </c>
      <c r="W36" s="349">
        <v>4</v>
      </c>
      <c r="X36" s="349">
        <v>4</v>
      </c>
      <c r="Y36" s="349">
        <v>3.99</v>
      </c>
      <c r="Z36" s="349">
        <v>3.99</v>
      </c>
      <c r="AA36" s="349">
        <v>3.97</v>
      </c>
      <c r="AB36" s="349">
        <v>3.96</v>
      </c>
      <c r="AC36" s="349">
        <v>3.95</v>
      </c>
      <c r="AD36" s="349">
        <v>3.94</v>
      </c>
      <c r="AE36" s="349">
        <v>3.93</v>
      </c>
      <c r="AF36" s="349">
        <v>3.91</v>
      </c>
      <c r="AG36" s="349">
        <v>3.9</v>
      </c>
      <c r="AH36" s="349">
        <v>3.89</v>
      </c>
      <c r="AI36" s="349">
        <v>3.89</v>
      </c>
      <c r="AJ36" s="349">
        <v>3.88</v>
      </c>
      <c r="AK36" s="349">
        <v>3.87</v>
      </c>
      <c r="AL36" s="349">
        <v>3.86</v>
      </c>
      <c r="AM36" s="349">
        <v>3.85</v>
      </c>
      <c r="AN36" s="349">
        <v>3.85</v>
      </c>
      <c r="AO36" s="349">
        <v>3.84</v>
      </c>
      <c r="AP36" s="349">
        <v>3.83</v>
      </c>
      <c r="AQ36" s="349">
        <v>3.83</v>
      </c>
      <c r="AR36" s="349">
        <v>3.82</v>
      </c>
      <c r="AS36" s="349">
        <v>3.82</v>
      </c>
      <c r="AT36" s="349">
        <v>3.82</v>
      </c>
      <c r="AU36" s="349">
        <v>3.81</v>
      </c>
      <c r="AV36" s="349">
        <v>3.81</v>
      </c>
      <c r="AW36" s="349">
        <v>3.8</v>
      </c>
      <c r="AX36" s="349">
        <v>3.8</v>
      </c>
      <c r="AY36" s="349">
        <v>3.8</v>
      </c>
      <c r="BB36" s="349">
        <v>3.08</v>
      </c>
    </row>
    <row r="37" spans="1:54" s="127" customFormat="1" ht="12.75">
      <c r="A37" s="109">
        <v>42886</v>
      </c>
      <c r="B37" s="349">
        <v>2.38</v>
      </c>
      <c r="C37" s="349">
        <v>2.4500000000000002</v>
      </c>
      <c r="D37" s="349">
        <v>2.58</v>
      </c>
      <c r="E37" s="349">
        <v>2.74</v>
      </c>
      <c r="F37" s="349">
        <v>2.89</v>
      </c>
      <c r="G37" s="349">
        <v>3.04</v>
      </c>
      <c r="H37" s="349">
        <v>3.18</v>
      </c>
      <c r="I37" s="349">
        <v>3.3</v>
      </c>
      <c r="J37" s="349">
        <v>3.42</v>
      </c>
      <c r="K37" s="349">
        <v>3.52</v>
      </c>
      <c r="L37" s="349">
        <v>3.62</v>
      </c>
      <c r="M37" s="349">
        <v>3.7</v>
      </c>
      <c r="N37" s="349">
        <v>3.77</v>
      </c>
      <c r="O37" s="349">
        <v>3.83</v>
      </c>
      <c r="P37" s="2226">
        <v>3.88</v>
      </c>
      <c r="Q37" s="349">
        <v>3.91</v>
      </c>
      <c r="R37" s="349">
        <v>3.93</v>
      </c>
      <c r="S37" s="349">
        <v>3.95</v>
      </c>
      <c r="T37" s="349">
        <v>3.97</v>
      </c>
      <c r="U37" s="349">
        <v>3.99</v>
      </c>
      <c r="V37" s="349">
        <v>3.98</v>
      </c>
      <c r="W37" s="349">
        <v>3.98</v>
      </c>
      <c r="X37" s="349">
        <v>3.97</v>
      </c>
      <c r="Y37" s="349">
        <v>3.97</v>
      </c>
      <c r="Z37" s="349">
        <v>3.96</v>
      </c>
      <c r="AA37" s="349">
        <v>3.95</v>
      </c>
      <c r="AB37" s="349">
        <v>3.94</v>
      </c>
      <c r="AC37" s="349">
        <v>3.92</v>
      </c>
      <c r="AD37" s="349">
        <v>3.91</v>
      </c>
      <c r="AE37" s="349">
        <v>3.9</v>
      </c>
      <c r="AF37" s="349">
        <v>3.89</v>
      </c>
      <c r="AG37" s="349">
        <v>3.88</v>
      </c>
      <c r="AH37" s="349">
        <v>3.87</v>
      </c>
      <c r="AI37" s="349">
        <v>3.86</v>
      </c>
      <c r="AJ37" s="349">
        <v>3.85</v>
      </c>
      <c r="AK37" s="349">
        <v>3.84</v>
      </c>
      <c r="AL37" s="349">
        <v>3.84</v>
      </c>
      <c r="AM37" s="349">
        <v>3.83</v>
      </c>
      <c r="AN37" s="349">
        <v>3.82</v>
      </c>
      <c r="AO37" s="349">
        <v>3.82</v>
      </c>
      <c r="AP37" s="349">
        <v>3.81</v>
      </c>
      <c r="AQ37" s="349">
        <v>3.81</v>
      </c>
      <c r="AR37" s="349">
        <v>3.8</v>
      </c>
      <c r="AS37" s="349">
        <v>3.8</v>
      </c>
      <c r="AT37" s="349">
        <v>3.79</v>
      </c>
      <c r="AU37" s="349">
        <v>3.79</v>
      </c>
      <c r="AV37" s="349">
        <v>3.78</v>
      </c>
      <c r="AW37" s="349">
        <v>3.78</v>
      </c>
      <c r="AX37" s="349">
        <v>3.78</v>
      </c>
      <c r="AY37" s="349">
        <v>3.77</v>
      </c>
      <c r="BB37" s="349">
        <v>3.04</v>
      </c>
    </row>
    <row r="38" spans="1:54" s="127" customFormat="1" ht="12.75">
      <c r="A38" s="109">
        <v>42916</v>
      </c>
      <c r="B38" s="349">
        <v>2.34</v>
      </c>
      <c r="C38" s="349">
        <v>2.41</v>
      </c>
      <c r="D38" s="349">
        <v>2.5499999999999998</v>
      </c>
      <c r="E38" s="349">
        <v>2.7</v>
      </c>
      <c r="F38" s="349">
        <v>2.85</v>
      </c>
      <c r="G38" s="349">
        <v>3</v>
      </c>
      <c r="H38" s="349">
        <v>3.14</v>
      </c>
      <c r="I38" s="349">
        <v>3.27</v>
      </c>
      <c r="J38" s="349">
        <v>3.39</v>
      </c>
      <c r="K38" s="349">
        <v>3.49</v>
      </c>
      <c r="L38" s="349">
        <v>3.59</v>
      </c>
      <c r="M38" s="349">
        <v>3.67</v>
      </c>
      <c r="N38" s="349">
        <v>3.74</v>
      </c>
      <c r="O38" s="349">
        <v>3.8</v>
      </c>
      <c r="P38" s="2226">
        <v>3.86</v>
      </c>
      <c r="Q38" s="349">
        <v>3.88</v>
      </c>
      <c r="R38" s="349">
        <v>3.91</v>
      </c>
      <c r="S38" s="349">
        <v>3.93</v>
      </c>
      <c r="T38" s="349">
        <v>3.95</v>
      </c>
      <c r="U38" s="349">
        <v>3.96</v>
      </c>
      <c r="V38" s="349">
        <v>3.96</v>
      </c>
      <c r="W38" s="349">
        <v>3.95</v>
      </c>
      <c r="X38" s="349">
        <v>3.95</v>
      </c>
      <c r="Y38" s="349">
        <v>3.94</v>
      </c>
      <c r="Z38" s="349">
        <v>3.94</v>
      </c>
      <c r="AA38" s="349">
        <v>3.92</v>
      </c>
      <c r="AB38" s="349">
        <v>3.91</v>
      </c>
      <c r="AC38" s="349">
        <v>3.9</v>
      </c>
      <c r="AD38" s="349">
        <v>3.89</v>
      </c>
      <c r="AE38" s="349">
        <v>3.88</v>
      </c>
      <c r="AF38" s="349">
        <v>3.87</v>
      </c>
      <c r="AG38" s="349">
        <v>3.86</v>
      </c>
      <c r="AH38" s="349">
        <v>3.85</v>
      </c>
      <c r="AI38" s="349">
        <v>3.84</v>
      </c>
      <c r="AJ38" s="349">
        <v>3.83</v>
      </c>
      <c r="AK38" s="349">
        <v>3.82</v>
      </c>
      <c r="AL38" s="349">
        <v>3.81</v>
      </c>
      <c r="AM38" s="349">
        <v>3.81</v>
      </c>
      <c r="AN38" s="349">
        <v>3.8</v>
      </c>
      <c r="AO38" s="349">
        <v>3.79</v>
      </c>
      <c r="AP38" s="349">
        <v>3.79</v>
      </c>
      <c r="AQ38" s="349">
        <v>3.78</v>
      </c>
      <c r="AR38" s="349">
        <v>3.78</v>
      </c>
      <c r="AS38" s="349">
        <v>3.77</v>
      </c>
      <c r="AT38" s="349">
        <v>3.77</v>
      </c>
      <c r="AU38" s="349">
        <v>3.76</v>
      </c>
      <c r="AV38" s="349">
        <v>3.76</v>
      </c>
      <c r="AW38" s="349">
        <v>3.76</v>
      </c>
      <c r="AX38" s="349">
        <v>3.75</v>
      </c>
      <c r="AY38" s="349">
        <v>3.75</v>
      </c>
      <c r="BB38" s="349">
        <v>3</v>
      </c>
    </row>
    <row r="39" spans="1:54">
      <c r="A39" s="111">
        <v>42947</v>
      </c>
      <c r="B39" s="349">
        <v>2.2999999999999998</v>
      </c>
      <c r="C39" s="349">
        <v>2.38</v>
      </c>
      <c r="D39" s="349">
        <v>2.5099999999999998</v>
      </c>
      <c r="E39" s="349">
        <v>2.67</v>
      </c>
      <c r="F39" s="349">
        <v>2.82</v>
      </c>
      <c r="G39" s="349">
        <v>2.97</v>
      </c>
      <c r="H39" s="349">
        <v>3.11</v>
      </c>
      <c r="I39" s="349">
        <v>3.24</v>
      </c>
      <c r="J39" s="349">
        <v>3.36</v>
      </c>
      <c r="K39" s="349">
        <v>3.46</v>
      </c>
      <c r="L39" s="349">
        <v>3.56</v>
      </c>
      <c r="M39" s="349">
        <v>3.64</v>
      </c>
      <c r="N39" s="349">
        <v>3.72</v>
      </c>
      <c r="O39" s="349">
        <v>3.78</v>
      </c>
      <c r="P39" s="2226">
        <v>3.83</v>
      </c>
      <c r="Q39" s="349">
        <v>3.86</v>
      </c>
      <c r="R39" s="349">
        <v>3.88</v>
      </c>
      <c r="S39" s="349">
        <v>3.9</v>
      </c>
      <c r="T39" s="349">
        <v>3.92</v>
      </c>
      <c r="U39" s="349">
        <v>3.94</v>
      </c>
      <c r="V39" s="349">
        <v>3.93</v>
      </c>
      <c r="W39" s="349">
        <v>3.93</v>
      </c>
      <c r="X39" s="349">
        <v>3.92</v>
      </c>
      <c r="Y39" s="349">
        <v>3.92</v>
      </c>
      <c r="Z39" s="349">
        <v>3.91</v>
      </c>
      <c r="AA39" s="349">
        <v>3.9</v>
      </c>
      <c r="AB39" s="349">
        <v>3.89</v>
      </c>
      <c r="AC39" s="349">
        <v>3.87</v>
      </c>
      <c r="AD39" s="349">
        <v>3.86</v>
      </c>
      <c r="AE39" s="349">
        <v>3.85</v>
      </c>
      <c r="AF39" s="349">
        <v>3.84</v>
      </c>
      <c r="AG39" s="349">
        <v>3.83</v>
      </c>
      <c r="AH39" s="349">
        <v>3.82</v>
      </c>
      <c r="AI39" s="349">
        <v>3.81</v>
      </c>
      <c r="AJ39" s="349">
        <v>3.8</v>
      </c>
      <c r="AK39" s="349">
        <v>3.8</v>
      </c>
      <c r="AL39" s="349">
        <v>3.79</v>
      </c>
      <c r="AM39" s="349">
        <v>3.78</v>
      </c>
      <c r="AN39" s="349">
        <v>3.77</v>
      </c>
      <c r="AO39" s="349">
        <v>3.77</v>
      </c>
      <c r="AP39" s="349">
        <v>3.76</v>
      </c>
      <c r="AQ39" s="349">
        <v>3.76</v>
      </c>
      <c r="AR39" s="349">
        <v>3.75</v>
      </c>
      <c r="AS39" s="349">
        <v>3.75</v>
      </c>
      <c r="AT39" s="349">
        <v>3.74</v>
      </c>
      <c r="AU39" s="349">
        <v>3.74</v>
      </c>
      <c r="AV39" s="349">
        <v>3.74</v>
      </c>
      <c r="AW39" s="349">
        <v>3.73</v>
      </c>
      <c r="AX39" s="349">
        <v>3.73</v>
      </c>
      <c r="AY39" s="349">
        <v>3.72</v>
      </c>
      <c r="BB39" s="349">
        <v>2.97</v>
      </c>
    </row>
    <row r="40" spans="1:54">
      <c r="A40" s="111">
        <v>42978</v>
      </c>
      <c r="B40" s="349">
        <v>2.2599999999999998</v>
      </c>
      <c r="C40" s="349">
        <v>2.34</v>
      </c>
      <c r="D40" s="349">
        <v>2.4700000000000002</v>
      </c>
      <c r="E40" s="349">
        <v>2.63</v>
      </c>
      <c r="F40" s="349">
        <v>2.78</v>
      </c>
      <c r="G40" s="349">
        <v>2.94</v>
      </c>
      <c r="H40" s="349">
        <v>3.08</v>
      </c>
      <c r="I40" s="349">
        <v>3.21</v>
      </c>
      <c r="J40" s="349">
        <v>3.32</v>
      </c>
      <c r="K40" s="349">
        <v>3.43</v>
      </c>
      <c r="L40" s="349">
        <v>3.53</v>
      </c>
      <c r="M40" s="349">
        <v>3.61</v>
      </c>
      <c r="N40" s="349">
        <v>3.69</v>
      </c>
      <c r="O40" s="349">
        <v>3.75</v>
      </c>
      <c r="P40" s="2226">
        <v>3.8</v>
      </c>
      <c r="Q40" s="349">
        <v>3.83</v>
      </c>
      <c r="R40" s="349">
        <v>3.85</v>
      </c>
      <c r="S40" s="349">
        <v>3.87</v>
      </c>
      <c r="T40" s="349">
        <v>3.89</v>
      </c>
      <c r="U40" s="349">
        <v>3.91</v>
      </c>
      <c r="V40" s="349">
        <v>3.9</v>
      </c>
      <c r="W40" s="349">
        <v>3.9</v>
      </c>
      <c r="X40" s="349">
        <v>3.89</v>
      </c>
      <c r="Y40" s="349">
        <v>3.89</v>
      </c>
      <c r="Z40" s="349">
        <v>3.89</v>
      </c>
      <c r="AA40" s="349">
        <v>3.87</v>
      </c>
      <c r="AB40" s="349">
        <v>3.86</v>
      </c>
      <c r="AC40" s="349">
        <v>3.85</v>
      </c>
      <c r="AD40" s="349">
        <v>3.84</v>
      </c>
      <c r="AE40" s="349">
        <v>3.82</v>
      </c>
      <c r="AF40" s="349">
        <v>3.81</v>
      </c>
      <c r="AG40" s="349">
        <v>3.8</v>
      </c>
      <c r="AH40" s="349">
        <v>3.79</v>
      </c>
      <c r="AI40" s="349">
        <v>3.79</v>
      </c>
      <c r="AJ40" s="349">
        <v>3.78</v>
      </c>
      <c r="AK40" s="349">
        <v>3.77</v>
      </c>
      <c r="AL40" s="349">
        <v>3.76</v>
      </c>
      <c r="AM40" s="349">
        <v>3.76</v>
      </c>
      <c r="AN40" s="349">
        <v>3.75</v>
      </c>
      <c r="AO40" s="349">
        <v>3.74</v>
      </c>
      <c r="AP40" s="349">
        <v>3.74</v>
      </c>
      <c r="AQ40" s="349">
        <v>3.73</v>
      </c>
      <c r="AR40" s="349">
        <v>3.73</v>
      </c>
      <c r="AS40" s="349">
        <v>3.72</v>
      </c>
      <c r="AT40" s="349">
        <v>3.72</v>
      </c>
      <c r="AU40" s="349">
        <v>3.71</v>
      </c>
      <c r="AV40" s="349">
        <v>3.71</v>
      </c>
      <c r="AW40" s="349">
        <v>3.71</v>
      </c>
      <c r="AX40" s="349">
        <v>3.7</v>
      </c>
      <c r="AY40" s="349">
        <v>3.7</v>
      </c>
      <c r="BB40" s="349">
        <v>2.94</v>
      </c>
    </row>
    <row r="41" spans="1:54">
      <c r="A41" s="111">
        <v>43008</v>
      </c>
      <c r="B41" s="349">
        <v>2.2200000000000002</v>
      </c>
      <c r="C41" s="349">
        <v>2.2999999999999998</v>
      </c>
      <c r="D41" s="349">
        <v>2.4300000000000002</v>
      </c>
      <c r="E41" s="349">
        <v>2.59</v>
      </c>
      <c r="F41" s="349">
        <v>2.75</v>
      </c>
      <c r="G41" s="349">
        <v>2.9</v>
      </c>
      <c r="H41" s="349">
        <v>3.04</v>
      </c>
      <c r="I41" s="349">
        <v>3.17</v>
      </c>
      <c r="J41" s="349">
        <v>3.29</v>
      </c>
      <c r="K41" s="349">
        <v>3.4</v>
      </c>
      <c r="L41" s="349">
        <v>3.5</v>
      </c>
      <c r="M41" s="349">
        <v>3.58</v>
      </c>
      <c r="N41" s="349">
        <v>3.66</v>
      </c>
      <c r="O41" s="349">
        <v>3.72</v>
      </c>
      <c r="P41" s="2226">
        <v>3.77</v>
      </c>
      <c r="Q41" s="349">
        <v>3.8</v>
      </c>
      <c r="R41" s="349">
        <v>3.82</v>
      </c>
      <c r="S41" s="349">
        <v>3.84</v>
      </c>
      <c r="T41" s="349">
        <v>3.86</v>
      </c>
      <c r="U41" s="349">
        <v>3.88</v>
      </c>
      <c r="V41" s="349">
        <v>3.88</v>
      </c>
      <c r="W41" s="349">
        <v>3.87</v>
      </c>
      <c r="X41" s="349">
        <v>3.87</v>
      </c>
      <c r="Y41" s="349">
        <v>3.86</v>
      </c>
      <c r="Z41" s="349">
        <v>3.86</v>
      </c>
      <c r="AA41" s="349">
        <v>3.84</v>
      </c>
      <c r="AB41" s="349">
        <v>3.83</v>
      </c>
      <c r="AC41" s="349">
        <v>3.82</v>
      </c>
      <c r="AD41" s="349">
        <v>3.81</v>
      </c>
      <c r="AE41" s="349">
        <v>3.8</v>
      </c>
      <c r="AF41" s="349">
        <v>3.79</v>
      </c>
      <c r="AG41" s="349">
        <v>3.78</v>
      </c>
      <c r="AH41" s="349">
        <v>3.77</v>
      </c>
      <c r="AI41" s="349">
        <v>3.76</v>
      </c>
      <c r="AJ41" s="349">
        <v>3.75</v>
      </c>
      <c r="AK41" s="349">
        <v>3.74</v>
      </c>
      <c r="AL41" s="349">
        <v>3.74</v>
      </c>
      <c r="AM41" s="349">
        <v>3.73</v>
      </c>
      <c r="AN41" s="349">
        <v>3.72</v>
      </c>
      <c r="AO41" s="349">
        <v>3.72</v>
      </c>
      <c r="AP41" s="349">
        <v>3.71</v>
      </c>
      <c r="AQ41" s="349">
        <v>3.71</v>
      </c>
      <c r="AR41" s="349">
        <v>3.7</v>
      </c>
      <c r="AS41" s="349">
        <v>3.7</v>
      </c>
      <c r="AT41" s="349">
        <v>3.69</v>
      </c>
      <c r="AU41" s="349">
        <v>3.69</v>
      </c>
      <c r="AV41" s="349">
        <v>3.68</v>
      </c>
      <c r="AW41" s="349">
        <v>3.68</v>
      </c>
      <c r="AX41" s="349">
        <v>3.68</v>
      </c>
      <c r="AY41" s="349">
        <v>3.67</v>
      </c>
      <c r="BB41" s="349">
        <v>2.91</v>
      </c>
    </row>
    <row r="42" spans="1:54">
      <c r="A42" s="111">
        <v>43039</v>
      </c>
      <c r="B42" s="349">
        <v>2.1800000000000002</v>
      </c>
      <c r="C42" s="349">
        <v>2.2599999999999998</v>
      </c>
      <c r="D42" s="349">
        <v>2.4</v>
      </c>
      <c r="E42" s="349">
        <v>2.5499999999999998</v>
      </c>
      <c r="F42" s="349">
        <v>2.71</v>
      </c>
      <c r="G42" s="349">
        <v>2.87</v>
      </c>
      <c r="H42" s="349">
        <v>3.01</v>
      </c>
      <c r="I42" s="349">
        <v>3.14</v>
      </c>
      <c r="J42" s="349">
        <v>3.26</v>
      </c>
      <c r="K42" s="349">
        <v>3.37</v>
      </c>
      <c r="L42" s="349">
        <v>3.47</v>
      </c>
      <c r="M42" s="349">
        <v>3.55</v>
      </c>
      <c r="N42" s="349">
        <v>3.62</v>
      </c>
      <c r="O42" s="349">
        <v>3.69</v>
      </c>
      <c r="P42" s="2226">
        <v>3.74</v>
      </c>
      <c r="Q42" s="349">
        <v>3.77</v>
      </c>
      <c r="R42" s="349">
        <v>3.79</v>
      </c>
      <c r="S42" s="349">
        <v>3.82</v>
      </c>
      <c r="T42" s="349">
        <v>3.84</v>
      </c>
      <c r="U42" s="349">
        <v>3.85</v>
      </c>
      <c r="V42" s="349">
        <v>3.85</v>
      </c>
      <c r="W42" s="349">
        <v>3.84</v>
      </c>
      <c r="X42" s="349">
        <v>3.84</v>
      </c>
      <c r="Y42" s="349">
        <v>3.83</v>
      </c>
      <c r="Z42" s="349">
        <v>3.83</v>
      </c>
      <c r="AA42" s="349">
        <v>3.82</v>
      </c>
      <c r="AB42" s="349">
        <v>3.8</v>
      </c>
      <c r="AC42" s="349">
        <v>3.79</v>
      </c>
      <c r="AD42" s="349">
        <v>3.78</v>
      </c>
      <c r="AE42" s="349">
        <v>3.77</v>
      </c>
      <c r="AF42" s="349">
        <v>3.76</v>
      </c>
      <c r="AG42" s="349">
        <v>3.75</v>
      </c>
      <c r="AH42" s="349">
        <v>3.74</v>
      </c>
      <c r="AI42" s="349">
        <v>3.73</v>
      </c>
      <c r="AJ42" s="349">
        <v>3.72</v>
      </c>
      <c r="AK42" s="349">
        <v>3.72</v>
      </c>
      <c r="AL42" s="349">
        <v>3.71</v>
      </c>
      <c r="AM42" s="349">
        <v>3.7</v>
      </c>
      <c r="AN42" s="349">
        <v>3.7</v>
      </c>
      <c r="AO42" s="349">
        <v>3.69</v>
      </c>
      <c r="AP42" s="349">
        <v>3.68</v>
      </c>
      <c r="AQ42" s="349">
        <v>3.68</v>
      </c>
      <c r="AR42" s="349">
        <v>3.67</v>
      </c>
      <c r="AS42" s="349">
        <v>3.67</v>
      </c>
      <c r="AT42" s="349">
        <v>3.67</v>
      </c>
      <c r="AU42" s="349">
        <v>3.66</v>
      </c>
      <c r="AV42" s="349">
        <v>3.66</v>
      </c>
      <c r="AW42" s="349">
        <v>3.65</v>
      </c>
      <c r="AX42" s="349">
        <v>3.65</v>
      </c>
      <c r="AY42" s="349">
        <v>3.65</v>
      </c>
      <c r="BB42" s="349">
        <v>2.88</v>
      </c>
    </row>
    <row r="43" spans="1:54">
      <c r="A43" s="110">
        <v>43069</v>
      </c>
      <c r="B43" s="349">
        <v>2.13</v>
      </c>
      <c r="C43" s="349">
        <v>2.2200000000000002</v>
      </c>
      <c r="D43" s="349">
        <v>2.36</v>
      </c>
      <c r="E43" s="349">
        <v>2.52</v>
      </c>
      <c r="F43" s="349">
        <v>2.67</v>
      </c>
      <c r="G43" s="349">
        <v>2.83</v>
      </c>
      <c r="H43" s="349">
        <v>2.97</v>
      </c>
      <c r="I43" s="349">
        <v>3.1</v>
      </c>
      <c r="J43" s="349">
        <v>3.22</v>
      </c>
      <c r="K43" s="349">
        <v>3.33</v>
      </c>
      <c r="L43" s="349">
        <v>3.43</v>
      </c>
      <c r="M43" s="349">
        <v>3.52</v>
      </c>
      <c r="N43" s="349">
        <v>3.59</v>
      </c>
      <c r="O43" s="349">
        <v>3.65</v>
      </c>
      <c r="P43" s="2226">
        <v>3.71</v>
      </c>
      <c r="Q43" s="349">
        <v>3.74</v>
      </c>
      <c r="R43" s="349">
        <v>3.76</v>
      </c>
      <c r="S43" s="349">
        <v>3.78</v>
      </c>
      <c r="T43" s="349">
        <v>3.8</v>
      </c>
      <c r="U43" s="349">
        <v>3.82</v>
      </c>
      <c r="V43" s="349">
        <v>3.82</v>
      </c>
      <c r="W43" s="349">
        <v>3.81</v>
      </c>
      <c r="X43" s="349">
        <v>3.81</v>
      </c>
      <c r="Y43" s="349">
        <v>3.8</v>
      </c>
      <c r="Z43" s="349">
        <v>3.8</v>
      </c>
      <c r="AA43" s="349">
        <v>3.79</v>
      </c>
      <c r="AB43" s="349">
        <v>3.77</v>
      </c>
      <c r="AC43" s="349">
        <v>3.76</v>
      </c>
      <c r="AD43" s="349">
        <v>3.75</v>
      </c>
      <c r="AE43" s="349">
        <v>3.74</v>
      </c>
      <c r="AF43" s="349">
        <v>3.73</v>
      </c>
      <c r="AG43" s="349">
        <v>3.72</v>
      </c>
      <c r="AH43" s="349">
        <v>3.71</v>
      </c>
      <c r="AI43" s="349">
        <v>3.7</v>
      </c>
      <c r="AJ43" s="349">
        <v>3.69</v>
      </c>
      <c r="AK43" s="349">
        <v>3.69</v>
      </c>
      <c r="AL43" s="349">
        <v>3.68</v>
      </c>
      <c r="AM43" s="349">
        <v>3.67</v>
      </c>
      <c r="AN43" s="349">
        <v>3.67</v>
      </c>
      <c r="AO43" s="349">
        <v>3.66</v>
      </c>
      <c r="AP43" s="349">
        <v>3.65</v>
      </c>
      <c r="AQ43" s="349">
        <v>3.65</v>
      </c>
      <c r="AR43" s="349">
        <v>3.64</v>
      </c>
      <c r="AS43" s="349">
        <v>3.64</v>
      </c>
      <c r="AT43" s="349">
        <v>3.64</v>
      </c>
      <c r="AU43" s="349">
        <v>3.63</v>
      </c>
      <c r="AV43" s="349">
        <v>3.63</v>
      </c>
      <c r="AW43" s="349">
        <v>3.62</v>
      </c>
      <c r="AX43" s="349">
        <v>3.62</v>
      </c>
      <c r="AY43" s="349">
        <v>3.62</v>
      </c>
      <c r="BB43" s="349">
        <v>2.84</v>
      </c>
    </row>
    <row r="44" spans="1:54" s="127" customFormat="1" ht="12.75">
      <c r="A44" s="109">
        <v>43100</v>
      </c>
      <c r="B44" s="349">
        <v>2.09</v>
      </c>
      <c r="C44" s="349">
        <v>2.17</v>
      </c>
      <c r="D44" s="349">
        <v>2.3199999999999998</v>
      </c>
      <c r="E44" s="349">
        <v>2.48</v>
      </c>
      <c r="F44" s="349">
        <v>2.63</v>
      </c>
      <c r="G44" s="349">
        <v>2.79</v>
      </c>
      <c r="H44" s="349">
        <v>2.93</v>
      </c>
      <c r="I44" s="349">
        <v>3.07</v>
      </c>
      <c r="J44" s="349">
        <v>3.19</v>
      </c>
      <c r="K44" s="349">
        <v>3.3</v>
      </c>
      <c r="L44" s="349">
        <v>3.4</v>
      </c>
      <c r="M44" s="349">
        <v>3.48</v>
      </c>
      <c r="N44" s="349">
        <v>3.56</v>
      </c>
      <c r="O44" s="349">
        <v>3.62</v>
      </c>
      <c r="P44" s="2226">
        <v>3.68</v>
      </c>
      <c r="Q44" s="349">
        <v>3.7</v>
      </c>
      <c r="R44" s="349">
        <v>3.73</v>
      </c>
      <c r="S44" s="349">
        <v>3.75</v>
      </c>
      <c r="T44" s="349">
        <v>3.77</v>
      </c>
      <c r="U44" s="349">
        <v>3.79</v>
      </c>
      <c r="V44" s="349">
        <v>3.78</v>
      </c>
      <c r="W44" s="349">
        <v>3.78</v>
      </c>
      <c r="X44" s="349">
        <v>3.77</v>
      </c>
      <c r="Y44" s="349">
        <v>3.77</v>
      </c>
      <c r="Z44" s="349">
        <v>3.77</v>
      </c>
      <c r="AA44" s="349">
        <v>3.75</v>
      </c>
      <c r="AB44" s="349">
        <v>3.74</v>
      </c>
      <c r="AC44" s="349">
        <v>3.73</v>
      </c>
      <c r="AD44" s="349">
        <v>3.72</v>
      </c>
      <c r="AE44" s="349">
        <v>3.71</v>
      </c>
      <c r="AF44" s="349">
        <v>3.7</v>
      </c>
      <c r="AG44" s="349">
        <v>3.69</v>
      </c>
      <c r="AH44" s="349">
        <v>3.68</v>
      </c>
      <c r="AI44" s="349">
        <v>3.67</v>
      </c>
      <c r="AJ44" s="349">
        <v>3.66</v>
      </c>
      <c r="AK44" s="349">
        <v>3.66</v>
      </c>
      <c r="AL44" s="349">
        <v>3.65</v>
      </c>
      <c r="AM44" s="349">
        <v>3.64</v>
      </c>
      <c r="AN44" s="349">
        <v>3.64</v>
      </c>
      <c r="AO44" s="349">
        <v>3.63</v>
      </c>
      <c r="AP44" s="349">
        <v>3.62</v>
      </c>
      <c r="AQ44" s="349">
        <v>3.62</v>
      </c>
      <c r="AR44" s="349">
        <v>3.62</v>
      </c>
      <c r="AS44" s="349">
        <v>3.61</v>
      </c>
      <c r="AT44" s="349">
        <v>3.61</v>
      </c>
      <c r="AU44" s="349">
        <v>3.6</v>
      </c>
      <c r="AV44" s="349">
        <v>3.6</v>
      </c>
      <c r="AW44" s="349">
        <v>3.6</v>
      </c>
      <c r="AX44" s="349">
        <v>3.59</v>
      </c>
      <c r="AY44" s="349">
        <v>3.59</v>
      </c>
      <c r="BB44" s="349">
        <v>2.8</v>
      </c>
    </row>
    <row r="45" spans="1:54">
      <c r="A45" s="111">
        <v>43131</v>
      </c>
      <c r="B45" s="349">
        <v>2.04</v>
      </c>
      <c r="C45" s="349">
        <v>2.13</v>
      </c>
      <c r="D45" s="349">
        <v>2.2799999999999998</v>
      </c>
      <c r="E45" s="349">
        <v>2.44</v>
      </c>
      <c r="F45" s="349">
        <v>2.6</v>
      </c>
      <c r="G45" s="349">
        <v>2.75</v>
      </c>
      <c r="H45" s="349">
        <v>2.9</v>
      </c>
      <c r="I45" s="349">
        <v>3.03</v>
      </c>
      <c r="J45" s="349">
        <v>3.15</v>
      </c>
      <c r="K45" s="349">
        <v>3.26</v>
      </c>
      <c r="L45" s="349">
        <v>3.37</v>
      </c>
      <c r="M45" s="349">
        <v>3.45</v>
      </c>
      <c r="N45" s="349">
        <v>3.52</v>
      </c>
      <c r="O45" s="349">
        <v>3.59</v>
      </c>
      <c r="P45" s="2226">
        <v>3.64</v>
      </c>
      <c r="Q45" s="349">
        <v>3.67</v>
      </c>
      <c r="R45" s="349">
        <v>3.69</v>
      </c>
      <c r="S45" s="349">
        <v>3.72</v>
      </c>
      <c r="T45" s="349">
        <v>3.74</v>
      </c>
      <c r="U45" s="349">
        <v>3.75</v>
      </c>
      <c r="V45" s="349">
        <v>3.75</v>
      </c>
      <c r="W45" s="349">
        <v>3.74</v>
      </c>
      <c r="X45" s="349">
        <v>3.74</v>
      </c>
      <c r="Y45" s="349">
        <v>3.74</v>
      </c>
      <c r="Z45" s="349">
        <v>3.73</v>
      </c>
      <c r="AA45" s="349">
        <v>3.72</v>
      </c>
      <c r="AB45" s="349">
        <v>3.71</v>
      </c>
      <c r="AC45" s="349">
        <v>3.7</v>
      </c>
      <c r="AD45" s="349">
        <v>3.68</v>
      </c>
      <c r="AE45" s="349">
        <v>3.67</v>
      </c>
      <c r="AF45" s="349">
        <v>3.66</v>
      </c>
      <c r="AG45" s="349">
        <v>3.66</v>
      </c>
      <c r="AH45" s="349">
        <v>3.65</v>
      </c>
      <c r="AI45" s="349">
        <v>3.64</v>
      </c>
      <c r="AJ45" s="349">
        <v>3.63</v>
      </c>
      <c r="AK45" s="349">
        <v>3.62</v>
      </c>
      <c r="AL45" s="349">
        <v>3.62</v>
      </c>
      <c r="AM45" s="349">
        <v>3.61</v>
      </c>
      <c r="AN45" s="349">
        <v>3.6</v>
      </c>
      <c r="AO45" s="349">
        <v>3.6</v>
      </c>
      <c r="AP45" s="349">
        <v>3.59</v>
      </c>
      <c r="AQ45" s="349">
        <v>3.59</v>
      </c>
      <c r="AR45" s="349">
        <v>3.58</v>
      </c>
      <c r="AS45" s="349">
        <v>3.58</v>
      </c>
      <c r="AT45" s="349">
        <v>3.57</v>
      </c>
      <c r="AU45" s="349">
        <v>3.57</v>
      </c>
      <c r="AV45" s="349">
        <v>3.57</v>
      </c>
      <c r="AW45" s="349">
        <v>3.56</v>
      </c>
      <c r="AX45" s="349">
        <v>3.56</v>
      </c>
      <c r="AY45" s="349">
        <v>3.56</v>
      </c>
      <c r="BB45" s="349">
        <v>2.76</v>
      </c>
    </row>
    <row r="46" spans="1:54" s="127" customFormat="1" ht="12.75">
      <c r="A46" s="109">
        <v>43159</v>
      </c>
      <c r="B46" s="349">
        <v>2</v>
      </c>
      <c r="C46" s="349">
        <v>2.09</v>
      </c>
      <c r="D46" s="349">
        <v>2.2400000000000002</v>
      </c>
      <c r="E46" s="349">
        <v>2.4</v>
      </c>
      <c r="F46" s="349">
        <v>2.56</v>
      </c>
      <c r="G46" s="349">
        <v>2.72</v>
      </c>
      <c r="H46" s="349">
        <v>2.86</v>
      </c>
      <c r="I46" s="349">
        <v>3</v>
      </c>
      <c r="J46" s="349">
        <v>3.12</v>
      </c>
      <c r="K46" s="349">
        <v>3.23</v>
      </c>
      <c r="L46" s="349">
        <v>3.33</v>
      </c>
      <c r="M46" s="349">
        <v>3.41</v>
      </c>
      <c r="N46" s="349">
        <v>3.49</v>
      </c>
      <c r="O46" s="349">
        <v>3.55</v>
      </c>
      <c r="P46" s="2226">
        <v>3.61</v>
      </c>
      <c r="Q46" s="349">
        <v>3.63</v>
      </c>
      <c r="R46" s="349">
        <v>3.66</v>
      </c>
      <c r="S46" s="349">
        <v>3.68</v>
      </c>
      <c r="T46" s="349">
        <v>3.7</v>
      </c>
      <c r="U46" s="349">
        <v>3.72</v>
      </c>
      <c r="V46" s="349">
        <v>3.72</v>
      </c>
      <c r="W46" s="349">
        <v>3.71</v>
      </c>
      <c r="X46" s="349">
        <v>3.71</v>
      </c>
      <c r="Y46" s="349">
        <v>3.7</v>
      </c>
      <c r="Z46" s="349">
        <v>3.7</v>
      </c>
      <c r="AA46" s="349">
        <v>3.69</v>
      </c>
      <c r="AB46" s="349">
        <v>3.67</v>
      </c>
      <c r="AC46" s="349">
        <v>3.66</v>
      </c>
      <c r="AD46" s="349">
        <v>3.65</v>
      </c>
      <c r="AE46" s="349">
        <v>3.64</v>
      </c>
      <c r="AF46" s="349">
        <v>3.63</v>
      </c>
      <c r="AG46" s="349">
        <v>3.62</v>
      </c>
      <c r="AH46" s="349">
        <v>3.61</v>
      </c>
      <c r="AI46" s="349">
        <v>3.6</v>
      </c>
      <c r="AJ46" s="349">
        <v>3.6</v>
      </c>
      <c r="AK46" s="349">
        <v>3.59</v>
      </c>
      <c r="AL46" s="349">
        <v>3.58</v>
      </c>
      <c r="AM46" s="349">
        <v>3.58</v>
      </c>
      <c r="AN46" s="349">
        <v>3.57</v>
      </c>
      <c r="AO46" s="349">
        <v>3.56</v>
      </c>
      <c r="AP46" s="349">
        <v>3.56</v>
      </c>
      <c r="AQ46" s="349">
        <v>3.55</v>
      </c>
      <c r="AR46" s="349">
        <v>3.55</v>
      </c>
      <c r="AS46" s="349">
        <v>3.55</v>
      </c>
      <c r="AT46" s="349">
        <v>3.54</v>
      </c>
      <c r="AU46" s="349">
        <v>3.54</v>
      </c>
      <c r="AV46" s="349">
        <v>3.53</v>
      </c>
      <c r="AW46" s="349">
        <v>3.53</v>
      </c>
      <c r="AX46" s="349">
        <v>3.53</v>
      </c>
      <c r="AY46" s="349">
        <v>3.52</v>
      </c>
      <c r="BB46" s="349">
        <v>2.72</v>
      </c>
    </row>
    <row r="47" spans="1:54">
      <c r="A47" s="111">
        <v>43190</v>
      </c>
      <c r="B47" s="349">
        <v>1.95</v>
      </c>
      <c r="C47" s="349">
        <v>2.0499999999999998</v>
      </c>
      <c r="D47" s="349">
        <v>2.19</v>
      </c>
      <c r="E47" s="349">
        <v>2.36</v>
      </c>
      <c r="F47" s="349">
        <v>2.52</v>
      </c>
      <c r="G47" s="349">
        <v>2.68</v>
      </c>
      <c r="H47" s="349">
        <v>2.82</v>
      </c>
      <c r="I47" s="349">
        <v>2.96</v>
      </c>
      <c r="J47" s="349">
        <v>3.08</v>
      </c>
      <c r="K47" s="349">
        <v>3.19</v>
      </c>
      <c r="L47" s="349">
        <v>3.29</v>
      </c>
      <c r="M47" s="349">
        <v>3.38</v>
      </c>
      <c r="N47" s="349">
        <v>3.45</v>
      </c>
      <c r="O47" s="349">
        <v>3.51</v>
      </c>
      <c r="P47" s="2226">
        <v>3.57</v>
      </c>
      <c r="Q47" s="349">
        <v>3.6</v>
      </c>
      <c r="R47" s="349">
        <v>3.62</v>
      </c>
      <c r="S47" s="349">
        <v>3.65</v>
      </c>
      <c r="T47" s="349">
        <v>3.67</v>
      </c>
      <c r="U47" s="349">
        <v>3.68</v>
      </c>
      <c r="V47" s="349">
        <v>3.68</v>
      </c>
      <c r="W47" s="349">
        <v>3.67</v>
      </c>
      <c r="X47" s="349">
        <v>3.67</v>
      </c>
      <c r="Y47" s="349">
        <v>3.67</v>
      </c>
      <c r="Z47" s="349">
        <v>3.66</v>
      </c>
      <c r="AA47" s="349">
        <v>3.65</v>
      </c>
      <c r="AB47" s="349">
        <v>3.64</v>
      </c>
      <c r="AC47" s="349">
        <v>3.63</v>
      </c>
      <c r="AD47" s="349">
        <v>3.61</v>
      </c>
      <c r="AE47" s="349">
        <v>3.6</v>
      </c>
      <c r="AF47" s="349">
        <v>3.59</v>
      </c>
      <c r="AG47" s="349">
        <v>3.59</v>
      </c>
      <c r="AH47" s="349">
        <v>3.58</v>
      </c>
      <c r="AI47" s="349">
        <v>3.57</v>
      </c>
      <c r="AJ47" s="349">
        <v>3.56</v>
      </c>
      <c r="AK47" s="349">
        <v>3.55</v>
      </c>
      <c r="AL47" s="349">
        <v>3.55</v>
      </c>
      <c r="AM47" s="349">
        <v>3.54</v>
      </c>
      <c r="AN47" s="349">
        <v>3.53</v>
      </c>
      <c r="AO47" s="349">
        <v>3.53</v>
      </c>
      <c r="AP47" s="349">
        <v>3.52</v>
      </c>
      <c r="AQ47" s="349">
        <v>3.52</v>
      </c>
      <c r="AR47" s="349">
        <v>3.51</v>
      </c>
      <c r="AS47" s="349">
        <v>3.51</v>
      </c>
      <c r="AT47" s="349">
        <v>3.51</v>
      </c>
      <c r="AU47" s="349">
        <v>3.5</v>
      </c>
      <c r="AV47" s="349">
        <v>3.5</v>
      </c>
      <c r="AW47" s="349">
        <v>3.5</v>
      </c>
      <c r="AX47" s="349">
        <v>3.49</v>
      </c>
      <c r="AY47" s="349">
        <v>3.49</v>
      </c>
      <c r="BB47" s="349">
        <v>2.68</v>
      </c>
    </row>
    <row r="48" spans="1:54">
      <c r="A48" s="111">
        <v>43220</v>
      </c>
      <c r="B48" s="349">
        <v>1.9</v>
      </c>
      <c r="C48" s="349">
        <v>2</v>
      </c>
      <c r="D48" s="349">
        <v>2.15</v>
      </c>
      <c r="E48" s="349">
        <v>2.3199999999999998</v>
      </c>
      <c r="F48" s="349">
        <v>2.48</v>
      </c>
      <c r="G48" s="349">
        <v>2.64</v>
      </c>
      <c r="H48" s="349">
        <v>2.78</v>
      </c>
      <c r="I48" s="349">
        <v>2.92</v>
      </c>
      <c r="J48" s="349">
        <v>3.04</v>
      </c>
      <c r="K48" s="349">
        <v>3.15</v>
      </c>
      <c r="L48" s="349">
        <v>3.25</v>
      </c>
      <c r="M48" s="349">
        <v>3.34</v>
      </c>
      <c r="N48" s="349">
        <v>3.41</v>
      </c>
      <c r="O48" s="349">
        <v>3.48</v>
      </c>
      <c r="P48" s="2226">
        <v>3.53</v>
      </c>
      <c r="Q48" s="349">
        <v>3.56</v>
      </c>
      <c r="R48" s="349">
        <v>3.59</v>
      </c>
      <c r="S48" s="349">
        <v>3.61</v>
      </c>
      <c r="T48" s="349">
        <v>3.63</v>
      </c>
      <c r="U48" s="349">
        <v>3.65</v>
      </c>
      <c r="V48" s="349">
        <v>3.64</v>
      </c>
      <c r="W48" s="349">
        <v>3.64</v>
      </c>
      <c r="X48" s="349">
        <v>3.63</v>
      </c>
      <c r="Y48" s="349">
        <v>3.63</v>
      </c>
      <c r="Z48" s="349">
        <v>3.63</v>
      </c>
      <c r="AA48" s="349">
        <v>3.61</v>
      </c>
      <c r="AB48" s="349">
        <v>3.6</v>
      </c>
      <c r="AC48" s="349">
        <v>3.59</v>
      </c>
      <c r="AD48" s="349">
        <v>3.58</v>
      </c>
      <c r="AE48" s="349">
        <v>3.57</v>
      </c>
      <c r="AF48" s="349">
        <v>3.56</v>
      </c>
      <c r="AG48" s="349">
        <v>3.55</v>
      </c>
      <c r="AH48" s="349">
        <v>3.54</v>
      </c>
      <c r="AI48" s="349">
        <v>3.53</v>
      </c>
      <c r="AJ48" s="349">
        <v>3.53</v>
      </c>
      <c r="AK48" s="349">
        <v>3.52</v>
      </c>
      <c r="AL48" s="349">
        <v>3.51</v>
      </c>
      <c r="AM48" s="349">
        <v>3.51</v>
      </c>
      <c r="AN48" s="349">
        <v>3.5</v>
      </c>
      <c r="AO48" s="349">
        <v>3.49</v>
      </c>
      <c r="AP48" s="349">
        <v>3.49</v>
      </c>
      <c r="AQ48" s="349">
        <v>3.49</v>
      </c>
      <c r="AR48" s="349">
        <v>3.48</v>
      </c>
      <c r="AS48" s="349">
        <v>3.48</v>
      </c>
      <c r="AT48" s="349">
        <v>3.47</v>
      </c>
      <c r="AU48" s="349">
        <v>3.47</v>
      </c>
      <c r="AV48" s="349">
        <v>3.47</v>
      </c>
      <c r="AW48" s="349">
        <v>3.46</v>
      </c>
      <c r="AX48" s="349">
        <v>3.46</v>
      </c>
      <c r="AY48" s="349">
        <v>3.46</v>
      </c>
      <c r="BB48" s="349">
        <v>2.64</v>
      </c>
    </row>
    <row r="49" spans="1:54">
      <c r="A49" s="111">
        <v>43251</v>
      </c>
      <c r="B49" s="349">
        <v>1.85</v>
      </c>
      <c r="C49" s="349">
        <v>1.95</v>
      </c>
      <c r="D49" s="349">
        <v>2.1</v>
      </c>
      <c r="E49" s="349">
        <v>2.27</v>
      </c>
      <c r="F49" s="349">
        <v>2.44</v>
      </c>
      <c r="G49" s="349">
        <v>2.6</v>
      </c>
      <c r="H49" s="349">
        <v>2.74</v>
      </c>
      <c r="I49" s="349">
        <v>2.88</v>
      </c>
      <c r="J49" s="349">
        <v>3</v>
      </c>
      <c r="K49" s="349">
        <v>3.11</v>
      </c>
      <c r="L49" s="349">
        <v>3.22</v>
      </c>
      <c r="M49" s="349">
        <v>3.3</v>
      </c>
      <c r="N49" s="349">
        <v>3.38</v>
      </c>
      <c r="O49" s="349">
        <v>3.44</v>
      </c>
      <c r="P49" s="2226">
        <v>3.5</v>
      </c>
      <c r="Q49" s="349">
        <v>3.52</v>
      </c>
      <c r="R49" s="349">
        <v>3.55</v>
      </c>
      <c r="S49" s="349">
        <v>3.57</v>
      </c>
      <c r="T49" s="349">
        <v>3.59</v>
      </c>
      <c r="U49" s="349">
        <v>3.61</v>
      </c>
      <c r="V49" s="349">
        <v>3.61</v>
      </c>
      <c r="W49" s="349">
        <v>3.6</v>
      </c>
      <c r="X49" s="349">
        <v>3.6</v>
      </c>
      <c r="Y49" s="349">
        <v>3.6</v>
      </c>
      <c r="Z49" s="349">
        <v>3.59</v>
      </c>
      <c r="AA49" s="349">
        <v>3.58</v>
      </c>
      <c r="AB49" s="349">
        <v>3.57</v>
      </c>
      <c r="AC49" s="349">
        <v>3.56</v>
      </c>
      <c r="AD49" s="349">
        <v>3.55</v>
      </c>
      <c r="AE49" s="349">
        <v>3.54</v>
      </c>
      <c r="AF49" s="349">
        <v>3.53</v>
      </c>
      <c r="AG49" s="349">
        <v>3.52</v>
      </c>
      <c r="AH49" s="349">
        <v>3.51</v>
      </c>
      <c r="AI49" s="349">
        <v>3.5</v>
      </c>
      <c r="AJ49" s="349">
        <v>3.49</v>
      </c>
      <c r="AK49" s="349">
        <v>3.49</v>
      </c>
      <c r="AL49" s="349">
        <v>3.48</v>
      </c>
      <c r="AM49" s="349">
        <v>3.47</v>
      </c>
      <c r="AN49" s="349">
        <v>3.47</v>
      </c>
      <c r="AO49" s="349">
        <v>3.46</v>
      </c>
      <c r="AP49" s="349">
        <v>3.46</v>
      </c>
      <c r="AQ49" s="349">
        <v>3.45</v>
      </c>
      <c r="AR49" s="349">
        <v>3.45</v>
      </c>
      <c r="AS49" s="349">
        <v>3.44</v>
      </c>
      <c r="AT49" s="349">
        <v>3.44</v>
      </c>
      <c r="AU49" s="349">
        <v>3.44</v>
      </c>
      <c r="AV49" s="349">
        <v>3.43</v>
      </c>
      <c r="AW49" s="349">
        <v>3.43</v>
      </c>
      <c r="AX49" s="349">
        <v>3.43</v>
      </c>
      <c r="AY49" s="349">
        <v>3.42</v>
      </c>
      <c r="BB49" s="349">
        <v>2.6</v>
      </c>
    </row>
    <row r="50" spans="1:54" s="127" customFormat="1" ht="12.75">
      <c r="A50" s="109">
        <v>43281</v>
      </c>
      <c r="B50" s="349">
        <v>1.8</v>
      </c>
      <c r="C50" s="349">
        <v>1.9</v>
      </c>
      <c r="D50" s="349">
        <v>2.0499999999999998</v>
      </c>
      <c r="E50" s="349">
        <v>2.2200000000000002</v>
      </c>
      <c r="F50" s="349">
        <v>2.39</v>
      </c>
      <c r="G50" s="349">
        <v>2.5499999999999998</v>
      </c>
      <c r="H50" s="349">
        <v>2.7</v>
      </c>
      <c r="I50" s="349">
        <v>2.84</v>
      </c>
      <c r="J50" s="349">
        <v>2.96</v>
      </c>
      <c r="K50" s="349">
        <v>3.07</v>
      </c>
      <c r="L50" s="349">
        <v>3.18</v>
      </c>
      <c r="M50" s="349">
        <v>3.26</v>
      </c>
      <c r="N50" s="349">
        <v>3.34</v>
      </c>
      <c r="O50" s="349">
        <v>3.4</v>
      </c>
      <c r="P50" s="2226">
        <v>3.46</v>
      </c>
      <c r="Q50" s="349">
        <v>3.49</v>
      </c>
      <c r="R50" s="349">
        <v>3.51</v>
      </c>
      <c r="S50" s="349">
        <v>3.54</v>
      </c>
      <c r="T50" s="349">
        <v>3.56</v>
      </c>
      <c r="U50" s="349">
        <v>3.58</v>
      </c>
      <c r="V50" s="349">
        <v>3.57</v>
      </c>
      <c r="W50" s="349">
        <v>3.57</v>
      </c>
      <c r="X50" s="349">
        <v>3.56</v>
      </c>
      <c r="Y50" s="349">
        <v>3.56</v>
      </c>
      <c r="Z50" s="349">
        <v>3.56</v>
      </c>
      <c r="AA50" s="349">
        <v>3.54</v>
      </c>
      <c r="AB50" s="349">
        <v>3.53</v>
      </c>
      <c r="AC50" s="349">
        <v>3.52</v>
      </c>
      <c r="AD50" s="349">
        <v>3.51</v>
      </c>
      <c r="AE50" s="349">
        <v>3.5</v>
      </c>
      <c r="AF50" s="349">
        <v>3.49</v>
      </c>
      <c r="AG50" s="349">
        <v>3.48</v>
      </c>
      <c r="AH50" s="349">
        <v>3.48</v>
      </c>
      <c r="AI50" s="349">
        <v>3.47</v>
      </c>
      <c r="AJ50" s="349">
        <v>3.46</v>
      </c>
      <c r="AK50" s="349">
        <v>3.45</v>
      </c>
      <c r="AL50" s="349">
        <v>3.45</v>
      </c>
      <c r="AM50" s="349">
        <v>3.44</v>
      </c>
      <c r="AN50" s="349">
        <v>3.43</v>
      </c>
      <c r="AO50" s="349">
        <v>3.43</v>
      </c>
      <c r="AP50" s="349">
        <v>3.42</v>
      </c>
      <c r="AQ50" s="349">
        <v>3.42</v>
      </c>
      <c r="AR50" s="349">
        <v>3.42</v>
      </c>
      <c r="AS50" s="349">
        <v>3.41</v>
      </c>
      <c r="AT50" s="349">
        <v>3.41</v>
      </c>
      <c r="AU50" s="349">
        <v>3.4</v>
      </c>
      <c r="AV50" s="349">
        <v>3.4</v>
      </c>
      <c r="AW50" s="349">
        <v>3.4</v>
      </c>
      <c r="AX50" s="349">
        <v>3.39</v>
      </c>
      <c r="AY50" s="349">
        <v>3.39</v>
      </c>
      <c r="BB50" s="349">
        <v>2.56</v>
      </c>
    </row>
    <row r="51" spans="1:54">
      <c r="A51" s="112">
        <v>43312</v>
      </c>
      <c r="B51" s="349">
        <v>1.75</v>
      </c>
      <c r="C51" s="349">
        <v>1.85</v>
      </c>
      <c r="D51" s="349">
        <v>2</v>
      </c>
      <c r="E51" s="349">
        <v>2.1800000000000002</v>
      </c>
      <c r="F51" s="349">
        <v>2.35</v>
      </c>
      <c r="G51" s="349">
        <v>2.5099999999999998</v>
      </c>
      <c r="H51" s="349">
        <v>2.66</v>
      </c>
      <c r="I51" s="349">
        <v>2.8</v>
      </c>
      <c r="J51" s="349">
        <v>2.92</v>
      </c>
      <c r="K51" s="349">
        <v>3.04</v>
      </c>
      <c r="L51" s="349">
        <v>3.14</v>
      </c>
      <c r="M51" s="349">
        <v>3.23</v>
      </c>
      <c r="N51" s="349">
        <v>3.3</v>
      </c>
      <c r="O51" s="349">
        <v>3.37</v>
      </c>
      <c r="P51" s="2226">
        <v>3.42</v>
      </c>
      <c r="Q51" s="349">
        <v>3.45</v>
      </c>
      <c r="R51" s="349">
        <v>3.48</v>
      </c>
      <c r="S51" s="349">
        <v>3.5</v>
      </c>
      <c r="T51" s="349">
        <v>3.52</v>
      </c>
      <c r="U51" s="349">
        <v>3.54</v>
      </c>
      <c r="V51" s="349">
        <v>3.54</v>
      </c>
      <c r="W51" s="349">
        <v>3.53</v>
      </c>
      <c r="X51" s="349">
        <v>3.53</v>
      </c>
      <c r="Y51" s="349">
        <v>3.53</v>
      </c>
      <c r="Z51" s="349">
        <v>3.52</v>
      </c>
      <c r="AA51" s="349">
        <v>3.51</v>
      </c>
      <c r="AB51" s="349">
        <v>3.5</v>
      </c>
      <c r="AC51" s="349">
        <v>3.49</v>
      </c>
      <c r="AD51" s="349">
        <v>3.48</v>
      </c>
      <c r="AE51" s="349">
        <v>3.47</v>
      </c>
      <c r="AF51" s="349">
        <v>3.46</v>
      </c>
      <c r="AG51" s="349">
        <v>3.45</v>
      </c>
      <c r="AH51" s="349">
        <v>3.44</v>
      </c>
      <c r="AI51" s="349">
        <v>3.44</v>
      </c>
      <c r="AJ51" s="349">
        <v>3.43</v>
      </c>
      <c r="AK51" s="349">
        <v>3.42</v>
      </c>
      <c r="AL51" s="349">
        <v>3.41</v>
      </c>
      <c r="AM51" s="349">
        <v>3.41</v>
      </c>
      <c r="AN51" s="349">
        <v>3.4</v>
      </c>
      <c r="AO51" s="349">
        <v>3.4</v>
      </c>
      <c r="AP51" s="349">
        <v>3.39</v>
      </c>
      <c r="AQ51" s="349">
        <v>3.39</v>
      </c>
      <c r="AR51" s="349">
        <v>3.38</v>
      </c>
      <c r="AS51" s="349">
        <v>3.38</v>
      </c>
      <c r="AT51" s="349">
        <v>3.38</v>
      </c>
      <c r="AU51" s="349">
        <v>3.37</v>
      </c>
      <c r="AV51" s="349">
        <v>3.37</v>
      </c>
      <c r="AW51" s="349">
        <v>3.37</v>
      </c>
      <c r="AX51" s="349">
        <v>3.36</v>
      </c>
      <c r="AY51" s="349">
        <v>3.36</v>
      </c>
      <c r="BB51" s="349">
        <v>2.52</v>
      </c>
    </row>
    <row r="52" spans="1:54">
      <c r="A52" s="109">
        <v>43343</v>
      </c>
      <c r="B52" s="349">
        <v>1.69</v>
      </c>
      <c r="C52" s="349">
        <v>1.8</v>
      </c>
      <c r="D52" s="349">
        <v>1.96</v>
      </c>
      <c r="E52" s="349">
        <v>2.13</v>
      </c>
      <c r="F52" s="349">
        <v>2.2999999999999998</v>
      </c>
      <c r="G52" s="349">
        <v>2.4700000000000002</v>
      </c>
      <c r="H52" s="349">
        <v>2.62</v>
      </c>
      <c r="I52" s="349">
        <v>2.76</v>
      </c>
      <c r="J52" s="349">
        <v>2.88</v>
      </c>
      <c r="K52" s="349">
        <v>3</v>
      </c>
      <c r="L52" s="349">
        <v>3.1</v>
      </c>
      <c r="M52" s="349">
        <v>3.19</v>
      </c>
      <c r="N52" s="349">
        <v>3.26</v>
      </c>
      <c r="O52" s="349">
        <v>3.33</v>
      </c>
      <c r="P52" s="2226">
        <v>3.39</v>
      </c>
      <c r="Q52" s="349">
        <v>3.42</v>
      </c>
      <c r="R52" s="349">
        <v>3.44</v>
      </c>
      <c r="S52" s="349">
        <v>3.47</v>
      </c>
      <c r="T52" s="349">
        <v>3.49</v>
      </c>
      <c r="U52" s="349">
        <v>3.51</v>
      </c>
      <c r="V52" s="349">
        <v>3.5</v>
      </c>
      <c r="W52" s="349">
        <v>3.5</v>
      </c>
      <c r="X52" s="349">
        <v>3.5</v>
      </c>
      <c r="Y52" s="349">
        <v>3.49</v>
      </c>
      <c r="Z52" s="349">
        <v>3.49</v>
      </c>
      <c r="AA52" s="349">
        <v>3.48</v>
      </c>
      <c r="AB52" s="349">
        <v>3.47</v>
      </c>
      <c r="AC52" s="349">
        <v>3.46</v>
      </c>
      <c r="AD52" s="349">
        <v>3.45</v>
      </c>
      <c r="AE52" s="349">
        <v>3.44</v>
      </c>
      <c r="AF52" s="349">
        <v>3.43</v>
      </c>
      <c r="AG52" s="349">
        <v>3.42</v>
      </c>
      <c r="AH52" s="349">
        <v>3.41</v>
      </c>
      <c r="AI52" s="349">
        <v>3.4</v>
      </c>
      <c r="AJ52" s="349">
        <v>3.4</v>
      </c>
      <c r="AK52" s="349">
        <v>3.39</v>
      </c>
      <c r="AL52" s="349">
        <v>3.38</v>
      </c>
      <c r="AM52" s="349">
        <v>3.38</v>
      </c>
      <c r="AN52" s="349">
        <v>3.37</v>
      </c>
      <c r="AO52" s="349">
        <v>3.37</v>
      </c>
      <c r="AP52" s="349">
        <v>3.36</v>
      </c>
      <c r="AQ52" s="349">
        <v>3.36</v>
      </c>
      <c r="AR52" s="349">
        <v>3.35</v>
      </c>
      <c r="AS52" s="349">
        <v>3.35</v>
      </c>
      <c r="AT52" s="349">
        <v>3.35</v>
      </c>
      <c r="AU52" s="349">
        <v>3.34</v>
      </c>
      <c r="AV52" s="349">
        <v>3.34</v>
      </c>
      <c r="AW52" s="349">
        <v>3.34</v>
      </c>
      <c r="AX52" s="349">
        <v>3.33</v>
      </c>
      <c r="AY52" s="349">
        <v>3.33</v>
      </c>
      <c r="BB52" s="349">
        <v>2.48</v>
      </c>
    </row>
    <row r="53" spans="1:54" s="127" customFormat="1" ht="12.75">
      <c r="A53" s="112">
        <v>43373</v>
      </c>
      <c r="B53" s="349">
        <v>1.63</v>
      </c>
      <c r="C53" s="349">
        <v>1.75</v>
      </c>
      <c r="D53" s="349">
        <v>1.9</v>
      </c>
      <c r="E53" s="349">
        <v>2.08</v>
      </c>
      <c r="F53" s="349">
        <v>2.25</v>
      </c>
      <c r="G53" s="349">
        <v>2.42</v>
      </c>
      <c r="H53" s="349">
        <v>2.57</v>
      </c>
      <c r="I53" s="349">
        <v>2.71</v>
      </c>
      <c r="J53" s="349">
        <v>2.83</v>
      </c>
      <c r="K53" s="349">
        <v>2.95</v>
      </c>
      <c r="L53" s="349">
        <v>3.06</v>
      </c>
      <c r="M53" s="349">
        <v>3.14</v>
      </c>
      <c r="N53" s="349">
        <v>3.22</v>
      </c>
      <c r="O53" s="349">
        <v>3.28</v>
      </c>
      <c r="P53" s="2226">
        <v>3.34</v>
      </c>
      <c r="Q53" s="349">
        <v>3.37</v>
      </c>
      <c r="R53" s="349">
        <v>3.4</v>
      </c>
      <c r="S53" s="349">
        <v>3.42</v>
      </c>
      <c r="T53" s="349">
        <v>3.44</v>
      </c>
      <c r="U53" s="349">
        <v>3.46</v>
      </c>
      <c r="V53" s="349">
        <v>3.46</v>
      </c>
      <c r="W53" s="349">
        <v>3.46</v>
      </c>
      <c r="X53" s="349">
        <v>3.45</v>
      </c>
      <c r="Y53" s="349">
        <v>3.45</v>
      </c>
      <c r="Z53" s="349">
        <v>3.45</v>
      </c>
      <c r="AA53" s="349">
        <v>3.44</v>
      </c>
      <c r="AB53" s="349">
        <v>3.43</v>
      </c>
      <c r="AC53" s="349">
        <v>3.42</v>
      </c>
      <c r="AD53" s="349">
        <v>3.41</v>
      </c>
      <c r="AE53" s="349">
        <v>3.4</v>
      </c>
      <c r="AF53" s="349">
        <v>3.39</v>
      </c>
      <c r="AG53" s="349">
        <v>3.38</v>
      </c>
      <c r="AH53" s="349">
        <v>3.37</v>
      </c>
      <c r="AI53" s="349">
        <v>3.36</v>
      </c>
      <c r="AJ53" s="349">
        <v>3.36</v>
      </c>
      <c r="AK53" s="349">
        <v>3.35</v>
      </c>
      <c r="AL53" s="349">
        <v>3.34</v>
      </c>
      <c r="AM53" s="349">
        <v>3.34</v>
      </c>
      <c r="AN53" s="349">
        <v>3.33</v>
      </c>
      <c r="AO53" s="349">
        <v>3.33</v>
      </c>
      <c r="AP53" s="349">
        <v>3.32</v>
      </c>
      <c r="AQ53" s="349">
        <v>3.32</v>
      </c>
      <c r="AR53" s="349">
        <v>3.32</v>
      </c>
      <c r="AS53" s="349">
        <v>3.31</v>
      </c>
      <c r="AT53" s="349">
        <v>3.31</v>
      </c>
      <c r="AU53" s="349">
        <v>3.31</v>
      </c>
      <c r="AV53" s="349">
        <v>3.3</v>
      </c>
      <c r="AW53" s="349">
        <v>3.3</v>
      </c>
      <c r="AX53" s="349">
        <v>3.3</v>
      </c>
      <c r="AY53" s="349">
        <v>3.29</v>
      </c>
      <c r="BB53" s="349">
        <v>2.4300000000000002</v>
      </c>
    </row>
    <row r="54" spans="1:54" s="127" customFormat="1" ht="12.75">
      <c r="A54" s="109">
        <v>43404</v>
      </c>
      <c r="B54" s="349">
        <v>1.58</v>
      </c>
      <c r="C54" s="349">
        <v>1.7</v>
      </c>
      <c r="D54" s="349">
        <v>1.85</v>
      </c>
      <c r="E54" s="349">
        <v>2.0299999999999998</v>
      </c>
      <c r="F54" s="349">
        <v>2.2000000000000002</v>
      </c>
      <c r="G54" s="349">
        <v>2.37</v>
      </c>
      <c r="H54" s="349">
        <v>2.52</v>
      </c>
      <c r="I54" s="349">
        <v>2.66</v>
      </c>
      <c r="J54" s="349">
        <v>2.78</v>
      </c>
      <c r="K54" s="349">
        <v>2.9</v>
      </c>
      <c r="L54" s="349">
        <v>3.01</v>
      </c>
      <c r="M54" s="349">
        <v>3.09</v>
      </c>
      <c r="N54" s="349">
        <v>3.17</v>
      </c>
      <c r="O54" s="349">
        <v>3.24</v>
      </c>
      <c r="P54" s="2226">
        <v>3.29</v>
      </c>
      <c r="Q54" s="349">
        <v>3.32</v>
      </c>
      <c r="R54" s="349">
        <v>3.35</v>
      </c>
      <c r="S54" s="349">
        <v>3.38</v>
      </c>
      <c r="T54" s="349">
        <v>3.4</v>
      </c>
      <c r="U54" s="349">
        <v>3.42</v>
      </c>
      <c r="V54" s="349">
        <v>3.42</v>
      </c>
      <c r="W54" s="349">
        <v>3.41</v>
      </c>
      <c r="X54" s="349">
        <v>3.41</v>
      </c>
      <c r="Y54" s="349">
        <v>3.41</v>
      </c>
      <c r="Z54" s="349">
        <v>3.41</v>
      </c>
      <c r="AA54" s="349">
        <v>3.39</v>
      </c>
      <c r="AB54" s="349">
        <v>3.38</v>
      </c>
      <c r="AC54" s="349">
        <v>3.37</v>
      </c>
      <c r="AD54" s="349">
        <v>3.36</v>
      </c>
      <c r="AE54" s="349">
        <v>3.36</v>
      </c>
      <c r="AF54" s="349">
        <v>3.35</v>
      </c>
      <c r="AG54" s="349">
        <v>3.34</v>
      </c>
      <c r="AH54" s="349">
        <v>3.33</v>
      </c>
      <c r="AI54" s="349">
        <v>3.32</v>
      </c>
      <c r="AJ54" s="349">
        <v>3.32</v>
      </c>
      <c r="AK54" s="349">
        <v>3.31</v>
      </c>
      <c r="AL54" s="349">
        <v>3.3</v>
      </c>
      <c r="AM54" s="349">
        <v>3.3</v>
      </c>
      <c r="AN54" s="349">
        <v>3.29</v>
      </c>
      <c r="AO54" s="349">
        <v>3.29</v>
      </c>
      <c r="AP54" s="349">
        <v>3.28</v>
      </c>
      <c r="AQ54" s="349">
        <v>3.28</v>
      </c>
      <c r="AR54" s="349">
        <v>3.28</v>
      </c>
      <c r="AS54" s="349">
        <v>3.27</v>
      </c>
      <c r="AT54" s="349">
        <v>3.27</v>
      </c>
      <c r="AU54" s="349">
        <v>3.27</v>
      </c>
      <c r="AV54" s="349">
        <v>3.26</v>
      </c>
      <c r="AW54" s="349">
        <v>3.26</v>
      </c>
      <c r="AX54" s="349">
        <v>3.26</v>
      </c>
      <c r="AY54" s="349">
        <v>3.25</v>
      </c>
      <c r="BB54" s="349">
        <v>2.4</v>
      </c>
    </row>
    <row r="55" spans="1:54" s="127" customFormat="1" ht="12.75">
      <c r="A55" s="112">
        <v>43434</v>
      </c>
      <c r="B55" s="349">
        <v>1.53</v>
      </c>
      <c r="C55" s="349">
        <v>1.65</v>
      </c>
      <c r="D55" s="349">
        <v>1.81</v>
      </c>
      <c r="E55" s="349">
        <v>1.98</v>
      </c>
      <c r="F55" s="349">
        <v>2.15</v>
      </c>
      <c r="G55" s="349">
        <v>2.3199999999999998</v>
      </c>
      <c r="H55" s="349">
        <v>2.4700000000000002</v>
      </c>
      <c r="I55" s="349">
        <v>2.61</v>
      </c>
      <c r="J55" s="349">
        <v>2.74</v>
      </c>
      <c r="K55" s="349">
        <v>2.86</v>
      </c>
      <c r="L55" s="349">
        <v>2.96</v>
      </c>
      <c r="M55" s="349">
        <v>3.05</v>
      </c>
      <c r="N55" s="349">
        <v>3.13</v>
      </c>
      <c r="O55" s="349">
        <v>3.19</v>
      </c>
      <c r="P55" s="2226">
        <v>3.25</v>
      </c>
      <c r="Q55" s="349">
        <v>3.28</v>
      </c>
      <c r="R55" s="349">
        <v>3.31</v>
      </c>
      <c r="S55" s="349">
        <v>3.33</v>
      </c>
      <c r="T55" s="349">
        <v>3.36</v>
      </c>
      <c r="U55" s="349">
        <v>3.38</v>
      </c>
      <c r="V55" s="349">
        <v>3.38</v>
      </c>
      <c r="W55" s="349">
        <v>3.37</v>
      </c>
      <c r="X55" s="349">
        <v>3.37</v>
      </c>
      <c r="Y55" s="349">
        <v>3.37</v>
      </c>
      <c r="Z55" s="349">
        <v>3.37</v>
      </c>
      <c r="AA55" s="349">
        <v>3.36</v>
      </c>
      <c r="AB55" s="349">
        <v>3.35</v>
      </c>
      <c r="AC55" s="349">
        <v>3.34</v>
      </c>
      <c r="AD55" s="349">
        <v>3.33</v>
      </c>
      <c r="AE55" s="349">
        <v>3.32</v>
      </c>
      <c r="AF55" s="349">
        <v>3.31</v>
      </c>
      <c r="AG55" s="349">
        <v>3.3</v>
      </c>
      <c r="AH55" s="349">
        <v>3.3</v>
      </c>
      <c r="AI55" s="349">
        <v>3.29</v>
      </c>
      <c r="AJ55" s="349">
        <v>3.28</v>
      </c>
      <c r="AK55" s="349">
        <v>3.28</v>
      </c>
      <c r="AL55" s="349">
        <v>3.27</v>
      </c>
      <c r="AM55" s="349">
        <v>3.26</v>
      </c>
      <c r="AN55" s="349">
        <v>3.26</v>
      </c>
      <c r="AO55" s="349">
        <v>3.25</v>
      </c>
      <c r="AP55" s="349">
        <v>3.25</v>
      </c>
      <c r="AQ55" s="349">
        <v>3.25</v>
      </c>
      <c r="AR55" s="349">
        <v>3.24</v>
      </c>
      <c r="AS55" s="349">
        <v>3.24</v>
      </c>
      <c r="AT55" s="349">
        <v>3.24</v>
      </c>
      <c r="AU55" s="349">
        <v>3.23</v>
      </c>
      <c r="AV55" s="349">
        <v>3.23</v>
      </c>
      <c r="AW55" s="349">
        <v>3.23</v>
      </c>
      <c r="AX55" s="349">
        <v>3.22</v>
      </c>
      <c r="AY55" s="349">
        <v>3.22</v>
      </c>
      <c r="BB55" s="349">
        <v>2.36</v>
      </c>
    </row>
    <row r="56" spans="1:54">
      <c r="A56" s="109">
        <v>43465</v>
      </c>
      <c r="B56" s="349">
        <v>1.49</v>
      </c>
      <c r="C56" s="349">
        <v>1.61</v>
      </c>
      <c r="D56" s="349">
        <v>1.76</v>
      </c>
      <c r="E56" s="349">
        <v>1.94</v>
      </c>
      <c r="F56" s="349">
        <v>2.11</v>
      </c>
      <c r="G56" s="349">
        <v>2.2799999999999998</v>
      </c>
      <c r="H56" s="349">
        <v>2.4300000000000002</v>
      </c>
      <c r="I56" s="349">
        <v>2.57</v>
      </c>
      <c r="J56" s="349">
        <v>2.7</v>
      </c>
      <c r="K56" s="349">
        <v>2.81</v>
      </c>
      <c r="L56" s="349">
        <v>2.92</v>
      </c>
      <c r="M56" s="349">
        <v>3.01</v>
      </c>
      <c r="N56" s="349">
        <v>3.08</v>
      </c>
      <c r="O56" s="349">
        <v>3.15</v>
      </c>
      <c r="P56" s="2226">
        <v>3.21</v>
      </c>
      <c r="Q56" s="349">
        <v>3.24</v>
      </c>
      <c r="R56" s="349">
        <v>3.27</v>
      </c>
      <c r="S56" s="349">
        <v>3.29</v>
      </c>
      <c r="T56" s="349">
        <v>3.32</v>
      </c>
      <c r="U56" s="349">
        <v>3.34</v>
      </c>
      <c r="V56" s="349">
        <v>3.34</v>
      </c>
      <c r="W56" s="349">
        <v>3.33</v>
      </c>
      <c r="X56" s="349">
        <v>3.33</v>
      </c>
      <c r="Y56" s="349">
        <v>3.33</v>
      </c>
      <c r="Z56" s="349">
        <v>3.33</v>
      </c>
      <c r="AA56" s="349">
        <v>3.32</v>
      </c>
      <c r="AB56" s="349">
        <v>3.31</v>
      </c>
      <c r="AC56" s="349">
        <v>3.3</v>
      </c>
      <c r="AD56" s="349">
        <v>3.29</v>
      </c>
      <c r="AE56" s="349">
        <v>3.28</v>
      </c>
      <c r="AF56" s="349">
        <v>3.28</v>
      </c>
      <c r="AG56" s="349">
        <v>3.27</v>
      </c>
      <c r="AH56" s="349">
        <v>3.26</v>
      </c>
      <c r="AI56" s="349">
        <v>3.25</v>
      </c>
      <c r="AJ56" s="349">
        <v>3.25</v>
      </c>
      <c r="AK56" s="349">
        <v>3.24</v>
      </c>
      <c r="AL56" s="349">
        <v>3.24</v>
      </c>
      <c r="AM56" s="349">
        <v>3.23</v>
      </c>
      <c r="AN56" s="349">
        <v>3.23</v>
      </c>
      <c r="AO56" s="349">
        <v>3.22</v>
      </c>
      <c r="AP56" s="349">
        <v>3.22</v>
      </c>
      <c r="AQ56" s="349">
        <v>3.21</v>
      </c>
      <c r="AR56" s="349">
        <v>3.21</v>
      </c>
      <c r="AS56" s="349">
        <v>3.21</v>
      </c>
      <c r="AT56" s="349">
        <v>3.2</v>
      </c>
      <c r="AU56" s="349">
        <v>3.2</v>
      </c>
      <c r="AV56" s="349">
        <v>3.2</v>
      </c>
      <c r="AW56" s="349">
        <v>3.2</v>
      </c>
      <c r="AX56" s="349">
        <v>3.19</v>
      </c>
      <c r="AY56" s="349">
        <v>3.19</v>
      </c>
      <c r="BB56" s="349">
        <v>2.3199999999999998</v>
      </c>
    </row>
    <row r="57" spans="1:54">
      <c r="A57" s="112">
        <v>43496</v>
      </c>
      <c r="B57" s="349">
        <v>1.45</v>
      </c>
      <c r="C57" s="349">
        <v>1.57</v>
      </c>
      <c r="D57" s="349">
        <v>1.72</v>
      </c>
      <c r="E57" s="349">
        <v>1.9</v>
      </c>
      <c r="F57" s="349">
        <v>2.0699999999999998</v>
      </c>
      <c r="G57" s="349">
        <v>2.23</v>
      </c>
      <c r="H57" s="349">
        <v>2.39</v>
      </c>
      <c r="I57" s="349">
        <v>2.5299999999999998</v>
      </c>
      <c r="J57" s="349">
        <v>2.65</v>
      </c>
      <c r="K57" s="349">
        <v>2.77</v>
      </c>
      <c r="L57" s="349">
        <v>2.87</v>
      </c>
      <c r="M57" s="349">
        <v>2.96</v>
      </c>
      <c r="N57" s="349">
        <v>3.04</v>
      </c>
      <c r="O57" s="349">
        <v>3.11</v>
      </c>
      <c r="P57" s="2226">
        <v>3.16</v>
      </c>
      <c r="Q57" s="349">
        <v>3.2</v>
      </c>
      <c r="R57" s="349">
        <v>3.23</v>
      </c>
      <c r="S57" s="349">
        <v>3.25</v>
      </c>
      <c r="T57" s="349">
        <v>3.27</v>
      </c>
      <c r="U57" s="349">
        <v>3.3</v>
      </c>
      <c r="V57" s="349">
        <v>3.29</v>
      </c>
      <c r="W57" s="349">
        <v>3.29</v>
      </c>
      <c r="X57" s="349">
        <v>3.29</v>
      </c>
      <c r="Y57" s="349">
        <v>3.29</v>
      </c>
      <c r="Z57" s="349">
        <v>3.29</v>
      </c>
      <c r="AA57" s="349">
        <v>3.28</v>
      </c>
      <c r="AB57" s="349">
        <v>3.27</v>
      </c>
      <c r="AC57" s="349">
        <v>3.26</v>
      </c>
      <c r="AD57" s="349">
        <v>3.25</v>
      </c>
      <c r="AE57" s="349">
        <v>3.25</v>
      </c>
      <c r="AF57" s="349">
        <v>3.24</v>
      </c>
      <c r="AG57" s="349">
        <v>3.23</v>
      </c>
      <c r="AH57" s="349">
        <v>3.22</v>
      </c>
      <c r="AI57" s="349">
        <v>3.22</v>
      </c>
      <c r="AJ57" s="349">
        <v>3.21</v>
      </c>
      <c r="AK57" s="349">
        <v>3.21</v>
      </c>
      <c r="AL57" s="349">
        <v>3.2</v>
      </c>
      <c r="AM57" s="349">
        <v>3.2</v>
      </c>
      <c r="AN57" s="349">
        <v>3.19</v>
      </c>
      <c r="AO57" s="349">
        <v>3.19</v>
      </c>
      <c r="AP57" s="349">
        <v>3.18</v>
      </c>
      <c r="AQ57" s="349">
        <v>3.18</v>
      </c>
      <c r="AR57" s="349">
        <v>3.18</v>
      </c>
      <c r="AS57" s="349">
        <v>3.17</v>
      </c>
      <c r="AT57" s="349">
        <v>3.17</v>
      </c>
      <c r="AU57" s="349">
        <v>3.17</v>
      </c>
      <c r="AV57" s="349">
        <v>3.16</v>
      </c>
      <c r="AW57" s="349">
        <v>3.16</v>
      </c>
      <c r="AX57" s="349">
        <v>3.16</v>
      </c>
      <c r="AY57" s="349">
        <v>3.16</v>
      </c>
      <c r="BB57" s="349">
        <v>2.29</v>
      </c>
    </row>
    <row r="58" spans="1:54">
      <c r="A58" s="109">
        <v>43524</v>
      </c>
      <c r="B58" s="349">
        <v>1.41</v>
      </c>
      <c r="C58" s="349">
        <v>1.53</v>
      </c>
      <c r="D58" s="349">
        <v>1.68</v>
      </c>
      <c r="E58" s="349">
        <v>1.85</v>
      </c>
      <c r="F58" s="349">
        <v>2.02</v>
      </c>
      <c r="G58" s="349">
        <v>2.19</v>
      </c>
      <c r="H58" s="349">
        <v>2.34</v>
      </c>
      <c r="I58" s="349">
        <v>2.48</v>
      </c>
      <c r="J58" s="349">
        <v>2.61</v>
      </c>
      <c r="K58" s="349">
        <v>2.72</v>
      </c>
      <c r="L58" s="349">
        <v>2.83</v>
      </c>
      <c r="M58" s="349">
        <v>2.92</v>
      </c>
      <c r="N58" s="349">
        <v>2.99</v>
      </c>
      <c r="O58" s="349">
        <v>3.06</v>
      </c>
      <c r="P58" s="2226">
        <v>3.12</v>
      </c>
      <c r="Q58" s="349">
        <v>3.15</v>
      </c>
      <c r="R58" s="349">
        <v>3.18</v>
      </c>
      <c r="S58" s="349">
        <v>3.21</v>
      </c>
      <c r="T58" s="349">
        <v>3.23</v>
      </c>
      <c r="U58" s="349">
        <v>3.25</v>
      </c>
      <c r="V58" s="349">
        <v>3.25</v>
      </c>
      <c r="W58" s="349">
        <v>3.25</v>
      </c>
      <c r="X58" s="349">
        <v>3.25</v>
      </c>
      <c r="Y58" s="349">
        <v>3.25</v>
      </c>
      <c r="Z58" s="349">
        <v>3.25</v>
      </c>
      <c r="AA58" s="349">
        <v>3.24</v>
      </c>
      <c r="AB58" s="349">
        <v>3.23</v>
      </c>
      <c r="AC58" s="349">
        <v>3.22</v>
      </c>
      <c r="AD58" s="349">
        <v>3.22</v>
      </c>
      <c r="AE58" s="349">
        <v>3.21</v>
      </c>
      <c r="AF58" s="349">
        <v>3.2</v>
      </c>
      <c r="AG58" s="349">
        <v>3.19</v>
      </c>
      <c r="AH58" s="349">
        <v>3.19</v>
      </c>
      <c r="AI58" s="349">
        <v>3.18</v>
      </c>
      <c r="AJ58" s="349">
        <v>3.18</v>
      </c>
      <c r="AK58" s="349">
        <v>3.17</v>
      </c>
      <c r="AL58" s="349">
        <v>3.17</v>
      </c>
      <c r="AM58" s="349">
        <v>3.16</v>
      </c>
      <c r="AN58" s="349">
        <v>3.16</v>
      </c>
      <c r="AO58" s="349">
        <v>3.15</v>
      </c>
      <c r="AP58" s="349">
        <v>3.15</v>
      </c>
      <c r="AQ58" s="349">
        <v>3.15</v>
      </c>
      <c r="AR58" s="349">
        <v>3.14</v>
      </c>
      <c r="AS58" s="349">
        <v>3.14</v>
      </c>
      <c r="AT58" s="349">
        <v>3.14</v>
      </c>
      <c r="AU58" s="349">
        <v>3.13</v>
      </c>
      <c r="AV58" s="349">
        <v>3.13</v>
      </c>
      <c r="AW58" s="349">
        <v>3.13</v>
      </c>
      <c r="AX58" s="349">
        <v>3.13</v>
      </c>
      <c r="AY58" s="349">
        <v>3.12</v>
      </c>
      <c r="BB58" s="349">
        <v>2.2599999999999998</v>
      </c>
    </row>
    <row r="59" spans="1:54">
      <c r="A59" s="112">
        <v>43555</v>
      </c>
      <c r="B59" s="349">
        <v>1.37</v>
      </c>
      <c r="C59" s="349">
        <v>1.49</v>
      </c>
      <c r="D59" s="349">
        <v>1.64</v>
      </c>
      <c r="E59" s="349">
        <v>1.81</v>
      </c>
      <c r="F59" s="349">
        <v>1.98</v>
      </c>
      <c r="G59" s="349">
        <v>2.14</v>
      </c>
      <c r="H59" s="349">
        <v>2.2999999999999998</v>
      </c>
      <c r="I59" s="349">
        <v>2.4300000000000002</v>
      </c>
      <c r="J59" s="349">
        <v>2.56</v>
      </c>
      <c r="K59" s="349">
        <v>2.68</v>
      </c>
      <c r="L59" s="349">
        <v>2.78</v>
      </c>
      <c r="M59" s="349">
        <v>2.87</v>
      </c>
      <c r="N59" s="349">
        <v>2.95</v>
      </c>
      <c r="O59" s="349">
        <v>3.01</v>
      </c>
      <c r="P59" s="2226">
        <v>3.07</v>
      </c>
      <c r="Q59" s="349">
        <v>3.1</v>
      </c>
      <c r="R59" s="349">
        <v>3.13</v>
      </c>
      <c r="S59" s="349">
        <v>3.16</v>
      </c>
      <c r="T59" s="349">
        <v>3.18</v>
      </c>
      <c r="U59" s="349">
        <v>3.2</v>
      </c>
      <c r="V59" s="349">
        <v>3.2</v>
      </c>
      <c r="W59" s="349">
        <v>3.21</v>
      </c>
      <c r="X59" s="349">
        <v>3.21</v>
      </c>
      <c r="Y59" s="349">
        <v>3.21</v>
      </c>
      <c r="Z59" s="349">
        <v>3.21</v>
      </c>
      <c r="AA59" s="349">
        <v>3.2</v>
      </c>
      <c r="AB59" s="349">
        <v>3.19</v>
      </c>
      <c r="AC59" s="349">
        <v>3.18</v>
      </c>
      <c r="AD59" s="349">
        <v>3.17</v>
      </c>
      <c r="AE59" s="349">
        <v>3.17</v>
      </c>
      <c r="AF59" s="349">
        <v>3.16</v>
      </c>
      <c r="AG59" s="349">
        <v>3.15</v>
      </c>
      <c r="AH59" s="349">
        <v>3.15</v>
      </c>
      <c r="AI59" s="349">
        <v>3.14</v>
      </c>
      <c r="AJ59" s="349">
        <v>3.13</v>
      </c>
      <c r="AK59" s="349">
        <v>3.13</v>
      </c>
      <c r="AL59" s="349">
        <v>3.12</v>
      </c>
      <c r="AM59" s="349">
        <v>3.12</v>
      </c>
      <c r="AN59" s="349">
        <v>3.11</v>
      </c>
      <c r="AO59" s="349">
        <v>3.11</v>
      </c>
      <c r="AP59" s="349">
        <v>3.11</v>
      </c>
      <c r="AQ59" s="349">
        <v>3.1</v>
      </c>
      <c r="AR59" s="349">
        <v>3.1</v>
      </c>
      <c r="AS59" s="349">
        <v>3.1</v>
      </c>
      <c r="AT59" s="349">
        <v>3.09</v>
      </c>
      <c r="AU59" s="349">
        <v>3.09</v>
      </c>
      <c r="AV59" s="349">
        <v>3.09</v>
      </c>
      <c r="AW59" s="349">
        <v>3.09</v>
      </c>
      <c r="AX59" s="349">
        <v>3.08</v>
      </c>
      <c r="AY59" s="349">
        <v>3.08</v>
      </c>
      <c r="BB59" s="349">
        <v>2.23</v>
      </c>
    </row>
    <row r="60" spans="1:54" s="127" customFormat="1" ht="12.75">
      <c r="A60" s="109">
        <v>43585</v>
      </c>
      <c r="B60" s="349">
        <v>1.34</v>
      </c>
      <c r="C60" s="349">
        <v>1.45</v>
      </c>
      <c r="D60" s="349">
        <v>1.6</v>
      </c>
      <c r="E60" s="349">
        <v>1.77</v>
      </c>
      <c r="F60" s="349">
        <v>1.94</v>
      </c>
      <c r="G60" s="349">
        <v>2.1</v>
      </c>
      <c r="H60" s="349">
        <v>2.25</v>
      </c>
      <c r="I60" s="349">
        <v>2.39</v>
      </c>
      <c r="J60" s="349">
        <v>2.52</v>
      </c>
      <c r="K60" s="349">
        <v>2.63</v>
      </c>
      <c r="L60" s="349">
        <v>2.74</v>
      </c>
      <c r="M60" s="349">
        <v>2.82</v>
      </c>
      <c r="N60" s="349">
        <v>2.9</v>
      </c>
      <c r="O60" s="349">
        <v>2.97</v>
      </c>
      <c r="P60" s="2226">
        <v>3.03</v>
      </c>
      <c r="Q60" s="349">
        <v>3.06</v>
      </c>
      <c r="R60" s="349">
        <v>3.09</v>
      </c>
      <c r="S60" s="349">
        <v>3.12</v>
      </c>
      <c r="T60" s="349">
        <v>3.14</v>
      </c>
      <c r="U60" s="349">
        <v>3.16</v>
      </c>
      <c r="V60" s="349">
        <v>3.16</v>
      </c>
      <c r="W60" s="349">
        <v>3.16</v>
      </c>
      <c r="X60" s="349">
        <v>3.16</v>
      </c>
      <c r="Y60" s="349">
        <v>3.16</v>
      </c>
      <c r="Z60" s="349">
        <v>3.16</v>
      </c>
      <c r="AA60" s="349">
        <v>3.15</v>
      </c>
      <c r="AB60" s="349">
        <v>3.15</v>
      </c>
      <c r="AC60" s="349">
        <v>3.14</v>
      </c>
      <c r="AD60" s="349">
        <v>3.13</v>
      </c>
      <c r="AE60" s="349">
        <v>3.12</v>
      </c>
      <c r="AF60" s="349">
        <v>3.12</v>
      </c>
      <c r="AG60" s="349">
        <v>3.11</v>
      </c>
      <c r="AH60" s="349">
        <v>3.11</v>
      </c>
      <c r="AI60" s="349">
        <v>3.1</v>
      </c>
      <c r="AJ60" s="349">
        <v>3.09</v>
      </c>
      <c r="AK60" s="349">
        <v>3.09</v>
      </c>
      <c r="AL60" s="349">
        <v>3.08</v>
      </c>
      <c r="AM60" s="349">
        <v>3.08</v>
      </c>
      <c r="AN60" s="349">
        <v>3.08</v>
      </c>
      <c r="AO60" s="349">
        <v>3.07</v>
      </c>
      <c r="AP60" s="349">
        <v>3.07</v>
      </c>
      <c r="AQ60" s="349">
        <v>3.07</v>
      </c>
      <c r="AR60" s="349">
        <v>3.06</v>
      </c>
      <c r="AS60" s="349">
        <v>3.06</v>
      </c>
      <c r="AT60" s="349">
        <v>3.06</v>
      </c>
      <c r="AU60" s="349">
        <v>3.05</v>
      </c>
      <c r="AV60" s="349">
        <v>3.05</v>
      </c>
      <c r="AW60" s="349">
        <v>3.05</v>
      </c>
      <c r="AX60" s="349">
        <v>3.05</v>
      </c>
      <c r="AY60" s="349">
        <v>3.04</v>
      </c>
      <c r="BB60" s="349">
        <v>2.2000000000000002</v>
      </c>
    </row>
    <row r="61" spans="1:54" s="127" customFormat="1" ht="12.75">
      <c r="A61" s="112">
        <v>43616</v>
      </c>
      <c r="B61" s="349">
        <v>1.31</v>
      </c>
      <c r="C61" s="349">
        <v>1.42</v>
      </c>
      <c r="D61" s="349">
        <v>1.57</v>
      </c>
      <c r="E61" s="349">
        <v>1.73</v>
      </c>
      <c r="F61" s="349">
        <v>1.9</v>
      </c>
      <c r="G61" s="349">
        <v>2.06</v>
      </c>
      <c r="H61" s="349">
        <v>2.21</v>
      </c>
      <c r="I61" s="349">
        <v>2.35</v>
      </c>
      <c r="J61" s="349">
        <v>2.4700000000000002</v>
      </c>
      <c r="K61" s="349">
        <v>2.59</v>
      </c>
      <c r="L61" s="349">
        <v>2.69</v>
      </c>
      <c r="M61" s="349">
        <v>2.78</v>
      </c>
      <c r="N61" s="349">
        <v>2.86</v>
      </c>
      <c r="O61" s="349">
        <v>2.93</v>
      </c>
      <c r="P61" s="2226">
        <v>2.98</v>
      </c>
      <c r="Q61" s="349">
        <v>3.02</v>
      </c>
      <c r="R61" s="349">
        <v>3.05</v>
      </c>
      <c r="S61" s="349">
        <v>3.07</v>
      </c>
      <c r="T61" s="349">
        <v>3.1</v>
      </c>
      <c r="U61" s="349">
        <v>3.12</v>
      </c>
      <c r="V61" s="349">
        <v>3.12</v>
      </c>
      <c r="W61" s="349">
        <v>3.12</v>
      </c>
      <c r="X61" s="349">
        <v>3.12</v>
      </c>
      <c r="Y61" s="349">
        <v>3.12</v>
      </c>
      <c r="Z61" s="349">
        <v>3.12</v>
      </c>
      <c r="AA61" s="349">
        <v>3.11</v>
      </c>
      <c r="AB61" s="349">
        <v>3.11</v>
      </c>
      <c r="AC61" s="349">
        <v>3.1</v>
      </c>
      <c r="AD61" s="349">
        <v>3.09</v>
      </c>
      <c r="AE61" s="349">
        <v>3.09</v>
      </c>
      <c r="AF61" s="349">
        <v>3.08</v>
      </c>
      <c r="AG61" s="349">
        <v>3.07</v>
      </c>
      <c r="AH61" s="349">
        <v>3.07</v>
      </c>
      <c r="AI61" s="349">
        <v>3.06</v>
      </c>
      <c r="AJ61" s="349">
        <v>3.06</v>
      </c>
      <c r="AK61" s="349">
        <v>3.05</v>
      </c>
      <c r="AL61" s="349">
        <v>3.05</v>
      </c>
      <c r="AM61" s="349">
        <v>3.04</v>
      </c>
      <c r="AN61" s="349">
        <v>3.04</v>
      </c>
      <c r="AO61" s="349">
        <v>3.04</v>
      </c>
      <c r="AP61" s="349">
        <v>3.03</v>
      </c>
      <c r="AQ61" s="349">
        <v>3.03</v>
      </c>
      <c r="AR61" s="349">
        <v>3.03</v>
      </c>
      <c r="AS61" s="349">
        <v>3.02</v>
      </c>
      <c r="AT61" s="349">
        <v>3.02</v>
      </c>
      <c r="AU61" s="349">
        <v>3.02</v>
      </c>
      <c r="AV61" s="349">
        <v>3.02</v>
      </c>
      <c r="AW61" s="349">
        <v>3.01</v>
      </c>
      <c r="AX61" s="349">
        <v>3.01</v>
      </c>
      <c r="AY61" s="349">
        <v>3.01</v>
      </c>
      <c r="BB61" s="349">
        <v>2.1800000000000002</v>
      </c>
    </row>
    <row r="62" spans="1:54" s="127" customFormat="1" ht="12.75">
      <c r="A62" s="109">
        <v>43646</v>
      </c>
      <c r="B62" s="349">
        <v>1.29</v>
      </c>
      <c r="C62" s="349">
        <v>1.39</v>
      </c>
      <c r="D62" s="349">
        <v>1.53</v>
      </c>
      <c r="E62" s="349">
        <v>1.7</v>
      </c>
      <c r="F62" s="349">
        <v>1.86</v>
      </c>
      <c r="G62" s="349">
        <v>2.02</v>
      </c>
      <c r="H62" s="349">
        <v>2.17</v>
      </c>
      <c r="I62" s="349">
        <v>2.31</v>
      </c>
      <c r="J62" s="349">
        <v>2.4300000000000002</v>
      </c>
      <c r="K62" s="349">
        <v>2.5499999999999998</v>
      </c>
      <c r="L62" s="349">
        <v>2.65</v>
      </c>
      <c r="M62" s="349">
        <v>2.74</v>
      </c>
      <c r="N62" s="349">
        <v>2.82</v>
      </c>
      <c r="O62" s="349">
        <v>2.88</v>
      </c>
      <c r="P62" s="2226">
        <v>2.94</v>
      </c>
      <c r="Q62" s="349">
        <v>2.98</v>
      </c>
      <c r="R62" s="349">
        <v>3.01</v>
      </c>
      <c r="S62" s="349">
        <v>3.03</v>
      </c>
      <c r="T62" s="349">
        <v>3.06</v>
      </c>
      <c r="U62" s="349">
        <v>3.08</v>
      </c>
      <c r="V62" s="349">
        <v>3.08</v>
      </c>
      <c r="W62" s="349">
        <v>3.08</v>
      </c>
      <c r="X62" s="349">
        <v>3.08</v>
      </c>
      <c r="Y62" s="349">
        <v>3.08</v>
      </c>
      <c r="Z62" s="349">
        <v>3.08</v>
      </c>
      <c r="AA62" s="349">
        <v>3.08</v>
      </c>
      <c r="AB62" s="349">
        <v>3.07</v>
      </c>
      <c r="AC62" s="349">
        <v>3.06</v>
      </c>
      <c r="AD62" s="349">
        <v>3.05</v>
      </c>
      <c r="AE62" s="349">
        <v>3.05</v>
      </c>
      <c r="AF62" s="349">
        <v>3.04</v>
      </c>
      <c r="AG62" s="349">
        <v>3.04</v>
      </c>
      <c r="AH62" s="349">
        <v>3.03</v>
      </c>
      <c r="AI62" s="349">
        <v>3.02</v>
      </c>
      <c r="AJ62" s="349">
        <v>3.02</v>
      </c>
      <c r="AK62" s="349">
        <v>3.02</v>
      </c>
      <c r="AL62" s="349">
        <v>3.01</v>
      </c>
      <c r="AM62" s="349">
        <v>3.01</v>
      </c>
      <c r="AN62" s="349">
        <v>3</v>
      </c>
      <c r="AO62" s="349">
        <v>3</v>
      </c>
      <c r="AP62" s="349">
        <v>3</v>
      </c>
      <c r="AQ62" s="349">
        <v>2.99</v>
      </c>
      <c r="AR62" s="349">
        <v>2.99</v>
      </c>
      <c r="AS62" s="349">
        <v>2.99</v>
      </c>
      <c r="AT62" s="349">
        <v>2.98</v>
      </c>
      <c r="AU62" s="349">
        <v>2.98</v>
      </c>
      <c r="AV62" s="349">
        <v>2.98</v>
      </c>
      <c r="AW62" s="349">
        <v>2.98</v>
      </c>
      <c r="AX62" s="349">
        <v>2.98</v>
      </c>
      <c r="AY62" s="349">
        <v>2.97</v>
      </c>
      <c r="BB62" s="349">
        <v>2.15</v>
      </c>
    </row>
    <row r="63" spans="1:54" s="127" customFormat="1" ht="12.75">
      <c r="A63" s="112">
        <v>43677</v>
      </c>
      <c r="B63" s="349">
        <v>1.27</v>
      </c>
      <c r="C63" s="349">
        <v>1.37</v>
      </c>
      <c r="D63" s="349">
        <v>1.5</v>
      </c>
      <c r="E63" s="349">
        <v>1.67</v>
      </c>
      <c r="F63" s="349">
        <v>1.83</v>
      </c>
      <c r="G63" s="349">
        <v>1.99</v>
      </c>
      <c r="H63" s="349">
        <v>2.14</v>
      </c>
      <c r="I63" s="349">
        <v>2.27</v>
      </c>
      <c r="J63" s="349">
        <v>2.4</v>
      </c>
      <c r="K63" s="349">
        <v>2.5099999999999998</v>
      </c>
      <c r="L63" s="349">
        <v>2.62</v>
      </c>
      <c r="M63" s="349">
        <v>2.7</v>
      </c>
      <c r="N63" s="349">
        <v>2.78</v>
      </c>
      <c r="O63" s="349">
        <v>2.85</v>
      </c>
      <c r="P63" s="2226">
        <v>2.9</v>
      </c>
      <c r="Q63" s="349">
        <v>2.94</v>
      </c>
      <c r="R63" s="349">
        <v>2.97</v>
      </c>
      <c r="S63" s="349">
        <v>2.99</v>
      </c>
      <c r="T63" s="349">
        <v>3.02</v>
      </c>
      <c r="U63" s="349">
        <v>3.04</v>
      </c>
      <c r="V63" s="349">
        <v>3.04</v>
      </c>
      <c r="W63" s="349">
        <v>3.04</v>
      </c>
      <c r="X63" s="349">
        <v>3.04</v>
      </c>
      <c r="Y63" s="349">
        <v>3.04</v>
      </c>
      <c r="Z63" s="349">
        <v>3.05</v>
      </c>
      <c r="AA63" s="349">
        <v>3.04</v>
      </c>
      <c r="AB63" s="349">
        <v>3.03</v>
      </c>
      <c r="AC63" s="349">
        <v>3.02</v>
      </c>
      <c r="AD63" s="349">
        <v>3.02</v>
      </c>
      <c r="AE63" s="349">
        <v>3.01</v>
      </c>
      <c r="AF63" s="349">
        <v>3</v>
      </c>
      <c r="AG63" s="349">
        <v>3</v>
      </c>
      <c r="AH63" s="349">
        <v>2.99</v>
      </c>
      <c r="AI63" s="349">
        <v>2.99</v>
      </c>
      <c r="AJ63" s="349">
        <v>2.98</v>
      </c>
      <c r="AK63" s="349">
        <v>2.98</v>
      </c>
      <c r="AL63" s="349">
        <v>2.98</v>
      </c>
      <c r="AM63" s="349">
        <v>2.97</v>
      </c>
      <c r="AN63" s="349">
        <v>2.97</v>
      </c>
      <c r="AO63" s="349">
        <v>2.96</v>
      </c>
      <c r="AP63" s="349">
        <v>2.96</v>
      </c>
      <c r="AQ63" s="349">
        <v>2.96</v>
      </c>
      <c r="AR63" s="349">
        <v>2.96</v>
      </c>
      <c r="AS63" s="349">
        <v>2.95</v>
      </c>
      <c r="AT63" s="349">
        <v>2.95</v>
      </c>
      <c r="AU63" s="349">
        <v>2.95</v>
      </c>
      <c r="AV63" s="349">
        <v>2.95</v>
      </c>
      <c r="AW63" s="349">
        <v>2.94</v>
      </c>
      <c r="AX63" s="349">
        <v>2.94</v>
      </c>
      <c r="AY63" s="349">
        <v>2.94</v>
      </c>
      <c r="BB63" s="349">
        <v>2.12</v>
      </c>
    </row>
    <row r="64" spans="1:54" s="127" customFormat="1" ht="12.75">
      <c r="A64" s="109">
        <v>43708</v>
      </c>
      <c r="B64" s="349">
        <v>1.24</v>
      </c>
      <c r="C64" s="349">
        <v>1.34</v>
      </c>
      <c r="D64" s="349">
        <v>1.47</v>
      </c>
      <c r="E64" s="349">
        <v>1.63</v>
      </c>
      <c r="F64" s="349">
        <v>1.79</v>
      </c>
      <c r="G64" s="349">
        <v>1.95</v>
      </c>
      <c r="H64" s="349">
        <v>2.1</v>
      </c>
      <c r="I64" s="349">
        <v>2.23</v>
      </c>
      <c r="J64" s="349">
        <v>2.36</v>
      </c>
      <c r="K64" s="349">
        <v>2.4700000000000002</v>
      </c>
      <c r="L64" s="349">
        <v>2.58</v>
      </c>
      <c r="M64" s="349">
        <v>2.66</v>
      </c>
      <c r="N64" s="349">
        <v>2.74</v>
      </c>
      <c r="O64" s="349">
        <v>2.8</v>
      </c>
      <c r="P64" s="2226">
        <v>2.86</v>
      </c>
      <c r="Q64" s="349">
        <v>2.9</v>
      </c>
      <c r="R64" s="349">
        <v>2.93</v>
      </c>
      <c r="S64" s="349">
        <v>2.95</v>
      </c>
      <c r="T64" s="349">
        <v>2.98</v>
      </c>
      <c r="U64" s="349">
        <v>3</v>
      </c>
      <c r="V64" s="349">
        <v>3</v>
      </c>
      <c r="W64" s="349">
        <v>3</v>
      </c>
      <c r="X64" s="349">
        <v>3</v>
      </c>
      <c r="Y64" s="349">
        <v>3</v>
      </c>
      <c r="Z64" s="349">
        <v>3.01</v>
      </c>
      <c r="AA64" s="349">
        <v>3</v>
      </c>
      <c r="AB64" s="349">
        <v>2.99</v>
      </c>
      <c r="AC64" s="349">
        <v>2.98</v>
      </c>
      <c r="AD64" s="349">
        <v>2.98</v>
      </c>
      <c r="AE64" s="349">
        <v>2.97</v>
      </c>
      <c r="AF64" s="349">
        <v>2.97</v>
      </c>
      <c r="AG64" s="349">
        <v>2.96</v>
      </c>
      <c r="AH64" s="349">
        <v>2.96</v>
      </c>
      <c r="AI64" s="349">
        <v>2.95</v>
      </c>
      <c r="AJ64" s="349">
        <v>2.95</v>
      </c>
      <c r="AK64" s="349">
        <v>2.94</v>
      </c>
      <c r="AL64" s="349">
        <v>2.94</v>
      </c>
      <c r="AM64" s="349">
        <v>2.93</v>
      </c>
      <c r="AN64" s="349">
        <v>2.93</v>
      </c>
      <c r="AO64" s="349">
        <v>2.93</v>
      </c>
      <c r="AP64" s="349">
        <v>2.93</v>
      </c>
      <c r="AQ64" s="349">
        <v>2.92</v>
      </c>
      <c r="AR64" s="349">
        <v>2.92</v>
      </c>
      <c r="AS64" s="349">
        <v>2.92</v>
      </c>
      <c r="AT64" s="349">
        <v>2.92</v>
      </c>
      <c r="AU64" s="349">
        <v>2.91</v>
      </c>
      <c r="AV64" s="349">
        <v>2.91</v>
      </c>
      <c r="AW64" s="349">
        <v>2.91</v>
      </c>
      <c r="AX64" s="349">
        <v>2.91</v>
      </c>
      <c r="AY64" s="349">
        <v>2.9</v>
      </c>
      <c r="BB64" s="349">
        <v>2.08</v>
      </c>
    </row>
    <row r="65" spans="1:54" s="127" customFormat="1" ht="12.75">
      <c r="A65" s="112">
        <v>43738</v>
      </c>
      <c r="B65" s="349">
        <v>1.22</v>
      </c>
      <c r="C65" s="349">
        <v>1.32</v>
      </c>
      <c r="D65" s="349">
        <v>1.45</v>
      </c>
      <c r="E65" s="349">
        <v>1.6</v>
      </c>
      <c r="F65" s="349">
        <v>1.76</v>
      </c>
      <c r="G65" s="349">
        <v>1.92</v>
      </c>
      <c r="H65" s="349">
        <v>2.06</v>
      </c>
      <c r="I65" s="349">
        <v>2.2000000000000002</v>
      </c>
      <c r="J65" s="349">
        <v>2.3199999999999998</v>
      </c>
      <c r="K65" s="349">
        <v>2.44</v>
      </c>
      <c r="L65" s="349">
        <v>2.54</v>
      </c>
      <c r="M65" s="349">
        <v>2.62</v>
      </c>
      <c r="N65" s="349">
        <v>2.7</v>
      </c>
      <c r="O65" s="349">
        <v>2.77</v>
      </c>
      <c r="P65" s="2226">
        <v>2.82</v>
      </c>
      <c r="Q65" s="349">
        <v>2.86</v>
      </c>
      <c r="R65" s="349">
        <v>2.89</v>
      </c>
      <c r="S65" s="349">
        <v>2.91</v>
      </c>
      <c r="T65" s="349">
        <v>2.94</v>
      </c>
      <c r="U65" s="349">
        <v>2.96</v>
      </c>
      <c r="V65" s="349">
        <v>2.96</v>
      </c>
      <c r="W65" s="349">
        <v>2.96</v>
      </c>
      <c r="X65" s="349">
        <v>2.96</v>
      </c>
      <c r="Y65" s="349">
        <v>2.97</v>
      </c>
      <c r="Z65" s="349">
        <v>2.97</v>
      </c>
      <c r="AA65" s="349">
        <v>2.96</v>
      </c>
      <c r="AB65" s="349">
        <v>2.95</v>
      </c>
      <c r="AC65" s="349">
        <v>2.95</v>
      </c>
      <c r="AD65" s="349">
        <v>2.94</v>
      </c>
      <c r="AE65" s="349">
        <v>2.93</v>
      </c>
      <c r="AF65" s="349">
        <v>2.93</v>
      </c>
      <c r="AG65" s="349">
        <v>2.92</v>
      </c>
      <c r="AH65" s="349">
        <v>2.92</v>
      </c>
      <c r="AI65" s="349">
        <v>2.91</v>
      </c>
      <c r="AJ65" s="349">
        <v>2.91</v>
      </c>
      <c r="AK65" s="349">
        <v>2.91</v>
      </c>
      <c r="AL65" s="349">
        <v>2.9</v>
      </c>
      <c r="AM65" s="349">
        <v>2.9</v>
      </c>
      <c r="AN65" s="349">
        <v>2.9</v>
      </c>
      <c r="AO65" s="349">
        <v>2.89</v>
      </c>
      <c r="AP65" s="349">
        <v>2.89</v>
      </c>
      <c r="AQ65" s="349">
        <v>2.89</v>
      </c>
      <c r="AR65" s="349">
        <v>2.88</v>
      </c>
      <c r="AS65" s="349">
        <v>2.88</v>
      </c>
      <c r="AT65" s="349">
        <v>2.88</v>
      </c>
      <c r="AU65" s="349">
        <v>2.88</v>
      </c>
      <c r="AV65" s="349">
        <v>2.88</v>
      </c>
      <c r="AW65" s="349">
        <v>2.87</v>
      </c>
      <c r="AX65" s="349">
        <v>2.87</v>
      </c>
      <c r="AY65" s="349">
        <v>2.87</v>
      </c>
      <c r="BB65" s="349">
        <v>2.0499999999999998</v>
      </c>
    </row>
    <row r="66" spans="1:54" s="127" customFormat="1" ht="12.75">
      <c r="A66" s="109">
        <v>43769</v>
      </c>
      <c r="B66" s="349">
        <v>1.21</v>
      </c>
      <c r="C66" s="349">
        <v>1.29</v>
      </c>
      <c r="D66" s="349">
        <v>1.42</v>
      </c>
      <c r="E66" s="349">
        <v>1.57</v>
      </c>
      <c r="F66" s="349">
        <v>1.73</v>
      </c>
      <c r="G66" s="349">
        <v>1.89</v>
      </c>
      <c r="H66" s="349">
        <v>2.0299999999999998</v>
      </c>
      <c r="I66" s="349">
        <v>2.16</v>
      </c>
      <c r="J66" s="349">
        <v>2.29</v>
      </c>
      <c r="K66" s="349">
        <v>2.4</v>
      </c>
      <c r="L66" s="349">
        <v>2.5</v>
      </c>
      <c r="M66" s="349">
        <v>2.59</v>
      </c>
      <c r="N66" s="349">
        <v>2.66</v>
      </c>
      <c r="O66" s="349">
        <v>2.73</v>
      </c>
      <c r="P66" s="2226">
        <v>2.79</v>
      </c>
      <c r="Q66" s="349">
        <v>2.82</v>
      </c>
      <c r="R66" s="349">
        <v>2.85</v>
      </c>
      <c r="S66" s="349">
        <v>2.88</v>
      </c>
      <c r="T66" s="349">
        <v>2.9</v>
      </c>
      <c r="U66" s="349">
        <v>2.92</v>
      </c>
      <c r="V66" s="349">
        <v>2.92</v>
      </c>
      <c r="W66" s="349">
        <v>2.93</v>
      </c>
      <c r="X66" s="349">
        <v>2.93</v>
      </c>
      <c r="Y66" s="349">
        <v>2.93</v>
      </c>
      <c r="Z66" s="349">
        <v>2.93</v>
      </c>
      <c r="AA66" s="349">
        <v>2.92</v>
      </c>
      <c r="AB66" s="349">
        <v>2.92</v>
      </c>
      <c r="AC66" s="349">
        <v>2.91</v>
      </c>
      <c r="AD66" s="349">
        <v>2.9</v>
      </c>
      <c r="AE66" s="349">
        <v>2.9</v>
      </c>
      <c r="AF66" s="349">
        <v>2.89</v>
      </c>
      <c r="AG66" s="349">
        <v>2.89</v>
      </c>
      <c r="AH66" s="349">
        <v>2.88</v>
      </c>
      <c r="AI66" s="349">
        <v>2.88</v>
      </c>
      <c r="AJ66" s="349">
        <v>2.88</v>
      </c>
      <c r="AK66" s="349">
        <v>2.87</v>
      </c>
      <c r="AL66" s="349">
        <v>2.87</v>
      </c>
      <c r="AM66" s="349">
        <v>2.87</v>
      </c>
      <c r="AN66" s="349">
        <v>2.86</v>
      </c>
      <c r="AO66" s="349">
        <v>2.86</v>
      </c>
      <c r="AP66" s="349">
        <v>2.86</v>
      </c>
      <c r="AQ66" s="349">
        <v>2.85</v>
      </c>
      <c r="AR66" s="349">
        <v>2.85</v>
      </c>
      <c r="AS66" s="349">
        <v>2.85</v>
      </c>
      <c r="AT66" s="349">
        <v>2.85</v>
      </c>
      <c r="AU66" s="349">
        <v>2.84</v>
      </c>
      <c r="AV66" s="349">
        <v>2.84</v>
      </c>
      <c r="AW66" s="349">
        <v>2.84</v>
      </c>
      <c r="AX66" s="349">
        <v>2.84</v>
      </c>
      <c r="AY66" s="349">
        <v>2.84</v>
      </c>
      <c r="BB66" s="349">
        <v>2.02</v>
      </c>
    </row>
    <row r="67" spans="1:54">
      <c r="A67" s="112">
        <v>43799</v>
      </c>
      <c r="B67" s="349">
        <v>1.19</v>
      </c>
      <c r="C67" s="349">
        <v>1.27</v>
      </c>
      <c r="D67" s="349">
        <v>1.39</v>
      </c>
      <c r="E67" s="349">
        <v>1.55</v>
      </c>
      <c r="F67" s="349">
        <v>1.7</v>
      </c>
      <c r="G67" s="349">
        <v>1.86</v>
      </c>
      <c r="H67" s="349">
        <v>2</v>
      </c>
      <c r="I67" s="349">
        <v>2.13</v>
      </c>
      <c r="J67" s="349">
        <v>2.25</v>
      </c>
      <c r="K67" s="349">
        <v>2.37</v>
      </c>
      <c r="L67" s="349">
        <v>2.4700000000000002</v>
      </c>
      <c r="M67" s="349">
        <v>2.5499999999999998</v>
      </c>
      <c r="N67" s="349">
        <v>2.63</v>
      </c>
      <c r="O67" s="349">
        <v>2.69</v>
      </c>
      <c r="P67" s="2226">
        <v>2.75</v>
      </c>
      <c r="Q67" s="349">
        <v>2.78</v>
      </c>
      <c r="R67" s="349">
        <v>2.81</v>
      </c>
      <c r="S67" s="349">
        <v>2.84</v>
      </c>
      <c r="T67" s="349">
        <v>2.86</v>
      </c>
      <c r="U67" s="349">
        <v>2.89</v>
      </c>
      <c r="V67" s="349">
        <v>2.89</v>
      </c>
      <c r="W67" s="349">
        <v>2.89</v>
      </c>
      <c r="X67" s="349">
        <v>2.89</v>
      </c>
      <c r="Y67" s="349">
        <v>2.89</v>
      </c>
      <c r="Z67" s="349">
        <v>2.9</v>
      </c>
      <c r="AA67" s="349">
        <v>2.89</v>
      </c>
      <c r="AB67" s="349">
        <v>2.88</v>
      </c>
      <c r="AC67" s="349">
        <v>2.88</v>
      </c>
      <c r="AD67" s="349">
        <v>2.87</v>
      </c>
      <c r="AE67" s="349">
        <v>2.87</v>
      </c>
      <c r="AF67" s="349">
        <v>2.86</v>
      </c>
      <c r="AG67" s="349">
        <v>2.86</v>
      </c>
      <c r="AH67" s="349">
        <v>2.85</v>
      </c>
      <c r="AI67" s="349">
        <v>2.85</v>
      </c>
      <c r="AJ67" s="349">
        <v>2.84</v>
      </c>
      <c r="AK67" s="349">
        <v>2.84</v>
      </c>
      <c r="AL67" s="349">
        <v>2.84</v>
      </c>
      <c r="AM67" s="349">
        <v>2.83</v>
      </c>
      <c r="AN67" s="349">
        <v>2.83</v>
      </c>
      <c r="AO67" s="349">
        <v>2.83</v>
      </c>
      <c r="AP67" s="349">
        <v>2.83</v>
      </c>
      <c r="AQ67" s="349">
        <v>2.82</v>
      </c>
      <c r="AR67" s="349">
        <v>2.82</v>
      </c>
      <c r="AS67" s="349">
        <v>2.82</v>
      </c>
      <c r="AT67" s="349">
        <v>2.82</v>
      </c>
      <c r="AU67" s="349">
        <v>2.81</v>
      </c>
      <c r="AV67" s="349">
        <v>2.81</v>
      </c>
      <c r="AW67" s="349">
        <v>2.81</v>
      </c>
      <c r="AX67" s="349">
        <v>2.81</v>
      </c>
      <c r="AY67" s="349">
        <v>2.81</v>
      </c>
      <c r="BB67" s="349">
        <v>2</v>
      </c>
    </row>
    <row r="68" spans="1:54">
      <c r="A68" s="109">
        <v>43830</v>
      </c>
      <c r="B68" s="349">
        <v>1.17</v>
      </c>
      <c r="C68" s="349">
        <v>1.25</v>
      </c>
      <c r="D68" s="349">
        <v>1.37</v>
      </c>
      <c r="E68" s="349">
        <v>1.52</v>
      </c>
      <c r="F68" s="349">
        <v>1.67</v>
      </c>
      <c r="G68" s="349">
        <v>1.82</v>
      </c>
      <c r="H68" s="349">
        <v>1.97</v>
      </c>
      <c r="I68" s="349">
        <v>2.1</v>
      </c>
      <c r="J68" s="349">
        <v>2.2200000000000002</v>
      </c>
      <c r="K68" s="349">
        <v>2.33</v>
      </c>
      <c r="L68" s="349">
        <v>2.4300000000000002</v>
      </c>
      <c r="M68" s="349">
        <v>2.52</v>
      </c>
      <c r="N68" s="349">
        <v>2.59</v>
      </c>
      <c r="O68" s="349">
        <v>2.66</v>
      </c>
      <c r="P68" s="2226">
        <v>2.71</v>
      </c>
      <c r="Q68" s="349">
        <v>2.75</v>
      </c>
      <c r="R68" s="349">
        <v>2.78</v>
      </c>
      <c r="S68" s="349">
        <v>2.8</v>
      </c>
      <c r="T68" s="349">
        <v>2.83</v>
      </c>
      <c r="U68" s="349">
        <v>2.85</v>
      </c>
      <c r="V68" s="349">
        <v>2.85</v>
      </c>
      <c r="W68" s="349">
        <v>2.86</v>
      </c>
      <c r="X68" s="349">
        <v>2.86</v>
      </c>
      <c r="Y68" s="349">
        <v>2.86</v>
      </c>
      <c r="Z68" s="349">
        <v>2.86</v>
      </c>
      <c r="AA68" s="349">
        <v>2.86</v>
      </c>
      <c r="AB68" s="349">
        <v>2.85</v>
      </c>
      <c r="AC68" s="349">
        <v>2.84</v>
      </c>
      <c r="AD68" s="349">
        <v>2.84</v>
      </c>
      <c r="AE68" s="349">
        <v>2.83</v>
      </c>
      <c r="AF68" s="349">
        <v>2.83</v>
      </c>
      <c r="AG68" s="349">
        <v>2.82</v>
      </c>
      <c r="AH68" s="349">
        <v>2.82</v>
      </c>
      <c r="AI68" s="349">
        <v>2.82</v>
      </c>
      <c r="AJ68" s="349">
        <v>2.81</v>
      </c>
      <c r="AK68" s="349">
        <v>2.81</v>
      </c>
      <c r="AL68" s="349">
        <v>2.81</v>
      </c>
      <c r="AM68" s="349">
        <v>2.8</v>
      </c>
      <c r="AN68" s="349">
        <v>2.8</v>
      </c>
      <c r="AO68" s="349">
        <v>2.8</v>
      </c>
      <c r="AP68" s="349">
        <v>2.79</v>
      </c>
      <c r="AQ68" s="349">
        <v>2.79</v>
      </c>
      <c r="AR68" s="349">
        <v>2.79</v>
      </c>
      <c r="AS68" s="349">
        <v>2.79</v>
      </c>
      <c r="AT68" s="349">
        <v>2.78</v>
      </c>
      <c r="AU68" s="349">
        <v>2.78</v>
      </c>
      <c r="AV68" s="349">
        <v>2.78</v>
      </c>
      <c r="AW68" s="349">
        <v>2.78</v>
      </c>
      <c r="AX68" s="349">
        <v>2.78</v>
      </c>
      <c r="AY68" s="349">
        <v>2.77</v>
      </c>
      <c r="BB68" s="349">
        <v>1.97</v>
      </c>
    </row>
    <row r="69" spans="1:54">
      <c r="A69" s="112">
        <v>43861</v>
      </c>
      <c r="B69" s="349">
        <v>1.1499999999999999</v>
      </c>
      <c r="C69" s="349">
        <v>1.23</v>
      </c>
      <c r="D69" s="349">
        <v>1.34</v>
      </c>
      <c r="E69" s="349">
        <v>1.49</v>
      </c>
      <c r="F69" s="349">
        <v>1.64</v>
      </c>
      <c r="G69" s="349">
        <v>1.79</v>
      </c>
      <c r="H69" s="349">
        <v>1.93</v>
      </c>
      <c r="I69" s="349">
        <v>2.06</v>
      </c>
      <c r="J69" s="349">
        <v>2.1800000000000002</v>
      </c>
      <c r="K69" s="349">
        <v>2.2999999999999998</v>
      </c>
      <c r="L69" s="349">
        <v>2.4</v>
      </c>
      <c r="M69" s="349">
        <v>2.48</v>
      </c>
      <c r="N69" s="349">
        <v>2.56</v>
      </c>
      <c r="O69" s="349">
        <v>2.62</v>
      </c>
      <c r="P69" s="2226">
        <v>2.68</v>
      </c>
      <c r="Q69" s="349">
        <v>2.71</v>
      </c>
      <c r="R69" s="349">
        <v>2.74</v>
      </c>
      <c r="S69" s="349">
        <v>2.77</v>
      </c>
      <c r="T69" s="349">
        <v>2.79</v>
      </c>
      <c r="U69" s="349">
        <v>2.81</v>
      </c>
      <c r="V69" s="349">
        <v>2.82</v>
      </c>
      <c r="W69" s="349">
        <v>2.82</v>
      </c>
      <c r="X69" s="349">
        <v>2.82</v>
      </c>
      <c r="Y69" s="349">
        <v>2.82</v>
      </c>
      <c r="Z69" s="349">
        <v>2.83</v>
      </c>
      <c r="AA69" s="349">
        <v>2.82</v>
      </c>
      <c r="AB69" s="349">
        <v>2.81</v>
      </c>
      <c r="AC69" s="349">
        <v>2.81</v>
      </c>
      <c r="AD69" s="349">
        <v>2.8</v>
      </c>
      <c r="AE69" s="349">
        <v>2.8</v>
      </c>
      <c r="AF69" s="349">
        <v>2.79</v>
      </c>
      <c r="AG69" s="349">
        <v>2.79</v>
      </c>
      <c r="AH69" s="349">
        <v>2.78</v>
      </c>
      <c r="AI69" s="349">
        <v>2.78</v>
      </c>
      <c r="AJ69" s="349">
        <v>2.78</v>
      </c>
      <c r="AK69" s="349">
        <v>2.77</v>
      </c>
      <c r="AL69" s="349">
        <v>2.77</v>
      </c>
      <c r="AM69" s="349">
        <v>2.77</v>
      </c>
      <c r="AN69" s="349">
        <v>2.77</v>
      </c>
      <c r="AO69" s="349">
        <v>2.76</v>
      </c>
      <c r="AP69" s="349">
        <v>2.76</v>
      </c>
      <c r="AQ69" s="349">
        <v>2.76</v>
      </c>
      <c r="AR69" s="349">
        <v>2.76</v>
      </c>
      <c r="AS69" s="349">
        <v>2.75</v>
      </c>
      <c r="AT69" s="349">
        <v>2.75</v>
      </c>
      <c r="AU69" s="349">
        <v>2.75</v>
      </c>
      <c r="AV69" s="349">
        <v>2.75</v>
      </c>
      <c r="AW69" s="349">
        <v>2.75</v>
      </c>
      <c r="AX69" s="349">
        <v>2.74</v>
      </c>
      <c r="AY69" s="349">
        <v>2.74</v>
      </c>
      <c r="BB69" s="349">
        <v>1.94</v>
      </c>
    </row>
    <row r="70" spans="1:54">
      <c r="A70" s="109">
        <v>43890</v>
      </c>
      <c r="B70" s="349">
        <v>1.1299999999999999</v>
      </c>
      <c r="C70" s="349">
        <v>1.2</v>
      </c>
      <c r="D70" s="349">
        <v>1.32</v>
      </c>
      <c r="E70" s="349">
        <v>1.46</v>
      </c>
      <c r="F70" s="349">
        <v>1.61</v>
      </c>
      <c r="G70" s="349">
        <v>1.76</v>
      </c>
      <c r="H70" s="349">
        <v>1.9</v>
      </c>
      <c r="I70" s="349">
        <v>2.0299999999999998</v>
      </c>
      <c r="J70" s="349">
        <v>2.15</v>
      </c>
      <c r="K70" s="349">
        <v>2.2599999999999998</v>
      </c>
      <c r="L70" s="349">
        <v>2.36</v>
      </c>
      <c r="M70" s="349">
        <v>2.4500000000000002</v>
      </c>
      <c r="N70" s="349">
        <v>2.52</v>
      </c>
      <c r="O70" s="349">
        <v>2.58</v>
      </c>
      <c r="P70" s="2226">
        <v>2.64</v>
      </c>
      <c r="Q70" s="349">
        <v>2.67</v>
      </c>
      <c r="R70" s="349">
        <v>2.7</v>
      </c>
      <c r="S70" s="349">
        <v>2.73</v>
      </c>
      <c r="T70" s="349">
        <v>2.75</v>
      </c>
      <c r="U70" s="349">
        <v>2.77</v>
      </c>
      <c r="V70" s="349">
        <v>2.78</v>
      </c>
      <c r="W70" s="349">
        <v>2.78</v>
      </c>
      <c r="X70" s="349">
        <v>2.78</v>
      </c>
      <c r="Y70" s="349">
        <v>2.79</v>
      </c>
      <c r="Z70" s="349">
        <v>2.79</v>
      </c>
      <c r="AA70" s="349">
        <v>2.78</v>
      </c>
      <c r="AB70" s="349">
        <v>2.78</v>
      </c>
      <c r="AC70" s="349">
        <v>2.77</v>
      </c>
      <c r="AD70" s="349">
        <v>2.77</v>
      </c>
      <c r="AE70" s="349">
        <v>2.76</v>
      </c>
      <c r="AF70" s="349">
        <v>2.76</v>
      </c>
      <c r="AG70" s="349">
        <v>2.75</v>
      </c>
      <c r="AH70" s="349">
        <v>2.75</v>
      </c>
      <c r="AI70" s="349">
        <v>2.75</v>
      </c>
      <c r="AJ70" s="349">
        <v>2.74</v>
      </c>
      <c r="AK70" s="349">
        <v>2.74</v>
      </c>
      <c r="AL70" s="349">
        <v>2.74</v>
      </c>
      <c r="AM70" s="349">
        <v>2.73</v>
      </c>
      <c r="AN70" s="349">
        <v>2.73</v>
      </c>
      <c r="AO70" s="349">
        <v>2.73</v>
      </c>
      <c r="AP70" s="349">
        <v>2.73</v>
      </c>
      <c r="AQ70" s="349">
        <v>2.72</v>
      </c>
      <c r="AR70" s="349">
        <v>2.72</v>
      </c>
      <c r="AS70" s="349">
        <v>2.72</v>
      </c>
      <c r="AT70" s="349">
        <v>2.72</v>
      </c>
      <c r="AU70" s="349">
        <v>2.72</v>
      </c>
      <c r="AV70" s="349">
        <v>2.71</v>
      </c>
      <c r="AW70" s="349">
        <v>2.71</v>
      </c>
      <c r="AX70" s="349">
        <v>2.71</v>
      </c>
      <c r="AY70" s="349">
        <v>2.71</v>
      </c>
      <c r="BB70" s="349">
        <v>1.91</v>
      </c>
    </row>
    <row r="71" spans="1:54">
      <c r="A71" s="112">
        <v>43921</v>
      </c>
      <c r="B71" s="349">
        <v>1.1200000000000001</v>
      </c>
      <c r="C71" s="349">
        <v>1.19</v>
      </c>
      <c r="D71" s="349">
        <v>1.3</v>
      </c>
      <c r="E71" s="349">
        <v>1.45</v>
      </c>
      <c r="F71" s="349">
        <v>1.59</v>
      </c>
      <c r="G71" s="349">
        <v>1.74</v>
      </c>
      <c r="H71" s="349">
        <v>1.88</v>
      </c>
      <c r="I71" s="349">
        <v>2.0099999999999998</v>
      </c>
      <c r="J71" s="349">
        <v>2.12</v>
      </c>
      <c r="K71" s="349">
        <v>2.23</v>
      </c>
      <c r="L71" s="349">
        <v>2.33</v>
      </c>
      <c r="M71" s="349">
        <v>2.42</v>
      </c>
      <c r="N71" s="349">
        <v>2.4900000000000002</v>
      </c>
      <c r="O71" s="349">
        <v>2.56</v>
      </c>
      <c r="P71" s="2226">
        <v>2.61</v>
      </c>
      <c r="Q71" s="349">
        <v>2.64</v>
      </c>
      <c r="R71" s="349">
        <v>2.67</v>
      </c>
      <c r="S71" s="349">
        <v>2.7</v>
      </c>
      <c r="T71" s="349">
        <v>2.72</v>
      </c>
      <c r="U71" s="349">
        <v>2.75</v>
      </c>
      <c r="V71" s="349">
        <v>2.75</v>
      </c>
      <c r="W71" s="349">
        <v>2.75</v>
      </c>
      <c r="X71" s="349">
        <v>2.76</v>
      </c>
      <c r="Y71" s="349">
        <v>2.76</v>
      </c>
      <c r="Z71" s="349">
        <v>2.76</v>
      </c>
      <c r="AA71" s="349">
        <v>2.75</v>
      </c>
      <c r="AB71" s="349">
        <v>2.75</v>
      </c>
      <c r="AC71" s="349">
        <v>2.74</v>
      </c>
      <c r="AD71" s="349">
        <v>2.74</v>
      </c>
      <c r="AE71" s="349">
        <v>2.73</v>
      </c>
      <c r="AF71" s="349">
        <v>2.73</v>
      </c>
      <c r="AG71" s="349">
        <v>2.73</v>
      </c>
      <c r="AH71" s="349">
        <v>2.72</v>
      </c>
      <c r="AI71" s="349">
        <v>2.72</v>
      </c>
      <c r="AJ71" s="349">
        <v>2.72</v>
      </c>
      <c r="AK71" s="349">
        <v>2.71</v>
      </c>
      <c r="AL71" s="349">
        <v>2.71</v>
      </c>
      <c r="AM71" s="349">
        <v>2.71</v>
      </c>
      <c r="AN71" s="349">
        <v>2.7</v>
      </c>
      <c r="AO71" s="349">
        <v>2.7</v>
      </c>
      <c r="AP71" s="349">
        <v>2.7</v>
      </c>
      <c r="AQ71" s="349">
        <v>2.7</v>
      </c>
      <c r="AR71" s="349">
        <v>2.7</v>
      </c>
      <c r="AS71" s="349">
        <v>2.69</v>
      </c>
      <c r="AT71" s="349">
        <v>2.69</v>
      </c>
      <c r="AU71" s="349">
        <v>2.69</v>
      </c>
      <c r="AV71" s="349">
        <v>2.69</v>
      </c>
      <c r="AW71" s="349">
        <v>2.69</v>
      </c>
      <c r="AX71" s="349">
        <v>2.68</v>
      </c>
      <c r="AY71" s="349">
        <v>2.68</v>
      </c>
      <c r="BB71" s="349">
        <v>1.89</v>
      </c>
    </row>
    <row r="72" spans="1:54">
      <c r="A72" s="109">
        <v>43951</v>
      </c>
      <c r="B72" s="349">
        <v>1.1100000000000001</v>
      </c>
      <c r="C72" s="349">
        <v>1.18</v>
      </c>
      <c r="D72" s="349">
        <v>1.28</v>
      </c>
      <c r="E72" s="349">
        <v>1.42</v>
      </c>
      <c r="F72" s="349">
        <v>1.57</v>
      </c>
      <c r="G72" s="349">
        <v>1.71</v>
      </c>
      <c r="H72" s="349">
        <v>1.85</v>
      </c>
      <c r="I72" s="349">
        <v>1.98</v>
      </c>
      <c r="J72" s="349">
        <v>2.09</v>
      </c>
      <c r="K72" s="349">
        <v>2.2000000000000002</v>
      </c>
      <c r="L72" s="349">
        <v>2.2999999999999998</v>
      </c>
      <c r="M72" s="349">
        <v>2.39</v>
      </c>
      <c r="N72" s="349">
        <v>2.46</v>
      </c>
      <c r="O72" s="349">
        <v>2.52</v>
      </c>
      <c r="P72" s="2226">
        <v>2.58</v>
      </c>
      <c r="Q72" s="349">
        <v>2.61</v>
      </c>
      <c r="R72" s="349">
        <v>2.64</v>
      </c>
      <c r="S72" s="349">
        <v>2.67</v>
      </c>
      <c r="T72" s="349">
        <v>2.69</v>
      </c>
      <c r="U72" s="349">
        <v>2.71</v>
      </c>
      <c r="V72" s="349">
        <v>2.72</v>
      </c>
      <c r="W72" s="349">
        <v>2.72</v>
      </c>
      <c r="X72" s="349">
        <v>2.72</v>
      </c>
      <c r="Y72" s="349">
        <v>2.72</v>
      </c>
      <c r="Z72" s="349">
        <v>2.73</v>
      </c>
      <c r="AA72" s="349">
        <v>2.72</v>
      </c>
      <c r="AB72" s="349">
        <v>2.72</v>
      </c>
      <c r="AC72" s="349">
        <v>2.71</v>
      </c>
      <c r="AD72" s="349">
        <v>2.71</v>
      </c>
      <c r="AE72" s="349">
        <v>2.7</v>
      </c>
      <c r="AF72" s="349">
        <v>2.7</v>
      </c>
      <c r="AG72" s="349">
        <v>2.69</v>
      </c>
      <c r="AH72" s="349">
        <v>2.69</v>
      </c>
      <c r="AI72" s="349">
        <v>2.69</v>
      </c>
      <c r="AJ72" s="349">
        <v>2.68</v>
      </c>
      <c r="AK72" s="349">
        <v>2.68</v>
      </c>
      <c r="AL72" s="349">
        <v>2.68</v>
      </c>
      <c r="AM72" s="349">
        <v>2.68</v>
      </c>
      <c r="AN72" s="349">
        <v>2.67</v>
      </c>
      <c r="AO72" s="349">
        <v>2.67</v>
      </c>
      <c r="AP72" s="349">
        <v>2.67</v>
      </c>
      <c r="AQ72" s="349">
        <v>2.67</v>
      </c>
      <c r="AR72" s="349">
        <v>2.66</v>
      </c>
      <c r="AS72" s="349">
        <v>2.66</v>
      </c>
      <c r="AT72" s="349">
        <v>2.66</v>
      </c>
      <c r="AU72" s="349">
        <v>2.66</v>
      </c>
      <c r="AV72" s="349">
        <v>2.66</v>
      </c>
      <c r="AW72" s="349">
        <v>2.65</v>
      </c>
      <c r="AX72" s="349">
        <v>2.65</v>
      </c>
      <c r="AY72" s="349">
        <v>2.65</v>
      </c>
      <c r="BB72" s="349">
        <v>1.87</v>
      </c>
    </row>
    <row r="73" spans="1:54" s="127" customFormat="1" ht="12.75">
      <c r="A73" s="112">
        <v>43982</v>
      </c>
      <c r="B73" s="349">
        <v>1.0900000000000001</v>
      </c>
      <c r="C73" s="349">
        <v>1.1599999999999999</v>
      </c>
      <c r="D73" s="349">
        <v>1.26</v>
      </c>
      <c r="E73" s="349">
        <v>1.4</v>
      </c>
      <c r="F73" s="349">
        <v>1.54</v>
      </c>
      <c r="G73" s="349">
        <v>1.69</v>
      </c>
      <c r="H73" s="349">
        <v>1.82</v>
      </c>
      <c r="I73" s="349">
        <v>1.95</v>
      </c>
      <c r="J73" s="349">
        <v>2.06</v>
      </c>
      <c r="K73" s="349">
        <v>2.17</v>
      </c>
      <c r="L73" s="349">
        <v>2.27</v>
      </c>
      <c r="M73" s="349">
        <v>2.35</v>
      </c>
      <c r="N73" s="349">
        <v>2.4300000000000002</v>
      </c>
      <c r="O73" s="349">
        <v>2.4900000000000002</v>
      </c>
      <c r="P73" s="2226">
        <v>2.54</v>
      </c>
      <c r="Q73" s="349">
        <v>2.58</v>
      </c>
      <c r="R73" s="349">
        <v>2.61</v>
      </c>
      <c r="S73" s="349">
        <v>2.63</v>
      </c>
      <c r="T73" s="349">
        <v>2.66</v>
      </c>
      <c r="U73" s="349">
        <v>2.68</v>
      </c>
      <c r="V73" s="349">
        <v>2.68</v>
      </c>
      <c r="W73" s="349">
        <v>2.68</v>
      </c>
      <c r="X73" s="349">
        <v>2.69</v>
      </c>
      <c r="Y73" s="349">
        <v>2.69</v>
      </c>
      <c r="Z73" s="349">
        <v>2.69</v>
      </c>
      <c r="AA73" s="349">
        <v>2.69</v>
      </c>
      <c r="AB73" s="349">
        <v>2.68</v>
      </c>
      <c r="AC73" s="349">
        <v>2.68</v>
      </c>
      <c r="AD73" s="349">
        <v>2.67</v>
      </c>
      <c r="AE73" s="349">
        <v>2.67</v>
      </c>
      <c r="AF73" s="349">
        <v>2.66</v>
      </c>
      <c r="AG73" s="349">
        <v>2.66</v>
      </c>
      <c r="AH73" s="349">
        <v>2.66</v>
      </c>
      <c r="AI73" s="349">
        <v>2.66</v>
      </c>
      <c r="AJ73" s="349">
        <v>2.65</v>
      </c>
      <c r="AK73" s="349">
        <v>2.65</v>
      </c>
      <c r="AL73" s="349">
        <v>2.65</v>
      </c>
      <c r="AM73" s="349">
        <v>2.64</v>
      </c>
      <c r="AN73" s="349">
        <v>2.64</v>
      </c>
      <c r="AO73" s="349">
        <v>2.64</v>
      </c>
      <c r="AP73" s="349">
        <v>2.64</v>
      </c>
      <c r="AQ73" s="349">
        <v>2.64</v>
      </c>
      <c r="AR73" s="349">
        <v>2.63</v>
      </c>
      <c r="AS73" s="349">
        <v>2.63</v>
      </c>
      <c r="AT73" s="349">
        <v>2.63</v>
      </c>
      <c r="AU73" s="349">
        <v>2.63</v>
      </c>
      <c r="AV73" s="349">
        <v>2.62</v>
      </c>
      <c r="AW73" s="349">
        <v>2.62</v>
      </c>
      <c r="AX73" s="349">
        <v>2.62</v>
      </c>
      <c r="AY73" s="349">
        <v>2.62</v>
      </c>
      <c r="BB73" s="349">
        <v>1.84</v>
      </c>
    </row>
    <row r="74" spans="1:54">
      <c r="A74" s="109">
        <v>44012</v>
      </c>
      <c r="B74" s="349">
        <v>1.07</v>
      </c>
      <c r="C74" s="349">
        <v>1.1299999999999999</v>
      </c>
      <c r="D74" s="349">
        <v>1.24</v>
      </c>
      <c r="E74" s="349">
        <v>1.37</v>
      </c>
      <c r="F74" s="349">
        <v>1.51</v>
      </c>
      <c r="G74" s="349">
        <v>1.66</v>
      </c>
      <c r="H74" s="349">
        <v>1.79</v>
      </c>
      <c r="I74" s="349">
        <v>1.91</v>
      </c>
      <c r="J74" s="349">
        <v>2.0299999999999998</v>
      </c>
      <c r="K74" s="349">
        <v>2.14</v>
      </c>
      <c r="L74" s="349">
        <v>2.2400000000000002</v>
      </c>
      <c r="M74" s="349">
        <v>2.3199999999999998</v>
      </c>
      <c r="N74" s="349">
        <v>2.39</v>
      </c>
      <c r="O74" s="349">
        <v>2.4500000000000002</v>
      </c>
      <c r="P74" s="2226">
        <v>2.5099999999999998</v>
      </c>
      <c r="Q74" s="349">
        <v>2.54</v>
      </c>
      <c r="R74" s="349">
        <v>2.57</v>
      </c>
      <c r="S74" s="349">
        <v>2.6</v>
      </c>
      <c r="T74" s="349">
        <v>2.62</v>
      </c>
      <c r="U74" s="349">
        <v>2.64</v>
      </c>
      <c r="V74" s="349">
        <v>2.65</v>
      </c>
      <c r="W74" s="349">
        <v>2.65</v>
      </c>
      <c r="X74" s="349">
        <v>2.65</v>
      </c>
      <c r="Y74" s="349">
        <v>2.66</v>
      </c>
      <c r="Z74" s="349">
        <v>2.66</v>
      </c>
      <c r="AA74" s="349">
        <v>2.65</v>
      </c>
      <c r="AB74" s="349">
        <v>2.65</v>
      </c>
      <c r="AC74" s="349">
        <v>2.64</v>
      </c>
      <c r="AD74" s="349">
        <v>2.64</v>
      </c>
      <c r="AE74" s="349">
        <v>2.63</v>
      </c>
      <c r="AF74" s="349">
        <v>2.63</v>
      </c>
      <c r="AG74" s="349">
        <v>2.63</v>
      </c>
      <c r="AH74" s="349">
        <v>2.63</v>
      </c>
      <c r="AI74" s="349">
        <v>2.62</v>
      </c>
      <c r="AJ74" s="349">
        <v>2.62</v>
      </c>
      <c r="AK74" s="349">
        <v>2.62</v>
      </c>
      <c r="AL74" s="349">
        <v>2.61</v>
      </c>
      <c r="AM74" s="349">
        <v>2.61</v>
      </c>
      <c r="AN74" s="349">
        <v>2.61</v>
      </c>
      <c r="AO74" s="349">
        <v>2.61</v>
      </c>
      <c r="AP74" s="349">
        <v>2.61</v>
      </c>
      <c r="AQ74" s="349">
        <v>2.6</v>
      </c>
      <c r="AR74" s="349">
        <v>2.6</v>
      </c>
      <c r="AS74" s="349">
        <v>2.6</v>
      </c>
      <c r="AT74" s="349">
        <v>2.6</v>
      </c>
      <c r="AU74" s="349">
        <v>2.59</v>
      </c>
      <c r="AV74" s="349">
        <v>2.59</v>
      </c>
      <c r="AW74" s="349">
        <v>2.59</v>
      </c>
      <c r="AX74" s="349">
        <v>2.59</v>
      </c>
      <c r="AY74" s="349">
        <v>2.59</v>
      </c>
      <c r="BB74" s="349">
        <v>1.81</v>
      </c>
    </row>
    <row r="75" spans="1:54">
      <c r="A75" s="112">
        <v>44043</v>
      </c>
      <c r="B75" s="349">
        <v>1.05</v>
      </c>
      <c r="C75" s="349">
        <v>1.1100000000000001</v>
      </c>
      <c r="D75" s="349">
        <v>1.21</v>
      </c>
      <c r="E75" s="349">
        <v>1.35</v>
      </c>
      <c r="F75" s="349">
        <v>1.49</v>
      </c>
      <c r="G75" s="349">
        <v>1.63</v>
      </c>
      <c r="H75" s="349">
        <v>1.76</v>
      </c>
      <c r="I75" s="349">
        <v>1.88</v>
      </c>
      <c r="J75" s="349">
        <v>2</v>
      </c>
      <c r="K75" s="349">
        <v>2.11</v>
      </c>
      <c r="L75" s="349">
        <v>2.2000000000000002</v>
      </c>
      <c r="M75" s="349">
        <v>2.2799999999999998</v>
      </c>
      <c r="N75" s="349">
        <v>2.36</v>
      </c>
      <c r="O75" s="349">
        <v>2.42</v>
      </c>
      <c r="P75" s="2226">
        <v>2.4700000000000002</v>
      </c>
      <c r="Q75" s="349">
        <v>2.5099999999999998</v>
      </c>
      <c r="R75" s="349">
        <v>2.54</v>
      </c>
      <c r="S75" s="349">
        <v>2.56</v>
      </c>
      <c r="T75" s="349">
        <v>2.59</v>
      </c>
      <c r="U75" s="349">
        <v>2.61</v>
      </c>
      <c r="V75" s="349">
        <v>2.61</v>
      </c>
      <c r="W75" s="349">
        <v>2.61</v>
      </c>
      <c r="X75" s="349">
        <v>2.62</v>
      </c>
      <c r="Y75" s="349">
        <v>2.62</v>
      </c>
      <c r="Z75" s="349">
        <v>2.62</v>
      </c>
      <c r="AA75" s="349">
        <v>2.62</v>
      </c>
      <c r="AB75" s="349">
        <v>2.61</v>
      </c>
      <c r="AC75" s="349">
        <v>2.61</v>
      </c>
      <c r="AD75" s="349">
        <v>2.6</v>
      </c>
      <c r="AE75" s="349">
        <v>2.6</v>
      </c>
      <c r="AF75" s="349">
        <v>2.6</v>
      </c>
      <c r="AG75" s="349">
        <v>2.59</v>
      </c>
      <c r="AH75" s="349">
        <v>2.59</v>
      </c>
      <c r="AI75" s="349">
        <v>2.59</v>
      </c>
      <c r="AJ75" s="349">
        <v>2.59</v>
      </c>
      <c r="AK75" s="349">
        <v>2.58</v>
      </c>
      <c r="AL75" s="349">
        <v>2.58</v>
      </c>
      <c r="AM75" s="349">
        <v>2.58</v>
      </c>
      <c r="AN75" s="349">
        <v>2.58</v>
      </c>
      <c r="AO75" s="349">
        <v>2.57</v>
      </c>
      <c r="AP75" s="349">
        <v>2.57</v>
      </c>
      <c r="AQ75" s="349">
        <v>2.57</v>
      </c>
      <c r="AR75" s="349">
        <v>2.57</v>
      </c>
      <c r="AS75" s="349">
        <v>2.56</v>
      </c>
      <c r="AT75" s="349">
        <v>2.56</v>
      </c>
      <c r="AU75" s="349">
        <v>2.56</v>
      </c>
      <c r="AV75" s="349">
        <v>2.56</v>
      </c>
      <c r="AW75" s="349">
        <v>2.56</v>
      </c>
      <c r="AX75" s="349">
        <v>2.56</v>
      </c>
      <c r="AY75" s="349">
        <v>2.5499999999999998</v>
      </c>
      <c r="BB75" s="349">
        <v>1.78</v>
      </c>
    </row>
    <row r="76" spans="1:54">
      <c r="A76" s="109">
        <v>44074</v>
      </c>
      <c r="B76" s="349">
        <v>1.03</v>
      </c>
      <c r="C76" s="349">
        <v>1.0900000000000001</v>
      </c>
      <c r="D76" s="349">
        <v>1.19</v>
      </c>
      <c r="E76" s="349">
        <v>1.33</v>
      </c>
      <c r="F76" s="349">
        <v>1.46</v>
      </c>
      <c r="G76" s="349">
        <v>1.6</v>
      </c>
      <c r="H76" s="349">
        <v>1.73</v>
      </c>
      <c r="I76" s="349">
        <v>1.86</v>
      </c>
      <c r="J76" s="349">
        <v>1.97</v>
      </c>
      <c r="K76" s="349">
        <v>2.08</v>
      </c>
      <c r="L76" s="349">
        <v>2.1800000000000002</v>
      </c>
      <c r="M76" s="349">
        <v>2.2599999999999998</v>
      </c>
      <c r="N76" s="349">
        <v>2.33</v>
      </c>
      <c r="O76" s="349">
        <v>2.39</v>
      </c>
      <c r="P76" s="2226">
        <v>2.4500000000000002</v>
      </c>
      <c r="Q76" s="349">
        <v>2.48</v>
      </c>
      <c r="R76" s="349">
        <v>2.5099999999999998</v>
      </c>
      <c r="S76" s="349">
        <v>2.5299999999999998</v>
      </c>
      <c r="T76" s="349">
        <v>2.56</v>
      </c>
      <c r="U76" s="349">
        <v>2.58</v>
      </c>
      <c r="V76" s="349">
        <v>2.58</v>
      </c>
      <c r="W76" s="349">
        <v>2.59</v>
      </c>
      <c r="X76" s="349">
        <v>2.59</v>
      </c>
      <c r="Y76" s="349">
        <v>2.59</v>
      </c>
      <c r="Z76" s="349">
        <v>2.6</v>
      </c>
      <c r="AA76" s="349">
        <v>2.59</v>
      </c>
      <c r="AB76" s="349">
        <v>2.59</v>
      </c>
      <c r="AC76" s="349">
        <v>2.58</v>
      </c>
      <c r="AD76" s="349">
        <v>2.58</v>
      </c>
      <c r="AE76" s="349">
        <v>2.57</v>
      </c>
      <c r="AF76" s="349">
        <v>2.57</v>
      </c>
      <c r="AG76" s="349">
        <v>2.57</v>
      </c>
      <c r="AH76" s="349">
        <v>2.56</v>
      </c>
      <c r="AI76" s="349">
        <v>2.56</v>
      </c>
      <c r="AJ76" s="349">
        <v>2.56</v>
      </c>
      <c r="AK76" s="349">
        <v>2.56</v>
      </c>
      <c r="AL76" s="349">
        <v>2.5499999999999998</v>
      </c>
      <c r="AM76" s="349">
        <v>2.5499999999999998</v>
      </c>
      <c r="AN76" s="349">
        <v>2.5499999999999998</v>
      </c>
      <c r="AO76" s="349">
        <v>2.5499999999999998</v>
      </c>
      <c r="AP76" s="349">
        <v>2.5499999999999998</v>
      </c>
      <c r="AQ76" s="349">
        <v>2.54</v>
      </c>
      <c r="AR76" s="349">
        <v>2.54</v>
      </c>
      <c r="AS76" s="349">
        <v>2.54</v>
      </c>
      <c r="AT76" s="349">
        <v>2.54</v>
      </c>
      <c r="AU76" s="349">
        <v>2.54</v>
      </c>
      <c r="AV76" s="349">
        <v>2.5299999999999998</v>
      </c>
      <c r="AW76" s="349">
        <v>2.5299999999999998</v>
      </c>
      <c r="AX76" s="349">
        <v>2.5299999999999998</v>
      </c>
      <c r="AY76" s="349">
        <v>2.5299999999999998</v>
      </c>
      <c r="BB76" s="349">
        <v>1.74</v>
      </c>
    </row>
    <row r="77" spans="1:54">
      <c r="A77" s="112">
        <v>44104</v>
      </c>
      <c r="B77" s="349">
        <v>1.01</v>
      </c>
      <c r="C77" s="349">
        <v>1.07</v>
      </c>
      <c r="D77" s="349">
        <v>1.17</v>
      </c>
      <c r="E77" s="349">
        <v>1.3</v>
      </c>
      <c r="F77" s="349">
        <v>1.44</v>
      </c>
      <c r="G77" s="349">
        <v>1.58</v>
      </c>
      <c r="H77" s="349">
        <v>1.71</v>
      </c>
      <c r="I77" s="349">
        <v>1.83</v>
      </c>
      <c r="J77" s="349">
        <v>1.94</v>
      </c>
      <c r="K77" s="349">
        <v>2.0499999999999998</v>
      </c>
      <c r="L77" s="349">
        <v>2.15</v>
      </c>
      <c r="M77" s="349">
        <v>2.23</v>
      </c>
      <c r="N77" s="349">
        <v>2.2999999999999998</v>
      </c>
      <c r="O77" s="349">
        <v>2.36</v>
      </c>
      <c r="P77" s="2226">
        <v>2.41</v>
      </c>
      <c r="Q77" s="349">
        <v>2.4500000000000002</v>
      </c>
      <c r="R77" s="349">
        <v>2.48</v>
      </c>
      <c r="S77" s="349">
        <v>2.5</v>
      </c>
      <c r="T77" s="349">
        <v>2.5299999999999998</v>
      </c>
      <c r="U77" s="349">
        <v>2.5499999999999998</v>
      </c>
      <c r="V77" s="349">
        <v>2.5499999999999998</v>
      </c>
      <c r="W77" s="349">
        <v>2.56</v>
      </c>
      <c r="X77" s="349">
        <v>2.56</v>
      </c>
      <c r="Y77" s="349">
        <v>2.56</v>
      </c>
      <c r="Z77" s="349">
        <v>2.57</v>
      </c>
      <c r="AA77" s="349">
        <v>2.56</v>
      </c>
      <c r="AB77" s="349">
        <v>2.56</v>
      </c>
      <c r="AC77" s="349">
        <v>2.5499999999999998</v>
      </c>
      <c r="AD77" s="349">
        <v>2.5499999999999998</v>
      </c>
      <c r="AE77" s="349">
        <v>2.54</v>
      </c>
      <c r="AF77" s="349">
        <v>2.54</v>
      </c>
      <c r="AG77" s="349">
        <v>2.54</v>
      </c>
      <c r="AH77" s="349">
        <v>2.54</v>
      </c>
      <c r="AI77" s="349">
        <v>2.5299999999999998</v>
      </c>
      <c r="AJ77" s="349">
        <v>2.5299999999999998</v>
      </c>
      <c r="AK77" s="349">
        <v>2.5299999999999998</v>
      </c>
      <c r="AL77" s="349">
        <v>2.5299999999999998</v>
      </c>
      <c r="AM77" s="349">
        <v>2.52</v>
      </c>
      <c r="AN77" s="349">
        <v>2.52</v>
      </c>
      <c r="AO77" s="349">
        <v>2.52</v>
      </c>
      <c r="AP77" s="349">
        <v>2.52</v>
      </c>
      <c r="AQ77" s="349">
        <v>2.52</v>
      </c>
      <c r="AR77" s="349">
        <v>2.5099999999999998</v>
      </c>
      <c r="AS77" s="349">
        <v>2.5099999999999998</v>
      </c>
      <c r="AT77" s="349">
        <v>2.5099999999999998</v>
      </c>
      <c r="AU77" s="349">
        <v>2.5099999999999998</v>
      </c>
      <c r="AV77" s="349">
        <v>2.5099999999999998</v>
      </c>
      <c r="AW77" s="349">
        <v>2.5</v>
      </c>
      <c r="AX77" s="349">
        <v>2.5</v>
      </c>
      <c r="AY77" s="349">
        <v>2.5</v>
      </c>
      <c r="BB77" s="349">
        <v>1.71</v>
      </c>
    </row>
    <row r="78" spans="1:54" s="113" customFormat="1">
      <c r="A78" s="109">
        <v>44135</v>
      </c>
      <c r="B78" s="349">
        <v>0.99</v>
      </c>
      <c r="C78" s="349">
        <v>1.05</v>
      </c>
      <c r="D78" s="349">
        <v>1.1499999999999999</v>
      </c>
      <c r="E78" s="349">
        <v>1.28</v>
      </c>
      <c r="F78" s="349">
        <v>1.41</v>
      </c>
      <c r="G78" s="349">
        <v>1.55</v>
      </c>
      <c r="H78" s="349">
        <v>1.68</v>
      </c>
      <c r="I78" s="349">
        <v>1.8</v>
      </c>
      <c r="J78" s="349">
        <v>1.91</v>
      </c>
      <c r="K78" s="349">
        <v>2.02</v>
      </c>
      <c r="L78" s="349">
        <v>2.11</v>
      </c>
      <c r="M78" s="349">
        <v>2.19</v>
      </c>
      <c r="N78" s="349">
        <v>2.27</v>
      </c>
      <c r="O78" s="349">
        <v>2.33</v>
      </c>
      <c r="P78" s="2226">
        <v>2.38</v>
      </c>
      <c r="Q78" s="349">
        <v>2.41</v>
      </c>
      <c r="R78" s="349">
        <v>2.44</v>
      </c>
      <c r="S78" s="349">
        <v>2.4700000000000002</v>
      </c>
      <c r="T78" s="349">
        <v>2.4900000000000002</v>
      </c>
      <c r="U78" s="349">
        <v>2.5099999999999998</v>
      </c>
      <c r="V78" s="349">
        <v>2.52</v>
      </c>
      <c r="W78" s="349">
        <v>2.52</v>
      </c>
      <c r="X78" s="349">
        <v>2.5299999999999998</v>
      </c>
      <c r="Y78" s="349">
        <v>2.5299999999999998</v>
      </c>
      <c r="Z78" s="349">
        <v>2.5299999999999998</v>
      </c>
      <c r="AA78" s="349">
        <v>2.5299999999999998</v>
      </c>
      <c r="AB78" s="349">
        <v>2.52</v>
      </c>
      <c r="AC78" s="349">
        <v>2.52</v>
      </c>
      <c r="AD78" s="349">
        <v>2.52</v>
      </c>
      <c r="AE78" s="349">
        <v>2.5099999999999998</v>
      </c>
      <c r="AF78" s="349">
        <v>2.5099999999999998</v>
      </c>
      <c r="AG78" s="349">
        <v>2.5099999999999998</v>
      </c>
      <c r="AH78" s="349">
        <v>2.5099999999999998</v>
      </c>
      <c r="AI78" s="349">
        <v>2.5</v>
      </c>
      <c r="AJ78" s="349">
        <v>2.5</v>
      </c>
      <c r="AK78" s="349">
        <v>2.5</v>
      </c>
      <c r="AL78" s="349">
        <v>2.5</v>
      </c>
      <c r="AM78" s="349">
        <v>2.5</v>
      </c>
      <c r="AN78" s="349">
        <v>2.4900000000000002</v>
      </c>
      <c r="AO78" s="349">
        <v>2.4900000000000002</v>
      </c>
      <c r="AP78" s="349">
        <v>2.4900000000000002</v>
      </c>
      <c r="AQ78" s="349">
        <v>2.4900000000000002</v>
      </c>
      <c r="AR78" s="349">
        <v>2.48</v>
      </c>
      <c r="AS78" s="349">
        <v>2.48</v>
      </c>
      <c r="AT78" s="349">
        <v>2.48</v>
      </c>
      <c r="AU78" s="349">
        <v>2.48</v>
      </c>
      <c r="AV78" s="349">
        <v>2.48</v>
      </c>
      <c r="AW78" s="349">
        <v>2.4700000000000002</v>
      </c>
      <c r="AX78" s="349">
        <v>2.4700000000000002</v>
      </c>
      <c r="AY78" s="349">
        <v>2.4700000000000002</v>
      </c>
      <c r="BB78" s="349">
        <v>1.68</v>
      </c>
    </row>
    <row r="79" spans="1:54" s="113" customFormat="1">
      <c r="A79" s="112">
        <v>44165</v>
      </c>
      <c r="B79" s="349">
        <v>0.97</v>
      </c>
      <c r="C79" s="349">
        <v>1.02</v>
      </c>
      <c r="D79" s="349">
        <v>1.1200000000000001</v>
      </c>
      <c r="E79" s="349">
        <v>1.25</v>
      </c>
      <c r="F79" s="349">
        <v>1.38</v>
      </c>
      <c r="G79" s="349">
        <v>1.51</v>
      </c>
      <c r="H79" s="349">
        <v>1.64</v>
      </c>
      <c r="I79" s="349">
        <v>1.76</v>
      </c>
      <c r="J79" s="349">
        <v>1.87</v>
      </c>
      <c r="K79" s="349">
        <v>1.98</v>
      </c>
      <c r="L79" s="349">
        <v>2.08</v>
      </c>
      <c r="M79" s="349">
        <v>2.16</v>
      </c>
      <c r="N79" s="349">
        <v>2.23</v>
      </c>
      <c r="O79" s="349">
        <v>2.29</v>
      </c>
      <c r="P79" s="2226">
        <v>2.34</v>
      </c>
      <c r="Q79" s="349">
        <v>2.38</v>
      </c>
      <c r="R79" s="349">
        <v>2.41</v>
      </c>
      <c r="S79" s="349">
        <v>2.4300000000000002</v>
      </c>
      <c r="T79" s="349">
        <v>2.46</v>
      </c>
      <c r="U79" s="349">
        <v>2.48</v>
      </c>
      <c r="V79" s="349">
        <v>2.48</v>
      </c>
      <c r="W79" s="349">
        <v>2.4900000000000002</v>
      </c>
      <c r="X79" s="349">
        <v>2.4900000000000002</v>
      </c>
      <c r="Y79" s="349">
        <v>2.4900000000000002</v>
      </c>
      <c r="Z79" s="349">
        <v>2.5</v>
      </c>
      <c r="AA79" s="349">
        <v>2.4900000000000002</v>
      </c>
      <c r="AB79" s="349">
        <v>2.4900000000000002</v>
      </c>
      <c r="AC79" s="349">
        <v>2.4900000000000002</v>
      </c>
      <c r="AD79" s="349">
        <v>2.48</v>
      </c>
      <c r="AE79" s="349">
        <v>2.48</v>
      </c>
      <c r="AF79" s="349">
        <v>2.48</v>
      </c>
      <c r="AG79" s="349">
        <v>2.4700000000000002</v>
      </c>
      <c r="AH79" s="349">
        <v>2.4700000000000002</v>
      </c>
      <c r="AI79" s="349">
        <v>2.4700000000000002</v>
      </c>
      <c r="AJ79" s="349">
        <v>2.4700000000000002</v>
      </c>
      <c r="AK79" s="349">
        <v>2.4700000000000002</v>
      </c>
      <c r="AL79" s="349">
        <v>2.46</v>
      </c>
      <c r="AM79" s="349">
        <v>2.46</v>
      </c>
      <c r="AN79" s="349">
        <v>2.46</v>
      </c>
      <c r="AO79" s="349">
        <v>2.46</v>
      </c>
      <c r="AP79" s="349">
        <v>2.46</v>
      </c>
      <c r="AQ79" s="349">
        <v>2.4500000000000002</v>
      </c>
      <c r="AR79" s="349">
        <v>2.4500000000000002</v>
      </c>
      <c r="AS79" s="349">
        <v>2.4500000000000002</v>
      </c>
      <c r="AT79" s="349">
        <v>2.4500000000000002</v>
      </c>
      <c r="AU79" s="349">
        <v>2.4500000000000002</v>
      </c>
      <c r="AV79" s="349">
        <v>2.44</v>
      </c>
      <c r="AW79" s="349">
        <v>2.44</v>
      </c>
      <c r="AX79" s="349">
        <v>2.44</v>
      </c>
      <c r="AY79" s="349">
        <v>2.44</v>
      </c>
      <c r="BB79" s="349">
        <v>1.64</v>
      </c>
    </row>
    <row r="80" spans="1:54" s="113" customFormat="1">
      <c r="A80" s="109">
        <v>44196</v>
      </c>
      <c r="B80" s="349">
        <v>0.94</v>
      </c>
      <c r="C80" s="349">
        <v>1</v>
      </c>
      <c r="D80" s="349">
        <v>1.0900000000000001</v>
      </c>
      <c r="E80" s="349">
        <v>1.22</v>
      </c>
      <c r="F80" s="349">
        <v>1.35</v>
      </c>
      <c r="G80" s="349">
        <v>1.48</v>
      </c>
      <c r="H80" s="349">
        <v>1.61</v>
      </c>
      <c r="I80" s="349">
        <v>1.73</v>
      </c>
      <c r="J80" s="349">
        <v>1.84</v>
      </c>
      <c r="K80" s="349">
        <v>1.94</v>
      </c>
      <c r="L80" s="349">
        <v>2.04</v>
      </c>
      <c r="M80" s="349">
        <v>2.12</v>
      </c>
      <c r="N80" s="349">
        <v>2.19</v>
      </c>
      <c r="O80" s="349">
        <v>2.25</v>
      </c>
      <c r="P80" s="2226">
        <v>2.2999999999999998</v>
      </c>
      <c r="Q80" s="349">
        <v>2.34</v>
      </c>
      <c r="R80" s="349">
        <v>2.37</v>
      </c>
      <c r="S80" s="349">
        <v>2.39</v>
      </c>
      <c r="T80" s="349">
        <v>2.42</v>
      </c>
      <c r="U80" s="349">
        <v>2.44</v>
      </c>
      <c r="V80" s="349">
        <v>2.44</v>
      </c>
      <c r="W80" s="349">
        <v>2.4500000000000002</v>
      </c>
      <c r="X80" s="349">
        <v>2.4500000000000002</v>
      </c>
      <c r="Y80" s="349">
        <v>2.46</v>
      </c>
      <c r="Z80" s="349">
        <v>2.46</v>
      </c>
      <c r="AA80" s="349">
        <v>2.46</v>
      </c>
      <c r="AB80" s="349">
        <v>2.4500000000000002</v>
      </c>
      <c r="AC80" s="349">
        <v>2.4500000000000002</v>
      </c>
      <c r="AD80" s="349">
        <v>2.4500000000000002</v>
      </c>
      <c r="AE80" s="349">
        <v>2.44</v>
      </c>
      <c r="AF80" s="349">
        <v>2.44</v>
      </c>
      <c r="AG80" s="349">
        <v>2.44</v>
      </c>
      <c r="AH80" s="349">
        <v>2.44</v>
      </c>
      <c r="AI80" s="349">
        <v>2.4300000000000002</v>
      </c>
      <c r="AJ80" s="349">
        <v>2.4300000000000002</v>
      </c>
      <c r="AK80" s="349">
        <v>2.4300000000000002</v>
      </c>
      <c r="AL80" s="349">
        <v>2.4300000000000002</v>
      </c>
      <c r="AM80" s="349">
        <v>2.4300000000000002</v>
      </c>
      <c r="AN80" s="349">
        <v>2.4300000000000002</v>
      </c>
      <c r="AO80" s="349">
        <v>2.42</v>
      </c>
      <c r="AP80" s="349">
        <v>2.42</v>
      </c>
      <c r="AQ80" s="349">
        <v>2.42</v>
      </c>
      <c r="AR80" s="349">
        <v>2.42</v>
      </c>
      <c r="AS80" s="349">
        <v>2.41</v>
      </c>
      <c r="AT80" s="349">
        <v>2.41</v>
      </c>
      <c r="AU80" s="349">
        <v>2.41</v>
      </c>
      <c r="AV80" s="349">
        <v>2.41</v>
      </c>
      <c r="AW80" s="349">
        <v>2.41</v>
      </c>
      <c r="AX80" s="349">
        <v>2.41</v>
      </c>
      <c r="AY80" s="349">
        <v>2.4</v>
      </c>
      <c r="BB80" s="349">
        <v>1.6</v>
      </c>
    </row>
    <row r="81" spans="1:54">
      <c r="A81" s="112">
        <v>44227</v>
      </c>
      <c r="B81" s="349">
        <v>0.92</v>
      </c>
      <c r="C81" s="349">
        <v>0.97</v>
      </c>
      <c r="D81" s="349">
        <v>1.06</v>
      </c>
      <c r="E81" s="349">
        <v>1.18</v>
      </c>
      <c r="F81" s="349">
        <v>1.31</v>
      </c>
      <c r="G81" s="349">
        <v>1.44</v>
      </c>
      <c r="H81" s="349">
        <v>1.57</v>
      </c>
      <c r="I81" s="349">
        <v>1.69</v>
      </c>
      <c r="J81" s="349">
        <v>1.8</v>
      </c>
      <c r="K81" s="349">
        <v>1.9</v>
      </c>
      <c r="L81" s="349">
        <v>2</v>
      </c>
      <c r="M81" s="349">
        <v>2.08</v>
      </c>
      <c r="N81" s="349">
        <v>2.15</v>
      </c>
      <c r="O81" s="349">
        <v>2.21</v>
      </c>
      <c r="P81" s="2226">
        <v>2.2599999999999998</v>
      </c>
      <c r="Q81" s="349">
        <v>2.2999999999999998</v>
      </c>
      <c r="R81" s="349">
        <v>2.33</v>
      </c>
      <c r="S81" s="349">
        <v>2.35</v>
      </c>
      <c r="T81" s="349">
        <v>2.38</v>
      </c>
      <c r="U81" s="349">
        <v>2.4</v>
      </c>
      <c r="V81" s="349">
        <v>2.4</v>
      </c>
      <c r="W81" s="349">
        <v>2.41</v>
      </c>
      <c r="X81" s="349">
        <v>2.41</v>
      </c>
      <c r="Y81" s="349">
        <v>2.42</v>
      </c>
      <c r="Z81" s="349">
        <v>2.42</v>
      </c>
      <c r="AA81" s="349">
        <v>2.42</v>
      </c>
      <c r="AB81" s="349">
        <v>2.42</v>
      </c>
      <c r="AC81" s="349">
        <v>2.41</v>
      </c>
      <c r="AD81" s="349">
        <v>2.41</v>
      </c>
      <c r="AE81" s="349">
        <v>2.41</v>
      </c>
      <c r="AF81" s="349">
        <v>2.4</v>
      </c>
      <c r="AG81" s="349">
        <v>2.4</v>
      </c>
      <c r="AH81" s="349">
        <v>2.4</v>
      </c>
      <c r="AI81" s="349">
        <v>2.4</v>
      </c>
      <c r="AJ81" s="349">
        <v>2.4</v>
      </c>
      <c r="AK81" s="349">
        <v>2.39</v>
      </c>
      <c r="AL81" s="349">
        <v>2.39</v>
      </c>
      <c r="AM81" s="349">
        <v>2.39</v>
      </c>
      <c r="AN81" s="349">
        <v>2.39</v>
      </c>
      <c r="AO81" s="349">
        <v>2.39</v>
      </c>
      <c r="AP81" s="349">
        <v>2.39</v>
      </c>
      <c r="AQ81" s="349">
        <v>2.38</v>
      </c>
      <c r="AR81" s="349">
        <v>2.38</v>
      </c>
      <c r="AS81" s="349">
        <v>2.38</v>
      </c>
      <c r="AT81" s="349">
        <v>2.38</v>
      </c>
      <c r="AU81" s="349">
        <v>2.38</v>
      </c>
      <c r="AV81" s="349">
        <v>2.37</v>
      </c>
      <c r="AW81" s="349">
        <v>2.37</v>
      </c>
      <c r="AX81" s="349">
        <v>2.37</v>
      </c>
      <c r="AY81" s="349">
        <v>2.37</v>
      </c>
      <c r="BB81" s="349">
        <v>1.57</v>
      </c>
    </row>
    <row r="82" spans="1:54" s="113" customFormat="1">
      <c r="A82" s="109">
        <v>44255</v>
      </c>
      <c r="B82" s="349">
        <v>0.9</v>
      </c>
      <c r="C82" s="349">
        <v>0.94</v>
      </c>
      <c r="D82" s="349">
        <v>1.03</v>
      </c>
      <c r="E82" s="349">
        <v>1.1499999999999999</v>
      </c>
      <c r="F82" s="349">
        <v>1.28</v>
      </c>
      <c r="G82" s="349">
        <v>1.41</v>
      </c>
      <c r="H82" s="349">
        <v>1.54</v>
      </c>
      <c r="I82" s="349">
        <v>1.65</v>
      </c>
      <c r="J82" s="349">
        <v>1.76</v>
      </c>
      <c r="K82" s="349">
        <v>1.87</v>
      </c>
      <c r="L82" s="349">
        <v>1.96</v>
      </c>
      <c r="M82" s="349">
        <v>2.04</v>
      </c>
      <c r="N82" s="349">
        <v>2.12</v>
      </c>
      <c r="O82" s="349">
        <v>2.1800000000000002</v>
      </c>
      <c r="P82" s="2226">
        <v>2.23</v>
      </c>
      <c r="Q82" s="349">
        <v>2.2599999999999998</v>
      </c>
      <c r="R82" s="349">
        <v>2.29</v>
      </c>
      <c r="S82" s="349">
        <v>2.3199999999999998</v>
      </c>
      <c r="T82" s="349">
        <v>2.34</v>
      </c>
      <c r="U82" s="349">
        <v>2.36</v>
      </c>
      <c r="V82" s="349">
        <v>2.37</v>
      </c>
      <c r="W82" s="349">
        <v>2.37</v>
      </c>
      <c r="X82" s="349">
        <v>2.38</v>
      </c>
      <c r="Y82" s="349">
        <v>2.38</v>
      </c>
      <c r="Z82" s="349">
        <v>2.39</v>
      </c>
      <c r="AA82" s="349">
        <v>2.38</v>
      </c>
      <c r="AB82" s="349">
        <v>2.38</v>
      </c>
      <c r="AC82" s="349">
        <v>2.38</v>
      </c>
      <c r="AD82" s="349">
        <v>2.38</v>
      </c>
      <c r="AE82" s="349">
        <v>2.37</v>
      </c>
      <c r="AF82" s="349">
        <v>2.37</v>
      </c>
      <c r="AG82" s="349">
        <v>2.37</v>
      </c>
      <c r="AH82" s="349">
        <v>2.37</v>
      </c>
      <c r="AI82" s="349">
        <v>2.37</v>
      </c>
      <c r="AJ82" s="349">
        <v>2.36</v>
      </c>
      <c r="AK82" s="349">
        <v>2.36</v>
      </c>
      <c r="AL82" s="349">
        <v>2.36</v>
      </c>
      <c r="AM82" s="349">
        <v>2.36</v>
      </c>
      <c r="AN82" s="349">
        <v>2.36</v>
      </c>
      <c r="AO82" s="349">
        <v>2.36</v>
      </c>
      <c r="AP82" s="349">
        <v>2.35</v>
      </c>
      <c r="AQ82" s="349">
        <v>2.35</v>
      </c>
      <c r="AR82" s="349">
        <v>2.35</v>
      </c>
      <c r="AS82" s="349">
        <v>2.35</v>
      </c>
      <c r="AT82" s="349">
        <v>2.35</v>
      </c>
      <c r="AU82" s="349">
        <v>2.35</v>
      </c>
      <c r="AV82" s="349">
        <v>2.34</v>
      </c>
      <c r="AW82" s="349">
        <v>2.34</v>
      </c>
      <c r="AX82" s="349">
        <v>2.34</v>
      </c>
      <c r="AY82" s="349">
        <v>2.34</v>
      </c>
      <c r="BB82" s="349">
        <v>1.54</v>
      </c>
    </row>
    <row r="83" spans="1:54">
      <c r="A83" s="112">
        <v>44286</v>
      </c>
      <c r="B83" s="349">
        <v>0.87</v>
      </c>
      <c r="C83" s="349">
        <v>0.91</v>
      </c>
      <c r="D83" s="349">
        <v>1</v>
      </c>
      <c r="E83" s="349">
        <v>1.1200000000000001</v>
      </c>
      <c r="F83" s="349">
        <v>1.24</v>
      </c>
      <c r="G83" s="349">
        <v>1.38</v>
      </c>
      <c r="H83" s="349">
        <v>1.5</v>
      </c>
      <c r="I83" s="349">
        <v>1.62</v>
      </c>
      <c r="J83" s="349">
        <v>1.73</v>
      </c>
      <c r="K83" s="349">
        <v>1.83</v>
      </c>
      <c r="L83" s="349">
        <v>1.93</v>
      </c>
      <c r="M83" s="349">
        <v>2.0099999999999998</v>
      </c>
      <c r="N83" s="349">
        <v>2.08</v>
      </c>
      <c r="O83" s="349">
        <v>2.14</v>
      </c>
      <c r="P83" s="2226">
        <v>2.19</v>
      </c>
      <c r="Q83" s="349">
        <v>2.23</v>
      </c>
      <c r="R83" s="349">
        <v>2.2599999999999998</v>
      </c>
      <c r="S83" s="349">
        <v>2.2799999999999998</v>
      </c>
      <c r="T83" s="349">
        <v>2.31</v>
      </c>
      <c r="U83" s="349">
        <v>2.33</v>
      </c>
      <c r="V83" s="349">
        <v>2.33</v>
      </c>
      <c r="W83" s="349">
        <v>2.34</v>
      </c>
      <c r="X83" s="349">
        <v>2.34</v>
      </c>
      <c r="Y83" s="349">
        <v>2.35</v>
      </c>
      <c r="Z83" s="349">
        <v>2.35</v>
      </c>
      <c r="AA83" s="349">
        <v>2.35</v>
      </c>
      <c r="AB83" s="349">
        <v>2.35</v>
      </c>
      <c r="AC83" s="349">
        <v>2.34</v>
      </c>
      <c r="AD83" s="349">
        <v>2.34</v>
      </c>
      <c r="AE83" s="349">
        <v>2.34</v>
      </c>
      <c r="AF83" s="349">
        <v>2.34</v>
      </c>
      <c r="AG83" s="349">
        <v>2.34</v>
      </c>
      <c r="AH83" s="349">
        <v>2.33</v>
      </c>
      <c r="AI83" s="349">
        <v>2.33</v>
      </c>
      <c r="AJ83" s="349">
        <v>2.33</v>
      </c>
      <c r="AK83" s="349">
        <v>2.33</v>
      </c>
      <c r="AL83" s="349">
        <v>2.33</v>
      </c>
      <c r="AM83" s="349">
        <v>2.33</v>
      </c>
      <c r="AN83" s="349">
        <v>2.33</v>
      </c>
      <c r="AO83" s="349">
        <v>2.33</v>
      </c>
      <c r="AP83" s="349">
        <v>2.3199999999999998</v>
      </c>
      <c r="AQ83" s="349">
        <v>2.3199999999999998</v>
      </c>
      <c r="AR83" s="349">
        <v>2.3199999999999998</v>
      </c>
      <c r="AS83" s="349">
        <v>2.3199999999999998</v>
      </c>
      <c r="AT83" s="349">
        <v>2.3199999999999998</v>
      </c>
      <c r="AU83" s="349">
        <v>2.31</v>
      </c>
      <c r="AV83" s="349">
        <v>2.31</v>
      </c>
      <c r="AW83" s="349">
        <v>2.31</v>
      </c>
      <c r="AX83" s="349">
        <v>2.31</v>
      </c>
      <c r="AY83" s="349">
        <v>2.31</v>
      </c>
      <c r="BB83" s="349">
        <v>1.51</v>
      </c>
    </row>
    <row r="84" spans="1:54" s="113" customFormat="1">
      <c r="A84" s="109">
        <v>44316</v>
      </c>
      <c r="B84" s="349">
        <v>0.84</v>
      </c>
      <c r="C84" s="349">
        <v>0.88</v>
      </c>
      <c r="D84" s="349">
        <v>0.97</v>
      </c>
      <c r="E84" s="349">
        <v>1.0900000000000001</v>
      </c>
      <c r="F84" s="349">
        <v>1.21</v>
      </c>
      <c r="G84" s="349">
        <v>1.34</v>
      </c>
      <c r="H84" s="349">
        <v>1.47</v>
      </c>
      <c r="I84" s="349">
        <v>1.59</v>
      </c>
      <c r="J84" s="349">
        <v>1.7</v>
      </c>
      <c r="K84" s="349">
        <v>1.8</v>
      </c>
      <c r="L84" s="349">
        <v>1.89</v>
      </c>
      <c r="M84" s="349">
        <v>1.97</v>
      </c>
      <c r="N84" s="349">
        <v>2.04</v>
      </c>
      <c r="O84" s="349">
        <v>2.11</v>
      </c>
      <c r="P84" s="2226">
        <v>2.16</v>
      </c>
      <c r="Q84" s="349">
        <v>2.19</v>
      </c>
      <c r="R84" s="349">
        <v>2.2200000000000002</v>
      </c>
      <c r="S84" s="349">
        <v>2.25</v>
      </c>
      <c r="T84" s="349">
        <v>2.27</v>
      </c>
      <c r="U84" s="349">
        <v>2.29</v>
      </c>
      <c r="V84" s="349">
        <v>2.2999999999999998</v>
      </c>
      <c r="W84" s="349">
        <v>2.2999999999999998</v>
      </c>
      <c r="X84" s="349">
        <v>2.31</v>
      </c>
      <c r="Y84" s="349">
        <v>2.31</v>
      </c>
      <c r="Z84" s="349">
        <v>2.3199999999999998</v>
      </c>
      <c r="AA84" s="349">
        <v>2.3199999999999998</v>
      </c>
      <c r="AB84" s="349">
        <v>2.31</v>
      </c>
      <c r="AC84" s="349">
        <v>2.31</v>
      </c>
      <c r="AD84" s="349">
        <v>2.31</v>
      </c>
      <c r="AE84" s="349">
        <v>2.31</v>
      </c>
      <c r="AF84" s="349">
        <v>2.31</v>
      </c>
      <c r="AG84" s="349">
        <v>2.2999999999999998</v>
      </c>
      <c r="AH84" s="349">
        <v>2.2999999999999998</v>
      </c>
      <c r="AI84" s="349">
        <v>2.2999999999999998</v>
      </c>
      <c r="AJ84" s="349">
        <v>2.2999999999999998</v>
      </c>
      <c r="AK84" s="349">
        <v>2.2999999999999998</v>
      </c>
      <c r="AL84" s="349">
        <v>2.2999999999999998</v>
      </c>
      <c r="AM84" s="349">
        <v>2.2999999999999998</v>
      </c>
      <c r="AN84" s="349">
        <v>2.2999999999999998</v>
      </c>
      <c r="AO84" s="349">
        <v>2.29</v>
      </c>
      <c r="AP84" s="349">
        <v>2.29</v>
      </c>
      <c r="AQ84" s="349">
        <v>2.29</v>
      </c>
      <c r="AR84" s="349">
        <v>2.29</v>
      </c>
      <c r="AS84" s="349">
        <v>2.29</v>
      </c>
      <c r="AT84" s="349">
        <v>2.2799999999999998</v>
      </c>
      <c r="AU84" s="349">
        <v>2.2799999999999998</v>
      </c>
      <c r="AV84" s="349">
        <v>2.2799999999999998</v>
      </c>
      <c r="AW84" s="349">
        <v>2.2799999999999998</v>
      </c>
      <c r="AX84" s="349">
        <v>2.2799999999999998</v>
      </c>
      <c r="AY84" s="349">
        <v>2.2799999999999998</v>
      </c>
      <c r="BB84" s="349">
        <v>1.49</v>
      </c>
    </row>
    <row r="85" spans="1:54">
      <c r="A85" s="112">
        <v>44347</v>
      </c>
      <c r="B85" s="349">
        <v>0.82</v>
      </c>
      <c r="C85" s="349">
        <v>0.86</v>
      </c>
      <c r="D85" s="349">
        <v>0.94</v>
      </c>
      <c r="E85" s="349">
        <v>1.06</v>
      </c>
      <c r="F85" s="349">
        <v>1.18</v>
      </c>
      <c r="G85" s="349">
        <v>1.31</v>
      </c>
      <c r="H85" s="349">
        <v>1.43</v>
      </c>
      <c r="I85" s="349">
        <v>1.55</v>
      </c>
      <c r="J85" s="349">
        <v>1.66</v>
      </c>
      <c r="K85" s="349">
        <v>1.77</v>
      </c>
      <c r="L85" s="349">
        <v>1.86</v>
      </c>
      <c r="M85" s="349">
        <v>1.94</v>
      </c>
      <c r="N85" s="349">
        <v>2.0099999999999998</v>
      </c>
      <c r="O85" s="349">
        <v>2.0699999999999998</v>
      </c>
      <c r="P85" s="2226">
        <v>2.12</v>
      </c>
      <c r="Q85" s="349">
        <v>2.16</v>
      </c>
      <c r="R85" s="349">
        <v>2.19</v>
      </c>
      <c r="S85" s="349">
        <v>2.21</v>
      </c>
      <c r="T85" s="349">
        <v>2.2400000000000002</v>
      </c>
      <c r="U85" s="349">
        <v>2.2599999999999998</v>
      </c>
      <c r="V85" s="349">
        <v>2.27</v>
      </c>
      <c r="W85" s="349">
        <v>2.27</v>
      </c>
      <c r="X85" s="349">
        <v>2.2799999999999998</v>
      </c>
      <c r="Y85" s="349">
        <v>2.2799999999999998</v>
      </c>
      <c r="Z85" s="349">
        <v>2.29</v>
      </c>
      <c r="AA85" s="349">
        <v>2.2799999999999998</v>
      </c>
      <c r="AB85" s="349">
        <v>2.2799999999999998</v>
      </c>
      <c r="AC85" s="349">
        <v>2.2799999999999998</v>
      </c>
      <c r="AD85" s="349">
        <v>2.2799999999999998</v>
      </c>
      <c r="AE85" s="349">
        <v>2.2799999999999998</v>
      </c>
      <c r="AF85" s="349">
        <v>2.27</v>
      </c>
      <c r="AG85" s="349">
        <v>2.27</v>
      </c>
      <c r="AH85" s="349">
        <v>2.27</v>
      </c>
      <c r="AI85" s="349">
        <v>2.27</v>
      </c>
      <c r="AJ85" s="349">
        <v>2.27</v>
      </c>
      <c r="AK85" s="349">
        <v>2.27</v>
      </c>
      <c r="AL85" s="349">
        <v>2.27</v>
      </c>
      <c r="AM85" s="349">
        <v>2.27</v>
      </c>
      <c r="AN85" s="349">
        <v>2.2599999999999998</v>
      </c>
      <c r="AO85" s="349">
        <v>2.2599999999999998</v>
      </c>
      <c r="AP85" s="349">
        <v>2.2599999999999998</v>
      </c>
      <c r="AQ85" s="349">
        <v>2.2599999999999998</v>
      </c>
      <c r="AR85" s="349">
        <v>2.2599999999999998</v>
      </c>
      <c r="AS85" s="349">
        <v>2.2599999999999998</v>
      </c>
      <c r="AT85" s="349">
        <v>2.25</v>
      </c>
      <c r="AU85" s="349">
        <v>2.25</v>
      </c>
      <c r="AV85" s="349">
        <v>2.25</v>
      </c>
      <c r="AW85" s="349">
        <v>2.25</v>
      </c>
      <c r="AX85" s="349">
        <v>2.25</v>
      </c>
      <c r="AY85" s="349">
        <v>2.25</v>
      </c>
      <c r="BB85" s="349">
        <v>1.47</v>
      </c>
    </row>
    <row r="86" spans="1:54">
      <c r="A86" s="109">
        <v>44377</v>
      </c>
      <c r="B86" s="349">
        <v>0.79</v>
      </c>
      <c r="C86" s="349">
        <v>0.83</v>
      </c>
      <c r="D86" s="349">
        <v>0.91</v>
      </c>
      <c r="E86" s="349">
        <v>1.02</v>
      </c>
      <c r="F86" s="349">
        <v>1.1499999999999999</v>
      </c>
      <c r="G86" s="349">
        <v>1.28</v>
      </c>
      <c r="H86" s="349">
        <v>1.4</v>
      </c>
      <c r="I86" s="349">
        <v>1.52</v>
      </c>
      <c r="J86" s="349">
        <v>1.63</v>
      </c>
      <c r="K86" s="349">
        <v>1.73</v>
      </c>
      <c r="L86" s="349">
        <v>1.83</v>
      </c>
      <c r="M86" s="349">
        <v>1.9</v>
      </c>
      <c r="N86" s="349">
        <v>1.97</v>
      </c>
      <c r="O86" s="349">
        <v>2.0299999999999998</v>
      </c>
      <c r="P86" s="2226">
        <v>2.09</v>
      </c>
      <c r="Q86" s="349">
        <v>2.12</v>
      </c>
      <c r="R86" s="349">
        <v>2.15</v>
      </c>
      <c r="S86" s="349">
        <v>2.1800000000000002</v>
      </c>
      <c r="T86" s="349">
        <v>2.2000000000000002</v>
      </c>
      <c r="U86" s="349">
        <v>2.2200000000000002</v>
      </c>
      <c r="V86" s="349">
        <v>2.23</v>
      </c>
      <c r="W86" s="349">
        <v>2.23</v>
      </c>
      <c r="X86" s="349">
        <v>2.2400000000000002</v>
      </c>
      <c r="Y86" s="349">
        <v>2.25</v>
      </c>
      <c r="Z86" s="349">
        <v>2.25</v>
      </c>
      <c r="AA86" s="349">
        <v>2.25</v>
      </c>
      <c r="AB86" s="349">
        <v>2.25</v>
      </c>
      <c r="AC86" s="349">
        <v>2.2400000000000002</v>
      </c>
      <c r="AD86" s="349">
        <v>2.2400000000000002</v>
      </c>
      <c r="AE86" s="349">
        <v>2.2400000000000002</v>
      </c>
      <c r="AF86" s="349">
        <v>2.2400000000000002</v>
      </c>
      <c r="AG86" s="349">
        <v>2.2400000000000002</v>
      </c>
      <c r="AH86" s="349">
        <v>2.2400000000000002</v>
      </c>
      <c r="AI86" s="349">
        <v>2.23</v>
      </c>
      <c r="AJ86" s="349">
        <v>2.23</v>
      </c>
      <c r="AK86" s="349">
        <v>2.23</v>
      </c>
      <c r="AL86" s="349">
        <v>2.23</v>
      </c>
      <c r="AM86" s="349">
        <v>2.23</v>
      </c>
      <c r="AN86" s="349">
        <v>2.23</v>
      </c>
      <c r="AO86" s="349">
        <v>2.23</v>
      </c>
      <c r="AP86" s="349">
        <v>2.23</v>
      </c>
      <c r="AQ86" s="349">
        <v>2.2200000000000002</v>
      </c>
      <c r="AR86" s="349">
        <v>2.2200000000000002</v>
      </c>
      <c r="AS86" s="349">
        <v>2.2200000000000002</v>
      </c>
      <c r="AT86" s="349">
        <v>2.2200000000000002</v>
      </c>
      <c r="AU86" s="349">
        <v>2.2200000000000002</v>
      </c>
      <c r="AV86" s="349">
        <v>2.2200000000000002</v>
      </c>
      <c r="AW86" s="349">
        <v>2.21</v>
      </c>
      <c r="AX86" s="349">
        <v>2.21</v>
      </c>
      <c r="AY86" s="349">
        <v>2.21</v>
      </c>
      <c r="BB86" s="349">
        <v>1.45</v>
      </c>
    </row>
    <row r="87" spans="1:54">
      <c r="A87" s="112">
        <v>44408</v>
      </c>
      <c r="B87" s="349">
        <v>0.76</v>
      </c>
      <c r="C87" s="349">
        <v>0.8</v>
      </c>
      <c r="D87" s="349">
        <v>0.88</v>
      </c>
      <c r="E87" s="349">
        <v>0.99</v>
      </c>
      <c r="F87" s="349">
        <v>1.1200000000000001</v>
      </c>
      <c r="G87" s="349">
        <v>1.24</v>
      </c>
      <c r="H87" s="349">
        <v>1.37</v>
      </c>
      <c r="I87" s="349">
        <v>1.48</v>
      </c>
      <c r="J87" s="349">
        <v>1.59</v>
      </c>
      <c r="K87" s="349">
        <v>1.7</v>
      </c>
      <c r="L87" s="349">
        <v>1.79</v>
      </c>
      <c r="M87" s="349">
        <v>1.87</v>
      </c>
      <c r="N87" s="349">
        <v>1.94</v>
      </c>
      <c r="O87" s="349">
        <v>2</v>
      </c>
      <c r="P87" s="2226">
        <v>2.0499999999999998</v>
      </c>
      <c r="Q87" s="349">
        <v>2.08</v>
      </c>
      <c r="R87" s="349">
        <v>2.11</v>
      </c>
      <c r="S87" s="349">
        <v>2.14</v>
      </c>
      <c r="T87" s="349">
        <v>2.16</v>
      </c>
      <c r="U87" s="349">
        <v>2.19</v>
      </c>
      <c r="V87" s="349">
        <v>2.19</v>
      </c>
      <c r="W87" s="349">
        <v>2.2000000000000002</v>
      </c>
      <c r="X87" s="349">
        <v>2.2000000000000002</v>
      </c>
      <c r="Y87" s="349">
        <v>2.21</v>
      </c>
      <c r="Z87" s="349">
        <v>2.21</v>
      </c>
      <c r="AA87" s="349">
        <v>2.21</v>
      </c>
      <c r="AB87" s="349">
        <v>2.21</v>
      </c>
      <c r="AC87" s="349">
        <v>2.21</v>
      </c>
      <c r="AD87" s="349">
        <v>2.21</v>
      </c>
      <c r="AE87" s="349">
        <v>2.21</v>
      </c>
      <c r="AF87" s="349">
        <v>2.2000000000000002</v>
      </c>
      <c r="AG87" s="349">
        <v>2.2000000000000002</v>
      </c>
      <c r="AH87" s="349">
        <v>2.2000000000000002</v>
      </c>
      <c r="AI87" s="349">
        <v>2.2000000000000002</v>
      </c>
      <c r="AJ87" s="349">
        <v>2.2000000000000002</v>
      </c>
      <c r="AK87" s="349">
        <v>2.2000000000000002</v>
      </c>
      <c r="AL87" s="349">
        <v>2.2000000000000002</v>
      </c>
      <c r="AM87" s="349">
        <v>2.2000000000000002</v>
      </c>
      <c r="AN87" s="349">
        <v>2.2000000000000002</v>
      </c>
      <c r="AO87" s="349">
        <v>2.19</v>
      </c>
      <c r="AP87" s="349">
        <v>2.19</v>
      </c>
      <c r="AQ87" s="349">
        <v>2.19</v>
      </c>
      <c r="AR87" s="349">
        <v>2.19</v>
      </c>
      <c r="AS87" s="349">
        <v>2.19</v>
      </c>
      <c r="AT87" s="349">
        <v>2.1800000000000002</v>
      </c>
      <c r="AU87" s="349">
        <v>2.1800000000000002</v>
      </c>
      <c r="AV87" s="349">
        <v>2.1800000000000002</v>
      </c>
      <c r="AW87" s="349">
        <v>2.1800000000000002</v>
      </c>
      <c r="AX87" s="349">
        <v>2.1800000000000002</v>
      </c>
      <c r="AY87" s="349">
        <v>2.1800000000000002</v>
      </c>
      <c r="BB87" s="349">
        <v>1.42</v>
      </c>
    </row>
    <row r="88" spans="1:54">
      <c r="A88" s="109">
        <v>44439</v>
      </c>
      <c r="B88" s="349">
        <v>0.73</v>
      </c>
      <c r="C88" s="349">
        <v>0.77</v>
      </c>
      <c r="D88" s="349">
        <v>0.85</v>
      </c>
      <c r="E88" s="349">
        <v>0.96</v>
      </c>
      <c r="F88" s="349">
        <v>1.08</v>
      </c>
      <c r="G88" s="349">
        <v>1.21</v>
      </c>
      <c r="H88" s="349">
        <v>1.33</v>
      </c>
      <c r="I88" s="349">
        <v>1.45</v>
      </c>
      <c r="J88" s="349">
        <v>1.56</v>
      </c>
      <c r="K88" s="349">
        <v>1.66</v>
      </c>
      <c r="L88" s="349">
        <v>1.75</v>
      </c>
      <c r="M88" s="349">
        <v>1.83</v>
      </c>
      <c r="N88" s="349">
        <v>1.9</v>
      </c>
      <c r="O88" s="349">
        <v>1.96</v>
      </c>
      <c r="P88" s="2226">
        <v>2.0099999999999998</v>
      </c>
      <c r="Q88" s="349">
        <v>2.0499999999999998</v>
      </c>
      <c r="R88" s="349">
        <v>2.08</v>
      </c>
      <c r="S88" s="349">
        <v>2.1</v>
      </c>
      <c r="T88" s="349">
        <v>2.13</v>
      </c>
      <c r="U88" s="349">
        <v>2.15</v>
      </c>
      <c r="V88" s="349">
        <v>2.16</v>
      </c>
      <c r="W88" s="349">
        <v>2.16</v>
      </c>
      <c r="X88" s="349">
        <v>2.17</v>
      </c>
      <c r="Y88" s="349">
        <v>2.17</v>
      </c>
      <c r="Z88" s="349">
        <v>2.1800000000000002</v>
      </c>
      <c r="AA88" s="349">
        <v>2.1800000000000002</v>
      </c>
      <c r="AB88" s="349">
        <v>2.17</v>
      </c>
      <c r="AC88" s="349">
        <v>2.17</v>
      </c>
      <c r="AD88" s="349">
        <v>2.17</v>
      </c>
      <c r="AE88" s="349">
        <v>2.17</v>
      </c>
      <c r="AF88" s="349">
        <v>2.17</v>
      </c>
      <c r="AG88" s="349">
        <v>2.17</v>
      </c>
      <c r="AH88" s="349">
        <v>2.17</v>
      </c>
      <c r="AI88" s="349">
        <v>2.16</v>
      </c>
      <c r="AJ88" s="349">
        <v>2.16</v>
      </c>
      <c r="AK88" s="349">
        <v>2.16</v>
      </c>
      <c r="AL88" s="349">
        <v>2.16</v>
      </c>
      <c r="AM88" s="349">
        <v>2.16</v>
      </c>
      <c r="AN88" s="349">
        <v>2.16</v>
      </c>
      <c r="AO88" s="349">
        <v>2.16</v>
      </c>
      <c r="AP88" s="349">
        <v>2.16</v>
      </c>
      <c r="AQ88" s="349">
        <v>2.15</v>
      </c>
      <c r="AR88" s="349">
        <v>2.15</v>
      </c>
      <c r="AS88" s="349">
        <v>2.15</v>
      </c>
      <c r="AT88" s="349">
        <v>2.15</v>
      </c>
      <c r="AU88" s="349">
        <v>2.15</v>
      </c>
      <c r="AV88" s="349">
        <v>2.14</v>
      </c>
      <c r="AW88" s="349">
        <v>2.14</v>
      </c>
      <c r="AX88" s="349">
        <v>2.14</v>
      </c>
      <c r="AY88" s="349">
        <v>2.14</v>
      </c>
      <c r="BB88" s="349">
        <v>1.41</v>
      </c>
    </row>
    <row r="89" spans="1:54">
      <c r="A89" s="112">
        <v>44469</v>
      </c>
      <c r="B89" s="349">
        <v>0.7</v>
      </c>
      <c r="C89" s="349">
        <v>0.74</v>
      </c>
      <c r="D89" s="349">
        <v>0.82</v>
      </c>
      <c r="E89" s="349">
        <v>0.93</v>
      </c>
      <c r="F89" s="349">
        <v>1.05</v>
      </c>
      <c r="G89" s="349">
        <v>1.18</v>
      </c>
      <c r="H89" s="349">
        <v>1.3</v>
      </c>
      <c r="I89" s="349">
        <v>1.41</v>
      </c>
      <c r="J89" s="349">
        <v>1.52</v>
      </c>
      <c r="K89" s="349">
        <v>1.62</v>
      </c>
      <c r="L89" s="349">
        <v>1.72</v>
      </c>
      <c r="M89" s="349">
        <v>1.79</v>
      </c>
      <c r="N89" s="349">
        <v>1.86</v>
      </c>
      <c r="O89" s="349">
        <v>1.92</v>
      </c>
      <c r="P89" s="2226">
        <v>1.98</v>
      </c>
      <c r="Q89" s="349">
        <v>2.0099999999999998</v>
      </c>
      <c r="R89" s="349">
        <v>2.04</v>
      </c>
      <c r="S89" s="349">
        <v>2.0699999999999998</v>
      </c>
      <c r="T89" s="349">
        <v>2.09</v>
      </c>
      <c r="U89" s="349">
        <v>2.11</v>
      </c>
      <c r="V89" s="349">
        <v>2.12</v>
      </c>
      <c r="W89" s="349">
        <v>2.13</v>
      </c>
      <c r="X89" s="349">
        <v>2.13</v>
      </c>
      <c r="Y89" s="349">
        <v>2.14</v>
      </c>
      <c r="Z89" s="349">
        <v>2.14</v>
      </c>
      <c r="AA89" s="349">
        <v>2.14</v>
      </c>
      <c r="AB89" s="349">
        <v>2.14</v>
      </c>
      <c r="AC89" s="349">
        <v>2.14</v>
      </c>
      <c r="AD89" s="349">
        <v>2.14</v>
      </c>
      <c r="AE89" s="349">
        <v>2.14</v>
      </c>
      <c r="AF89" s="349">
        <v>2.13</v>
      </c>
      <c r="AG89" s="349">
        <v>2.13</v>
      </c>
      <c r="AH89" s="349">
        <v>2.13</v>
      </c>
      <c r="AI89" s="349">
        <v>2.13</v>
      </c>
      <c r="AJ89" s="349">
        <v>2.13</v>
      </c>
      <c r="AK89" s="349">
        <v>2.13</v>
      </c>
      <c r="AL89" s="349">
        <v>2.13</v>
      </c>
      <c r="AM89" s="349">
        <v>2.13</v>
      </c>
      <c r="AN89" s="349">
        <v>2.12</v>
      </c>
      <c r="AO89" s="349">
        <v>2.12</v>
      </c>
      <c r="AP89" s="349">
        <v>2.12</v>
      </c>
      <c r="AQ89" s="349">
        <v>2.12</v>
      </c>
      <c r="AR89" s="349">
        <v>2.12</v>
      </c>
      <c r="AS89" s="349">
        <v>2.11</v>
      </c>
      <c r="AT89" s="349">
        <v>2.11</v>
      </c>
      <c r="AU89" s="349">
        <v>2.11</v>
      </c>
      <c r="AV89" s="349">
        <v>2.11</v>
      </c>
      <c r="AW89" s="349">
        <v>2.11</v>
      </c>
      <c r="AX89" s="349">
        <v>2.11</v>
      </c>
      <c r="AY89" s="349">
        <v>2.1</v>
      </c>
      <c r="BB89" s="349">
        <v>1.39</v>
      </c>
    </row>
    <row r="90" spans="1:54">
      <c r="A90" s="109">
        <v>44500</v>
      </c>
      <c r="B90" s="349">
        <v>0.67</v>
      </c>
      <c r="C90" s="349">
        <v>0.71</v>
      </c>
      <c r="D90" s="349">
        <v>0.79</v>
      </c>
      <c r="E90" s="349">
        <v>0.9</v>
      </c>
      <c r="F90" s="349">
        <v>1.02</v>
      </c>
      <c r="G90" s="349">
        <v>1.1499999999999999</v>
      </c>
      <c r="H90" s="349">
        <v>1.27</v>
      </c>
      <c r="I90" s="349">
        <v>1.38</v>
      </c>
      <c r="J90" s="349">
        <v>1.49</v>
      </c>
      <c r="K90" s="349">
        <v>1.59</v>
      </c>
      <c r="L90" s="349">
        <v>1.68</v>
      </c>
      <c r="M90" s="349">
        <v>1.76</v>
      </c>
      <c r="N90" s="349">
        <v>1.83</v>
      </c>
      <c r="O90" s="349">
        <v>1.89</v>
      </c>
      <c r="P90" s="2226">
        <v>1.94</v>
      </c>
      <c r="Q90" s="349">
        <v>1.98</v>
      </c>
      <c r="R90" s="349">
        <v>2.0099999999999998</v>
      </c>
      <c r="S90" s="349">
        <v>2.0299999999999998</v>
      </c>
      <c r="T90" s="349">
        <v>2.06</v>
      </c>
      <c r="U90" s="349">
        <v>2.08</v>
      </c>
      <c r="V90" s="349">
        <v>2.09</v>
      </c>
      <c r="W90" s="349">
        <v>2.09</v>
      </c>
      <c r="X90" s="349">
        <v>2.1</v>
      </c>
      <c r="Y90" s="349">
        <v>2.1</v>
      </c>
      <c r="Z90" s="349">
        <v>2.11</v>
      </c>
      <c r="AA90" s="349">
        <v>2.11</v>
      </c>
      <c r="AB90" s="349">
        <v>2.11</v>
      </c>
      <c r="AC90" s="349">
        <v>2.1</v>
      </c>
      <c r="AD90" s="349">
        <v>2.1</v>
      </c>
      <c r="AE90" s="349">
        <v>2.1</v>
      </c>
      <c r="AF90" s="349">
        <v>2.1</v>
      </c>
      <c r="AG90" s="349">
        <v>2.1</v>
      </c>
      <c r="AH90" s="349">
        <v>2.1</v>
      </c>
      <c r="AI90" s="349">
        <v>2.1</v>
      </c>
      <c r="AJ90" s="349">
        <v>2.09</v>
      </c>
      <c r="AK90" s="349">
        <v>2.09</v>
      </c>
      <c r="AL90" s="349">
        <v>2.09</v>
      </c>
      <c r="AM90" s="349">
        <v>2.09</v>
      </c>
      <c r="AN90" s="349">
        <v>2.09</v>
      </c>
      <c r="AO90" s="349">
        <v>2.09</v>
      </c>
      <c r="AP90" s="349">
        <v>2.09</v>
      </c>
      <c r="AQ90" s="349">
        <v>2.08</v>
      </c>
      <c r="AR90" s="349">
        <v>2.08</v>
      </c>
      <c r="AS90" s="349">
        <v>2.08</v>
      </c>
      <c r="AT90" s="349">
        <v>2.08</v>
      </c>
      <c r="AU90" s="349">
        <v>2.08</v>
      </c>
      <c r="AV90" s="349">
        <v>2.0699999999999998</v>
      </c>
      <c r="AW90" s="349">
        <v>2.0699999999999998</v>
      </c>
      <c r="AX90" s="349">
        <v>2.0699999999999998</v>
      </c>
      <c r="AY90" s="349">
        <v>2.0699999999999998</v>
      </c>
      <c r="BB90" s="349">
        <v>1.37</v>
      </c>
    </row>
    <row r="91" spans="1:54">
      <c r="A91" s="112">
        <v>44530</v>
      </c>
      <c r="B91" s="349">
        <v>0.64</v>
      </c>
      <c r="C91" s="349">
        <v>0.68</v>
      </c>
      <c r="D91" s="349">
        <v>0.76</v>
      </c>
      <c r="E91" s="349">
        <v>0.87</v>
      </c>
      <c r="F91" s="349">
        <v>0.99</v>
      </c>
      <c r="G91" s="349">
        <v>1.1100000000000001</v>
      </c>
      <c r="H91" s="349">
        <v>1.23</v>
      </c>
      <c r="I91" s="349">
        <v>1.35</v>
      </c>
      <c r="J91" s="349">
        <v>1.45</v>
      </c>
      <c r="K91" s="349">
        <v>1.56</v>
      </c>
      <c r="L91" s="349">
        <v>1.65</v>
      </c>
      <c r="M91" s="349">
        <v>1.72</v>
      </c>
      <c r="N91" s="349">
        <v>1.79</v>
      </c>
      <c r="O91" s="349">
        <v>1.85</v>
      </c>
      <c r="P91" s="2226">
        <v>1.9</v>
      </c>
      <c r="Q91" s="349">
        <v>1.94</v>
      </c>
      <c r="R91" s="349">
        <v>1.97</v>
      </c>
      <c r="S91" s="349">
        <v>2</v>
      </c>
      <c r="T91" s="349">
        <v>2.02</v>
      </c>
      <c r="U91" s="349">
        <v>2.04</v>
      </c>
      <c r="V91" s="349">
        <v>2.0499999999999998</v>
      </c>
      <c r="W91" s="349">
        <v>2.06</v>
      </c>
      <c r="X91" s="349">
        <v>2.06</v>
      </c>
      <c r="Y91" s="349">
        <v>2.0699999999999998</v>
      </c>
      <c r="Z91" s="349">
        <v>2.0699999999999998</v>
      </c>
      <c r="AA91" s="349">
        <v>2.0699999999999998</v>
      </c>
      <c r="AB91" s="349">
        <v>2.0699999999999998</v>
      </c>
      <c r="AC91" s="349">
        <v>2.0699999999999998</v>
      </c>
      <c r="AD91" s="349">
        <v>2.0699999999999998</v>
      </c>
      <c r="AE91" s="349">
        <v>2.0699999999999998</v>
      </c>
      <c r="AF91" s="349">
        <v>2.06</v>
      </c>
      <c r="AG91" s="349">
        <v>2.06</v>
      </c>
      <c r="AH91" s="349">
        <v>2.06</v>
      </c>
      <c r="AI91" s="349">
        <v>2.06</v>
      </c>
      <c r="AJ91" s="349">
        <v>2.06</v>
      </c>
      <c r="AK91" s="349">
        <v>2.06</v>
      </c>
      <c r="AL91" s="349">
        <v>2.06</v>
      </c>
      <c r="AM91" s="349">
        <v>2.0499999999999998</v>
      </c>
      <c r="AN91" s="349">
        <v>2.0499999999999998</v>
      </c>
      <c r="AO91" s="349">
        <v>2.0499999999999998</v>
      </c>
      <c r="AP91" s="349">
        <v>2.0499999999999998</v>
      </c>
      <c r="AQ91" s="349">
        <v>2.0499999999999998</v>
      </c>
      <c r="AR91" s="349">
        <v>2.0499999999999998</v>
      </c>
      <c r="AS91" s="349">
        <v>2.04</v>
      </c>
      <c r="AT91" s="349">
        <v>2.04</v>
      </c>
      <c r="AU91" s="349">
        <v>2.04</v>
      </c>
      <c r="AV91" s="349">
        <v>2.04</v>
      </c>
      <c r="AW91" s="349">
        <v>2.0299999999999998</v>
      </c>
      <c r="AX91" s="349">
        <v>2.0299999999999998</v>
      </c>
      <c r="AY91" s="349">
        <v>2.0299999999999998</v>
      </c>
      <c r="AZ91" s="495"/>
      <c r="BB91" s="349">
        <v>1.36</v>
      </c>
    </row>
    <row r="92" spans="1:54">
      <c r="A92" s="109">
        <v>44561</v>
      </c>
      <c r="B92" s="349">
        <v>0.61</v>
      </c>
      <c r="C92" s="349">
        <v>0.66</v>
      </c>
      <c r="D92" s="349">
        <v>0.74</v>
      </c>
      <c r="E92" s="349">
        <v>0.85</v>
      </c>
      <c r="F92" s="349">
        <v>0.96</v>
      </c>
      <c r="G92" s="349">
        <v>1.08</v>
      </c>
      <c r="H92" s="349">
        <v>1.2</v>
      </c>
      <c r="I92" s="349">
        <v>1.32</v>
      </c>
      <c r="J92" s="349">
        <v>1.42</v>
      </c>
      <c r="K92" s="349">
        <v>1.52</v>
      </c>
      <c r="L92" s="349">
        <v>1.62</v>
      </c>
      <c r="M92" s="349">
        <v>1.69</v>
      </c>
      <c r="N92" s="349">
        <v>1.76</v>
      </c>
      <c r="O92" s="349">
        <v>1.82</v>
      </c>
      <c r="P92" s="2226">
        <v>1.87</v>
      </c>
      <c r="Q92" s="349">
        <v>1.91</v>
      </c>
      <c r="R92" s="349">
        <v>1.94</v>
      </c>
      <c r="S92" s="349">
        <v>1.96</v>
      </c>
      <c r="T92" s="349">
        <v>1.99</v>
      </c>
      <c r="U92" s="349">
        <v>2.0099999999999998</v>
      </c>
      <c r="V92" s="349">
        <v>2.02</v>
      </c>
      <c r="W92" s="349">
        <v>2.02</v>
      </c>
      <c r="X92" s="349">
        <v>2.0299999999999998</v>
      </c>
      <c r="Y92" s="349">
        <v>2.04</v>
      </c>
      <c r="Z92" s="349">
        <v>2.04</v>
      </c>
      <c r="AA92" s="349">
        <v>2.04</v>
      </c>
      <c r="AB92" s="349">
        <v>2.04</v>
      </c>
      <c r="AC92" s="349">
        <v>2.04</v>
      </c>
      <c r="AD92" s="349">
        <v>2.04</v>
      </c>
      <c r="AE92" s="349">
        <v>2.04</v>
      </c>
      <c r="AF92" s="349">
        <v>2.0299999999999998</v>
      </c>
      <c r="AG92" s="349">
        <v>2.0299999999999998</v>
      </c>
      <c r="AH92" s="349">
        <v>2.0299999999999998</v>
      </c>
      <c r="AI92" s="349">
        <v>2.0299999999999998</v>
      </c>
      <c r="AJ92" s="349">
        <v>2.0299999999999998</v>
      </c>
      <c r="AK92" s="349">
        <v>2.0299999999999998</v>
      </c>
      <c r="AL92" s="349">
        <v>2.0299999999999998</v>
      </c>
      <c r="AM92" s="349">
        <v>2.02</v>
      </c>
      <c r="AN92" s="349">
        <v>2.02</v>
      </c>
      <c r="AO92" s="349">
        <v>2.02</v>
      </c>
      <c r="AP92" s="349">
        <v>2.02</v>
      </c>
      <c r="AQ92" s="349">
        <v>2.02</v>
      </c>
      <c r="AR92" s="349">
        <v>2.0099999999999998</v>
      </c>
      <c r="AS92" s="349">
        <v>2.0099999999999998</v>
      </c>
      <c r="AT92" s="349">
        <v>2.0099999999999998</v>
      </c>
      <c r="AU92" s="349">
        <v>2.0099999999999998</v>
      </c>
      <c r="AV92" s="349">
        <v>2</v>
      </c>
      <c r="AW92" s="349">
        <v>2</v>
      </c>
      <c r="AX92" s="349">
        <v>2</v>
      </c>
      <c r="AY92" s="349">
        <v>2</v>
      </c>
      <c r="BB92" s="349">
        <v>1.35</v>
      </c>
    </row>
    <row r="93" spans="1:54">
      <c r="A93" s="112">
        <v>44592</v>
      </c>
      <c r="B93" s="349">
        <v>0.59</v>
      </c>
      <c r="C93" s="349">
        <v>0.64</v>
      </c>
      <c r="D93" s="349">
        <v>0.72</v>
      </c>
      <c r="E93" s="349">
        <v>0.83</v>
      </c>
      <c r="F93" s="349">
        <v>0.94</v>
      </c>
      <c r="G93" s="349">
        <v>1.06</v>
      </c>
      <c r="H93" s="349">
        <v>1.18</v>
      </c>
      <c r="I93" s="349">
        <v>1.29</v>
      </c>
      <c r="J93" s="349">
        <v>1.4</v>
      </c>
      <c r="K93" s="349">
        <v>1.5</v>
      </c>
      <c r="L93" s="349">
        <v>1.59</v>
      </c>
      <c r="M93" s="349">
        <v>1.67</v>
      </c>
      <c r="N93" s="349">
        <v>1.74</v>
      </c>
      <c r="O93" s="349">
        <v>1.79</v>
      </c>
      <c r="P93" s="2226">
        <v>1.85</v>
      </c>
      <c r="Q93" s="349">
        <v>1.88</v>
      </c>
      <c r="R93" s="349">
        <v>1.91</v>
      </c>
      <c r="S93" s="349">
        <v>1.94</v>
      </c>
      <c r="T93" s="349">
        <v>1.96</v>
      </c>
      <c r="U93" s="349">
        <v>1.98</v>
      </c>
      <c r="V93" s="349">
        <v>1.99</v>
      </c>
      <c r="W93" s="349">
        <v>2</v>
      </c>
      <c r="X93" s="349">
        <v>2</v>
      </c>
      <c r="Y93" s="349">
        <v>2.0099999999999998</v>
      </c>
      <c r="Z93" s="349">
        <v>2.0099999999999998</v>
      </c>
      <c r="AA93" s="349">
        <v>2.0099999999999998</v>
      </c>
      <c r="AB93" s="349">
        <v>2.0099999999999998</v>
      </c>
      <c r="AC93" s="349">
        <v>2.0099999999999998</v>
      </c>
      <c r="AD93" s="349">
        <v>2.0099999999999998</v>
      </c>
      <c r="AE93" s="349">
        <v>2.0099999999999998</v>
      </c>
      <c r="AF93" s="349">
        <v>2.0099999999999998</v>
      </c>
      <c r="AG93" s="349">
        <v>2.0099999999999998</v>
      </c>
      <c r="AH93" s="349">
        <v>2</v>
      </c>
      <c r="AI93" s="349">
        <v>2</v>
      </c>
      <c r="AJ93" s="349">
        <v>2</v>
      </c>
      <c r="AK93" s="349">
        <v>2</v>
      </c>
      <c r="AL93" s="349">
        <v>2</v>
      </c>
      <c r="AM93" s="349">
        <v>2</v>
      </c>
      <c r="AN93" s="349">
        <v>2</v>
      </c>
      <c r="AO93" s="349">
        <v>1.99</v>
      </c>
      <c r="AP93" s="349">
        <v>1.99</v>
      </c>
      <c r="AQ93" s="349">
        <v>1.99</v>
      </c>
      <c r="AR93" s="349">
        <v>1.99</v>
      </c>
      <c r="AS93" s="349">
        <v>1.98</v>
      </c>
      <c r="AT93" s="349">
        <v>1.98</v>
      </c>
      <c r="AU93" s="349">
        <v>1.98</v>
      </c>
      <c r="AV93" s="349">
        <v>1.98</v>
      </c>
      <c r="AW93" s="349">
        <v>1.98</v>
      </c>
      <c r="AX93" s="349">
        <v>1.97</v>
      </c>
      <c r="AY93" s="349">
        <v>1.97</v>
      </c>
      <c r="BB93" s="349">
        <v>1.34</v>
      </c>
    </row>
    <row r="94" spans="1:54">
      <c r="A94" s="109">
        <v>44620</v>
      </c>
      <c r="B94" s="349">
        <v>0.56999999999999995</v>
      </c>
      <c r="C94" s="349">
        <v>0.62</v>
      </c>
      <c r="D94" s="349">
        <v>0.7</v>
      </c>
      <c r="E94" s="349">
        <v>0.81</v>
      </c>
      <c r="F94" s="349">
        <v>0.92</v>
      </c>
      <c r="G94" s="349">
        <v>1.05</v>
      </c>
      <c r="H94" s="349">
        <v>1.1599999999999999</v>
      </c>
      <c r="I94" s="349">
        <v>1.27</v>
      </c>
      <c r="J94" s="349">
        <v>1.38</v>
      </c>
      <c r="K94" s="349">
        <v>1.48</v>
      </c>
      <c r="L94" s="349">
        <v>1.57</v>
      </c>
      <c r="M94" s="349">
        <v>1.65</v>
      </c>
      <c r="N94" s="349">
        <v>1.72</v>
      </c>
      <c r="O94" s="349">
        <v>1.77</v>
      </c>
      <c r="P94" s="2226">
        <v>1.82</v>
      </c>
      <c r="Q94" s="349">
        <v>1.86</v>
      </c>
      <c r="R94" s="349">
        <v>1.89</v>
      </c>
      <c r="S94" s="349">
        <v>1.92</v>
      </c>
      <c r="T94" s="349">
        <v>1.94</v>
      </c>
      <c r="U94" s="349">
        <v>1.96</v>
      </c>
      <c r="V94" s="349">
        <v>1.97</v>
      </c>
      <c r="W94" s="349">
        <v>1.98</v>
      </c>
      <c r="X94" s="349">
        <v>1.98</v>
      </c>
      <c r="Y94" s="349">
        <v>1.99</v>
      </c>
      <c r="Z94" s="349">
        <v>1.99</v>
      </c>
      <c r="AA94" s="349">
        <v>1.99</v>
      </c>
      <c r="AB94" s="349">
        <v>1.99</v>
      </c>
      <c r="AC94" s="349">
        <v>1.99</v>
      </c>
      <c r="AD94" s="349">
        <v>1.99</v>
      </c>
      <c r="AE94" s="349">
        <v>1.99</v>
      </c>
      <c r="AF94" s="349">
        <v>1.99</v>
      </c>
      <c r="AG94" s="349">
        <v>1.98</v>
      </c>
      <c r="AH94" s="349">
        <v>1.98</v>
      </c>
      <c r="AI94" s="349">
        <v>1.98</v>
      </c>
      <c r="AJ94" s="349">
        <v>1.98</v>
      </c>
      <c r="AK94" s="349">
        <v>1.98</v>
      </c>
      <c r="AL94" s="349">
        <v>1.98</v>
      </c>
      <c r="AM94" s="349">
        <v>1.97</v>
      </c>
      <c r="AN94" s="349">
        <v>1.97</v>
      </c>
      <c r="AO94" s="349">
        <v>1.97</v>
      </c>
      <c r="AP94" s="349">
        <v>1.97</v>
      </c>
      <c r="AQ94" s="349">
        <v>1.97</v>
      </c>
      <c r="AR94" s="349">
        <v>1.96</v>
      </c>
      <c r="AS94" s="349">
        <v>1.96</v>
      </c>
      <c r="AT94" s="349">
        <v>1.96</v>
      </c>
      <c r="AU94" s="349">
        <v>1.96</v>
      </c>
      <c r="AV94" s="349">
        <v>1.95</v>
      </c>
      <c r="AW94" s="349">
        <v>1.95</v>
      </c>
      <c r="AX94" s="349">
        <v>1.95</v>
      </c>
      <c r="AY94" s="349">
        <v>1.95</v>
      </c>
      <c r="BB94" s="349">
        <v>1.35</v>
      </c>
    </row>
    <row r="95" spans="1:54">
      <c r="A95" s="112">
        <v>44651</v>
      </c>
      <c r="B95" s="349">
        <v>0.55000000000000004</v>
      </c>
      <c r="C95" s="349">
        <v>0.61</v>
      </c>
      <c r="D95" s="349">
        <v>0.69</v>
      </c>
      <c r="E95" s="349">
        <v>0.8</v>
      </c>
      <c r="F95" s="349">
        <v>0.91</v>
      </c>
      <c r="G95" s="349">
        <v>1.03</v>
      </c>
      <c r="H95" s="349">
        <v>1.1399999999999999</v>
      </c>
      <c r="I95" s="349">
        <v>1.26</v>
      </c>
      <c r="J95" s="349">
        <v>1.36</v>
      </c>
      <c r="K95" s="349">
        <v>1.46</v>
      </c>
      <c r="L95" s="349">
        <v>1.55</v>
      </c>
      <c r="M95" s="349">
        <v>1.63</v>
      </c>
      <c r="N95" s="349">
        <v>1.7</v>
      </c>
      <c r="O95" s="349">
        <v>1.75</v>
      </c>
      <c r="P95" s="2226">
        <v>1.81</v>
      </c>
      <c r="Q95" s="349">
        <v>1.84</v>
      </c>
      <c r="R95" s="349">
        <v>1.87</v>
      </c>
      <c r="S95" s="349">
        <v>1.9</v>
      </c>
      <c r="T95" s="349">
        <v>1.92</v>
      </c>
      <c r="U95" s="349">
        <v>1.94</v>
      </c>
      <c r="V95" s="349">
        <v>1.95</v>
      </c>
      <c r="W95" s="349">
        <v>1.96</v>
      </c>
      <c r="X95" s="349">
        <v>1.96</v>
      </c>
      <c r="Y95" s="349">
        <v>1.97</v>
      </c>
      <c r="Z95" s="349">
        <v>1.97</v>
      </c>
      <c r="AA95" s="349">
        <v>1.97</v>
      </c>
      <c r="AB95" s="349">
        <v>1.97</v>
      </c>
      <c r="AC95" s="349">
        <v>1.97</v>
      </c>
      <c r="AD95" s="349">
        <v>1.97</v>
      </c>
      <c r="AE95" s="349">
        <v>1.97</v>
      </c>
      <c r="AF95" s="349">
        <v>1.96</v>
      </c>
      <c r="AG95" s="349">
        <v>1.96</v>
      </c>
      <c r="AH95" s="349">
        <v>1.96</v>
      </c>
      <c r="AI95" s="349">
        <v>1.96</v>
      </c>
      <c r="AJ95" s="349">
        <v>1.96</v>
      </c>
      <c r="AK95" s="349">
        <v>1.96</v>
      </c>
      <c r="AL95" s="349">
        <v>1.95</v>
      </c>
      <c r="AM95" s="349">
        <v>1.95</v>
      </c>
      <c r="AN95" s="349">
        <v>1.95</v>
      </c>
      <c r="AO95" s="349">
        <v>1.95</v>
      </c>
      <c r="AP95" s="349">
        <v>1.95</v>
      </c>
      <c r="AQ95" s="349">
        <v>1.94</v>
      </c>
      <c r="AR95" s="349">
        <v>1.94</v>
      </c>
      <c r="AS95" s="349">
        <v>1.94</v>
      </c>
      <c r="AT95" s="349">
        <v>1.94</v>
      </c>
      <c r="AU95" s="349">
        <v>1.93</v>
      </c>
      <c r="AV95" s="349">
        <v>1.93</v>
      </c>
      <c r="AW95" s="349">
        <v>1.93</v>
      </c>
      <c r="AX95" s="349">
        <v>1.93</v>
      </c>
      <c r="AY95" s="349">
        <v>1.93</v>
      </c>
      <c r="BB95" s="349">
        <v>1.35</v>
      </c>
    </row>
    <row r="96" spans="1:54">
      <c r="A96" s="109">
        <v>44681</v>
      </c>
      <c r="B96" s="349">
        <v>0.54</v>
      </c>
      <c r="C96" s="349">
        <v>0.6</v>
      </c>
      <c r="D96" s="349">
        <v>0.69</v>
      </c>
      <c r="E96" s="349">
        <v>0.79</v>
      </c>
      <c r="F96" s="349">
        <v>0.9</v>
      </c>
      <c r="G96" s="349">
        <v>1.02</v>
      </c>
      <c r="H96" s="349">
        <v>1.1399999999999999</v>
      </c>
      <c r="I96" s="349">
        <v>1.25</v>
      </c>
      <c r="J96" s="349">
        <v>1.35</v>
      </c>
      <c r="K96" s="349">
        <v>1.45</v>
      </c>
      <c r="L96" s="349">
        <v>1.54</v>
      </c>
      <c r="M96" s="349">
        <v>1.62</v>
      </c>
      <c r="N96" s="349">
        <v>1.68</v>
      </c>
      <c r="O96" s="349">
        <v>1.74</v>
      </c>
      <c r="P96" s="2226">
        <v>1.79</v>
      </c>
      <c r="Q96" s="349">
        <v>1.83</v>
      </c>
      <c r="R96" s="349">
        <v>1.85</v>
      </c>
      <c r="S96" s="349">
        <v>1.88</v>
      </c>
      <c r="T96" s="349">
        <v>1.9</v>
      </c>
      <c r="U96" s="349">
        <v>1.93</v>
      </c>
      <c r="V96" s="349">
        <v>1.93</v>
      </c>
      <c r="W96" s="349">
        <v>1.94</v>
      </c>
      <c r="X96" s="349">
        <v>1.95</v>
      </c>
      <c r="Y96" s="349">
        <v>1.95</v>
      </c>
      <c r="Z96" s="349">
        <v>1.96</v>
      </c>
      <c r="AA96" s="349">
        <v>1.96</v>
      </c>
      <c r="AB96" s="349">
        <v>1.95</v>
      </c>
      <c r="AC96" s="349">
        <v>1.95</v>
      </c>
      <c r="AD96" s="349">
        <v>1.95</v>
      </c>
      <c r="AE96" s="349">
        <v>1.95</v>
      </c>
      <c r="AF96" s="349">
        <v>1.95</v>
      </c>
      <c r="AG96" s="349">
        <v>1.95</v>
      </c>
      <c r="AH96" s="349">
        <v>1.94</v>
      </c>
      <c r="AI96" s="349">
        <v>1.94</v>
      </c>
      <c r="AJ96" s="349">
        <v>1.94</v>
      </c>
      <c r="AK96" s="349">
        <v>1.94</v>
      </c>
      <c r="AL96" s="349">
        <v>1.94</v>
      </c>
      <c r="AM96" s="349">
        <v>1.94</v>
      </c>
      <c r="AN96" s="349">
        <v>1.93</v>
      </c>
      <c r="AO96" s="349">
        <v>1.93</v>
      </c>
      <c r="AP96" s="349">
        <v>1.93</v>
      </c>
      <c r="AQ96" s="349">
        <v>1.93</v>
      </c>
      <c r="AR96" s="349">
        <v>1.92</v>
      </c>
      <c r="AS96" s="349">
        <v>1.92</v>
      </c>
      <c r="AT96" s="349">
        <v>1.92</v>
      </c>
      <c r="AU96" s="349">
        <v>1.91</v>
      </c>
      <c r="AV96" s="349">
        <v>1.91</v>
      </c>
      <c r="AW96" s="349">
        <v>1.91</v>
      </c>
      <c r="AX96" s="349">
        <v>1.91</v>
      </c>
      <c r="AY96" s="349">
        <v>1.91</v>
      </c>
      <c r="BB96" s="349">
        <v>1.36</v>
      </c>
    </row>
    <row r="97" spans="1:54">
      <c r="A97" s="112">
        <v>44712</v>
      </c>
      <c r="B97" s="349">
        <v>0.53</v>
      </c>
      <c r="C97" s="349">
        <v>0.6</v>
      </c>
      <c r="D97" s="349">
        <v>0.68</v>
      </c>
      <c r="E97" s="349">
        <v>0.79</v>
      </c>
      <c r="F97" s="349">
        <v>0.9</v>
      </c>
      <c r="G97" s="349">
        <v>1.02</v>
      </c>
      <c r="H97" s="349">
        <v>1.1299999999999999</v>
      </c>
      <c r="I97" s="349">
        <v>1.24</v>
      </c>
      <c r="J97" s="349">
        <v>1.35</v>
      </c>
      <c r="K97" s="349">
        <v>1.45</v>
      </c>
      <c r="L97" s="349">
        <v>1.54</v>
      </c>
      <c r="M97" s="349">
        <v>1.61</v>
      </c>
      <c r="N97" s="349">
        <v>1.68</v>
      </c>
      <c r="O97" s="349">
        <v>1.74</v>
      </c>
      <c r="P97" s="2226">
        <v>1.79</v>
      </c>
      <c r="Q97" s="349">
        <v>1.82</v>
      </c>
      <c r="R97" s="349">
        <v>1.85</v>
      </c>
      <c r="S97" s="349">
        <v>1.88</v>
      </c>
      <c r="T97" s="349">
        <v>1.9</v>
      </c>
      <c r="U97" s="349">
        <v>1.92</v>
      </c>
      <c r="V97" s="349">
        <v>1.93</v>
      </c>
      <c r="W97" s="349">
        <v>1.93</v>
      </c>
      <c r="X97" s="349">
        <v>1.94</v>
      </c>
      <c r="Y97" s="349">
        <v>1.95</v>
      </c>
      <c r="Z97" s="349">
        <v>1.95</v>
      </c>
      <c r="AA97" s="349">
        <v>1.95</v>
      </c>
      <c r="AB97" s="349">
        <v>1.95</v>
      </c>
      <c r="AC97" s="349">
        <v>1.95</v>
      </c>
      <c r="AD97" s="349">
        <v>1.94</v>
      </c>
      <c r="AE97" s="349">
        <v>1.94</v>
      </c>
      <c r="AF97" s="349">
        <v>1.94</v>
      </c>
      <c r="AG97" s="349">
        <v>1.94</v>
      </c>
      <c r="AH97" s="349">
        <v>1.94</v>
      </c>
      <c r="AI97" s="349">
        <v>1.93</v>
      </c>
      <c r="AJ97" s="349">
        <v>1.93</v>
      </c>
      <c r="AK97" s="349">
        <v>1.93</v>
      </c>
      <c r="AL97" s="349">
        <v>1.93</v>
      </c>
      <c r="AM97" s="349">
        <v>1.93</v>
      </c>
      <c r="AN97" s="349">
        <v>1.93</v>
      </c>
      <c r="AO97" s="349">
        <v>1.92</v>
      </c>
      <c r="AP97" s="349">
        <v>1.92</v>
      </c>
      <c r="AQ97" s="349">
        <v>1.92</v>
      </c>
      <c r="AR97" s="349">
        <v>1.91</v>
      </c>
      <c r="AS97" s="349">
        <v>1.91</v>
      </c>
      <c r="AT97" s="349">
        <v>1.91</v>
      </c>
      <c r="AU97" s="349">
        <v>1.91</v>
      </c>
      <c r="AV97" s="349">
        <v>1.9</v>
      </c>
      <c r="AW97" s="349">
        <v>1.9</v>
      </c>
      <c r="AX97" s="349">
        <v>1.9</v>
      </c>
      <c r="AY97" s="349">
        <v>1.9</v>
      </c>
      <c r="BB97" s="349">
        <v>1.37</v>
      </c>
    </row>
    <row r="98" spans="1:54">
      <c r="A98" s="109">
        <v>44742</v>
      </c>
      <c r="B98" s="349">
        <v>0.52</v>
      </c>
      <c r="C98" s="349">
        <v>0.6</v>
      </c>
      <c r="D98" s="349">
        <v>0.69</v>
      </c>
      <c r="E98" s="349">
        <v>0.79</v>
      </c>
      <c r="F98" s="349">
        <v>0.9</v>
      </c>
      <c r="G98" s="349">
        <v>1.02</v>
      </c>
      <c r="H98" s="349">
        <v>1.1299999999999999</v>
      </c>
      <c r="I98" s="349">
        <v>1.24</v>
      </c>
      <c r="J98" s="349">
        <v>1.35</v>
      </c>
      <c r="K98" s="349">
        <v>1.44</v>
      </c>
      <c r="L98" s="349">
        <v>1.53</v>
      </c>
      <c r="M98" s="349">
        <v>1.61</v>
      </c>
      <c r="N98" s="349">
        <v>1.68</v>
      </c>
      <c r="O98" s="349">
        <v>1.73</v>
      </c>
      <c r="P98" s="2226">
        <v>1.78</v>
      </c>
      <c r="Q98" s="349">
        <v>1.82</v>
      </c>
      <c r="R98" s="349">
        <v>1.85</v>
      </c>
      <c r="S98" s="349">
        <v>1.87</v>
      </c>
      <c r="T98" s="349">
        <v>1.9</v>
      </c>
      <c r="U98" s="349">
        <v>1.92</v>
      </c>
      <c r="V98" s="349">
        <v>1.92</v>
      </c>
      <c r="W98" s="349">
        <v>1.93</v>
      </c>
      <c r="X98" s="349">
        <v>1.94</v>
      </c>
      <c r="Y98" s="349">
        <v>1.94</v>
      </c>
      <c r="Z98" s="349">
        <v>1.95</v>
      </c>
      <c r="AA98" s="349">
        <v>1.94</v>
      </c>
      <c r="AB98" s="349">
        <v>1.94</v>
      </c>
      <c r="AC98" s="349">
        <v>1.94</v>
      </c>
      <c r="AD98" s="349">
        <v>1.94</v>
      </c>
      <c r="AE98" s="349">
        <v>1.94</v>
      </c>
      <c r="AF98" s="349">
        <v>1.93</v>
      </c>
      <c r="AG98" s="349">
        <v>1.93</v>
      </c>
      <c r="AH98" s="349">
        <v>1.93</v>
      </c>
      <c r="AI98" s="349">
        <v>1.93</v>
      </c>
      <c r="AJ98" s="349">
        <v>1.92</v>
      </c>
      <c r="AK98" s="349">
        <v>1.92</v>
      </c>
      <c r="AL98" s="349">
        <v>1.92</v>
      </c>
      <c r="AM98" s="349">
        <v>1.92</v>
      </c>
      <c r="AN98" s="349">
        <v>1.92</v>
      </c>
      <c r="AO98" s="349">
        <v>1.92</v>
      </c>
      <c r="AP98" s="349">
        <v>1.91</v>
      </c>
      <c r="AQ98" s="349">
        <v>1.91</v>
      </c>
      <c r="AR98" s="349">
        <v>1.9</v>
      </c>
      <c r="AS98" s="349">
        <v>1.9</v>
      </c>
      <c r="AT98" s="349">
        <v>1.9</v>
      </c>
      <c r="AU98" s="349">
        <v>1.9</v>
      </c>
      <c r="AV98" s="349">
        <v>1.89</v>
      </c>
      <c r="AW98" s="349">
        <v>1.89</v>
      </c>
      <c r="AX98" s="349">
        <v>1.89</v>
      </c>
      <c r="AY98" s="349">
        <v>1.89</v>
      </c>
      <c r="BB98" s="349">
        <v>1.38</v>
      </c>
    </row>
    <row r="99" spans="1:54">
      <c r="A99" s="112">
        <v>44773</v>
      </c>
      <c r="B99" s="349">
        <v>0.52</v>
      </c>
      <c r="C99" s="349">
        <v>0.6</v>
      </c>
      <c r="D99" s="349">
        <v>0.69</v>
      </c>
      <c r="E99" s="349">
        <v>0.79</v>
      </c>
      <c r="F99" s="349">
        <v>0.9</v>
      </c>
      <c r="G99" s="349">
        <v>1.02</v>
      </c>
      <c r="H99" s="349">
        <v>1.1299999999999999</v>
      </c>
      <c r="I99" s="349">
        <v>1.24</v>
      </c>
      <c r="J99" s="349">
        <v>1.34</v>
      </c>
      <c r="K99" s="349">
        <v>1.44</v>
      </c>
      <c r="L99" s="349">
        <v>1.53</v>
      </c>
      <c r="M99" s="349">
        <v>1.6</v>
      </c>
      <c r="N99" s="349">
        <v>1.67</v>
      </c>
      <c r="O99" s="349">
        <v>1.73</v>
      </c>
      <c r="P99" s="2226">
        <v>1.78</v>
      </c>
      <c r="Q99" s="349">
        <v>1.81</v>
      </c>
      <c r="R99" s="349">
        <v>1.84</v>
      </c>
      <c r="S99" s="349">
        <v>1.86</v>
      </c>
      <c r="T99" s="349">
        <v>1.89</v>
      </c>
      <c r="U99" s="349">
        <v>1.91</v>
      </c>
      <c r="V99" s="349">
        <v>1.91</v>
      </c>
      <c r="W99" s="349">
        <v>1.92</v>
      </c>
      <c r="X99" s="349">
        <v>1.93</v>
      </c>
      <c r="Y99" s="349">
        <v>1.93</v>
      </c>
      <c r="Z99" s="349">
        <v>1.93</v>
      </c>
      <c r="AA99" s="349">
        <v>1.93</v>
      </c>
      <c r="AB99" s="349">
        <v>1.93</v>
      </c>
      <c r="AC99" s="349">
        <v>1.93</v>
      </c>
      <c r="AD99" s="349">
        <v>1.93</v>
      </c>
      <c r="AE99" s="349">
        <v>1.93</v>
      </c>
      <c r="AF99" s="349">
        <v>1.92</v>
      </c>
      <c r="AG99" s="349">
        <v>1.92</v>
      </c>
      <c r="AH99" s="349">
        <v>1.92</v>
      </c>
      <c r="AI99" s="349">
        <v>1.91</v>
      </c>
      <c r="AJ99" s="349">
        <v>1.91</v>
      </c>
      <c r="AK99" s="349">
        <v>1.91</v>
      </c>
      <c r="AL99" s="349">
        <v>1.91</v>
      </c>
      <c r="AM99" s="349">
        <v>1.9</v>
      </c>
      <c r="AN99" s="349">
        <v>1.9</v>
      </c>
      <c r="AO99" s="349">
        <v>1.9</v>
      </c>
      <c r="AP99" s="349">
        <v>1.9</v>
      </c>
      <c r="AQ99" s="349">
        <v>1.89</v>
      </c>
      <c r="AR99" s="349">
        <v>1.89</v>
      </c>
      <c r="AS99" s="349">
        <v>1.89</v>
      </c>
      <c r="AT99" s="349">
        <v>1.88</v>
      </c>
      <c r="AU99" s="349">
        <v>1.88</v>
      </c>
      <c r="AV99" s="349">
        <v>1.88</v>
      </c>
      <c r="AW99" s="349">
        <v>1.87</v>
      </c>
      <c r="AX99" s="349">
        <v>1.87</v>
      </c>
      <c r="AY99" s="349">
        <v>1.87</v>
      </c>
      <c r="BB99" s="349">
        <v>1.38</v>
      </c>
    </row>
    <row r="100" spans="1:54">
      <c r="A100" s="761">
        <v>44804</v>
      </c>
      <c r="B100" s="349">
        <v>0.53</v>
      </c>
      <c r="C100" s="349">
        <v>0.61</v>
      </c>
      <c r="D100" s="349">
        <v>0.69</v>
      </c>
      <c r="E100" s="349">
        <v>0.8</v>
      </c>
      <c r="F100" s="349">
        <v>0.91</v>
      </c>
      <c r="G100" s="349">
        <v>1.02</v>
      </c>
      <c r="H100" s="349">
        <v>1.1299999999999999</v>
      </c>
      <c r="I100" s="349">
        <v>1.24</v>
      </c>
      <c r="J100" s="349">
        <v>1.34</v>
      </c>
      <c r="K100" s="349">
        <v>1.44</v>
      </c>
      <c r="L100" s="349">
        <v>1.53</v>
      </c>
      <c r="M100" s="349">
        <v>1.6</v>
      </c>
      <c r="N100" s="349">
        <v>1.67</v>
      </c>
      <c r="O100" s="349">
        <v>1.72</v>
      </c>
      <c r="P100" s="2226">
        <v>1.77</v>
      </c>
      <c r="Q100" s="349">
        <v>1.81</v>
      </c>
      <c r="R100" s="349">
        <v>1.84</v>
      </c>
      <c r="S100" s="349">
        <v>1.86</v>
      </c>
      <c r="T100" s="349">
        <v>1.88</v>
      </c>
      <c r="U100" s="349">
        <v>1.9</v>
      </c>
      <c r="V100" s="349">
        <v>1.91</v>
      </c>
      <c r="W100" s="349">
        <v>1.92</v>
      </c>
      <c r="X100" s="349">
        <v>1.92</v>
      </c>
      <c r="Y100" s="349">
        <v>1.93</v>
      </c>
      <c r="Z100" s="349">
        <v>1.93</v>
      </c>
      <c r="AA100" s="349">
        <v>1.93</v>
      </c>
      <c r="AB100" s="349">
        <v>1.92</v>
      </c>
      <c r="AC100" s="349">
        <v>1.92</v>
      </c>
      <c r="AD100" s="349">
        <v>1.92</v>
      </c>
      <c r="AE100" s="349">
        <v>1.92</v>
      </c>
      <c r="AF100" s="349">
        <v>1.92</v>
      </c>
      <c r="AG100" s="349">
        <v>1.91</v>
      </c>
      <c r="AH100" s="349">
        <v>1.91</v>
      </c>
      <c r="AI100" s="349">
        <v>1.91</v>
      </c>
      <c r="AJ100" s="349">
        <v>1.9</v>
      </c>
      <c r="AK100" s="349">
        <v>1.9</v>
      </c>
      <c r="AL100" s="349">
        <v>1.9</v>
      </c>
      <c r="AM100" s="349">
        <v>1.9</v>
      </c>
      <c r="AN100" s="349">
        <v>1.89</v>
      </c>
      <c r="AO100" s="349">
        <v>1.89</v>
      </c>
      <c r="AP100" s="349">
        <v>1.89</v>
      </c>
      <c r="AQ100" s="349">
        <v>1.88</v>
      </c>
      <c r="AR100" s="349">
        <v>1.88</v>
      </c>
      <c r="AS100" s="349">
        <v>1.88</v>
      </c>
      <c r="AT100" s="349">
        <v>1.87</v>
      </c>
      <c r="AU100" s="349">
        <v>1.87</v>
      </c>
      <c r="AV100" s="349">
        <v>1.87</v>
      </c>
      <c r="AW100" s="349">
        <v>1.86</v>
      </c>
      <c r="AX100" s="349">
        <v>1.86</v>
      </c>
      <c r="AY100" s="349">
        <v>1.86</v>
      </c>
      <c r="BB100" s="71">
        <v>1.38</v>
      </c>
    </row>
    <row r="101" spans="1:54">
      <c r="A101" s="761">
        <v>44834</v>
      </c>
      <c r="B101" s="349">
        <v>0.54</v>
      </c>
      <c r="C101" s="349">
        <v>0.62</v>
      </c>
      <c r="D101" s="349">
        <v>0.71</v>
      </c>
      <c r="E101" s="349">
        <v>0.81</v>
      </c>
      <c r="F101" s="349">
        <v>0.92</v>
      </c>
      <c r="G101" s="349">
        <v>1.03</v>
      </c>
      <c r="H101" s="349">
        <v>1.1399999999999999</v>
      </c>
      <c r="I101" s="349">
        <v>1.25</v>
      </c>
      <c r="J101" s="349">
        <v>1.35</v>
      </c>
      <c r="K101" s="349">
        <v>1.45</v>
      </c>
      <c r="L101" s="349">
        <v>1.53</v>
      </c>
      <c r="M101" s="349">
        <v>1.61</v>
      </c>
      <c r="N101" s="349">
        <v>1.67</v>
      </c>
      <c r="O101" s="349">
        <v>1.73</v>
      </c>
      <c r="P101" s="2226">
        <v>1.78</v>
      </c>
      <c r="Q101" s="349">
        <v>1.81</v>
      </c>
      <c r="R101" s="349">
        <v>1.84</v>
      </c>
      <c r="S101" s="349">
        <v>1.86</v>
      </c>
      <c r="T101" s="349">
        <v>1.88</v>
      </c>
      <c r="U101" s="349">
        <v>1.9</v>
      </c>
      <c r="V101" s="349">
        <v>1.91</v>
      </c>
      <c r="W101" s="349">
        <v>1.91</v>
      </c>
      <c r="X101" s="349">
        <v>1.92</v>
      </c>
      <c r="Y101" s="349">
        <v>1.92</v>
      </c>
      <c r="Z101" s="349">
        <v>1.93</v>
      </c>
      <c r="AA101" s="349">
        <v>1.92</v>
      </c>
      <c r="AB101" s="349">
        <v>1.92</v>
      </c>
      <c r="AC101" s="349">
        <v>1.92</v>
      </c>
      <c r="AD101" s="349">
        <v>1.92</v>
      </c>
      <c r="AE101" s="349">
        <v>1.91</v>
      </c>
      <c r="AF101" s="349">
        <v>1.91</v>
      </c>
      <c r="AG101" s="349">
        <v>1.91</v>
      </c>
      <c r="AH101" s="349">
        <v>1.9</v>
      </c>
      <c r="AI101" s="349">
        <v>1.9</v>
      </c>
      <c r="AJ101" s="349">
        <v>1.9</v>
      </c>
      <c r="AK101" s="349">
        <v>1.89</v>
      </c>
      <c r="AL101" s="349">
        <v>1.89</v>
      </c>
      <c r="AM101" s="349">
        <v>1.89</v>
      </c>
      <c r="AN101" s="349">
        <v>1.89</v>
      </c>
      <c r="AO101" s="349">
        <v>1.88</v>
      </c>
      <c r="AP101" s="349">
        <v>1.88</v>
      </c>
      <c r="AQ101" s="349">
        <v>1.87</v>
      </c>
      <c r="AR101" s="349">
        <v>1.87</v>
      </c>
      <c r="AS101" s="349">
        <v>1.87</v>
      </c>
      <c r="AT101" s="349">
        <v>1.86</v>
      </c>
      <c r="AU101" s="349">
        <v>1.86</v>
      </c>
      <c r="AV101" s="349">
        <v>1.85</v>
      </c>
      <c r="AW101" s="349">
        <v>1.85</v>
      </c>
      <c r="AX101" s="349">
        <v>1.85</v>
      </c>
      <c r="AY101" s="349">
        <v>1.84</v>
      </c>
    </row>
    <row r="102" spans="1:54">
      <c r="A102" s="761">
        <v>44865</v>
      </c>
      <c r="B102" s="349">
        <v>0.56000000000000005</v>
      </c>
      <c r="C102" s="349">
        <v>0.64</v>
      </c>
      <c r="D102" s="349">
        <v>0.73</v>
      </c>
      <c r="E102" s="349">
        <v>0.83</v>
      </c>
      <c r="F102" s="349">
        <v>0.93</v>
      </c>
      <c r="G102" s="349">
        <v>1.04</v>
      </c>
      <c r="H102" s="349">
        <v>1.1499999999999999</v>
      </c>
      <c r="I102" s="349">
        <v>1.26</v>
      </c>
      <c r="J102" s="349">
        <v>1.36</v>
      </c>
      <c r="K102" s="349">
        <v>1.45</v>
      </c>
      <c r="L102" s="349">
        <v>1.54</v>
      </c>
      <c r="M102" s="349">
        <v>1.61</v>
      </c>
      <c r="N102" s="349">
        <v>1.68</v>
      </c>
      <c r="O102" s="349">
        <v>1.73</v>
      </c>
      <c r="P102" s="2226">
        <v>1.78</v>
      </c>
      <c r="Q102" s="349">
        <v>1.81</v>
      </c>
      <c r="R102" s="349">
        <v>1.84</v>
      </c>
      <c r="S102" s="349">
        <v>1.86</v>
      </c>
      <c r="T102" s="349">
        <v>1.88</v>
      </c>
      <c r="U102" s="349">
        <v>1.9</v>
      </c>
      <c r="V102" s="349">
        <v>1.91</v>
      </c>
      <c r="W102" s="349">
        <v>1.91</v>
      </c>
      <c r="X102" s="349">
        <v>1.92</v>
      </c>
      <c r="Y102" s="349">
        <v>1.92</v>
      </c>
      <c r="Z102" s="349">
        <v>1.92</v>
      </c>
      <c r="AA102" s="349">
        <v>1.92</v>
      </c>
      <c r="AB102" s="349">
        <v>1.92</v>
      </c>
      <c r="AC102" s="349">
        <v>1.91</v>
      </c>
      <c r="AD102" s="349">
        <v>1.91</v>
      </c>
      <c r="AE102" s="349">
        <v>1.91</v>
      </c>
      <c r="AF102" s="349">
        <v>1.91</v>
      </c>
      <c r="AG102" s="349">
        <v>1.9</v>
      </c>
      <c r="AH102" s="349">
        <v>1.9</v>
      </c>
      <c r="AI102" s="349">
        <v>1.89</v>
      </c>
      <c r="AJ102" s="349">
        <v>1.89</v>
      </c>
      <c r="AK102" s="349">
        <v>1.89</v>
      </c>
      <c r="AL102" s="349">
        <v>1.88</v>
      </c>
      <c r="AM102" s="349">
        <v>1.88</v>
      </c>
      <c r="AN102" s="349">
        <v>1.88</v>
      </c>
      <c r="AO102" s="349">
        <v>1.88</v>
      </c>
      <c r="AP102" s="349">
        <v>1.87</v>
      </c>
      <c r="AQ102" s="349">
        <v>1.87</v>
      </c>
      <c r="AR102" s="349">
        <v>1.86</v>
      </c>
      <c r="AS102" s="349">
        <v>1.86</v>
      </c>
      <c r="AT102" s="349">
        <v>1.85</v>
      </c>
      <c r="AU102" s="349">
        <v>1.85</v>
      </c>
      <c r="AV102" s="349">
        <v>1.84</v>
      </c>
      <c r="AW102" s="349">
        <v>1.84</v>
      </c>
      <c r="AX102" s="349">
        <v>1.84</v>
      </c>
      <c r="AY102" s="349">
        <v>1.83</v>
      </c>
    </row>
    <row r="103" spans="1:54">
      <c r="A103" s="761">
        <v>44895</v>
      </c>
      <c r="B103" s="349">
        <v>0.56999999999999995</v>
      </c>
      <c r="C103" s="349">
        <v>0.66</v>
      </c>
      <c r="D103" s="349">
        <v>0.74</v>
      </c>
      <c r="E103" s="349">
        <v>0.84</v>
      </c>
      <c r="F103" s="349">
        <v>0.94</v>
      </c>
      <c r="G103" s="349">
        <v>1.05</v>
      </c>
      <c r="H103" s="349">
        <v>1.1599999999999999</v>
      </c>
      <c r="I103" s="349">
        <v>1.26</v>
      </c>
      <c r="J103" s="349">
        <v>1.36</v>
      </c>
      <c r="K103" s="349">
        <v>1.46</v>
      </c>
      <c r="L103" s="349">
        <v>1.54</v>
      </c>
      <c r="M103" s="349">
        <v>1.61</v>
      </c>
      <c r="N103" s="349">
        <v>1.68</v>
      </c>
      <c r="O103" s="349">
        <v>1.73</v>
      </c>
      <c r="P103" s="2226">
        <v>1.78</v>
      </c>
      <c r="Q103" s="349">
        <v>1.81</v>
      </c>
      <c r="R103" s="349">
        <v>1.84</v>
      </c>
      <c r="S103" s="349">
        <v>1.86</v>
      </c>
      <c r="T103" s="349">
        <v>1.88</v>
      </c>
      <c r="U103" s="349">
        <v>1.9</v>
      </c>
      <c r="V103" s="349">
        <v>1.91</v>
      </c>
      <c r="W103" s="349">
        <v>1.91</v>
      </c>
      <c r="X103" s="349">
        <v>1.91</v>
      </c>
      <c r="Y103" s="349">
        <v>1.92</v>
      </c>
      <c r="Z103" s="349">
        <v>1.92</v>
      </c>
      <c r="AA103" s="349">
        <v>1.91</v>
      </c>
      <c r="AB103" s="349">
        <v>1.91</v>
      </c>
      <c r="AC103" s="349">
        <v>1.91</v>
      </c>
      <c r="AD103" s="349">
        <v>1.9</v>
      </c>
      <c r="AE103" s="349">
        <v>1.9</v>
      </c>
      <c r="AF103" s="349">
        <v>1.9</v>
      </c>
      <c r="AG103" s="349">
        <v>1.89</v>
      </c>
      <c r="AH103" s="349">
        <v>1.89</v>
      </c>
      <c r="AI103" s="349">
        <v>1.88</v>
      </c>
      <c r="AJ103" s="349">
        <v>1.88</v>
      </c>
      <c r="AK103" s="349">
        <v>1.88</v>
      </c>
      <c r="AL103" s="349">
        <v>1.87</v>
      </c>
      <c r="AM103" s="349">
        <v>1.87</v>
      </c>
      <c r="AN103" s="349">
        <v>1.87</v>
      </c>
      <c r="AO103" s="349">
        <v>1.87</v>
      </c>
      <c r="AP103" s="349">
        <v>1.86</v>
      </c>
      <c r="AQ103" s="349">
        <v>1.85</v>
      </c>
      <c r="AR103" s="349">
        <v>1.85</v>
      </c>
      <c r="AS103" s="349">
        <v>1.84</v>
      </c>
      <c r="AT103" s="349">
        <v>1.84</v>
      </c>
      <c r="AU103" s="349">
        <v>1.84</v>
      </c>
      <c r="AV103" s="349">
        <v>1.83</v>
      </c>
      <c r="AW103" s="349">
        <v>1.83</v>
      </c>
      <c r="AX103" s="349">
        <v>1.82</v>
      </c>
      <c r="AY103" s="349">
        <v>1.82</v>
      </c>
    </row>
    <row r="104" spans="1:54">
      <c r="A104" s="761">
        <v>44926</v>
      </c>
      <c r="B104" s="349">
        <v>0.59</v>
      </c>
      <c r="C104" s="349">
        <v>0.68</v>
      </c>
      <c r="D104" s="349">
        <v>0.76</v>
      </c>
      <c r="E104" s="349">
        <v>0.86</v>
      </c>
      <c r="F104" s="349">
        <v>0.96</v>
      </c>
      <c r="G104" s="349">
        <v>1.07</v>
      </c>
      <c r="H104" s="349">
        <v>1.17</v>
      </c>
      <c r="I104" s="349">
        <v>1.27</v>
      </c>
      <c r="J104" s="349">
        <v>1.37</v>
      </c>
      <c r="K104" s="349">
        <v>1.47</v>
      </c>
      <c r="L104" s="349">
        <v>1.55</v>
      </c>
      <c r="M104" s="349">
        <v>1.62</v>
      </c>
      <c r="N104" s="349">
        <v>1.68</v>
      </c>
      <c r="O104" s="349">
        <v>1.74</v>
      </c>
      <c r="P104" s="2226">
        <v>1.78</v>
      </c>
      <c r="Q104" s="349">
        <v>1.81</v>
      </c>
      <c r="R104" s="349">
        <v>1.84</v>
      </c>
      <c r="S104" s="349">
        <v>1.86</v>
      </c>
      <c r="T104" s="349">
        <v>1.88</v>
      </c>
      <c r="U104" s="349">
        <v>1.9</v>
      </c>
      <c r="V104" s="349">
        <v>1.91</v>
      </c>
      <c r="W104" s="349">
        <v>1.91</v>
      </c>
      <c r="X104" s="349">
        <v>1.91</v>
      </c>
      <c r="Y104" s="349">
        <v>1.91</v>
      </c>
      <c r="Z104" s="349">
        <v>1.92</v>
      </c>
      <c r="AA104" s="349">
        <v>1.91</v>
      </c>
      <c r="AB104" s="349">
        <v>1.91</v>
      </c>
      <c r="AC104" s="349">
        <v>1.9</v>
      </c>
      <c r="AD104" s="349">
        <v>1.9</v>
      </c>
      <c r="AE104" s="349">
        <v>1.9</v>
      </c>
      <c r="AF104" s="349">
        <v>1.89</v>
      </c>
      <c r="AG104" s="349">
        <v>1.89</v>
      </c>
      <c r="AH104" s="349">
        <v>1.88</v>
      </c>
      <c r="AI104" s="349">
        <v>1.88</v>
      </c>
      <c r="AJ104" s="349">
        <v>1.87</v>
      </c>
      <c r="AK104" s="349">
        <v>1.87</v>
      </c>
      <c r="AL104" s="349">
        <v>1.87</v>
      </c>
      <c r="AM104" s="349">
        <v>1.86</v>
      </c>
      <c r="AN104" s="349">
        <v>1.86</v>
      </c>
      <c r="AO104" s="349">
        <v>1.86</v>
      </c>
      <c r="AP104" s="349">
        <v>1.85</v>
      </c>
      <c r="AQ104" s="349">
        <v>1.85</v>
      </c>
      <c r="AR104" s="349">
        <v>1.84</v>
      </c>
      <c r="AS104" s="349">
        <v>1.84</v>
      </c>
      <c r="AT104" s="349">
        <v>1.83</v>
      </c>
      <c r="AU104" s="349">
        <v>1.83</v>
      </c>
      <c r="AV104" s="349">
        <v>1.82</v>
      </c>
      <c r="AW104" s="349">
        <v>1.82</v>
      </c>
      <c r="AX104" s="349">
        <v>1.81</v>
      </c>
      <c r="AY104" s="349">
        <v>1.81</v>
      </c>
      <c r="AZ104" s="495"/>
    </row>
    <row r="105" spans="1:54">
      <c r="A105" s="761">
        <v>44957</v>
      </c>
      <c r="B105" s="349">
        <v>0.62</v>
      </c>
      <c r="C105" s="349">
        <v>0.7</v>
      </c>
      <c r="D105" s="349">
        <v>0.77</v>
      </c>
      <c r="E105" s="349">
        <v>0.87</v>
      </c>
      <c r="F105" s="349">
        <v>0.97</v>
      </c>
      <c r="G105" s="349">
        <v>1.08</v>
      </c>
      <c r="H105" s="349">
        <v>1.18</v>
      </c>
      <c r="I105" s="349">
        <v>1.28</v>
      </c>
      <c r="J105" s="349">
        <v>1.38</v>
      </c>
      <c r="K105" s="349">
        <v>1.47</v>
      </c>
      <c r="L105" s="349">
        <v>1.55</v>
      </c>
      <c r="M105" s="349">
        <v>1.62</v>
      </c>
      <c r="N105" s="349">
        <v>1.69</v>
      </c>
      <c r="O105" s="349">
        <v>1.74</v>
      </c>
      <c r="P105" s="2226">
        <v>1.78</v>
      </c>
      <c r="Q105" s="349">
        <v>1.81</v>
      </c>
      <c r="R105" s="349">
        <v>1.84</v>
      </c>
      <c r="S105" s="349">
        <v>1.86</v>
      </c>
      <c r="T105" s="349">
        <v>1.88</v>
      </c>
      <c r="U105" s="349">
        <v>1.9</v>
      </c>
      <c r="V105" s="349">
        <v>1.9</v>
      </c>
      <c r="W105" s="349">
        <v>1.91</v>
      </c>
      <c r="X105" s="349">
        <v>1.91</v>
      </c>
      <c r="Y105" s="349">
        <v>1.91</v>
      </c>
      <c r="Z105" s="349">
        <v>1.91</v>
      </c>
      <c r="AA105" s="349">
        <v>1.91</v>
      </c>
      <c r="AB105" s="349">
        <v>1.9</v>
      </c>
      <c r="AC105" s="349">
        <v>1.9</v>
      </c>
      <c r="AD105" s="349">
        <v>1.9</v>
      </c>
      <c r="AE105" s="349">
        <v>1.89</v>
      </c>
      <c r="AF105" s="349">
        <v>1.89</v>
      </c>
      <c r="AG105" s="349">
        <v>1.88</v>
      </c>
      <c r="AH105" s="349">
        <v>1.88</v>
      </c>
      <c r="AI105" s="349">
        <v>1.87</v>
      </c>
      <c r="AJ105" s="349">
        <v>1.87</v>
      </c>
      <c r="AK105" s="349">
        <v>1.86</v>
      </c>
      <c r="AL105" s="349">
        <v>1.86</v>
      </c>
      <c r="AM105" s="349">
        <v>1.86</v>
      </c>
      <c r="AN105" s="349">
        <v>1.85</v>
      </c>
      <c r="AO105" s="349">
        <v>1.85</v>
      </c>
      <c r="AP105" s="349">
        <v>1.84</v>
      </c>
      <c r="AQ105" s="349">
        <v>1.84</v>
      </c>
      <c r="AR105" s="349">
        <v>1.83</v>
      </c>
      <c r="AS105" s="349">
        <v>1.83</v>
      </c>
      <c r="AT105" s="349">
        <v>1.82</v>
      </c>
      <c r="AU105" s="349">
        <v>1.82</v>
      </c>
      <c r="AV105" s="349">
        <v>1.81</v>
      </c>
      <c r="AW105" s="349">
        <v>1.81</v>
      </c>
      <c r="AX105" s="349">
        <v>1.8</v>
      </c>
      <c r="AY105" s="349">
        <v>1.8</v>
      </c>
      <c r="AZ105" s="495"/>
    </row>
    <row r="106" spans="1:54">
      <c r="A106" s="761">
        <v>44985</v>
      </c>
      <c r="B106" s="349">
        <v>0.64</v>
      </c>
      <c r="C106" s="349">
        <v>0.72</v>
      </c>
      <c r="D106" s="349">
        <v>0.8</v>
      </c>
      <c r="E106" s="349">
        <v>0.89</v>
      </c>
      <c r="F106" s="349">
        <v>0.99</v>
      </c>
      <c r="G106" s="349">
        <v>1.0900000000000001</v>
      </c>
      <c r="H106" s="349">
        <v>1.19</v>
      </c>
      <c r="I106" s="349">
        <v>1.29</v>
      </c>
      <c r="J106" s="349">
        <v>1.39</v>
      </c>
      <c r="K106" s="349">
        <v>1.48</v>
      </c>
      <c r="L106" s="349">
        <v>1.56</v>
      </c>
      <c r="M106" s="349">
        <v>1.63</v>
      </c>
      <c r="N106" s="349">
        <v>1.69</v>
      </c>
      <c r="O106" s="349">
        <v>1.74</v>
      </c>
      <c r="P106" s="2226">
        <v>1.79</v>
      </c>
      <c r="Q106" s="349">
        <v>1.82</v>
      </c>
      <c r="R106" s="349">
        <v>1.84</v>
      </c>
      <c r="S106" s="349">
        <v>1.86</v>
      </c>
      <c r="T106" s="349">
        <v>1.88</v>
      </c>
      <c r="U106" s="349">
        <v>1.9</v>
      </c>
      <c r="V106" s="349">
        <v>1.9</v>
      </c>
      <c r="W106" s="349">
        <v>1.91</v>
      </c>
      <c r="X106" s="349">
        <v>1.91</v>
      </c>
      <c r="Y106" s="349">
        <v>1.91</v>
      </c>
      <c r="Z106" s="349">
        <v>1.91</v>
      </c>
      <c r="AA106" s="349">
        <v>1.91</v>
      </c>
      <c r="AB106" s="349">
        <v>1.9</v>
      </c>
      <c r="AC106" s="349">
        <v>1.9</v>
      </c>
      <c r="AD106" s="349">
        <v>1.89</v>
      </c>
      <c r="AE106" s="349">
        <v>1.89</v>
      </c>
      <c r="AF106" s="349">
        <v>1.88</v>
      </c>
      <c r="AG106" s="349">
        <v>1.88</v>
      </c>
      <c r="AH106" s="349">
        <v>1.87</v>
      </c>
      <c r="AI106" s="349">
        <v>1.87</v>
      </c>
      <c r="AJ106" s="349">
        <v>1.86</v>
      </c>
      <c r="AK106" s="349">
        <v>1.86</v>
      </c>
      <c r="AL106" s="349">
        <v>1.85</v>
      </c>
      <c r="AM106" s="349">
        <v>1.85</v>
      </c>
      <c r="AN106" s="349">
        <v>1.85</v>
      </c>
      <c r="AO106" s="349">
        <v>1.84</v>
      </c>
      <c r="AP106" s="349">
        <v>1.84</v>
      </c>
      <c r="AQ106" s="349">
        <v>1.83</v>
      </c>
      <c r="AR106" s="349">
        <v>1.82</v>
      </c>
      <c r="AS106" s="349">
        <v>1.82</v>
      </c>
      <c r="AT106" s="349">
        <v>1.81</v>
      </c>
      <c r="AU106" s="349">
        <v>1.81</v>
      </c>
      <c r="AV106" s="349">
        <v>1.8</v>
      </c>
      <c r="AW106" s="349">
        <v>1.8</v>
      </c>
      <c r="AX106" s="349">
        <v>1.79</v>
      </c>
      <c r="AY106" s="349">
        <v>1.79</v>
      </c>
      <c r="AZ106" s="495"/>
    </row>
    <row r="107" spans="1:54">
      <c r="A107" s="761">
        <v>45016</v>
      </c>
      <c r="B107" s="349">
        <v>0.66</v>
      </c>
      <c r="C107" s="349">
        <v>0.74</v>
      </c>
      <c r="D107" s="349">
        <v>0.82</v>
      </c>
      <c r="E107" s="349">
        <v>0.91</v>
      </c>
      <c r="F107" s="349">
        <v>1</v>
      </c>
      <c r="G107" s="349">
        <v>1.1100000000000001</v>
      </c>
      <c r="H107" s="349">
        <v>1.2</v>
      </c>
      <c r="I107" s="349">
        <v>1.3</v>
      </c>
      <c r="J107" s="349">
        <v>1.4</v>
      </c>
      <c r="K107" s="349">
        <v>1.49</v>
      </c>
      <c r="L107" s="349">
        <v>1.57</v>
      </c>
      <c r="M107" s="349">
        <v>1.64</v>
      </c>
      <c r="N107" s="349">
        <v>1.7</v>
      </c>
      <c r="O107" s="349">
        <v>1.75</v>
      </c>
      <c r="P107" s="2226">
        <v>1.79</v>
      </c>
      <c r="Q107" s="349">
        <v>1.82</v>
      </c>
      <c r="R107" s="349">
        <v>1.84</v>
      </c>
      <c r="S107" s="349">
        <v>1.86</v>
      </c>
      <c r="T107" s="349">
        <v>1.88</v>
      </c>
      <c r="U107" s="349">
        <v>1.9</v>
      </c>
      <c r="V107" s="349">
        <v>1.9</v>
      </c>
      <c r="W107" s="349">
        <v>1.91</v>
      </c>
      <c r="X107" s="349">
        <v>1.91</v>
      </c>
      <c r="Y107" s="349">
        <v>1.91</v>
      </c>
      <c r="Z107" s="349">
        <v>1.91</v>
      </c>
      <c r="AA107" s="349">
        <v>1.9</v>
      </c>
      <c r="AB107" s="349">
        <v>1.9</v>
      </c>
      <c r="AC107" s="349">
        <v>1.89</v>
      </c>
      <c r="AD107" s="349">
        <v>1.89</v>
      </c>
      <c r="AE107" s="349">
        <v>1.89</v>
      </c>
      <c r="AF107" s="349">
        <v>1.88</v>
      </c>
      <c r="AG107" s="349">
        <v>1.87</v>
      </c>
      <c r="AH107" s="349">
        <v>1.87</v>
      </c>
      <c r="AI107" s="349">
        <v>1.86</v>
      </c>
      <c r="AJ107" s="349">
        <v>1.86</v>
      </c>
      <c r="AK107" s="349">
        <v>1.85</v>
      </c>
      <c r="AL107" s="349">
        <v>1.85</v>
      </c>
      <c r="AM107" s="349">
        <v>1.85</v>
      </c>
      <c r="AN107" s="349">
        <v>1.84</v>
      </c>
      <c r="AO107" s="349">
        <v>1.84</v>
      </c>
      <c r="AP107" s="349">
        <v>1.83</v>
      </c>
      <c r="AQ107" s="349">
        <v>1.82</v>
      </c>
      <c r="AR107" s="349">
        <v>1.82</v>
      </c>
      <c r="AS107" s="349">
        <v>1.81</v>
      </c>
      <c r="AT107" s="349">
        <v>1.81</v>
      </c>
      <c r="AU107" s="349">
        <v>1.8</v>
      </c>
      <c r="AV107" s="349">
        <v>1.8</v>
      </c>
      <c r="AW107" s="349">
        <v>1.79</v>
      </c>
      <c r="AX107" s="349">
        <v>1.79</v>
      </c>
      <c r="AY107" s="349">
        <v>1.78</v>
      </c>
      <c r="AZ107" s="495"/>
    </row>
    <row r="108" spans="1:54">
      <c r="A108" s="761">
        <v>45046</v>
      </c>
      <c r="B108" s="349">
        <v>0.69</v>
      </c>
      <c r="C108" s="349">
        <v>0.76</v>
      </c>
      <c r="D108" s="349">
        <v>0.84</v>
      </c>
      <c r="E108" s="349">
        <v>0.92</v>
      </c>
      <c r="F108" s="349">
        <v>1.02</v>
      </c>
      <c r="G108" s="349">
        <v>1.1200000000000001</v>
      </c>
      <c r="H108" s="349">
        <v>1.22</v>
      </c>
      <c r="I108" s="349">
        <v>1.31</v>
      </c>
      <c r="J108" s="349">
        <v>1.41</v>
      </c>
      <c r="K108" s="349">
        <v>1.5</v>
      </c>
      <c r="L108" s="349">
        <v>1.58</v>
      </c>
      <c r="M108" s="349">
        <v>1.64</v>
      </c>
      <c r="N108" s="349">
        <v>1.7</v>
      </c>
      <c r="O108" s="349">
        <v>1.75</v>
      </c>
      <c r="P108" s="2226">
        <v>1.8</v>
      </c>
      <c r="Q108" s="349">
        <v>1.82</v>
      </c>
      <c r="R108" s="349">
        <v>1.85</v>
      </c>
      <c r="S108" s="349">
        <v>1.87</v>
      </c>
      <c r="T108" s="349">
        <v>1.89</v>
      </c>
      <c r="U108" s="349">
        <v>1.9</v>
      </c>
      <c r="V108" s="349">
        <v>1.91</v>
      </c>
      <c r="W108" s="349">
        <v>1.91</v>
      </c>
      <c r="X108" s="349">
        <v>1.91</v>
      </c>
      <c r="Y108" s="349">
        <v>1.91</v>
      </c>
      <c r="Z108" s="349">
        <v>1.91</v>
      </c>
      <c r="AA108" s="349">
        <v>1.9</v>
      </c>
      <c r="AB108" s="349">
        <v>1.9</v>
      </c>
      <c r="AC108" s="349">
        <v>1.89</v>
      </c>
      <c r="AD108" s="349">
        <v>1.89</v>
      </c>
      <c r="AE108" s="349">
        <v>1.89</v>
      </c>
      <c r="AF108" s="349">
        <v>1.88</v>
      </c>
      <c r="AG108" s="349">
        <v>1.87</v>
      </c>
      <c r="AH108" s="349">
        <v>1.87</v>
      </c>
      <c r="AI108" s="349">
        <v>1.86</v>
      </c>
      <c r="AJ108" s="349">
        <v>1.86</v>
      </c>
      <c r="AK108" s="349">
        <v>1.85</v>
      </c>
      <c r="AL108" s="349">
        <v>1.85</v>
      </c>
      <c r="AM108" s="349">
        <v>1.84</v>
      </c>
      <c r="AN108" s="349">
        <v>1.84</v>
      </c>
      <c r="AO108" s="349">
        <v>1.83</v>
      </c>
      <c r="AP108" s="349">
        <v>1.83</v>
      </c>
      <c r="AQ108" s="349">
        <v>1.82</v>
      </c>
      <c r="AR108" s="349">
        <v>1.81</v>
      </c>
      <c r="AS108" s="349">
        <v>1.81</v>
      </c>
      <c r="AT108" s="349">
        <v>1.8</v>
      </c>
      <c r="AU108" s="349">
        <v>1.8</v>
      </c>
      <c r="AV108" s="349">
        <v>1.79</v>
      </c>
      <c r="AW108" s="349">
        <v>1.79</v>
      </c>
      <c r="AX108" s="349">
        <v>1.78</v>
      </c>
      <c r="AY108" s="349">
        <v>1.78</v>
      </c>
      <c r="AZ108" s="495"/>
    </row>
    <row r="109" spans="1:54">
      <c r="A109" s="761">
        <v>45077</v>
      </c>
      <c r="B109" s="349">
        <v>0.72</v>
      </c>
      <c r="C109" s="349">
        <v>0.79</v>
      </c>
      <c r="D109" s="349">
        <v>0.86</v>
      </c>
      <c r="E109" s="349">
        <v>0.94</v>
      </c>
      <c r="F109" s="349">
        <v>1.03</v>
      </c>
      <c r="G109" s="349">
        <v>1.1299999999999999</v>
      </c>
      <c r="H109" s="349">
        <v>1.23</v>
      </c>
      <c r="I109" s="349">
        <v>1.32</v>
      </c>
      <c r="J109" s="349">
        <v>1.41</v>
      </c>
      <c r="K109" s="349">
        <v>1.5</v>
      </c>
      <c r="L109" s="349">
        <v>1.58</v>
      </c>
      <c r="M109" s="349">
        <v>1.65</v>
      </c>
      <c r="N109" s="349">
        <v>1.71</v>
      </c>
      <c r="O109" s="349">
        <v>1.76</v>
      </c>
      <c r="P109" s="2226">
        <v>1.8</v>
      </c>
      <c r="Q109" s="349">
        <v>1.83</v>
      </c>
      <c r="R109" s="349">
        <v>1.85</v>
      </c>
      <c r="S109" s="349">
        <v>1.87</v>
      </c>
      <c r="T109" s="349">
        <v>1.89</v>
      </c>
      <c r="U109" s="349">
        <v>1.9</v>
      </c>
      <c r="V109" s="349">
        <v>1.91</v>
      </c>
      <c r="W109" s="349">
        <v>1.91</v>
      </c>
      <c r="X109" s="349">
        <v>1.91</v>
      </c>
      <c r="Y109" s="349">
        <v>1.91</v>
      </c>
      <c r="Z109" s="349">
        <v>1.91</v>
      </c>
      <c r="AA109" s="349">
        <v>1.9</v>
      </c>
      <c r="AB109" s="349">
        <v>1.9</v>
      </c>
      <c r="AC109" s="349">
        <v>1.89</v>
      </c>
      <c r="AD109" s="349">
        <v>1.89</v>
      </c>
      <c r="AE109" s="349">
        <v>1.88</v>
      </c>
      <c r="AF109" s="349">
        <v>1.88</v>
      </c>
      <c r="AG109" s="349">
        <v>1.87</v>
      </c>
      <c r="AH109" s="349">
        <v>1.86</v>
      </c>
      <c r="AI109" s="349">
        <v>1.86</v>
      </c>
      <c r="AJ109" s="349">
        <v>1.85</v>
      </c>
      <c r="AK109" s="349">
        <v>1.85</v>
      </c>
      <c r="AL109" s="349">
        <v>1.84</v>
      </c>
      <c r="AM109" s="349">
        <v>1.84</v>
      </c>
      <c r="AN109" s="349">
        <v>1.83</v>
      </c>
      <c r="AO109" s="349">
        <v>1.83</v>
      </c>
      <c r="AP109" s="349">
        <v>1.82</v>
      </c>
      <c r="AQ109" s="349">
        <v>1.81</v>
      </c>
      <c r="AR109" s="349">
        <v>1.81</v>
      </c>
      <c r="AS109" s="349">
        <v>1.8</v>
      </c>
      <c r="AT109" s="349">
        <v>1.8</v>
      </c>
      <c r="AU109" s="349">
        <v>1.79</v>
      </c>
      <c r="AV109" s="349">
        <v>1.78</v>
      </c>
      <c r="AW109" s="349">
        <v>1.78</v>
      </c>
      <c r="AX109" s="349">
        <v>1.77</v>
      </c>
      <c r="AY109" s="349">
        <v>1.77</v>
      </c>
      <c r="AZ109" s="495"/>
    </row>
    <row r="110" spans="1:54">
      <c r="A110" s="761">
        <v>45107</v>
      </c>
      <c r="B110" s="349">
        <v>0.74</v>
      </c>
      <c r="C110" s="349">
        <v>0.81</v>
      </c>
      <c r="D110" s="349">
        <v>0.88</v>
      </c>
      <c r="E110" s="349">
        <v>0.96</v>
      </c>
      <c r="F110" s="349">
        <v>1.05</v>
      </c>
      <c r="G110" s="349">
        <v>1.1399999999999999</v>
      </c>
      <c r="H110" s="349">
        <v>1.24</v>
      </c>
      <c r="I110" s="349">
        <v>1.33</v>
      </c>
      <c r="J110" s="349">
        <v>1.42</v>
      </c>
      <c r="K110" s="349">
        <v>1.51</v>
      </c>
      <c r="L110" s="349">
        <v>1.59</v>
      </c>
      <c r="M110" s="349">
        <v>1.65</v>
      </c>
      <c r="N110" s="349">
        <v>1.71</v>
      </c>
      <c r="O110" s="349">
        <v>1.76</v>
      </c>
      <c r="P110" s="2226">
        <v>1.8</v>
      </c>
      <c r="Q110" s="349">
        <v>1.83</v>
      </c>
      <c r="R110" s="349">
        <v>1.85</v>
      </c>
      <c r="S110" s="349">
        <v>1.87</v>
      </c>
      <c r="T110" s="349">
        <v>1.89</v>
      </c>
      <c r="U110" s="349">
        <v>1.9</v>
      </c>
      <c r="V110" s="349">
        <v>1.9</v>
      </c>
      <c r="W110" s="349">
        <v>1.91</v>
      </c>
      <c r="X110" s="349">
        <v>1.91</v>
      </c>
      <c r="Y110" s="349">
        <v>1.91</v>
      </c>
      <c r="Z110" s="349">
        <v>1.91</v>
      </c>
      <c r="AA110" s="349">
        <v>1.9</v>
      </c>
      <c r="AB110" s="349">
        <v>1.9</v>
      </c>
      <c r="AC110" s="349">
        <v>1.89</v>
      </c>
      <c r="AD110" s="349">
        <v>1.88</v>
      </c>
      <c r="AE110" s="349">
        <v>1.88</v>
      </c>
      <c r="AF110" s="349">
        <v>1.87</v>
      </c>
      <c r="AG110" s="349">
        <v>1.87</v>
      </c>
      <c r="AH110" s="349">
        <v>1.86</v>
      </c>
      <c r="AI110" s="349">
        <v>1.85</v>
      </c>
      <c r="AJ110" s="349">
        <v>1.85</v>
      </c>
      <c r="AK110" s="349">
        <v>1.84</v>
      </c>
      <c r="AL110" s="349">
        <v>1.84</v>
      </c>
      <c r="AM110" s="349">
        <v>1.83</v>
      </c>
      <c r="AN110" s="349">
        <v>1.83</v>
      </c>
      <c r="AO110" s="349">
        <v>1.82</v>
      </c>
      <c r="AP110" s="349">
        <v>1.82</v>
      </c>
      <c r="AQ110" s="349">
        <v>1.81</v>
      </c>
      <c r="AR110" s="349">
        <v>1.8</v>
      </c>
      <c r="AS110" s="349">
        <v>1.79</v>
      </c>
      <c r="AT110" s="349">
        <v>1.79</v>
      </c>
      <c r="AU110" s="349">
        <v>1.78</v>
      </c>
      <c r="AV110" s="349">
        <v>1.78</v>
      </c>
      <c r="AW110" s="349">
        <v>1.77</v>
      </c>
      <c r="AX110" s="349">
        <v>1.77</v>
      </c>
      <c r="AY110" s="349">
        <v>1.76</v>
      </c>
      <c r="AZ110" s="495"/>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36">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1">
        <v>45169</v>
      </c>
      <c r="B112" s="349">
        <v>0.8</v>
      </c>
      <c r="C112" s="349">
        <v>0.86</v>
      </c>
      <c r="D112" s="349">
        <v>0.92</v>
      </c>
      <c r="E112" s="349">
        <v>0.99</v>
      </c>
      <c r="F112" s="349">
        <v>1.08</v>
      </c>
      <c r="G112" s="349">
        <v>1.17</v>
      </c>
      <c r="H112" s="349">
        <v>1.26</v>
      </c>
      <c r="I112" s="349">
        <v>1.35</v>
      </c>
      <c r="J112" s="349">
        <v>1.44</v>
      </c>
      <c r="K112" s="349">
        <v>1.52</v>
      </c>
      <c r="L112" s="349">
        <v>1.6</v>
      </c>
      <c r="M112" s="349">
        <v>1.66</v>
      </c>
      <c r="N112" s="349">
        <v>1.72</v>
      </c>
      <c r="O112" s="349">
        <v>1.77</v>
      </c>
      <c r="P112" s="2226">
        <v>1.81</v>
      </c>
      <c r="Q112" s="349">
        <v>1.83</v>
      </c>
      <c r="R112" s="349">
        <v>1.85</v>
      </c>
      <c r="S112" s="349">
        <v>1.87</v>
      </c>
      <c r="T112" s="349">
        <v>1.89</v>
      </c>
      <c r="U112" s="349">
        <v>1.9</v>
      </c>
      <c r="V112" s="349">
        <v>1.9</v>
      </c>
      <c r="W112" s="349">
        <v>1.9</v>
      </c>
      <c r="X112" s="349">
        <v>1.9</v>
      </c>
      <c r="Y112" s="349">
        <v>1.9</v>
      </c>
      <c r="Z112" s="349">
        <v>1.9</v>
      </c>
      <c r="AA112" s="349">
        <v>1.9</v>
      </c>
      <c r="AB112" s="349">
        <v>1.89</v>
      </c>
      <c r="AC112" s="349">
        <v>1.89</v>
      </c>
      <c r="AD112" s="349">
        <v>1.88</v>
      </c>
      <c r="AE112" s="349">
        <v>1.87</v>
      </c>
      <c r="AF112" s="349">
        <v>1.87</v>
      </c>
      <c r="AG112" s="349">
        <v>1.86</v>
      </c>
      <c r="AH112" s="349">
        <v>1.85</v>
      </c>
      <c r="AI112" s="349">
        <v>1.85</v>
      </c>
      <c r="AJ112" s="349">
        <v>1.84</v>
      </c>
      <c r="AK112" s="349">
        <v>1.83</v>
      </c>
      <c r="AL112" s="349">
        <v>1.83</v>
      </c>
      <c r="AM112" s="349">
        <v>1.82</v>
      </c>
      <c r="AN112" s="349">
        <v>1.82</v>
      </c>
      <c r="AO112" s="349">
        <v>1.81</v>
      </c>
      <c r="AP112" s="349">
        <v>1.81</v>
      </c>
      <c r="AQ112" s="349">
        <v>1.8</v>
      </c>
      <c r="AR112" s="349">
        <v>1.79</v>
      </c>
      <c r="AS112" s="349">
        <v>1.78</v>
      </c>
      <c r="AT112" s="349">
        <v>1.78</v>
      </c>
      <c r="AU112" s="349">
        <v>1.77</v>
      </c>
      <c r="AV112" s="349">
        <v>1.76</v>
      </c>
      <c r="AW112" s="349">
        <v>1.76</v>
      </c>
      <c r="AX112" s="349">
        <v>1.75</v>
      </c>
      <c r="AY112" s="349">
        <v>1.75</v>
      </c>
      <c r="AZ112" s="495"/>
    </row>
    <row r="113" spans="1:52">
      <c r="A113" s="761">
        <v>45199</v>
      </c>
      <c r="B113" s="349">
        <v>0.83</v>
      </c>
      <c r="C113" s="349">
        <v>0.89</v>
      </c>
      <c r="D113" s="349">
        <v>0.94</v>
      </c>
      <c r="E113" s="349">
        <v>1.01</v>
      </c>
      <c r="F113" s="349">
        <v>1.0900000000000001</v>
      </c>
      <c r="G113" s="349">
        <v>1.18</v>
      </c>
      <c r="H113" s="349">
        <v>1.27</v>
      </c>
      <c r="I113" s="349">
        <v>1.36</v>
      </c>
      <c r="J113" s="349">
        <v>1.45</v>
      </c>
      <c r="K113" s="349">
        <v>1.53</v>
      </c>
      <c r="L113" s="349">
        <v>1.61</v>
      </c>
      <c r="M113" s="349">
        <v>1.67</v>
      </c>
      <c r="N113" s="349">
        <v>1.72</v>
      </c>
      <c r="O113" s="349">
        <v>1.77</v>
      </c>
      <c r="P113" s="2226">
        <v>1.81</v>
      </c>
      <c r="Q113" s="349">
        <v>1.84</v>
      </c>
      <c r="R113" s="349">
        <v>1.86</v>
      </c>
      <c r="S113" s="349">
        <v>1.88</v>
      </c>
      <c r="T113" s="349">
        <v>1.89</v>
      </c>
      <c r="U113" s="349">
        <v>1.91</v>
      </c>
      <c r="V113" s="349">
        <v>1.91</v>
      </c>
      <c r="W113" s="349">
        <v>1.91</v>
      </c>
      <c r="X113" s="349">
        <v>1.91</v>
      </c>
      <c r="Y113" s="349">
        <v>1.91</v>
      </c>
      <c r="Z113" s="349">
        <v>1.91</v>
      </c>
      <c r="AA113" s="349">
        <v>1.9</v>
      </c>
      <c r="AB113" s="349">
        <v>1.89</v>
      </c>
      <c r="AC113" s="349">
        <v>1.89</v>
      </c>
      <c r="AD113" s="349">
        <v>1.88</v>
      </c>
      <c r="AE113" s="349">
        <v>1.88</v>
      </c>
      <c r="AF113" s="349">
        <v>1.87</v>
      </c>
      <c r="AG113" s="349">
        <v>1.86</v>
      </c>
      <c r="AH113" s="349">
        <v>1.85</v>
      </c>
      <c r="AI113" s="349">
        <v>1.85</v>
      </c>
      <c r="AJ113" s="349">
        <v>1.84</v>
      </c>
      <c r="AK113" s="349">
        <v>1.83</v>
      </c>
      <c r="AL113" s="349">
        <v>1.83</v>
      </c>
      <c r="AM113" s="349">
        <v>1.82</v>
      </c>
      <c r="AN113" s="349">
        <v>1.82</v>
      </c>
      <c r="AO113" s="349">
        <v>1.81</v>
      </c>
      <c r="AP113" s="349">
        <v>1.8</v>
      </c>
      <c r="AQ113" s="349">
        <v>1.8</v>
      </c>
      <c r="AR113" s="349">
        <v>1.79</v>
      </c>
      <c r="AS113" s="349">
        <v>1.78</v>
      </c>
      <c r="AT113" s="349">
        <v>1.77</v>
      </c>
      <c r="AU113" s="349">
        <v>1.77</v>
      </c>
      <c r="AV113" s="349">
        <v>1.76</v>
      </c>
      <c r="AW113" s="349">
        <v>1.76</v>
      </c>
      <c r="AX113" s="349">
        <v>1.75</v>
      </c>
      <c r="AY113" s="349">
        <v>1.74</v>
      </c>
      <c r="AZ113" s="495"/>
    </row>
    <row r="114" spans="1:52">
      <c r="A114" s="761">
        <v>45230</v>
      </c>
      <c r="B114" s="349">
        <v>0.86</v>
      </c>
      <c r="C114" s="349">
        <v>0.91</v>
      </c>
      <c r="D114" s="349">
        <v>0.96</v>
      </c>
      <c r="E114" s="349">
        <v>1.03</v>
      </c>
      <c r="F114" s="349">
        <v>1.1100000000000001</v>
      </c>
      <c r="G114" s="349">
        <v>1.2</v>
      </c>
      <c r="H114" s="349">
        <v>1.28</v>
      </c>
      <c r="I114" s="349">
        <v>1.37</v>
      </c>
      <c r="J114" s="349">
        <v>1.46</v>
      </c>
      <c r="K114" s="349">
        <v>1.54</v>
      </c>
      <c r="L114" s="349">
        <v>1.62</v>
      </c>
      <c r="M114" s="349">
        <v>1.68</v>
      </c>
      <c r="N114" s="349">
        <v>1.73</v>
      </c>
      <c r="O114" s="349">
        <v>1.78</v>
      </c>
      <c r="P114" s="2226">
        <v>1.82</v>
      </c>
      <c r="Q114" s="349">
        <v>1.84</v>
      </c>
      <c r="R114" s="349">
        <v>1.86</v>
      </c>
      <c r="S114" s="349">
        <v>1.88</v>
      </c>
      <c r="T114" s="349">
        <v>1.9</v>
      </c>
      <c r="U114" s="349">
        <v>1.91</v>
      </c>
      <c r="V114" s="349">
        <v>1.91</v>
      </c>
      <c r="W114" s="349">
        <v>1.91</v>
      </c>
      <c r="X114" s="349">
        <v>1.91</v>
      </c>
      <c r="Y114" s="349">
        <v>1.91</v>
      </c>
      <c r="Z114" s="349">
        <v>1.91</v>
      </c>
      <c r="AA114" s="349">
        <v>1.9</v>
      </c>
      <c r="AB114" s="349">
        <v>1.9</v>
      </c>
      <c r="AC114" s="349">
        <v>1.89</v>
      </c>
      <c r="AD114" s="349">
        <v>1.88</v>
      </c>
      <c r="AE114" s="349">
        <v>1.88</v>
      </c>
      <c r="AF114" s="349">
        <v>1.87</v>
      </c>
      <c r="AG114" s="349">
        <v>1.86</v>
      </c>
      <c r="AH114" s="349">
        <v>1.85</v>
      </c>
      <c r="AI114" s="349">
        <v>1.85</v>
      </c>
      <c r="AJ114" s="349">
        <v>1.84</v>
      </c>
      <c r="AK114" s="349">
        <v>1.83</v>
      </c>
      <c r="AL114" s="349">
        <v>1.83</v>
      </c>
      <c r="AM114" s="349">
        <v>1.82</v>
      </c>
      <c r="AN114" s="349">
        <v>1.82</v>
      </c>
      <c r="AO114" s="349">
        <v>1.81</v>
      </c>
      <c r="AP114" s="349">
        <v>1.8</v>
      </c>
      <c r="AQ114" s="349">
        <v>1.8</v>
      </c>
      <c r="AR114" s="349">
        <v>1.79</v>
      </c>
      <c r="AS114" s="349">
        <v>1.78</v>
      </c>
      <c r="AT114" s="349">
        <v>1.77</v>
      </c>
      <c r="AU114" s="349">
        <v>1.77</v>
      </c>
      <c r="AV114" s="349">
        <v>1.76</v>
      </c>
      <c r="AW114" s="349">
        <v>1.75</v>
      </c>
      <c r="AX114" s="349">
        <v>1.75</v>
      </c>
      <c r="AY114" s="349">
        <v>1.74</v>
      </c>
      <c r="AZ114" s="495"/>
    </row>
    <row r="115" spans="1:52">
      <c r="A115" s="761">
        <v>45260</v>
      </c>
      <c r="B115" s="349">
        <v>0.89</v>
      </c>
      <c r="C115" s="349">
        <v>0.93</v>
      </c>
      <c r="D115" s="349">
        <v>0.98</v>
      </c>
      <c r="E115" s="349">
        <v>1.05</v>
      </c>
      <c r="F115" s="349">
        <v>1.1200000000000001</v>
      </c>
      <c r="G115" s="349">
        <v>1.21</v>
      </c>
      <c r="H115" s="349">
        <v>1.29</v>
      </c>
      <c r="I115" s="349">
        <v>1.38</v>
      </c>
      <c r="J115" s="349">
        <v>1.46</v>
      </c>
      <c r="K115" s="349">
        <v>1.55</v>
      </c>
      <c r="L115" s="349">
        <v>1.62</v>
      </c>
      <c r="M115" s="349">
        <v>1.68</v>
      </c>
      <c r="N115" s="349">
        <v>1.74</v>
      </c>
      <c r="O115" s="349">
        <v>1.78</v>
      </c>
      <c r="P115" s="2226">
        <v>1.82</v>
      </c>
      <c r="Q115" s="349">
        <v>1.85</v>
      </c>
      <c r="R115" s="349">
        <v>1.87</v>
      </c>
      <c r="S115" s="349">
        <v>1.88</v>
      </c>
      <c r="T115" s="349">
        <v>1.9</v>
      </c>
      <c r="U115" s="349">
        <v>1.91</v>
      </c>
      <c r="V115" s="349">
        <v>1.91</v>
      </c>
      <c r="W115" s="349">
        <v>1.91</v>
      </c>
      <c r="X115" s="349">
        <v>1.91</v>
      </c>
      <c r="Y115" s="349">
        <v>1.91</v>
      </c>
      <c r="Z115" s="349">
        <v>1.91</v>
      </c>
      <c r="AA115" s="349">
        <v>1.9</v>
      </c>
      <c r="AB115" s="349">
        <v>1.9</v>
      </c>
      <c r="AC115" s="349">
        <v>1.89</v>
      </c>
      <c r="AD115" s="349">
        <v>1.88</v>
      </c>
      <c r="AE115" s="349">
        <v>1.88</v>
      </c>
      <c r="AF115" s="349">
        <v>1.87</v>
      </c>
      <c r="AG115" s="349">
        <v>1.86</v>
      </c>
      <c r="AH115" s="349">
        <v>1.85</v>
      </c>
      <c r="AI115" s="349">
        <v>1.85</v>
      </c>
      <c r="AJ115" s="349">
        <v>1.84</v>
      </c>
      <c r="AK115" s="349">
        <v>1.83</v>
      </c>
      <c r="AL115" s="349">
        <v>1.83</v>
      </c>
      <c r="AM115" s="349">
        <v>1.82</v>
      </c>
      <c r="AN115" s="349">
        <v>1.82</v>
      </c>
      <c r="AO115" s="349">
        <v>1.81</v>
      </c>
      <c r="AP115" s="349">
        <v>1.8</v>
      </c>
      <c r="AQ115" s="349">
        <v>1.79</v>
      </c>
      <c r="AR115" s="349">
        <v>1.78</v>
      </c>
      <c r="AS115" s="349">
        <v>1.78</v>
      </c>
      <c r="AT115" s="349">
        <v>1.77</v>
      </c>
      <c r="AU115" s="349">
        <v>1.76</v>
      </c>
      <c r="AV115" s="349">
        <v>1.76</v>
      </c>
      <c r="AW115" s="349">
        <v>1.75</v>
      </c>
      <c r="AX115" s="349">
        <v>1.74</v>
      </c>
      <c r="AY115" s="349">
        <v>1.74</v>
      </c>
      <c r="AZ115" s="495"/>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36">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1">
        <v>45322</v>
      </c>
      <c r="B117" s="349">
        <v>0.94</v>
      </c>
      <c r="C117" s="349">
        <v>0.97</v>
      </c>
      <c r="D117" s="349">
        <v>1.01</v>
      </c>
      <c r="E117" s="349">
        <v>1.07</v>
      </c>
      <c r="F117" s="349">
        <v>1.1399999999999999</v>
      </c>
      <c r="G117" s="349">
        <v>1.23</v>
      </c>
      <c r="H117" s="349">
        <v>1.31</v>
      </c>
      <c r="I117" s="349">
        <v>1.39</v>
      </c>
      <c r="J117" s="349">
        <v>1.47</v>
      </c>
      <c r="K117" s="349">
        <v>1.55</v>
      </c>
      <c r="L117" s="349">
        <v>1.62</v>
      </c>
      <c r="M117" s="349">
        <v>1.68</v>
      </c>
      <c r="N117" s="349">
        <v>1.74</v>
      </c>
      <c r="O117" s="349">
        <v>1.78</v>
      </c>
      <c r="P117" s="2226">
        <v>1.82</v>
      </c>
      <c r="Q117" s="349">
        <v>1.84</v>
      </c>
      <c r="R117" s="349">
        <v>1.86</v>
      </c>
      <c r="S117" s="349">
        <v>1.88</v>
      </c>
      <c r="T117" s="349">
        <v>1.89</v>
      </c>
      <c r="U117" s="349">
        <v>1.91</v>
      </c>
      <c r="V117" s="349">
        <v>1.91</v>
      </c>
      <c r="W117" s="349">
        <v>1.91</v>
      </c>
      <c r="X117" s="349">
        <v>1.9</v>
      </c>
      <c r="Y117" s="349">
        <v>1.9</v>
      </c>
      <c r="Z117" s="349">
        <v>1.9</v>
      </c>
      <c r="AA117" s="349">
        <v>1.89</v>
      </c>
      <c r="AB117" s="349">
        <v>1.89</v>
      </c>
      <c r="AC117" s="349">
        <v>1.88</v>
      </c>
      <c r="AD117" s="349">
        <v>1.87</v>
      </c>
      <c r="AE117" s="349">
        <v>1.87</v>
      </c>
      <c r="AF117" s="349">
        <v>1.86</v>
      </c>
      <c r="AG117" s="349">
        <v>1.85</v>
      </c>
      <c r="AH117" s="349">
        <v>1.84</v>
      </c>
      <c r="AI117" s="349">
        <v>1.84</v>
      </c>
      <c r="AJ117" s="349">
        <v>1.83</v>
      </c>
      <c r="AK117" s="349">
        <v>1.82</v>
      </c>
      <c r="AL117" s="349">
        <v>1.82</v>
      </c>
      <c r="AM117" s="349">
        <v>1.81</v>
      </c>
      <c r="AN117" s="349">
        <v>1.8</v>
      </c>
      <c r="AO117" s="349">
        <v>1.8</v>
      </c>
      <c r="AP117" s="349">
        <v>1.79</v>
      </c>
      <c r="AQ117" s="349">
        <v>1.78</v>
      </c>
      <c r="AR117" s="349">
        <v>1.77</v>
      </c>
      <c r="AS117" s="349">
        <v>1.76</v>
      </c>
      <c r="AT117" s="349">
        <v>1.76</v>
      </c>
      <c r="AU117" s="349">
        <v>1.75</v>
      </c>
      <c r="AV117" s="349">
        <v>1.74</v>
      </c>
      <c r="AW117" s="349">
        <v>1.73</v>
      </c>
      <c r="AX117" s="349">
        <v>1.73</v>
      </c>
      <c r="AY117" s="349">
        <v>1.72</v>
      </c>
    </row>
    <row r="118" spans="1:52">
      <c r="A118" s="761">
        <v>45351</v>
      </c>
      <c r="B118" s="349">
        <v>0.96</v>
      </c>
      <c r="C118" s="349">
        <v>0.99</v>
      </c>
      <c r="D118" s="349">
        <v>1.03</v>
      </c>
      <c r="E118" s="349">
        <v>1.0900000000000001</v>
      </c>
      <c r="F118" s="349">
        <v>1.1599999999999999</v>
      </c>
      <c r="G118" s="349">
        <v>1.24</v>
      </c>
      <c r="H118" s="349">
        <v>1.32</v>
      </c>
      <c r="I118" s="349">
        <v>1.4</v>
      </c>
      <c r="J118" s="349">
        <v>1.48</v>
      </c>
      <c r="K118" s="349">
        <v>1.56</v>
      </c>
      <c r="L118" s="349">
        <v>1.63</v>
      </c>
      <c r="M118" s="349">
        <v>1.69</v>
      </c>
      <c r="N118" s="349">
        <v>1.74</v>
      </c>
      <c r="O118" s="349">
        <v>1.79</v>
      </c>
      <c r="P118" s="2226">
        <v>1.82</v>
      </c>
      <c r="Q118" s="349">
        <v>1.85</v>
      </c>
      <c r="R118" s="349">
        <v>1.86</v>
      </c>
      <c r="S118" s="349">
        <v>1.88</v>
      </c>
      <c r="T118" s="349">
        <v>1.89</v>
      </c>
      <c r="U118" s="349">
        <v>1.91</v>
      </c>
      <c r="V118" s="349">
        <v>1.91</v>
      </c>
      <c r="W118" s="349">
        <v>1.91</v>
      </c>
      <c r="X118" s="349">
        <v>1.9</v>
      </c>
      <c r="Y118" s="349">
        <v>1.9</v>
      </c>
      <c r="Z118" s="349">
        <v>1.9</v>
      </c>
      <c r="AA118" s="349">
        <v>1.89</v>
      </c>
      <c r="AB118" s="349">
        <v>1.89</v>
      </c>
      <c r="AC118" s="349">
        <v>1.88</v>
      </c>
      <c r="AD118" s="349">
        <v>1.87</v>
      </c>
      <c r="AE118" s="349">
        <v>1.86</v>
      </c>
      <c r="AF118" s="349">
        <v>1.86</v>
      </c>
      <c r="AG118" s="349">
        <v>1.85</v>
      </c>
      <c r="AH118" s="349">
        <v>1.84</v>
      </c>
      <c r="AI118" s="349">
        <v>1.83</v>
      </c>
      <c r="AJ118" s="349">
        <v>1.82</v>
      </c>
      <c r="AK118" s="349">
        <v>1.82</v>
      </c>
      <c r="AL118" s="349">
        <v>1.81</v>
      </c>
      <c r="AM118" s="349">
        <v>1.81</v>
      </c>
      <c r="AN118" s="349">
        <v>1.8</v>
      </c>
      <c r="AO118" s="349">
        <v>1.79</v>
      </c>
      <c r="AP118" s="349">
        <v>1.78</v>
      </c>
      <c r="AQ118" s="349">
        <v>1.78</v>
      </c>
      <c r="AR118" s="349">
        <v>1.77</v>
      </c>
      <c r="AS118" s="349">
        <v>1.76</v>
      </c>
      <c r="AT118" s="349">
        <v>1.75</v>
      </c>
      <c r="AU118" s="349">
        <v>1.74</v>
      </c>
      <c r="AV118" s="349">
        <v>1.74</v>
      </c>
      <c r="AW118" s="349">
        <v>1.73</v>
      </c>
      <c r="AX118" s="349">
        <v>1.72</v>
      </c>
      <c r="AY118" s="349">
        <v>1.72</v>
      </c>
    </row>
    <row r="119" spans="1:52">
      <c r="A119" s="761">
        <v>45382</v>
      </c>
      <c r="B119" s="349">
        <v>0.99</v>
      </c>
      <c r="C119" s="349">
        <v>1.01</v>
      </c>
      <c r="D119" s="349">
        <v>1.05</v>
      </c>
      <c r="E119" s="349">
        <v>1.1000000000000001</v>
      </c>
      <c r="F119" s="349">
        <v>1.17</v>
      </c>
      <c r="G119" s="349">
        <v>1.25</v>
      </c>
      <c r="H119" s="349">
        <v>1.33</v>
      </c>
      <c r="I119" s="349">
        <v>1.41</v>
      </c>
      <c r="J119" s="349">
        <v>1.49</v>
      </c>
      <c r="K119" s="349">
        <v>1.56</v>
      </c>
      <c r="L119" s="349">
        <v>1.63</v>
      </c>
      <c r="M119" s="349">
        <v>1.69</v>
      </c>
      <c r="N119" s="349">
        <v>1.74</v>
      </c>
      <c r="O119" s="349">
        <v>1.79</v>
      </c>
      <c r="P119" s="2226">
        <v>1.83</v>
      </c>
      <c r="Q119" s="349">
        <v>1.85</v>
      </c>
      <c r="R119" s="349">
        <v>1.86</v>
      </c>
      <c r="S119" s="349">
        <v>1.88</v>
      </c>
      <c r="T119" s="349">
        <v>1.89</v>
      </c>
      <c r="U119" s="349">
        <v>1.91</v>
      </c>
      <c r="V119" s="349">
        <v>1.9</v>
      </c>
      <c r="W119" s="349">
        <v>1.9</v>
      </c>
      <c r="X119" s="349">
        <v>1.9</v>
      </c>
      <c r="Y119" s="349">
        <v>1.9</v>
      </c>
      <c r="Z119" s="349">
        <v>1.9</v>
      </c>
      <c r="AA119" s="349">
        <v>1.89</v>
      </c>
      <c r="AB119" s="349">
        <v>1.88</v>
      </c>
      <c r="AC119" s="349">
        <v>1.87</v>
      </c>
      <c r="AD119" s="349">
        <v>1.87</v>
      </c>
      <c r="AE119" s="349">
        <v>1.86</v>
      </c>
      <c r="AF119" s="349">
        <v>1.85</v>
      </c>
      <c r="AG119" s="349">
        <v>1.84</v>
      </c>
      <c r="AH119" s="349">
        <v>1.83</v>
      </c>
      <c r="AI119" s="349">
        <v>1.83</v>
      </c>
      <c r="AJ119" s="349">
        <v>1.82</v>
      </c>
      <c r="AK119" s="349">
        <v>1.81</v>
      </c>
      <c r="AL119" s="349">
        <v>1.81</v>
      </c>
      <c r="AM119" s="349">
        <v>1.8</v>
      </c>
      <c r="AN119" s="349">
        <v>1.79</v>
      </c>
      <c r="AO119" s="349">
        <v>1.79</v>
      </c>
      <c r="AP119" s="349">
        <v>1.78</v>
      </c>
      <c r="AQ119" s="349">
        <v>1.77</v>
      </c>
      <c r="AR119" s="349">
        <v>1.76</v>
      </c>
      <c r="AS119" s="349">
        <v>1.75</v>
      </c>
      <c r="AT119" s="349">
        <v>1.74</v>
      </c>
      <c r="AU119" s="349">
        <v>1.74</v>
      </c>
      <c r="AV119" s="349">
        <v>1.73</v>
      </c>
      <c r="AW119" s="349">
        <v>1.72</v>
      </c>
      <c r="AX119" s="349">
        <v>1.71</v>
      </c>
      <c r="AY119" s="349">
        <v>1.71</v>
      </c>
    </row>
    <row r="120" spans="1:52">
      <c r="A120" s="761">
        <v>45412</v>
      </c>
      <c r="B120" s="349">
        <v>1.02</v>
      </c>
      <c r="C120" s="349">
        <v>1.04</v>
      </c>
      <c r="D120" s="349">
        <v>1.07</v>
      </c>
      <c r="E120" s="349">
        <v>1.1200000000000001</v>
      </c>
      <c r="F120" s="349">
        <v>1.19</v>
      </c>
      <c r="G120" s="349">
        <v>1.26</v>
      </c>
      <c r="H120" s="349">
        <v>1.34</v>
      </c>
      <c r="I120" s="349">
        <v>1.42</v>
      </c>
      <c r="J120" s="349">
        <v>1.49</v>
      </c>
      <c r="K120" s="349">
        <v>1.57</v>
      </c>
      <c r="L120" s="349">
        <v>1.64</v>
      </c>
      <c r="M120" s="349">
        <v>1.7</v>
      </c>
      <c r="N120" s="349">
        <v>1.75</v>
      </c>
      <c r="O120" s="349">
        <v>1.79</v>
      </c>
      <c r="P120" s="2226">
        <v>1.83</v>
      </c>
      <c r="Q120" s="349">
        <v>1.85</v>
      </c>
      <c r="R120" s="349">
        <v>1.87</v>
      </c>
      <c r="S120" s="349">
        <v>1.88</v>
      </c>
      <c r="T120" s="349">
        <v>1.9</v>
      </c>
      <c r="U120" s="349">
        <v>1.91</v>
      </c>
      <c r="V120" s="349">
        <v>1.91</v>
      </c>
      <c r="W120" s="349">
        <v>1.9</v>
      </c>
      <c r="X120" s="349">
        <v>1.9</v>
      </c>
      <c r="Y120" s="349">
        <v>1.9</v>
      </c>
      <c r="Z120" s="349">
        <v>1.9</v>
      </c>
      <c r="AA120" s="349">
        <v>1.89</v>
      </c>
      <c r="AB120" s="349">
        <v>1.88</v>
      </c>
      <c r="AC120" s="349">
        <v>1.87</v>
      </c>
      <c r="AD120" s="349">
        <v>1.87</v>
      </c>
      <c r="AE120" s="349">
        <v>1.86</v>
      </c>
      <c r="AF120" s="349">
        <v>1.85</v>
      </c>
      <c r="AG120" s="349">
        <v>1.84</v>
      </c>
      <c r="AH120" s="349">
        <v>1.83</v>
      </c>
      <c r="AI120" s="349">
        <v>1.82</v>
      </c>
      <c r="AJ120" s="349">
        <v>1.82</v>
      </c>
      <c r="AK120" s="349">
        <v>1.81</v>
      </c>
      <c r="AL120" s="349">
        <v>1.8</v>
      </c>
      <c r="AM120" s="349">
        <v>1.8</v>
      </c>
      <c r="AN120" s="349">
        <v>1.79</v>
      </c>
      <c r="AO120" s="349">
        <v>1.79</v>
      </c>
      <c r="AP120" s="349">
        <v>1.78</v>
      </c>
      <c r="AQ120" s="349">
        <v>1.77</v>
      </c>
      <c r="AR120" s="349">
        <v>1.76</v>
      </c>
      <c r="AS120" s="349">
        <v>1.75</v>
      </c>
      <c r="AT120" s="349">
        <v>1.74</v>
      </c>
      <c r="AU120" s="349">
        <v>1.73</v>
      </c>
      <c r="AV120" s="349">
        <v>1.72</v>
      </c>
      <c r="AW120" s="349">
        <v>1.72</v>
      </c>
      <c r="AX120" s="349">
        <v>1.71</v>
      </c>
      <c r="AY120" s="349">
        <v>1.7</v>
      </c>
    </row>
    <row r="121" spans="1:52">
      <c r="A121" s="761">
        <v>45443</v>
      </c>
      <c r="B121" s="349">
        <v>1.04</v>
      </c>
      <c r="C121" s="349">
        <v>1.06</v>
      </c>
      <c r="D121" s="349">
        <v>1.0900000000000001</v>
      </c>
      <c r="E121" s="349">
        <v>1.1399999999999999</v>
      </c>
      <c r="F121" s="349">
        <v>1.2</v>
      </c>
      <c r="G121" s="349">
        <v>1.28</v>
      </c>
      <c r="H121" s="349">
        <v>1.35</v>
      </c>
      <c r="I121" s="349">
        <v>1.43</v>
      </c>
      <c r="J121" s="349">
        <v>1.51</v>
      </c>
      <c r="K121" s="349">
        <v>1.58</v>
      </c>
      <c r="L121" s="349">
        <v>1.65</v>
      </c>
      <c r="M121" s="349">
        <v>1.7</v>
      </c>
      <c r="N121" s="349">
        <v>1.75</v>
      </c>
      <c r="O121" s="349">
        <v>1.8</v>
      </c>
      <c r="P121" s="2226">
        <v>1.83</v>
      </c>
      <c r="Q121" s="349">
        <v>1.85</v>
      </c>
      <c r="R121" s="349">
        <v>1.87</v>
      </c>
      <c r="S121" s="349">
        <v>1.89</v>
      </c>
      <c r="T121" s="349">
        <v>1.9</v>
      </c>
      <c r="U121" s="349">
        <v>1.91</v>
      </c>
      <c r="V121" s="349">
        <v>1.91</v>
      </c>
      <c r="W121" s="349">
        <v>1.91</v>
      </c>
      <c r="X121" s="349">
        <v>1.9</v>
      </c>
      <c r="Y121" s="349">
        <v>1.9</v>
      </c>
      <c r="Z121" s="349">
        <v>1.9</v>
      </c>
      <c r="AA121" s="349">
        <v>1.89</v>
      </c>
      <c r="AB121" s="349">
        <v>1.88</v>
      </c>
      <c r="AC121" s="349">
        <v>1.87</v>
      </c>
      <c r="AD121" s="349">
        <v>1.87</v>
      </c>
      <c r="AE121" s="349">
        <v>1.86</v>
      </c>
      <c r="AF121" s="349">
        <v>1.85</v>
      </c>
      <c r="AG121" s="349">
        <v>1.84</v>
      </c>
      <c r="AH121" s="349">
        <v>1.83</v>
      </c>
      <c r="AI121" s="349">
        <v>1.82</v>
      </c>
      <c r="AJ121" s="349">
        <v>1.82</v>
      </c>
      <c r="AK121" s="349">
        <v>1.81</v>
      </c>
      <c r="AL121" s="349">
        <v>1.8</v>
      </c>
      <c r="AM121" s="349">
        <v>1.8</v>
      </c>
      <c r="AN121" s="349">
        <v>1.79</v>
      </c>
      <c r="AO121" s="349">
        <v>1.78</v>
      </c>
      <c r="AP121" s="349">
        <v>1.77</v>
      </c>
      <c r="AQ121" s="349">
        <v>1.76</v>
      </c>
      <c r="AR121" s="349">
        <v>1.75</v>
      </c>
      <c r="AS121" s="349">
        <v>1.75</v>
      </c>
      <c r="AT121" s="349">
        <v>1.74</v>
      </c>
      <c r="AU121" s="349">
        <v>1.73</v>
      </c>
      <c r="AV121" s="349">
        <v>1.72</v>
      </c>
      <c r="AW121" s="349">
        <v>1.71</v>
      </c>
      <c r="AX121" s="349">
        <v>1.71</v>
      </c>
      <c r="AY121" s="349">
        <v>1.7</v>
      </c>
    </row>
    <row r="122" spans="1:52">
      <c r="A122" s="761">
        <v>45473</v>
      </c>
      <c r="B122" s="349">
        <v>1.07</v>
      </c>
      <c r="C122" s="349">
        <v>1.0900000000000001</v>
      </c>
      <c r="D122" s="349">
        <v>1.1100000000000001</v>
      </c>
      <c r="E122" s="349">
        <v>1.1599999999999999</v>
      </c>
      <c r="F122" s="349">
        <v>1.22</v>
      </c>
      <c r="G122" s="349">
        <v>1.29</v>
      </c>
      <c r="H122" s="349">
        <v>1.37</v>
      </c>
      <c r="I122" s="349">
        <v>1.44</v>
      </c>
      <c r="J122" s="349">
        <v>1.52</v>
      </c>
      <c r="K122" s="349">
        <v>1.59</v>
      </c>
      <c r="L122" s="349">
        <v>1.66</v>
      </c>
      <c r="M122" s="349">
        <v>1.71</v>
      </c>
      <c r="N122" s="349">
        <v>1.76</v>
      </c>
      <c r="O122" s="349">
        <v>1.8</v>
      </c>
      <c r="P122" s="2226">
        <v>1.84</v>
      </c>
      <c r="Q122" s="349">
        <v>1.86</v>
      </c>
      <c r="R122" s="349">
        <v>1.88</v>
      </c>
      <c r="S122" s="349">
        <v>1.89</v>
      </c>
      <c r="T122" s="349">
        <v>1.9</v>
      </c>
      <c r="U122" s="349">
        <v>1.92</v>
      </c>
      <c r="V122" s="349">
        <v>1.91</v>
      </c>
      <c r="W122" s="349">
        <v>1.91</v>
      </c>
      <c r="X122" s="349">
        <v>1.91</v>
      </c>
      <c r="Y122" s="349">
        <v>1.9</v>
      </c>
      <c r="Z122" s="349">
        <v>1.9</v>
      </c>
      <c r="AA122" s="349">
        <v>1.89</v>
      </c>
      <c r="AB122" s="349">
        <v>1.88</v>
      </c>
      <c r="AC122" s="349">
        <v>1.88</v>
      </c>
      <c r="AD122" s="349">
        <v>1.87</v>
      </c>
      <c r="AE122" s="349">
        <v>1.86</v>
      </c>
      <c r="AF122" s="349">
        <v>1.85</v>
      </c>
      <c r="AG122" s="349">
        <v>1.84</v>
      </c>
      <c r="AH122" s="349">
        <v>1.83</v>
      </c>
      <c r="AI122" s="349">
        <v>1.82</v>
      </c>
      <c r="AJ122" s="349">
        <v>1.82</v>
      </c>
      <c r="AK122" s="349">
        <v>1.81</v>
      </c>
      <c r="AL122" s="349">
        <v>1.8</v>
      </c>
      <c r="AM122" s="349">
        <v>1.79</v>
      </c>
      <c r="AN122" s="349">
        <v>1.79</v>
      </c>
      <c r="AO122" s="349">
        <v>1.78</v>
      </c>
      <c r="AP122" s="349">
        <v>1.77</v>
      </c>
      <c r="AQ122" s="349">
        <v>1.76</v>
      </c>
      <c r="AR122" s="349">
        <v>1.75</v>
      </c>
      <c r="AS122" s="349">
        <v>1.74</v>
      </c>
      <c r="AT122" s="349">
        <v>1.73</v>
      </c>
      <c r="AU122" s="349">
        <v>1.73</v>
      </c>
      <c r="AV122" s="349">
        <v>1.72</v>
      </c>
      <c r="AW122" s="349">
        <v>1.71</v>
      </c>
      <c r="AX122" s="349">
        <v>1.7</v>
      </c>
      <c r="AY122" s="349">
        <v>1.7</v>
      </c>
    </row>
    <row r="123" spans="1:52">
      <c r="A123" s="761">
        <v>45504</v>
      </c>
      <c r="B123" s="349">
        <v>1.0900000000000001</v>
      </c>
      <c r="C123" s="349">
        <v>1.1100000000000001</v>
      </c>
      <c r="D123" s="349">
        <v>1.1299999999999999</v>
      </c>
      <c r="E123" s="349">
        <v>1.18</v>
      </c>
      <c r="F123" s="349">
        <v>1.24</v>
      </c>
      <c r="G123" s="349">
        <v>1.31</v>
      </c>
      <c r="H123" s="349">
        <v>1.38</v>
      </c>
      <c r="I123" s="349">
        <v>1.45</v>
      </c>
      <c r="J123" s="349">
        <v>1.53</v>
      </c>
      <c r="K123" s="349">
        <v>1.6</v>
      </c>
      <c r="L123" s="349">
        <v>1.67</v>
      </c>
      <c r="M123" s="349">
        <v>1.72</v>
      </c>
      <c r="N123" s="349">
        <v>1.77</v>
      </c>
      <c r="O123" s="349">
        <v>1.81</v>
      </c>
      <c r="P123" s="2226">
        <v>1.85</v>
      </c>
      <c r="Q123" s="349">
        <v>1.87</v>
      </c>
      <c r="R123" s="349">
        <v>1.88</v>
      </c>
      <c r="S123" s="349">
        <v>1.9</v>
      </c>
      <c r="T123" s="349">
        <v>1.91</v>
      </c>
      <c r="U123" s="349">
        <v>1.92</v>
      </c>
      <c r="V123" s="349">
        <v>1.92</v>
      </c>
      <c r="W123" s="349">
        <v>1.91</v>
      </c>
      <c r="X123" s="349">
        <v>1.91</v>
      </c>
      <c r="Y123" s="349">
        <v>1.91</v>
      </c>
      <c r="Z123" s="349">
        <v>1.9</v>
      </c>
      <c r="AA123" s="349">
        <v>1.89</v>
      </c>
      <c r="AB123" s="349">
        <v>1.89</v>
      </c>
      <c r="AC123" s="349">
        <v>1.88</v>
      </c>
      <c r="AD123" s="349">
        <v>1.87</v>
      </c>
      <c r="AE123" s="349">
        <v>1.86</v>
      </c>
      <c r="AF123" s="349">
        <v>1.85</v>
      </c>
      <c r="AG123" s="349">
        <v>1.84</v>
      </c>
      <c r="AH123" s="349">
        <v>1.83</v>
      </c>
      <c r="AI123" s="349">
        <v>1.82</v>
      </c>
      <c r="AJ123" s="349">
        <v>1.82</v>
      </c>
      <c r="AK123" s="349">
        <v>1.81</v>
      </c>
      <c r="AL123" s="349">
        <v>1.8</v>
      </c>
      <c r="AM123" s="349">
        <v>1.79</v>
      </c>
      <c r="AN123" s="349">
        <v>1.79</v>
      </c>
      <c r="AO123" s="349">
        <v>1.78</v>
      </c>
      <c r="AP123" s="349">
        <v>1.77</v>
      </c>
      <c r="AQ123" s="349">
        <v>1.76</v>
      </c>
      <c r="AR123" s="349">
        <v>1.75</v>
      </c>
      <c r="AS123" s="349">
        <v>1.74</v>
      </c>
      <c r="AT123" s="349">
        <v>1.73</v>
      </c>
      <c r="AU123" s="349">
        <v>1.72</v>
      </c>
      <c r="AV123" s="349">
        <v>1.72</v>
      </c>
      <c r="AW123" s="349">
        <v>1.71</v>
      </c>
      <c r="AX123" s="349">
        <v>1.7</v>
      </c>
      <c r="AY123" s="349">
        <v>1.69</v>
      </c>
    </row>
    <row r="124" spans="1:52">
      <c r="A124" s="761">
        <v>45535</v>
      </c>
      <c r="B124" s="349">
        <v>1.1200000000000001</v>
      </c>
      <c r="C124" s="349">
        <v>1.1299999999999999</v>
      </c>
      <c r="D124" s="349">
        <v>1.1499999999999999</v>
      </c>
      <c r="E124" s="349">
        <v>1.2</v>
      </c>
      <c r="F124" s="349">
        <v>1.26</v>
      </c>
      <c r="G124" s="349">
        <v>1.32</v>
      </c>
      <c r="H124" s="349">
        <v>1.39</v>
      </c>
      <c r="I124" s="349">
        <v>1.47</v>
      </c>
      <c r="J124" s="349">
        <v>1.54</v>
      </c>
      <c r="K124" s="349">
        <v>1.61</v>
      </c>
      <c r="L124" s="349">
        <v>1.68</v>
      </c>
      <c r="M124" s="349">
        <v>1.73</v>
      </c>
      <c r="N124" s="349">
        <v>1.78</v>
      </c>
      <c r="O124" s="349">
        <v>1.82</v>
      </c>
      <c r="P124" s="2226">
        <v>1.86</v>
      </c>
      <c r="Q124" s="349">
        <v>1.88</v>
      </c>
      <c r="R124" s="349">
        <v>1.89</v>
      </c>
      <c r="S124" s="349">
        <v>1.9</v>
      </c>
      <c r="T124" s="349">
        <v>1.92</v>
      </c>
      <c r="U124" s="349">
        <v>1.93</v>
      </c>
      <c r="V124" s="349">
        <v>1.92</v>
      </c>
      <c r="W124" s="349">
        <v>1.92</v>
      </c>
      <c r="X124" s="349">
        <v>1.92</v>
      </c>
      <c r="Y124" s="349">
        <v>1.91</v>
      </c>
      <c r="Z124" s="349">
        <v>1.91</v>
      </c>
      <c r="AA124" s="349">
        <v>1.9</v>
      </c>
      <c r="AB124" s="349">
        <v>1.89</v>
      </c>
      <c r="AC124" s="349">
        <v>1.88</v>
      </c>
      <c r="AD124" s="349">
        <v>1.87</v>
      </c>
      <c r="AE124" s="349">
        <v>1.87</v>
      </c>
      <c r="AF124" s="349">
        <v>1.86</v>
      </c>
      <c r="AG124" s="349">
        <v>1.85</v>
      </c>
      <c r="AH124" s="349">
        <v>1.84</v>
      </c>
      <c r="AI124" s="349">
        <v>1.83</v>
      </c>
      <c r="AJ124" s="349">
        <v>1.82</v>
      </c>
      <c r="AK124" s="349">
        <v>1.81</v>
      </c>
      <c r="AL124" s="349">
        <v>1.8</v>
      </c>
      <c r="AM124" s="349">
        <v>1.8</v>
      </c>
      <c r="AN124" s="349">
        <v>1.79</v>
      </c>
      <c r="AO124" s="349">
        <v>1.78</v>
      </c>
      <c r="AP124" s="349">
        <v>1.77</v>
      </c>
      <c r="AQ124" s="349">
        <v>1.76</v>
      </c>
      <c r="AR124" s="349">
        <v>1.75</v>
      </c>
      <c r="AS124" s="349">
        <v>1.74</v>
      </c>
      <c r="AT124" s="349">
        <v>1.73</v>
      </c>
      <c r="AU124" s="349">
        <v>1.73</v>
      </c>
      <c r="AV124" s="349">
        <v>1.72</v>
      </c>
      <c r="AW124" s="349">
        <v>1.71</v>
      </c>
      <c r="AX124" s="349">
        <v>1.7</v>
      </c>
      <c r="AY124" s="349">
        <v>1.7</v>
      </c>
    </row>
    <row r="125" spans="1:52">
      <c r="A125" s="761">
        <v>45565</v>
      </c>
      <c r="B125" s="349">
        <v>1.1399999999999999</v>
      </c>
      <c r="C125" s="349">
        <v>1.1499999999999999</v>
      </c>
      <c r="D125" s="349">
        <v>1.17</v>
      </c>
      <c r="E125" s="349">
        <v>1.21</v>
      </c>
      <c r="F125" s="349">
        <v>1.27</v>
      </c>
      <c r="G125" s="349">
        <v>1.34</v>
      </c>
      <c r="H125" s="349">
        <v>1.41</v>
      </c>
      <c r="I125" s="349">
        <v>1.48</v>
      </c>
      <c r="J125" s="349">
        <v>1.55</v>
      </c>
      <c r="K125" s="349">
        <v>1.62</v>
      </c>
      <c r="L125" s="349">
        <v>1.69</v>
      </c>
      <c r="M125" s="349">
        <v>1.74</v>
      </c>
      <c r="N125" s="349">
        <v>1.79</v>
      </c>
      <c r="O125" s="349">
        <v>1.83</v>
      </c>
      <c r="P125" s="2226">
        <v>1.87</v>
      </c>
      <c r="Q125" s="349">
        <v>1.88</v>
      </c>
      <c r="R125" s="349">
        <v>1.9</v>
      </c>
      <c r="S125" s="349">
        <v>1.91</v>
      </c>
      <c r="T125" s="349">
        <v>1.92</v>
      </c>
      <c r="U125" s="349">
        <v>1.93</v>
      </c>
      <c r="V125" s="349">
        <v>1.93</v>
      </c>
      <c r="W125" s="349">
        <v>1.93</v>
      </c>
      <c r="X125" s="349">
        <v>1.92</v>
      </c>
      <c r="Y125" s="349">
        <v>1.92</v>
      </c>
      <c r="Z125" s="349">
        <v>1.91</v>
      </c>
      <c r="AA125" s="349">
        <v>1.9</v>
      </c>
      <c r="AB125" s="349">
        <v>1.89</v>
      </c>
      <c r="AC125" s="349">
        <v>1.89</v>
      </c>
      <c r="AD125" s="349">
        <v>1.88</v>
      </c>
      <c r="AE125" s="349">
        <v>1.87</v>
      </c>
      <c r="AF125" s="349">
        <v>1.86</v>
      </c>
      <c r="AG125" s="349">
        <v>1.85</v>
      </c>
      <c r="AH125" s="349">
        <v>1.84</v>
      </c>
      <c r="AI125" s="349">
        <v>1.83</v>
      </c>
      <c r="AJ125" s="349">
        <v>1.82</v>
      </c>
      <c r="AK125" s="349">
        <v>1.81</v>
      </c>
      <c r="AL125" s="349">
        <v>1.81</v>
      </c>
      <c r="AM125" s="349">
        <v>1.8</v>
      </c>
      <c r="AN125" s="349">
        <v>1.79</v>
      </c>
      <c r="AO125" s="349">
        <v>1.79</v>
      </c>
      <c r="AP125" s="349">
        <v>1.77</v>
      </c>
      <c r="AQ125" s="349">
        <v>1.76</v>
      </c>
      <c r="AR125" s="349">
        <v>1.75</v>
      </c>
      <c r="AS125" s="349">
        <v>1.74</v>
      </c>
      <c r="AT125" s="349">
        <v>1.74</v>
      </c>
      <c r="AU125" s="349">
        <v>1.73</v>
      </c>
      <c r="AV125" s="349">
        <v>1.72</v>
      </c>
      <c r="AW125" s="349">
        <v>1.71</v>
      </c>
      <c r="AX125" s="349">
        <v>1.7</v>
      </c>
      <c r="AY125" s="349">
        <v>1.7</v>
      </c>
    </row>
    <row r="126" spans="1:52">
      <c r="A126" s="761">
        <v>45596</v>
      </c>
      <c r="B126" s="349">
        <v>1.1599999999999999</v>
      </c>
      <c r="C126" s="349">
        <v>1.17</v>
      </c>
      <c r="D126" s="349">
        <v>1.19</v>
      </c>
      <c r="E126" s="349">
        <v>1.23</v>
      </c>
      <c r="F126" s="349">
        <v>1.29</v>
      </c>
      <c r="G126" s="349">
        <v>1.36</v>
      </c>
      <c r="H126" s="349">
        <v>1.42</v>
      </c>
      <c r="I126" s="349">
        <v>1.5</v>
      </c>
      <c r="J126" s="349">
        <v>1.57</v>
      </c>
      <c r="K126" s="349">
        <v>1.64</v>
      </c>
      <c r="L126" s="349">
        <v>1.7</v>
      </c>
      <c r="M126" s="349">
        <v>1.75</v>
      </c>
      <c r="N126" s="349">
        <v>1.8</v>
      </c>
      <c r="O126" s="349">
        <v>1.84</v>
      </c>
      <c r="P126" s="2226">
        <v>1.88</v>
      </c>
      <c r="Q126" s="349">
        <v>1.89</v>
      </c>
      <c r="R126" s="349">
        <v>1.91</v>
      </c>
      <c r="S126" s="349">
        <v>1.92</v>
      </c>
      <c r="T126" s="349">
        <v>1.93</v>
      </c>
      <c r="U126" s="349">
        <v>1.94</v>
      </c>
      <c r="V126" s="349">
        <v>1.94</v>
      </c>
      <c r="W126" s="349">
        <v>1.93</v>
      </c>
      <c r="X126" s="349">
        <v>1.93</v>
      </c>
      <c r="Y126" s="349">
        <v>1.92</v>
      </c>
      <c r="Z126" s="349">
        <v>1.92</v>
      </c>
      <c r="AA126" s="349">
        <v>1.91</v>
      </c>
      <c r="AB126" s="349">
        <v>1.9</v>
      </c>
      <c r="AC126" s="349">
        <v>1.89</v>
      </c>
      <c r="AD126" s="349">
        <v>1.88</v>
      </c>
      <c r="AE126" s="349">
        <v>1.87</v>
      </c>
      <c r="AF126" s="349">
        <v>1.86</v>
      </c>
      <c r="AG126" s="349">
        <v>1.85</v>
      </c>
      <c r="AH126" s="349">
        <v>1.84</v>
      </c>
      <c r="AI126" s="349">
        <v>1.83</v>
      </c>
      <c r="AJ126" s="349">
        <v>1.82</v>
      </c>
      <c r="AK126" s="349">
        <v>1.82</v>
      </c>
      <c r="AL126" s="349">
        <v>1.81</v>
      </c>
      <c r="AM126" s="349">
        <v>1.8</v>
      </c>
      <c r="AN126" s="349">
        <v>1.79</v>
      </c>
      <c r="AO126" s="349">
        <v>1.79</v>
      </c>
      <c r="AP126" s="349">
        <v>1.78</v>
      </c>
      <c r="AQ126" s="349">
        <v>1.77</v>
      </c>
      <c r="AR126" s="349">
        <v>1.76</v>
      </c>
      <c r="AS126" s="349">
        <v>1.75</v>
      </c>
      <c r="AT126" s="349">
        <v>1.74</v>
      </c>
      <c r="AU126" s="349">
        <v>1.73</v>
      </c>
      <c r="AV126" s="349">
        <v>1.72</v>
      </c>
      <c r="AW126" s="349">
        <v>1.71</v>
      </c>
      <c r="AX126" s="349">
        <v>1.7</v>
      </c>
      <c r="AY126" s="349">
        <v>1.69</v>
      </c>
    </row>
    <row r="127" spans="1:52">
      <c r="A127" s="761">
        <v>45626</v>
      </c>
      <c r="B127" s="349">
        <v>1.18</v>
      </c>
      <c r="C127" s="349">
        <v>1.18</v>
      </c>
      <c r="D127" s="349">
        <v>1.2</v>
      </c>
      <c r="E127" s="349">
        <v>1.25</v>
      </c>
      <c r="F127" s="349">
        <v>1.31</v>
      </c>
      <c r="G127" s="349">
        <v>1.37</v>
      </c>
      <c r="H127" s="349">
        <v>1.44</v>
      </c>
      <c r="I127" s="349">
        <v>1.51</v>
      </c>
      <c r="J127" s="349">
        <v>1.58</v>
      </c>
      <c r="K127" s="349">
        <v>1.65</v>
      </c>
      <c r="L127" s="349">
        <v>1.71</v>
      </c>
      <c r="M127" s="349">
        <v>1.76</v>
      </c>
      <c r="N127" s="349">
        <v>1.81</v>
      </c>
      <c r="O127" s="349">
        <v>1.85</v>
      </c>
      <c r="P127" s="2226">
        <v>1.88</v>
      </c>
      <c r="Q127" s="349">
        <v>1.9</v>
      </c>
      <c r="R127" s="349">
        <v>1.91</v>
      </c>
      <c r="S127" s="349">
        <v>1.93</v>
      </c>
      <c r="T127" s="349">
        <v>1.94</v>
      </c>
      <c r="U127" s="349">
        <v>1.95</v>
      </c>
      <c r="V127" s="349">
        <v>1.94</v>
      </c>
      <c r="W127" s="349">
        <v>1.94</v>
      </c>
      <c r="X127" s="349">
        <v>1.93</v>
      </c>
      <c r="Y127" s="349">
        <v>1.93</v>
      </c>
      <c r="Z127" s="349">
        <v>1.92</v>
      </c>
      <c r="AA127" s="349">
        <v>1.91</v>
      </c>
      <c r="AB127" s="349">
        <v>1.9</v>
      </c>
      <c r="AC127" s="349">
        <v>1.89</v>
      </c>
      <c r="AD127" s="349">
        <v>1.89</v>
      </c>
      <c r="AE127" s="349">
        <v>1.88</v>
      </c>
      <c r="AF127" s="349">
        <v>1.87</v>
      </c>
      <c r="AG127" s="349">
        <v>1.86</v>
      </c>
      <c r="AH127" s="349">
        <v>1.85</v>
      </c>
      <c r="AI127" s="349">
        <v>1.84</v>
      </c>
      <c r="AJ127" s="349">
        <v>1.83</v>
      </c>
      <c r="AK127" s="349">
        <v>1.82</v>
      </c>
      <c r="AL127" s="349">
        <v>1.81</v>
      </c>
      <c r="AM127" s="349">
        <v>1.8</v>
      </c>
      <c r="AN127" s="349">
        <v>1.8</v>
      </c>
      <c r="AO127" s="349">
        <v>1.79</v>
      </c>
      <c r="AP127" s="349">
        <v>1.78</v>
      </c>
      <c r="AQ127" s="349">
        <v>1.77</v>
      </c>
      <c r="AR127" s="349">
        <v>1.76</v>
      </c>
      <c r="AS127" s="349">
        <v>1.75</v>
      </c>
      <c r="AT127" s="349">
        <v>1.74</v>
      </c>
      <c r="AU127" s="349">
        <v>1.73</v>
      </c>
      <c r="AV127" s="349">
        <v>1.72</v>
      </c>
      <c r="AW127" s="349">
        <v>1.71</v>
      </c>
      <c r="AX127" s="349">
        <v>1.7</v>
      </c>
      <c r="AY127" s="349">
        <v>1.7</v>
      </c>
    </row>
    <row r="128" spans="1:52">
      <c r="A128" s="761">
        <v>45657</v>
      </c>
      <c r="B128" s="349">
        <v>1.2</v>
      </c>
      <c r="C128" s="349">
        <v>1.2</v>
      </c>
      <c r="D128" s="349">
        <v>1.22</v>
      </c>
      <c r="E128" s="349">
        <v>1.27</v>
      </c>
      <c r="F128" s="349">
        <v>1.32</v>
      </c>
      <c r="G128" s="349">
        <v>1.39</v>
      </c>
      <c r="H128" s="349">
        <v>1.46</v>
      </c>
      <c r="I128" s="349">
        <v>1.53</v>
      </c>
      <c r="J128" s="349">
        <v>1.6</v>
      </c>
      <c r="K128" s="349">
        <v>1.66</v>
      </c>
      <c r="L128" s="349">
        <v>1.73</v>
      </c>
      <c r="M128" s="349">
        <v>1.78</v>
      </c>
      <c r="N128" s="349">
        <v>1.82</v>
      </c>
      <c r="O128" s="349">
        <v>1.86</v>
      </c>
      <c r="P128" s="2226">
        <v>1.9</v>
      </c>
      <c r="Q128" s="349">
        <v>1.91</v>
      </c>
      <c r="R128" s="349">
        <v>1.93</v>
      </c>
      <c r="S128" s="349">
        <v>1.94</v>
      </c>
      <c r="T128" s="349">
        <v>1.95</v>
      </c>
      <c r="U128" s="349">
        <v>1.96</v>
      </c>
      <c r="V128" s="349">
        <v>1.95</v>
      </c>
      <c r="W128" s="349">
        <v>1.95</v>
      </c>
      <c r="X128" s="349">
        <v>1.94</v>
      </c>
      <c r="Y128" s="349">
        <v>1.94</v>
      </c>
      <c r="Z128" s="349">
        <v>1.93</v>
      </c>
      <c r="AA128" s="349">
        <v>1.92</v>
      </c>
      <c r="AB128" s="349">
        <v>1.91</v>
      </c>
      <c r="AC128" s="349">
        <v>1.9</v>
      </c>
      <c r="AD128" s="349">
        <v>1.89</v>
      </c>
      <c r="AE128" s="349">
        <v>1.88</v>
      </c>
      <c r="AF128" s="349">
        <v>1.87</v>
      </c>
      <c r="AG128" s="349">
        <v>1.86</v>
      </c>
      <c r="AH128" s="349">
        <v>1.85</v>
      </c>
      <c r="AI128" s="349">
        <v>1.84</v>
      </c>
      <c r="AJ128" s="349">
        <v>1.83</v>
      </c>
      <c r="AK128" s="349">
        <v>1.82</v>
      </c>
      <c r="AL128" s="349">
        <v>1.82</v>
      </c>
      <c r="AM128" s="349">
        <v>1.81</v>
      </c>
      <c r="AN128" s="349">
        <v>1.8</v>
      </c>
      <c r="AO128" s="349">
        <v>1.79</v>
      </c>
      <c r="AP128" s="349">
        <v>1.78</v>
      </c>
      <c r="AQ128" s="349">
        <v>1.77</v>
      </c>
      <c r="AR128" s="349">
        <v>1.76</v>
      </c>
      <c r="AS128" s="349">
        <v>1.75</v>
      </c>
      <c r="AT128" s="349">
        <v>1.74</v>
      </c>
      <c r="AU128" s="349">
        <v>1.73</v>
      </c>
      <c r="AV128" s="349">
        <v>1.72</v>
      </c>
      <c r="AW128" s="349">
        <v>1.71</v>
      </c>
      <c r="AX128" s="349">
        <v>1.71</v>
      </c>
      <c r="AY128" s="349">
        <v>1.7</v>
      </c>
    </row>
    <row r="129" spans="1:51">
      <c r="A129" s="761">
        <v>45688</v>
      </c>
      <c r="B129" s="349">
        <v>1.54</v>
      </c>
      <c r="C129" s="349">
        <v>1.52</v>
      </c>
      <c r="D129" s="349">
        <v>1.51</v>
      </c>
      <c r="E129" s="349">
        <v>1.53</v>
      </c>
      <c r="F129" s="349">
        <v>1.57</v>
      </c>
      <c r="G129" s="349">
        <v>1.61</v>
      </c>
      <c r="H129" s="349">
        <v>1.66</v>
      </c>
      <c r="I129" s="349">
        <v>1.71</v>
      </c>
      <c r="J129" s="349">
        <v>1.76</v>
      </c>
      <c r="K129" s="349">
        <v>1.81</v>
      </c>
      <c r="L129" s="349">
        <v>1.85</v>
      </c>
      <c r="M129" s="349">
        <v>1.89</v>
      </c>
      <c r="N129" s="349">
        <v>1.93</v>
      </c>
      <c r="O129" s="349">
        <v>1.96</v>
      </c>
      <c r="P129" s="2226">
        <v>1.98</v>
      </c>
      <c r="Q129" s="349">
        <v>1.98</v>
      </c>
      <c r="R129" s="349">
        <v>1.99</v>
      </c>
      <c r="S129" s="349">
        <v>1.99</v>
      </c>
      <c r="T129" s="349">
        <v>1.99</v>
      </c>
      <c r="U129" s="349">
        <v>2</v>
      </c>
      <c r="V129" s="349">
        <v>1.98</v>
      </c>
      <c r="W129" s="349">
        <v>1.97</v>
      </c>
      <c r="X129" s="349">
        <v>1.96</v>
      </c>
      <c r="Y129" s="349">
        <v>1.95</v>
      </c>
      <c r="Z129" s="349">
        <v>1.94</v>
      </c>
      <c r="AA129" s="349">
        <v>1.92</v>
      </c>
      <c r="AB129" s="349">
        <v>1.9</v>
      </c>
      <c r="AC129" s="349">
        <v>1.89</v>
      </c>
      <c r="AD129" s="349">
        <v>1.88</v>
      </c>
      <c r="AE129" s="349">
        <v>1.86</v>
      </c>
      <c r="AF129" s="349">
        <v>1.85</v>
      </c>
      <c r="AG129" s="349">
        <v>1.83</v>
      </c>
      <c r="AH129" s="349">
        <v>1.82</v>
      </c>
      <c r="AI129" s="349">
        <v>1.8</v>
      </c>
      <c r="AJ129" s="349">
        <v>1.79</v>
      </c>
      <c r="AK129" s="349">
        <v>1.78</v>
      </c>
      <c r="AL129" s="349">
        <v>1.77</v>
      </c>
      <c r="AM129" s="349">
        <v>1.76</v>
      </c>
      <c r="AN129" s="349">
        <v>1.75</v>
      </c>
      <c r="AO129" s="349">
        <v>1.74</v>
      </c>
      <c r="AP129" s="349">
        <v>1.72</v>
      </c>
      <c r="AQ129" s="349">
        <v>1.71</v>
      </c>
      <c r="AR129" s="349">
        <v>1.7</v>
      </c>
      <c r="AS129" s="349">
        <v>1.69</v>
      </c>
      <c r="AT129" s="349">
        <v>1.68</v>
      </c>
      <c r="AU129" s="349">
        <v>1.66</v>
      </c>
      <c r="AV129" s="349">
        <v>1.65</v>
      </c>
      <c r="AW129" s="349">
        <v>1.64</v>
      </c>
      <c r="AX129" s="349">
        <v>1.64</v>
      </c>
      <c r="AY129" s="349">
        <v>1.63</v>
      </c>
    </row>
    <row r="130" spans="1:51">
      <c r="A130" s="761">
        <v>45716</v>
      </c>
      <c r="B130" s="349">
        <v>1.24</v>
      </c>
      <c r="C130" s="349">
        <v>1.24</v>
      </c>
      <c r="D130" s="349">
        <v>1.26</v>
      </c>
      <c r="E130" s="349">
        <v>1.3</v>
      </c>
      <c r="F130" s="349">
        <v>1.36</v>
      </c>
      <c r="G130" s="349">
        <v>1.43</v>
      </c>
      <c r="H130" s="349">
        <v>1.49</v>
      </c>
      <c r="I130" s="349">
        <v>1.56</v>
      </c>
      <c r="J130" s="349">
        <v>1.63</v>
      </c>
      <c r="K130" s="349">
        <v>1.7</v>
      </c>
      <c r="L130" s="349">
        <v>1.76</v>
      </c>
      <c r="M130" s="349">
        <v>1.81</v>
      </c>
      <c r="N130" s="349">
        <v>1.85</v>
      </c>
      <c r="O130" s="349">
        <v>1.89</v>
      </c>
      <c r="P130" s="2226">
        <v>1.93</v>
      </c>
      <c r="Q130" s="349">
        <v>1.94</v>
      </c>
      <c r="R130" s="349">
        <v>1.95</v>
      </c>
      <c r="S130" s="349">
        <v>1.96</v>
      </c>
      <c r="T130" s="349">
        <v>1.97</v>
      </c>
      <c r="U130" s="349">
        <v>1.98</v>
      </c>
      <c r="V130" s="349">
        <v>1.98</v>
      </c>
      <c r="W130" s="349">
        <v>1.97</v>
      </c>
      <c r="X130" s="349">
        <v>1.97</v>
      </c>
      <c r="Y130" s="349">
        <v>1.96</v>
      </c>
      <c r="Z130" s="349">
        <v>1.96</v>
      </c>
      <c r="AA130" s="349">
        <v>1.94</v>
      </c>
      <c r="AB130" s="349">
        <v>1.93</v>
      </c>
      <c r="AC130" s="349">
        <v>1.92</v>
      </c>
      <c r="AD130" s="349">
        <v>1.91</v>
      </c>
      <c r="AE130" s="349">
        <v>1.9</v>
      </c>
      <c r="AF130" s="349">
        <v>1.89</v>
      </c>
      <c r="AG130" s="349">
        <v>1.88</v>
      </c>
      <c r="AH130" s="349">
        <v>1.87</v>
      </c>
      <c r="AI130" s="349">
        <v>1.86</v>
      </c>
      <c r="AJ130" s="349">
        <v>1.85</v>
      </c>
      <c r="AK130" s="349">
        <v>1.84</v>
      </c>
      <c r="AL130" s="349">
        <v>1.83</v>
      </c>
      <c r="AM130" s="349">
        <v>1.83</v>
      </c>
      <c r="AN130" s="349">
        <v>1.82</v>
      </c>
      <c r="AO130" s="349">
        <v>1.81</v>
      </c>
      <c r="AP130" s="349">
        <v>1.8</v>
      </c>
      <c r="AQ130" s="349">
        <v>1.79</v>
      </c>
      <c r="AR130" s="349">
        <v>1.78</v>
      </c>
      <c r="AS130" s="349">
        <v>1.77</v>
      </c>
      <c r="AT130" s="349">
        <v>1.76</v>
      </c>
      <c r="AU130" s="349">
        <v>1.75</v>
      </c>
      <c r="AV130" s="349">
        <v>1.74</v>
      </c>
      <c r="AW130" s="349">
        <v>1.73</v>
      </c>
      <c r="AX130" s="349">
        <v>1.72</v>
      </c>
      <c r="AY130" s="349">
        <v>1.71</v>
      </c>
    </row>
    <row r="131" spans="1:51">
      <c r="A131" s="761">
        <v>45747</v>
      </c>
      <c r="B131" s="349">
        <v>1.26</v>
      </c>
      <c r="C131" s="349">
        <v>1.26</v>
      </c>
      <c r="D131" s="349">
        <v>1.28</v>
      </c>
      <c r="E131" s="349">
        <v>1.32</v>
      </c>
      <c r="F131" s="349">
        <v>1.38</v>
      </c>
      <c r="G131" s="349">
        <v>1.45</v>
      </c>
      <c r="H131" s="349">
        <v>1.51</v>
      </c>
      <c r="I131" s="349">
        <v>1.58</v>
      </c>
      <c r="J131" s="349">
        <v>1.65</v>
      </c>
      <c r="K131" s="349">
        <v>1.72</v>
      </c>
      <c r="L131" s="349">
        <v>1.78</v>
      </c>
      <c r="M131" s="349">
        <v>1.83</v>
      </c>
      <c r="N131" s="349">
        <v>1.87</v>
      </c>
      <c r="O131" s="349">
        <v>1.91</v>
      </c>
      <c r="P131" s="2226">
        <v>1.95</v>
      </c>
      <c r="Q131" s="349">
        <v>1.96</v>
      </c>
      <c r="R131" s="349">
        <v>1.97</v>
      </c>
      <c r="S131" s="349">
        <v>1.98</v>
      </c>
      <c r="T131" s="349">
        <v>1.99</v>
      </c>
      <c r="U131" s="349">
        <v>2</v>
      </c>
      <c r="V131" s="349">
        <v>2</v>
      </c>
      <c r="W131" s="349">
        <v>1.99</v>
      </c>
      <c r="X131" s="349">
        <v>1.98</v>
      </c>
      <c r="Y131" s="349">
        <v>1.98</v>
      </c>
      <c r="Z131" s="349">
        <v>1.97</v>
      </c>
      <c r="AA131" s="349">
        <v>1.96</v>
      </c>
      <c r="AB131" s="349">
        <v>1.95</v>
      </c>
      <c r="AC131" s="349">
        <v>1.94</v>
      </c>
      <c r="AD131" s="349">
        <v>1.93</v>
      </c>
      <c r="AE131" s="349">
        <v>1.92</v>
      </c>
      <c r="AF131" s="349">
        <v>1.91</v>
      </c>
      <c r="AG131" s="349">
        <v>1.9</v>
      </c>
      <c r="AH131" s="349">
        <v>1.89</v>
      </c>
      <c r="AI131" s="349">
        <v>1.88</v>
      </c>
      <c r="AJ131" s="349">
        <v>1.87</v>
      </c>
      <c r="AK131" s="349">
        <v>1.86</v>
      </c>
      <c r="AL131" s="349">
        <v>1.85</v>
      </c>
      <c r="AM131" s="349">
        <v>1.84</v>
      </c>
      <c r="AN131" s="349">
        <v>1.83</v>
      </c>
      <c r="AO131" s="349">
        <v>1.83</v>
      </c>
      <c r="AP131" s="349">
        <v>1.82</v>
      </c>
      <c r="AQ131" s="349">
        <v>1.8</v>
      </c>
      <c r="AR131" s="349">
        <v>1.79</v>
      </c>
      <c r="AS131" s="349">
        <v>1.78</v>
      </c>
      <c r="AT131" s="349">
        <v>1.77</v>
      </c>
      <c r="AU131" s="349">
        <v>1.76</v>
      </c>
      <c r="AV131" s="349">
        <v>1.75</v>
      </c>
      <c r="AW131" s="349">
        <v>1.75</v>
      </c>
      <c r="AX131" s="349">
        <v>1.74</v>
      </c>
      <c r="AY131" s="349">
        <v>1.73</v>
      </c>
    </row>
    <row r="132" spans="1:51">
      <c r="A132" s="111">
        <v>45777</v>
      </c>
      <c r="B132" s="126">
        <v>1.28</v>
      </c>
      <c r="C132" s="126">
        <v>1.28</v>
      </c>
      <c r="D132" s="126">
        <v>1.3</v>
      </c>
      <c r="E132" s="126">
        <v>1.34</v>
      </c>
      <c r="F132" s="126">
        <v>1.4</v>
      </c>
      <c r="G132" s="126">
        <v>1.46</v>
      </c>
      <c r="H132" s="126">
        <v>1.53</v>
      </c>
      <c r="I132" s="126">
        <v>1.6</v>
      </c>
      <c r="J132" s="126">
        <v>1.67</v>
      </c>
      <c r="K132" s="126">
        <v>1.73</v>
      </c>
      <c r="L132" s="126">
        <v>1.8</v>
      </c>
      <c r="M132" s="126">
        <v>1.85</v>
      </c>
      <c r="N132" s="126">
        <v>1.89</v>
      </c>
      <c r="O132" s="126">
        <v>1.93</v>
      </c>
      <c r="P132" s="436">
        <v>1.96</v>
      </c>
      <c r="Q132" s="126">
        <v>1.98</v>
      </c>
      <c r="R132" s="126">
        <v>1.99</v>
      </c>
      <c r="S132" s="126">
        <v>2</v>
      </c>
      <c r="T132" s="126">
        <v>2.0099999999999998</v>
      </c>
      <c r="U132" s="126">
        <v>2.02</v>
      </c>
      <c r="V132" s="126">
        <v>2.0099999999999998</v>
      </c>
      <c r="W132" s="126">
        <v>2</v>
      </c>
      <c r="X132" s="126">
        <v>2</v>
      </c>
      <c r="Y132" s="126">
        <v>1.99</v>
      </c>
      <c r="Z132" s="126">
        <v>1.99</v>
      </c>
      <c r="AA132" s="126">
        <v>1.98</v>
      </c>
      <c r="AB132" s="126">
        <v>1.96</v>
      </c>
      <c r="AC132" s="126">
        <v>1.95</v>
      </c>
      <c r="AD132" s="126">
        <v>1.94</v>
      </c>
      <c r="AE132" s="126">
        <v>1.94</v>
      </c>
      <c r="AF132" s="126">
        <v>1.92</v>
      </c>
      <c r="AG132" s="126">
        <v>1.91</v>
      </c>
      <c r="AH132" s="126">
        <v>1.9</v>
      </c>
      <c r="AI132" s="126">
        <v>1.89</v>
      </c>
      <c r="AJ132" s="126">
        <v>1.88</v>
      </c>
      <c r="AK132" s="126">
        <v>1.87</v>
      </c>
      <c r="AL132" s="126">
        <v>1.86</v>
      </c>
      <c r="AM132" s="126">
        <v>1.86</v>
      </c>
      <c r="AN132" s="126">
        <v>1.85</v>
      </c>
      <c r="AO132" s="126">
        <v>1.84</v>
      </c>
      <c r="AP132" s="126">
        <v>1.83</v>
      </c>
      <c r="AQ132" s="126">
        <v>1.82</v>
      </c>
      <c r="AR132" s="126">
        <v>1.81</v>
      </c>
      <c r="AS132" s="126">
        <v>1.8</v>
      </c>
      <c r="AT132" s="126">
        <v>1.79</v>
      </c>
      <c r="AU132" s="126">
        <v>1.78</v>
      </c>
      <c r="AV132" s="126">
        <v>1.77</v>
      </c>
      <c r="AW132" s="126">
        <v>1.76</v>
      </c>
      <c r="AX132" s="126">
        <v>1.75</v>
      </c>
      <c r="AY132" s="126">
        <v>1.74</v>
      </c>
    </row>
    <row r="133" spans="1:51">
      <c r="A133" s="111">
        <v>45808</v>
      </c>
      <c r="B133" s="126">
        <v>1.3</v>
      </c>
      <c r="C133" s="126">
        <v>1.3</v>
      </c>
      <c r="D133" s="126">
        <v>1.31</v>
      </c>
      <c r="E133" s="126">
        <v>1.36</v>
      </c>
      <c r="F133" s="126">
        <v>1.42</v>
      </c>
      <c r="G133" s="126">
        <v>1.48</v>
      </c>
      <c r="H133" s="126">
        <v>1.55</v>
      </c>
      <c r="I133" s="126">
        <v>1.62</v>
      </c>
      <c r="J133" s="126">
        <v>1.68</v>
      </c>
      <c r="K133" s="126">
        <v>1.75</v>
      </c>
      <c r="L133" s="126">
        <v>1.81</v>
      </c>
      <c r="M133" s="126">
        <v>1.86</v>
      </c>
      <c r="N133" s="126">
        <v>1.91</v>
      </c>
      <c r="O133" s="126">
        <v>1.94</v>
      </c>
      <c r="P133" s="436">
        <v>1.98</v>
      </c>
      <c r="Q133" s="126">
        <v>1.99</v>
      </c>
      <c r="R133" s="126">
        <v>2</v>
      </c>
      <c r="S133" s="126">
        <v>2.0099999999999998</v>
      </c>
      <c r="T133" s="126">
        <v>2.02</v>
      </c>
      <c r="U133" s="126">
        <v>2.0299999999999998</v>
      </c>
      <c r="V133" s="126">
        <v>2.02</v>
      </c>
      <c r="W133" s="126">
        <v>2.02</v>
      </c>
      <c r="X133" s="126">
        <v>2.0099999999999998</v>
      </c>
      <c r="Y133" s="126">
        <v>2.0099999999999998</v>
      </c>
      <c r="Z133" s="126">
        <v>2</v>
      </c>
      <c r="AA133" s="126">
        <v>1.99</v>
      </c>
      <c r="AB133" s="126">
        <v>1.98</v>
      </c>
      <c r="AC133" s="126">
        <v>1.97</v>
      </c>
      <c r="AD133" s="126">
        <v>1.96</v>
      </c>
      <c r="AE133" s="126">
        <v>1.95</v>
      </c>
      <c r="AF133" s="126">
        <v>1.93</v>
      </c>
      <c r="AG133" s="126">
        <v>1.92</v>
      </c>
      <c r="AH133" s="126">
        <v>1.91</v>
      </c>
      <c r="AI133" s="126">
        <v>1.9</v>
      </c>
      <c r="AJ133" s="126">
        <v>1.89</v>
      </c>
      <c r="AK133" s="126">
        <v>1.88</v>
      </c>
      <c r="AL133" s="126">
        <v>1.87</v>
      </c>
      <c r="AM133" s="126">
        <v>1.87</v>
      </c>
      <c r="AN133" s="126">
        <v>1.86</v>
      </c>
      <c r="AO133" s="126">
        <v>1.85</v>
      </c>
      <c r="AP133" s="126">
        <v>1.84</v>
      </c>
      <c r="AQ133" s="126">
        <v>1.83</v>
      </c>
      <c r="AR133" s="126">
        <v>1.82</v>
      </c>
      <c r="AS133" s="126">
        <v>1.81</v>
      </c>
      <c r="AT133" s="126">
        <v>1.8</v>
      </c>
      <c r="AU133" s="126">
        <v>1.79</v>
      </c>
      <c r="AV133" s="126">
        <v>1.78</v>
      </c>
      <c r="AW133" s="126">
        <v>1.77</v>
      </c>
      <c r="AX133" s="126">
        <v>1.76</v>
      </c>
      <c r="AY133" s="126">
        <v>1.75</v>
      </c>
    </row>
    <row r="134" spans="1:51">
      <c r="A134" s="761">
        <v>45838</v>
      </c>
      <c r="B134" s="349">
        <v>1.31</v>
      </c>
      <c r="C134" s="349">
        <v>1.31</v>
      </c>
      <c r="D134" s="349">
        <v>1.33</v>
      </c>
      <c r="E134" s="349">
        <v>1.37</v>
      </c>
      <c r="F134" s="349">
        <v>1.43</v>
      </c>
      <c r="G134" s="349">
        <v>1.49</v>
      </c>
      <c r="H134" s="349">
        <v>1.56</v>
      </c>
      <c r="I134" s="349">
        <v>1.63</v>
      </c>
      <c r="J134" s="349">
        <v>1.7</v>
      </c>
      <c r="K134" s="349">
        <v>1.76</v>
      </c>
      <c r="L134" s="349">
        <v>1.82</v>
      </c>
      <c r="M134" s="349">
        <v>1.87</v>
      </c>
      <c r="N134" s="349">
        <v>1.92</v>
      </c>
      <c r="O134" s="349">
        <v>1.96</v>
      </c>
      <c r="P134" s="2295">
        <v>1.99</v>
      </c>
      <c r="Q134" s="349">
        <v>2</v>
      </c>
      <c r="R134" s="349">
        <v>2.0099999999999998</v>
      </c>
      <c r="S134" s="349">
        <v>2.02</v>
      </c>
      <c r="T134" s="349">
        <v>2.0299999999999998</v>
      </c>
      <c r="U134" s="349">
        <v>2.04</v>
      </c>
      <c r="V134" s="349">
        <v>2.0299999999999998</v>
      </c>
      <c r="W134" s="349">
        <v>2.0299999999999998</v>
      </c>
      <c r="X134" s="349">
        <v>2.02</v>
      </c>
      <c r="Y134" s="349">
        <v>2.02</v>
      </c>
      <c r="Z134" s="349">
        <v>2.0099999999999998</v>
      </c>
      <c r="AA134" s="349">
        <v>2</v>
      </c>
      <c r="AB134" s="349">
        <v>1.99</v>
      </c>
      <c r="AC134" s="349">
        <v>1.97</v>
      </c>
      <c r="AD134" s="349">
        <v>1.96</v>
      </c>
      <c r="AE134" s="349">
        <v>1.96</v>
      </c>
      <c r="AF134" s="349">
        <v>1.94</v>
      </c>
      <c r="AG134" s="349">
        <v>1.93</v>
      </c>
      <c r="AH134" s="349">
        <v>1.92</v>
      </c>
      <c r="AI134" s="349">
        <v>1.91</v>
      </c>
      <c r="AJ134" s="349">
        <v>1.9</v>
      </c>
      <c r="AK134" s="349">
        <v>1.89</v>
      </c>
      <c r="AL134" s="349">
        <v>1.88</v>
      </c>
      <c r="AM134" s="349">
        <v>1.87</v>
      </c>
      <c r="AN134" s="349">
        <v>1.87</v>
      </c>
      <c r="AO134" s="349">
        <v>1.86</v>
      </c>
      <c r="AP134" s="349">
        <v>1.85</v>
      </c>
      <c r="AQ134" s="349">
        <v>1.84</v>
      </c>
      <c r="AR134" s="349">
        <v>1.83</v>
      </c>
      <c r="AS134" s="349">
        <v>1.81</v>
      </c>
      <c r="AT134" s="349">
        <v>1.8</v>
      </c>
      <c r="AU134" s="349">
        <v>1.8</v>
      </c>
      <c r="AV134" s="349">
        <v>1.79</v>
      </c>
      <c r="AW134" s="349">
        <v>1.78</v>
      </c>
      <c r="AX134" s="349">
        <v>1.77</v>
      </c>
      <c r="AY134" s="349">
        <v>1.76</v>
      </c>
    </row>
    <row r="135" spans="1:51">
      <c r="A135" s="2274">
        <v>45869</v>
      </c>
      <c r="B135" s="2273">
        <v>1.33</v>
      </c>
      <c r="C135" s="2273">
        <v>1.33</v>
      </c>
      <c r="D135" s="2273">
        <v>1.35</v>
      </c>
      <c r="E135" s="2273">
        <v>1.39</v>
      </c>
      <c r="F135" s="2273">
        <v>1.45</v>
      </c>
      <c r="G135" s="2273">
        <v>1.51</v>
      </c>
      <c r="H135" s="2273">
        <v>1.57</v>
      </c>
      <c r="I135" s="2273">
        <v>1.64</v>
      </c>
      <c r="J135" s="2273">
        <v>1.71</v>
      </c>
      <c r="K135" s="2273">
        <v>1.78</v>
      </c>
      <c r="L135" s="2273">
        <v>1.84</v>
      </c>
      <c r="M135" s="2273">
        <v>1.89</v>
      </c>
      <c r="N135" s="2273">
        <v>1.93</v>
      </c>
      <c r="O135" s="2273">
        <v>1.97</v>
      </c>
      <c r="P135" s="2296">
        <v>2</v>
      </c>
      <c r="Q135" s="2273">
        <v>2.0099999999999998</v>
      </c>
      <c r="R135" s="2273">
        <v>2.02</v>
      </c>
      <c r="S135" s="2273">
        <v>2.04</v>
      </c>
      <c r="T135" s="2273">
        <v>2.04</v>
      </c>
      <c r="U135" s="2273">
        <v>2.0499999999999998</v>
      </c>
      <c r="V135" s="2273">
        <v>2.04</v>
      </c>
      <c r="W135" s="2273">
        <v>2.04</v>
      </c>
      <c r="X135" s="2273">
        <v>2.0299999999999998</v>
      </c>
      <c r="Y135" s="2273">
        <v>2.0299999999999998</v>
      </c>
      <c r="Z135" s="2273">
        <v>2.02</v>
      </c>
      <c r="AA135" s="2273">
        <v>2.0099999999999998</v>
      </c>
      <c r="AB135" s="2273">
        <v>2</v>
      </c>
      <c r="AC135" s="2273">
        <v>1.99</v>
      </c>
      <c r="AD135" s="2273">
        <v>1.98</v>
      </c>
      <c r="AE135" s="2273">
        <v>1.97</v>
      </c>
      <c r="AF135" s="2273">
        <v>1.95</v>
      </c>
      <c r="AG135" s="2273">
        <v>1.94</v>
      </c>
      <c r="AH135" s="2273">
        <v>1.93</v>
      </c>
      <c r="AI135" s="2273">
        <v>1.92</v>
      </c>
      <c r="AJ135" s="2273">
        <v>1.91</v>
      </c>
      <c r="AK135" s="2273">
        <v>1.9</v>
      </c>
      <c r="AL135" s="2273">
        <v>1.89</v>
      </c>
      <c r="AM135" s="2273">
        <v>1.88</v>
      </c>
      <c r="AN135" s="2273">
        <v>1.88</v>
      </c>
      <c r="AO135" s="2273">
        <v>1.87</v>
      </c>
      <c r="AP135" s="2273">
        <v>1.86</v>
      </c>
      <c r="AQ135" s="2273">
        <v>1.85</v>
      </c>
      <c r="AR135" s="2273">
        <v>1.84</v>
      </c>
      <c r="AS135" s="2273">
        <v>1.82</v>
      </c>
      <c r="AT135" s="2273">
        <v>1.81</v>
      </c>
      <c r="AU135" s="2273">
        <v>1.81</v>
      </c>
      <c r="AV135" s="2273">
        <v>1.8</v>
      </c>
      <c r="AW135" s="2273">
        <v>1.79</v>
      </c>
      <c r="AX135" s="2273">
        <v>1.78</v>
      </c>
      <c r="AY135" s="2273">
        <v>1.77</v>
      </c>
    </row>
    <row r="136" spans="1:51">
      <c r="A136" s="2278">
        <v>45900</v>
      </c>
      <c r="B136" s="2277">
        <v>1.35</v>
      </c>
      <c r="C136" s="2277">
        <v>1.34</v>
      </c>
      <c r="D136" s="2277">
        <v>1.36</v>
      </c>
      <c r="E136" s="2277">
        <v>1.41</v>
      </c>
      <c r="F136" s="2277">
        <v>1.46</v>
      </c>
      <c r="G136" s="2277">
        <v>1.52</v>
      </c>
      <c r="H136" s="2277">
        <v>1.59</v>
      </c>
      <c r="I136" s="2277">
        <v>1.66</v>
      </c>
      <c r="J136" s="2277">
        <v>1.72</v>
      </c>
      <c r="K136" s="2277">
        <v>1.79</v>
      </c>
      <c r="L136" s="2277">
        <v>1.85</v>
      </c>
      <c r="M136" s="2277">
        <v>1.9</v>
      </c>
      <c r="N136" s="2277">
        <v>1.94</v>
      </c>
      <c r="O136" s="2277">
        <v>1.98</v>
      </c>
      <c r="P136" s="2297">
        <v>2.0099999999999998</v>
      </c>
      <c r="Q136" s="2277">
        <v>2.02</v>
      </c>
      <c r="R136" s="2277">
        <v>2.04</v>
      </c>
      <c r="S136" s="2277">
        <v>2.0499999999999998</v>
      </c>
      <c r="T136" s="2277">
        <v>2.0499999999999998</v>
      </c>
      <c r="U136" s="2277">
        <v>2.06</v>
      </c>
      <c r="V136" s="2277">
        <v>2.06</v>
      </c>
      <c r="W136" s="2277">
        <v>2.0499999999999998</v>
      </c>
      <c r="X136" s="2277">
        <v>2.04</v>
      </c>
      <c r="Y136" s="2277">
        <v>2.04</v>
      </c>
      <c r="Z136" s="2277">
        <v>2.0299999999999998</v>
      </c>
      <c r="AA136" s="2277">
        <v>2.02</v>
      </c>
      <c r="AB136" s="2277">
        <v>2.0099999999999998</v>
      </c>
      <c r="AC136" s="2277">
        <v>2</v>
      </c>
      <c r="AD136" s="2277">
        <v>1.99</v>
      </c>
      <c r="AE136" s="2277">
        <v>1.98</v>
      </c>
      <c r="AF136" s="2277">
        <v>1.96</v>
      </c>
      <c r="AG136" s="2277">
        <v>1.95</v>
      </c>
      <c r="AH136" s="2277">
        <v>1.94</v>
      </c>
      <c r="AI136" s="2277">
        <v>1.93</v>
      </c>
      <c r="AJ136" s="2277">
        <v>1.92</v>
      </c>
      <c r="AK136" s="2277">
        <v>1.91</v>
      </c>
      <c r="AL136" s="2277">
        <v>1.9</v>
      </c>
      <c r="AM136" s="2277">
        <v>1.89</v>
      </c>
      <c r="AN136" s="2277">
        <v>1.89</v>
      </c>
      <c r="AO136" s="2277">
        <v>1.88</v>
      </c>
      <c r="AP136" s="2277">
        <v>1.87</v>
      </c>
      <c r="AQ136" s="2277">
        <v>1.86</v>
      </c>
      <c r="AR136" s="2277">
        <v>1.84</v>
      </c>
      <c r="AS136" s="2277">
        <v>1.83</v>
      </c>
      <c r="AT136" s="2277">
        <v>1.82</v>
      </c>
      <c r="AU136" s="2277">
        <v>1.82</v>
      </c>
      <c r="AV136" s="2277">
        <v>1.81</v>
      </c>
      <c r="AW136" s="2277">
        <v>1.8</v>
      </c>
      <c r="AX136" s="2277">
        <v>1.79</v>
      </c>
      <c r="AY136" s="2277">
        <v>1.78</v>
      </c>
    </row>
    <row r="137" spans="1:51">
      <c r="A137" s="111">
        <v>45930</v>
      </c>
      <c r="B137" s="126">
        <v>1.36</v>
      </c>
      <c r="C137" s="126">
        <v>1.36</v>
      </c>
      <c r="D137" s="126">
        <v>1.38</v>
      </c>
      <c r="E137" s="126">
        <v>1.42</v>
      </c>
      <c r="F137" s="126">
        <v>1.48</v>
      </c>
      <c r="G137" s="126">
        <v>1.54</v>
      </c>
      <c r="H137" s="126">
        <v>1.6</v>
      </c>
      <c r="I137" s="126">
        <v>1.67</v>
      </c>
      <c r="J137" s="126">
        <v>1.73</v>
      </c>
      <c r="K137" s="126">
        <v>1.8</v>
      </c>
      <c r="L137" s="126">
        <v>1.86</v>
      </c>
      <c r="M137" s="126">
        <v>1.91</v>
      </c>
      <c r="N137" s="126">
        <v>1.95</v>
      </c>
      <c r="O137" s="126">
        <v>1.99</v>
      </c>
      <c r="P137" s="436">
        <v>2.02</v>
      </c>
      <c r="Q137" s="126">
        <v>2.0299999999999998</v>
      </c>
      <c r="R137" s="126">
        <v>2.0499999999999998</v>
      </c>
      <c r="S137" s="126">
        <v>2.06</v>
      </c>
      <c r="T137" s="126">
        <v>2.06</v>
      </c>
      <c r="U137" s="126">
        <v>2.0699999999999998</v>
      </c>
      <c r="V137" s="126">
        <v>2.06</v>
      </c>
      <c r="W137" s="126">
        <v>2.06</v>
      </c>
      <c r="X137" s="126">
        <v>2.0499999999999998</v>
      </c>
      <c r="Y137" s="126">
        <v>2.0499999999999998</v>
      </c>
      <c r="Z137" s="126">
        <v>2.04</v>
      </c>
      <c r="AA137" s="126">
        <v>2.0299999999999998</v>
      </c>
      <c r="AB137" s="126">
        <v>2.02</v>
      </c>
      <c r="AC137" s="126">
        <v>2</v>
      </c>
      <c r="AD137" s="126">
        <v>1.99</v>
      </c>
      <c r="AE137" s="126">
        <v>1.99</v>
      </c>
      <c r="AF137" s="126">
        <v>1.97</v>
      </c>
      <c r="AG137" s="126">
        <v>1.96</v>
      </c>
      <c r="AH137" s="126">
        <v>1.95</v>
      </c>
      <c r="AI137" s="126">
        <v>1.94</v>
      </c>
      <c r="AJ137" s="126">
        <v>1.93</v>
      </c>
      <c r="AK137" s="126">
        <v>1.92</v>
      </c>
      <c r="AL137" s="126">
        <v>1.91</v>
      </c>
      <c r="AM137" s="126">
        <v>1.9</v>
      </c>
      <c r="AN137" s="126">
        <v>1.9</v>
      </c>
      <c r="AO137" s="126">
        <v>1.89</v>
      </c>
      <c r="AP137" s="126">
        <v>1.88</v>
      </c>
      <c r="AQ137" s="126">
        <v>1.86</v>
      </c>
      <c r="AR137" s="126">
        <v>1.85</v>
      </c>
      <c r="AS137" s="126">
        <v>1.84</v>
      </c>
      <c r="AT137" s="126">
        <v>1.83</v>
      </c>
      <c r="AU137" s="126">
        <v>1.82</v>
      </c>
      <c r="AV137" s="126">
        <v>1.81</v>
      </c>
      <c r="AW137" s="126">
        <v>1.81</v>
      </c>
      <c r="AX137" s="126">
        <v>1.8</v>
      </c>
      <c r="AY137" s="126">
        <v>1.79</v>
      </c>
    </row>
    <row r="138" spans="1:51" s="113" customFormat="1">
      <c r="A138" s="2275">
        <v>45961</v>
      </c>
      <c r="B138" s="2276">
        <v>1.38</v>
      </c>
      <c r="C138" s="2276">
        <v>1.37</v>
      </c>
      <c r="D138" s="2276">
        <v>1.39</v>
      </c>
      <c r="E138" s="2276">
        <v>1.44</v>
      </c>
      <c r="F138" s="2276">
        <v>1.49</v>
      </c>
      <c r="G138" s="2276">
        <v>1.55</v>
      </c>
      <c r="H138" s="2276">
        <v>1.62</v>
      </c>
      <c r="I138" s="2276">
        <v>1.68</v>
      </c>
      <c r="J138" s="2276">
        <v>1.75</v>
      </c>
      <c r="K138" s="2276">
        <v>1.81</v>
      </c>
      <c r="L138" s="2276">
        <v>1.87</v>
      </c>
      <c r="M138" s="2276">
        <v>1.92</v>
      </c>
      <c r="N138" s="2276">
        <v>1.96</v>
      </c>
      <c r="O138" s="2276">
        <v>2</v>
      </c>
      <c r="P138" s="2298">
        <v>2.0299999999999998</v>
      </c>
      <c r="Q138" s="2276">
        <v>2.0499999999999998</v>
      </c>
      <c r="R138" s="2276">
        <v>2.06</v>
      </c>
      <c r="S138" s="2276">
        <v>2.0699999999999998</v>
      </c>
      <c r="T138" s="2276">
        <v>2.08</v>
      </c>
      <c r="U138" s="2276">
        <v>2.08</v>
      </c>
      <c r="V138" s="2276">
        <v>2.08</v>
      </c>
      <c r="W138" s="2276">
        <v>2.0699999999999998</v>
      </c>
      <c r="X138" s="2276">
        <v>2.06</v>
      </c>
      <c r="Y138" s="2276">
        <v>2.06</v>
      </c>
      <c r="Z138" s="2276">
        <v>2.0499999999999998</v>
      </c>
      <c r="AA138" s="2276">
        <v>2.04</v>
      </c>
      <c r="AB138" s="2276">
        <v>2.0299999999999998</v>
      </c>
      <c r="AC138" s="2276">
        <v>2.0099999999999998</v>
      </c>
      <c r="AD138" s="2276">
        <v>2</v>
      </c>
      <c r="AE138" s="2276">
        <v>2</v>
      </c>
      <c r="AF138" s="2276">
        <v>1.98</v>
      </c>
      <c r="AG138" s="2276">
        <v>1.97</v>
      </c>
      <c r="AH138" s="2276">
        <v>1.96</v>
      </c>
      <c r="AI138" s="2276">
        <v>1.95</v>
      </c>
      <c r="AJ138" s="2276">
        <v>1.94</v>
      </c>
      <c r="AK138" s="2276">
        <v>1.93</v>
      </c>
      <c r="AL138" s="2276">
        <v>1.92</v>
      </c>
      <c r="AM138" s="2276">
        <v>1.91</v>
      </c>
      <c r="AN138" s="2276">
        <v>1.9</v>
      </c>
      <c r="AO138" s="2276">
        <v>1.9</v>
      </c>
      <c r="AP138" s="2276">
        <v>1.88</v>
      </c>
      <c r="AQ138" s="2276">
        <v>1.87</v>
      </c>
      <c r="AR138" s="2276">
        <v>1.86</v>
      </c>
      <c r="AS138" s="2276">
        <v>1.85</v>
      </c>
      <c r="AT138" s="2276">
        <v>1.84</v>
      </c>
      <c r="AU138" s="2276">
        <v>1.83</v>
      </c>
      <c r="AV138" s="2276">
        <v>1.82</v>
      </c>
      <c r="AW138" s="2276">
        <v>1.81</v>
      </c>
      <c r="AX138" s="2276">
        <v>1.81</v>
      </c>
      <c r="AY138" s="2276">
        <v>1.8</v>
      </c>
    </row>
    <row r="139" spans="1:51" s="113" customFormat="1">
      <c r="A139" s="2275">
        <v>45991</v>
      </c>
      <c r="B139" s="2276">
        <v>1.4</v>
      </c>
      <c r="C139" s="2276">
        <v>1.39</v>
      </c>
      <c r="D139" s="2276">
        <v>1.41</v>
      </c>
      <c r="E139" s="2276">
        <v>1.45</v>
      </c>
      <c r="F139" s="2276">
        <v>1.51</v>
      </c>
      <c r="G139" s="2276">
        <v>1.57</v>
      </c>
      <c r="H139" s="2276">
        <v>1.63</v>
      </c>
      <c r="I139" s="2276">
        <v>1.7</v>
      </c>
      <c r="J139" s="2276">
        <v>1.76</v>
      </c>
      <c r="K139" s="2276">
        <v>1.83</v>
      </c>
      <c r="L139" s="2276">
        <v>1.89</v>
      </c>
      <c r="M139" s="2276">
        <v>1.93</v>
      </c>
      <c r="N139" s="2276">
        <v>1.98</v>
      </c>
      <c r="O139" s="2276">
        <v>2.0099999999999998</v>
      </c>
      <c r="P139" s="2298">
        <v>2.0499999999999998</v>
      </c>
      <c r="Q139" s="2276">
        <v>2.06</v>
      </c>
      <c r="R139" s="2276">
        <v>2.0699999999999998</v>
      </c>
      <c r="S139" s="2276">
        <v>2.08</v>
      </c>
      <c r="T139" s="2276">
        <v>2.09</v>
      </c>
      <c r="U139" s="2276">
        <v>2.1</v>
      </c>
      <c r="V139" s="2276">
        <v>2.09</v>
      </c>
      <c r="W139" s="2276">
        <v>2.08</v>
      </c>
      <c r="X139" s="2276">
        <v>2.0699999999999998</v>
      </c>
      <c r="Y139" s="2276">
        <v>2.0699999999999998</v>
      </c>
      <c r="Z139" s="2276">
        <v>2.06</v>
      </c>
      <c r="AA139" s="2276">
        <v>2.0499999999999998</v>
      </c>
      <c r="AB139" s="2276">
        <v>2.04</v>
      </c>
      <c r="AC139" s="2276">
        <v>2.0299999999999998</v>
      </c>
      <c r="AD139" s="2276">
        <v>2.02</v>
      </c>
      <c r="AE139" s="2276">
        <v>2.0099999999999998</v>
      </c>
      <c r="AF139" s="2276">
        <v>1.99</v>
      </c>
      <c r="AG139" s="2276">
        <v>1.98</v>
      </c>
      <c r="AH139" s="2276">
        <v>1.97</v>
      </c>
      <c r="AI139" s="2276">
        <v>1.96</v>
      </c>
      <c r="AJ139" s="2276">
        <v>1.95</v>
      </c>
      <c r="AK139" s="2276">
        <v>1.94</v>
      </c>
      <c r="AL139" s="2276">
        <v>1.93</v>
      </c>
      <c r="AM139" s="2276">
        <v>1.92</v>
      </c>
      <c r="AN139" s="2276">
        <v>1.92</v>
      </c>
      <c r="AO139" s="2276">
        <v>1.91</v>
      </c>
      <c r="AP139" s="2276">
        <v>1.9</v>
      </c>
      <c r="AQ139" s="2276">
        <v>1.88</v>
      </c>
      <c r="AR139" s="2276">
        <v>1.87</v>
      </c>
      <c r="AS139" s="2276">
        <v>1.86</v>
      </c>
      <c r="AT139" s="2276">
        <v>1.85</v>
      </c>
      <c r="AU139" s="2276">
        <v>1.84</v>
      </c>
      <c r="AV139" s="2276">
        <v>1.83</v>
      </c>
      <c r="AW139" s="2276">
        <v>1.83</v>
      </c>
      <c r="AX139" s="2276">
        <v>1.82</v>
      </c>
      <c r="AY139" s="2276">
        <v>1.81</v>
      </c>
    </row>
    <row r="140" spans="1:51">
      <c r="A140" s="2293">
        <v>46022</v>
      </c>
      <c r="B140" s="2294">
        <v>1.41</v>
      </c>
      <c r="C140" s="2294">
        <v>1.41</v>
      </c>
      <c r="D140" s="2294">
        <v>1.43</v>
      </c>
      <c r="E140" s="2294">
        <v>1.47</v>
      </c>
      <c r="F140" s="2294">
        <v>1.53</v>
      </c>
      <c r="G140" s="2294">
        <v>1.59</v>
      </c>
      <c r="H140" s="2294">
        <v>1.65</v>
      </c>
      <c r="I140" s="2294">
        <v>1.71</v>
      </c>
      <c r="J140" s="2294">
        <v>1.78</v>
      </c>
      <c r="K140" s="2294">
        <v>1.84</v>
      </c>
      <c r="L140" s="2294">
        <v>1.9</v>
      </c>
      <c r="M140" s="2294">
        <v>1.95</v>
      </c>
      <c r="N140" s="2294">
        <v>1.99</v>
      </c>
      <c r="O140" s="2294">
        <v>2.0299999999999998</v>
      </c>
      <c r="P140" s="2299">
        <v>2.06</v>
      </c>
      <c r="Q140" s="2294">
        <v>2.0699999999999998</v>
      </c>
      <c r="R140" s="2294">
        <v>2.08</v>
      </c>
      <c r="S140" s="2294">
        <v>2.09</v>
      </c>
      <c r="T140" s="2294">
        <v>2.1</v>
      </c>
      <c r="U140" s="2294">
        <v>2.11</v>
      </c>
      <c r="V140" s="2294">
        <v>2.1</v>
      </c>
      <c r="W140" s="2294">
        <v>2.09</v>
      </c>
      <c r="X140" s="2294">
        <v>2.09</v>
      </c>
      <c r="Y140" s="2294">
        <v>2.08</v>
      </c>
      <c r="Z140" s="2294">
        <v>2.0699999999999998</v>
      </c>
      <c r="AA140" s="2294">
        <v>2.06</v>
      </c>
      <c r="AB140" s="2294">
        <v>2.0499999999999998</v>
      </c>
      <c r="AC140" s="2294">
        <v>2.04</v>
      </c>
      <c r="AD140" s="2294">
        <v>2.0299999999999998</v>
      </c>
      <c r="AE140" s="2294">
        <v>2.02</v>
      </c>
      <c r="AF140" s="2294">
        <v>2.0099999999999998</v>
      </c>
      <c r="AG140" s="2294">
        <v>1.99</v>
      </c>
      <c r="AH140" s="2294">
        <v>1.98</v>
      </c>
      <c r="AI140" s="2294">
        <v>1.97</v>
      </c>
      <c r="AJ140" s="2294">
        <v>1.96</v>
      </c>
      <c r="AK140" s="2294">
        <v>1.95</v>
      </c>
      <c r="AL140" s="2294">
        <v>1.94</v>
      </c>
      <c r="AM140" s="2294">
        <v>1.94</v>
      </c>
      <c r="AN140" s="2294">
        <v>1.93</v>
      </c>
      <c r="AO140" s="2294">
        <v>1.92</v>
      </c>
      <c r="AP140" s="2294">
        <v>1.91</v>
      </c>
      <c r="AQ140" s="2294">
        <v>1.9</v>
      </c>
      <c r="AR140" s="2294">
        <v>1.88</v>
      </c>
      <c r="AS140" s="2294">
        <v>1.87</v>
      </c>
      <c r="AT140" s="2294">
        <v>1.86</v>
      </c>
      <c r="AU140" s="2294">
        <v>1.85</v>
      </c>
      <c r="AV140" s="2294">
        <v>1.85</v>
      </c>
      <c r="AW140" s="2294">
        <v>1.84</v>
      </c>
      <c r="AX140" s="2294">
        <v>1.83</v>
      </c>
      <c r="AY140" s="2294">
        <v>1.82</v>
      </c>
    </row>
    <row r="141" spans="1:51">
      <c r="A141" s="2308">
        <v>46053</v>
      </c>
      <c r="B141" s="2307">
        <v>1.43</v>
      </c>
      <c r="C141" s="2307">
        <v>1.43</v>
      </c>
      <c r="D141" s="2307">
        <v>1.45</v>
      </c>
      <c r="E141" s="2307">
        <v>1.49</v>
      </c>
      <c r="F141" s="2307">
        <v>1.54</v>
      </c>
      <c r="G141" s="2307">
        <v>1.6</v>
      </c>
      <c r="H141" s="2307">
        <v>1.67</v>
      </c>
      <c r="I141" s="2307">
        <v>1.73</v>
      </c>
      <c r="J141" s="2307">
        <v>1.8</v>
      </c>
      <c r="K141" s="2307">
        <v>1.86</v>
      </c>
      <c r="L141" s="2307">
        <v>1.92</v>
      </c>
      <c r="M141" s="2307">
        <v>1.96</v>
      </c>
      <c r="N141" s="2307">
        <v>2.0099999999999998</v>
      </c>
      <c r="O141" s="2307">
        <v>2.04</v>
      </c>
      <c r="P141" s="2307">
        <v>2.0699999999999998</v>
      </c>
      <c r="Q141" s="2307">
        <v>2.09</v>
      </c>
      <c r="R141" s="2307">
        <v>2.1</v>
      </c>
      <c r="S141" s="2307">
        <v>2.11</v>
      </c>
      <c r="T141" s="2307">
        <v>2.11</v>
      </c>
      <c r="U141" s="2307">
        <v>2.12</v>
      </c>
      <c r="V141" s="2307">
        <v>2.11</v>
      </c>
      <c r="W141" s="2307">
        <v>2.11</v>
      </c>
      <c r="X141" s="2307">
        <v>2.1</v>
      </c>
      <c r="Y141" s="2307">
        <v>2.09</v>
      </c>
      <c r="Z141" s="2307">
        <v>2.09</v>
      </c>
      <c r="AA141" s="2307">
        <v>2.08</v>
      </c>
      <c r="AB141" s="2307">
        <v>2.06</v>
      </c>
      <c r="AC141" s="2307">
        <v>2.0499999999999998</v>
      </c>
      <c r="AD141" s="2307">
        <v>2.04</v>
      </c>
      <c r="AE141" s="2307">
        <v>2.0299999999999998</v>
      </c>
      <c r="AF141" s="2307">
        <v>2.02</v>
      </c>
      <c r="AG141" s="2307">
        <v>2.0099999999999998</v>
      </c>
      <c r="AH141" s="2307">
        <v>2</v>
      </c>
      <c r="AI141" s="2307">
        <v>1.99</v>
      </c>
      <c r="AJ141" s="2307">
        <v>1.98</v>
      </c>
      <c r="AK141" s="2307">
        <v>1.97</v>
      </c>
      <c r="AL141" s="2307">
        <v>1.96</v>
      </c>
      <c r="AM141" s="2307">
        <v>1.95</v>
      </c>
      <c r="AN141" s="2307">
        <v>1.94</v>
      </c>
      <c r="AO141" s="2307">
        <v>1.93</v>
      </c>
      <c r="AP141" s="2307">
        <v>1.92</v>
      </c>
      <c r="AQ141" s="2307">
        <v>1.91</v>
      </c>
      <c r="AR141" s="2307">
        <v>1.9</v>
      </c>
      <c r="AS141" s="2307">
        <v>1.89</v>
      </c>
      <c r="AT141" s="2307">
        <v>1.88</v>
      </c>
      <c r="AU141" s="2307">
        <v>1.87</v>
      </c>
      <c r="AV141" s="2307">
        <v>1.86</v>
      </c>
      <c r="AW141" s="2307">
        <v>1.85</v>
      </c>
      <c r="AX141" s="2307">
        <v>1.84</v>
      </c>
      <c r="AY141" s="2307">
        <v>1.83</v>
      </c>
    </row>
    <row r="142" spans="1:51">
      <c r="A142" s="2308">
        <v>46081</v>
      </c>
      <c r="B142" s="2307">
        <v>1.45</v>
      </c>
      <c r="C142" s="2307">
        <v>1.45</v>
      </c>
      <c r="D142" s="2307">
        <v>1.47</v>
      </c>
      <c r="E142" s="2307">
        <v>1.51</v>
      </c>
      <c r="F142" s="2307">
        <v>1.56</v>
      </c>
      <c r="G142" s="2307">
        <v>1.62</v>
      </c>
      <c r="H142" s="2307">
        <v>1.68</v>
      </c>
      <c r="I142" s="2307">
        <v>1.75</v>
      </c>
      <c r="J142" s="2307">
        <v>1.81</v>
      </c>
      <c r="K142" s="2307">
        <v>1.88</v>
      </c>
      <c r="L142" s="2307">
        <v>1.93</v>
      </c>
      <c r="M142" s="2307">
        <v>1.98</v>
      </c>
      <c r="N142" s="2307">
        <v>2.02</v>
      </c>
      <c r="O142" s="2307">
        <v>2.06</v>
      </c>
      <c r="P142" s="2307">
        <v>2.09</v>
      </c>
      <c r="Q142" s="2307">
        <v>2.1</v>
      </c>
      <c r="R142" s="2307">
        <v>2.11</v>
      </c>
      <c r="S142" s="2307">
        <v>2.12</v>
      </c>
      <c r="T142" s="2307">
        <v>2.13</v>
      </c>
      <c r="U142" s="2307">
        <v>2.14</v>
      </c>
      <c r="V142" s="2307">
        <v>2.13</v>
      </c>
      <c r="W142" s="2307">
        <v>2.12</v>
      </c>
      <c r="X142" s="2307">
        <v>2.12</v>
      </c>
      <c r="Y142" s="2307">
        <v>2.11</v>
      </c>
      <c r="Z142" s="2307">
        <v>2.1</v>
      </c>
      <c r="AA142" s="2307">
        <v>2.09</v>
      </c>
      <c r="AB142" s="2307">
        <v>2.08</v>
      </c>
      <c r="AC142" s="2307">
        <v>2.0699999999999998</v>
      </c>
      <c r="AD142" s="2307">
        <v>2.06</v>
      </c>
      <c r="AE142" s="2307">
        <v>2.0499999999999998</v>
      </c>
      <c r="AF142" s="2307">
        <v>2.04</v>
      </c>
      <c r="AG142" s="2307">
        <v>2.02</v>
      </c>
      <c r="AH142" s="2307">
        <v>2.0099999999999998</v>
      </c>
      <c r="AI142" s="2307">
        <v>2</v>
      </c>
      <c r="AJ142" s="2307">
        <v>1.99</v>
      </c>
      <c r="AK142" s="2307">
        <v>1.98</v>
      </c>
      <c r="AL142" s="2307">
        <v>1.97</v>
      </c>
      <c r="AM142" s="2307">
        <v>1.96</v>
      </c>
      <c r="AN142" s="2307">
        <v>1.96</v>
      </c>
      <c r="AO142" s="2307">
        <v>1.95</v>
      </c>
      <c r="AP142" s="2307">
        <v>1.94</v>
      </c>
      <c r="AQ142" s="2307">
        <v>1.92</v>
      </c>
      <c r="AR142" s="2307">
        <v>1.91</v>
      </c>
      <c r="AS142" s="2307">
        <v>1.9</v>
      </c>
      <c r="AT142" s="2307">
        <v>1.89</v>
      </c>
      <c r="AU142" s="2307">
        <v>1.88</v>
      </c>
      <c r="AV142" s="2307">
        <v>1.87</v>
      </c>
      <c r="AW142" s="2307">
        <v>1.86</v>
      </c>
      <c r="AX142" s="2307">
        <v>1.85</v>
      </c>
      <c r="AY142" s="2307">
        <v>1.85</v>
      </c>
    </row>
    <row r="143" spans="1:51">
      <c r="A143" s="2308"/>
      <c r="B143" s="2307"/>
      <c r="C143" s="2307"/>
      <c r="D143" s="2307"/>
      <c r="E143" s="2307"/>
      <c r="F143" s="2307"/>
      <c r="G143" s="2307"/>
      <c r="H143" s="2307"/>
      <c r="I143" s="2307"/>
      <c r="J143" s="2307"/>
      <c r="K143" s="2307"/>
      <c r="L143" s="2307"/>
      <c r="M143" s="2307"/>
      <c r="N143" s="2307"/>
      <c r="O143" s="2307"/>
      <c r="P143" s="2307"/>
      <c r="Q143" s="2307"/>
      <c r="R143" s="2307"/>
      <c r="S143" s="2307"/>
      <c r="T143" s="2307"/>
      <c r="U143" s="2307"/>
      <c r="V143" s="2307"/>
      <c r="W143" s="2307"/>
      <c r="X143" s="2307"/>
      <c r="Y143" s="2307"/>
      <c r="Z143" s="2307"/>
      <c r="AA143" s="2307"/>
      <c r="AB143" s="2307"/>
      <c r="AC143" s="2307"/>
      <c r="AD143" s="2307"/>
      <c r="AE143" s="2307"/>
      <c r="AF143" s="2307"/>
      <c r="AG143" s="2307"/>
      <c r="AH143" s="2307"/>
      <c r="AI143" s="2307"/>
      <c r="AJ143" s="2307"/>
      <c r="AK143" s="2307"/>
      <c r="AL143" s="2307"/>
      <c r="AM143" s="2307"/>
      <c r="AN143" s="2307"/>
      <c r="AO143" s="2307"/>
      <c r="AP143" s="2307"/>
      <c r="AQ143" s="2307"/>
      <c r="AR143" s="2307"/>
      <c r="AS143" s="2307"/>
      <c r="AT143" s="2307"/>
      <c r="AU143" s="2307"/>
      <c r="AV143" s="2307"/>
      <c r="AW143" s="2307"/>
      <c r="AX143" s="2307"/>
      <c r="AY143" s="2307"/>
    </row>
    <row r="144" spans="1:51">
      <c r="A144" s="111"/>
      <c r="B144" s="126"/>
      <c r="C144" s="126"/>
      <c r="D144" s="126"/>
      <c r="E144" s="126"/>
      <c r="F144" s="126"/>
      <c r="G144" s="126"/>
      <c r="H144" s="126"/>
      <c r="I144" s="126"/>
      <c r="J144" s="126"/>
      <c r="K144" s="126"/>
      <c r="L144" s="126"/>
      <c r="M144" s="126"/>
      <c r="N144" s="126"/>
      <c r="O144" s="126"/>
      <c r="P144" s="43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3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2300"/>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3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3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3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3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3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3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3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3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3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3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3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3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3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3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3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3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3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3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3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3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3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3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3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3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3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3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3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3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3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3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3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3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3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3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3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3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3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3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3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3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3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3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3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3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3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3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3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3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3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3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3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3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3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row r="200" spans="1:51">
      <c r="A200" s="111"/>
      <c r="B200" s="126"/>
      <c r="C200" s="126"/>
      <c r="D200" s="126"/>
      <c r="E200" s="126"/>
      <c r="F200" s="126"/>
      <c r="G200" s="126"/>
      <c r="H200" s="126"/>
      <c r="I200" s="126"/>
      <c r="J200" s="126"/>
      <c r="K200" s="126"/>
      <c r="L200" s="126"/>
      <c r="M200" s="126"/>
      <c r="N200" s="126"/>
      <c r="O200" s="126"/>
      <c r="P200" s="43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row>
    <row r="201" spans="1:51">
      <c r="A201" s="111"/>
      <c r="B201" s="126"/>
      <c r="C201" s="126"/>
      <c r="D201" s="126"/>
      <c r="E201" s="126"/>
      <c r="F201" s="126"/>
      <c r="G201" s="126"/>
      <c r="H201" s="126"/>
      <c r="I201" s="126"/>
      <c r="J201" s="126"/>
      <c r="K201" s="126"/>
      <c r="L201" s="126"/>
      <c r="M201" s="126"/>
      <c r="N201" s="126"/>
      <c r="O201" s="126"/>
      <c r="P201" s="43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34CB-DA19-4F09-B795-F5F2CBB46840}">
  <dimension ref="A1"/>
  <sheetViews>
    <sheetView workbookViewId="0"/>
  </sheetViews>
  <sheetFormatPr baseColWidth="10" defaultRowHeight="14.25"/>
  <sheetData/>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1747</v>
      </c>
      <c r="B1" s="404" t="s">
        <v>865</v>
      </c>
    </row>
    <row r="2" spans="1:6" ht="15">
      <c r="B2" s="404" t="s">
        <v>866</v>
      </c>
    </row>
    <row r="4" spans="1:6" ht="15">
      <c r="A4" t="s">
        <v>1748</v>
      </c>
      <c r="B4" s="404" t="s">
        <v>864</v>
      </c>
    </row>
    <row r="5" spans="1:6" ht="15">
      <c r="A5" t="s">
        <v>1749</v>
      </c>
      <c r="B5" s="1716" t="s">
        <v>849</v>
      </c>
    </row>
    <row r="6" spans="1:6" ht="15.75">
      <c r="A6" t="s">
        <v>1750</v>
      </c>
      <c r="B6" s="1717" t="str">
        <f>CHAR(98)</f>
        <v>b</v>
      </c>
    </row>
    <row r="7" spans="1:6" ht="15">
      <c r="A7" t="s">
        <v>1757</v>
      </c>
      <c r="B7" s="1729" t="s">
        <v>879</v>
      </c>
      <c r="C7" s="1716" t="s">
        <v>1760</v>
      </c>
      <c r="D7" s="1716" t="s">
        <v>1761</v>
      </c>
      <c r="E7" s="1716" t="s">
        <v>1762</v>
      </c>
    </row>
    <row r="8" spans="1:6" ht="15">
      <c r="A8" t="s">
        <v>1751</v>
      </c>
      <c r="B8" s="404" t="s">
        <v>970</v>
      </c>
    </row>
    <row r="9" spans="1:6" ht="15">
      <c r="A9" t="s">
        <v>1752</v>
      </c>
      <c r="B9" s="404" t="s">
        <v>848</v>
      </c>
    </row>
    <row r="10" spans="1:6" ht="15">
      <c r="A10" t="s">
        <v>1753</v>
      </c>
      <c r="B10" s="1716" t="s">
        <v>1576</v>
      </c>
    </row>
    <row r="11" spans="1:6" ht="87.75">
      <c r="A11" t="s">
        <v>688</v>
      </c>
      <c r="B11" s="1296" t="s">
        <v>1754</v>
      </c>
      <c r="C11" s="1726"/>
      <c r="D11" s="1782"/>
    </row>
    <row r="12" spans="1:6" ht="20.25">
      <c r="A12" t="s">
        <v>1755</v>
      </c>
      <c r="B12" s="1727" t="s">
        <v>1756</v>
      </c>
    </row>
    <row r="13" spans="1:6" ht="15">
      <c r="A13" t="s">
        <v>1758</v>
      </c>
      <c r="B13" s="1728" t="s">
        <v>827</v>
      </c>
      <c r="F13" s="1728"/>
    </row>
    <row r="14" spans="1:6" ht="15.75">
      <c r="A14" t="s">
        <v>175</v>
      </c>
      <c r="B14" s="762" t="s">
        <v>1759</v>
      </c>
      <c r="E14" t="str">
        <f>"Jörn "&amp;Delta&amp;divers&amp;Durchschnitt&amp;Mann&amp;Frau</f>
        <v>Jörn Δ⚩Ø</v>
      </c>
    </row>
    <row r="15" spans="1:6" ht="15.75">
      <c r="A15" t="s">
        <v>176</v>
      </c>
      <c r="B15" s="762" t="s">
        <v>1759</v>
      </c>
    </row>
    <row r="16" spans="1:6" ht="16.5">
      <c r="A16" t="s">
        <v>1763</v>
      </c>
      <c r="B16" s="1784"/>
    </row>
    <row r="17" spans="2:6">
      <c r="B17" t="s">
        <v>864</v>
      </c>
    </row>
    <row r="18" spans="2:6" ht="15.75">
      <c r="B18" t="s">
        <v>1786</v>
      </c>
      <c r="F18" s="762"/>
    </row>
    <row r="23" spans="2:6">
      <c r="D23" s="1783">
        <f>Text</f>
        <v>0</v>
      </c>
    </row>
    <row r="28" spans="2:6" ht="15">
      <c r="C28" s="1741"/>
    </row>
    <row r="35" spans="18:18">
      <c r="R35" t="s">
        <v>1785</v>
      </c>
    </row>
  </sheetData>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1633</v>
      </c>
    </row>
    <row r="6" spans="2:4">
      <c r="B6" t="s">
        <v>191</v>
      </c>
      <c r="C6" s="149">
        <v>100000</v>
      </c>
    </row>
    <row r="7" spans="2:4">
      <c r="B7" t="s">
        <v>1634</v>
      </c>
      <c r="C7">
        <v>19</v>
      </c>
    </row>
    <row r="8" spans="2:4">
      <c r="B8" t="s">
        <v>248</v>
      </c>
      <c r="C8" s="59">
        <v>0.02</v>
      </c>
      <c r="D8" s="146">
        <f>IF(C8="",5.5%,C8)</f>
        <v>0.02</v>
      </c>
    </row>
    <row r="9" spans="2:4">
      <c r="B9" t="s">
        <v>1635</v>
      </c>
      <c r="C9" s="149">
        <f>VLOOKUP(C7,Abzinsungstabelle§12BewG,2)*C6</f>
        <v>36200</v>
      </c>
      <c r="D9" s="149">
        <f>ROUND(-PV(D8,C7,,1,1),2)*C6</f>
        <v>69000</v>
      </c>
    </row>
    <row r="17" spans="2:7">
      <c r="B17" t="s">
        <v>536</v>
      </c>
    </row>
    <row r="18" spans="2:7" ht="17.25">
      <c r="B18" s="1472">
        <v>1</v>
      </c>
      <c r="C18" s="1472">
        <v>0.94799999999999995</v>
      </c>
      <c r="E18" s="1470"/>
    </row>
    <row r="19" spans="2:7" ht="17.25">
      <c r="B19" s="1472">
        <v>2</v>
      </c>
      <c r="C19" s="1472">
        <v>0.89800000000000002</v>
      </c>
      <c r="E19" s="1470"/>
    </row>
    <row r="20" spans="2:7" ht="17.25">
      <c r="B20" s="1472">
        <v>3</v>
      </c>
      <c r="C20" s="1472">
        <v>0.85199999999999998</v>
      </c>
      <c r="E20" s="1470"/>
    </row>
    <row r="21" spans="2:7" ht="17.25">
      <c r="B21" s="1472">
        <v>4</v>
      </c>
      <c r="C21" s="1472">
        <v>0.80700000000000005</v>
      </c>
      <c r="E21" s="1470"/>
    </row>
    <row r="22" spans="2:7" ht="17.25">
      <c r="B22" s="1472">
        <v>5</v>
      </c>
      <c r="C22" s="1472">
        <v>0.76500000000000001</v>
      </c>
      <c r="E22" s="1470"/>
    </row>
    <row r="23" spans="2:7" ht="17.25">
      <c r="B23" s="1472">
        <v>6</v>
      </c>
      <c r="C23" s="1472">
        <v>0.72499999999999998</v>
      </c>
      <c r="E23" s="1470"/>
    </row>
    <row r="24" spans="2:7" ht="17.25">
      <c r="B24" s="1472">
        <v>7</v>
      </c>
      <c r="C24" s="1472">
        <v>0.68700000000000006</v>
      </c>
      <c r="E24" s="1470"/>
    </row>
    <row r="25" spans="2:7" ht="17.25">
      <c r="B25" s="1472">
        <v>8</v>
      </c>
      <c r="C25" s="1472">
        <v>0.65200000000000002</v>
      </c>
      <c r="E25" s="1470"/>
      <c r="G25">
        <v>100000</v>
      </c>
    </row>
    <row r="26" spans="2:7" ht="17.25">
      <c r="B26" s="1472">
        <v>9</v>
      </c>
      <c r="C26" s="1472">
        <v>0.61799999999999999</v>
      </c>
      <c r="E26" s="1470"/>
      <c r="G26" s="149">
        <f>-PV(5.5%,15,,G25,1)</f>
        <v>44793.304810907481</v>
      </c>
    </row>
    <row r="27" spans="2:7" ht="17.25">
      <c r="B27" s="1472">
        <v>10</v>
      </c>
      <c r="C27" s="1472">
        <v>0.58499999999999996</v>
      </c>
      <c r="E27" s="1470"/>
      <c r="F27" s="1470"/>
    </row>
    <row r="28" spans="2:7" ht="17.25">
      <c r="B28" s="1472">
        <v>11</v>
      </c>
      <c r="C28" s="1472">
        <v>0.55500000000000005</v>
      </c>
      <c r="E28" s="1470"/>
    </row>
    <row r="29" spans="2:7" ht="17.25">
      <c r="B29" s="1472">
        <v>12</v>
      </c>
      <c r="C29" s="1472">
        <v>0.52600000000000002</v>
      </c>
      <c r="E29" s="1470"/>
    </row>
    <row r="30" spans="2:7" ht="17.25">
      <c r="B30" s="1472">
        <v>13</v>
      </c>
      <c r="C30" s="1472">
        <v>0.499</v>
      </c>
      <c r="E30" s="1470"/>
      <c r="F30">
        <f>100000*C36</f>
        <v>36200</v>
      </c>
    </row>
    <row r="31" spans="2:7" ht="17.25">
      <c r="B31" s="1472">
        <v>14</v>
      </c>
      <c r="C31" s="1472">
        <v>0.47299999999999998</v>
      </c>
      <c r="E31" s="1470"/>
    </row>
    <row r="32" spans="2:7" ht="17.25">
      <c r="B32" s="1472">
        <v>15</v>
      </c>
      <c r="C32" s="1472">
        <v>0.44800000000000001</v>
      </c>
      <c r="E32" s="1470"/>
    </row>
    <row r="33" spans="2:5" ht="17.25">
      <c r="B33" s="1472">
        <v>16</v>
      </c>
      <c r="C33" s="1472">
        <v>0.42499999999999999</v>
      </c>
      <c r="E33" s="1470"/>
    </row>
    <row r="34" spans="2:5" ht="17.25">
      <c r="B34" s="1472">
        <v>17</v>
      </c>
      <c r="C34" s="1472">
        <v>0.40200000000000002</v>
      </c>
      <c r="E34" s="1470"/>
    </row>
    <row r="35" spans="2:5" ht="17.25">
      <c r="B35" s="1472">
        <v>18</v>
      </c>
      <c r="C35" s="1472">
        <v>0.38100000000000001</v>
      </c>
      <c r="E35" s="1470"/>
    </row>
    <row r="36" spans="2:5" ht="17.25">
      <c r="B36" s="1472">
        <v>19</v>
      </c>
      <c r="C36" s="1472">
        <v>0.36199999999999999</v>
      </c>
      <c r="E36" s="1470"/>
    </row>
    <row r="37" spans="2:5" ht="17.25">
      <c r="B37" s="1472">
        <v>20</v>
      </c>
      <c r="C37" s="1472">
        <v>0.34300000000000003</v>
      </c>
      <c r="E37" s="1470"/>
    </row>
    <row r="38" spans="2:5" ht="17.25">
      <c r="B38" s="1472">
        <v>21</v>
      </c>
      <c r="C38" s="1472">
        <v>0.32500000000000001</v>
      </c>
      <c r="E38" s="1470"/>
    </row>
    <row r="39" spans="2:5" ht="17.25">
      <c r="B39" s="1472">
        <v>22</v>
      </c>
      <c r="C39" s="1472">
        <v>0.308</v>
      </c>
      <c r="E39" s="1470"/>
    </row>
    <row r="40" spans="2:5" ht="17.25">
      <c r="B40" s="1472">
        <v>23</v>
      </c>
      <c r="C40" s="1472">
        <v>0.29199999999999998</v>
      </c>
      <c r="E40" s="1470"/>
    </row>
    <row r="41" spans="2:5" ht="17.25">
      <c r="B41" s="1472">
        <v>24</v>
      </c>
      <c r="C41" s="1472">
        <v>0.27700000000000002</v>
      </c>
      <c r="E41" s="1470"/>
    </row>
    <row r="42" spans="2:5" ht="17.25">
      <c r="B42" s="1472">
        <v>25</v>
      </c>
      <c r="C42" s="1472">
        <v>0.26200000000000001</v>
      </c>
      <c r="E42" s="1470"/>
    </row>
    <row r="43" spans="2:5" ht="17.25">
      <c r="B43" s="1472">
        <v>26</v>
      </c>
      <c r="C43" s="1472">
        <v>0.249</v>
      </c>
      <c r="E43" s="1470"/>
    </row>
    <row r="44" spans="2:5" ht="17.25">
      <c r="B44" s="1472">
        <v>27</v>
      </c>
      <c r="C44" s="1472">
        <v>0.23599999999999999</v>
      </c>
      <c r="E44" s="1470"/>
    </row>
    <row r="45" spans="2:5" ht="17.25">
      <c r="B45" s="1472">
        <v>28</v>
      </c>
      <c r="C45" s="1472">
        <v>0.223</v>
      </c>
      <c r="E45" s="1470"/>
    </row>
    <row r="46" spans="2:5" ht="17.25">
      <c r="B46" s="1472">
        <v>29</v>
      </c>
      <c r="C46" s="1472">
        <v>0.21199999999999999</v>
      </c>
      <c r="E46" s="1470"/>
    </row>
    <row r="47" spans="2:5" ht="17.25">
      <c r="B47" s="1472">
        <v>30</v>
      </c>
      <c r="C47" s="1472">
        <v>0.20100000000000001</v>
      </c>
      <c r="E47" s="1470"/>
    </row>
    <row r="48" spans="2:5" ht="17.25">
      <c r="B48" s="1472">
        <v>31</v>
      </c>
      <c r="C48" s="1472">
        <v>0.19</v>
      </c>
      <c r="E48" s="1470"/>
    </row>
    <row r="49" spans="2:5" ht="17.25">
      <c r="B49" s="1472">
        <v>32</v>
      </c>
      <c r="C49" s="1472">
        <v>0.18</v>
      </c>
      <c r="E49" s="1470"/>
    </row>
    <row r="50" spans="2:5" ht="17.25">
      <c r="B50" s="1472">
        <v>33</v>
      </c>
      <c r="C50" s="1472">
        <v>0.17100000000000001</v>
      </c>
      <c r="E50" s="1470"/>
    </row>
    <row r="51" spans="2:5" ht="17.25">
      <c r="B51" s="1472">
        <v>34</v>
      </c>
      <c r="C51" s="1472">
        <v>0.16200000000000001</v>
      </c>
      <c r="E51" s="1470"/>
    </row>
    <row r="52" spans="2:5" ht="17.25">
      <c r="B52" s="1472">
        <v>35</v>
      </c>
      <c r="C52" s="1472">
        <v>0.154</v>
      </c>
      <c r="E52" s="1470"/>
    </row>
    <row r="53" spans="2:5" ht="17.25">
      <c r="B53" s="1472">
        <v>36</v>
      </c>
      <c r="C53" s="1472">
        <v>0.14599999999999999</v>
      </c>
      <c r="E53" s="1470"/>
    </row>
    <row r="54" spans="2:5" ht="17.25">
      <c r="B54" s="1472">
        <v>37</v>
      </c>
      <c r="C54" s="1472">
        <v>0.13800000000000001</v>
      </c>
      <c r="E54" s="1470"/>
    </row>
    <row r="55" spans="2:5" ht="17.25">
      <c r="B55" s="1472">
        <v>38</v>
      </c>
      <c r="C55" s="1472">
        <v>0.13100000000000001</v>
      </c>
      <c r="E55" s="1470"/>
    </row>
    <row r="56" spans="2:5" ht="17.25">
      <c r="B56" s="1472">
        <v>39</v>
      </c>
      <c r="C56" s="1472">
        <v>0.124</v>
      </c>
      <c r="E56" s="1470"/>
    </row>
    <row r="57" spans="2:5" ht="17.25">
      <c r="B57" s="1472">
        <v>40</v>
      </c>
      <c r="C57" s="1472">
        <v>0.11700000000000001</v>
      </c>
      <c r="E57" s="1470"/>
    </row>
    <row r="58" spans="2:5" ht="17.25">
      <c r="B58" s="1472">
        <v>41</v>
      </c>
      <c r="C58" s="1472">
        <v>0.111</v>
      </c>
      <c r="E58" s="1470"/>
    </row>
    <row r="59" spans="2:5" ht="17.25">
      <c r="B59" s="1472">
        <v>42</v>
      </c>
      <c r="C59" s="1472">
        <v>0.106</v>
      </c>
      <c r="E59" s="1470"/>
    </row>
    <row r="60" spans="2:5" ht="17.25">
      <c r="B60" s="1472">
        <v>43</v>
      </c>
      <c r="C60" s="1472">
        <v>0.1</v>
      </c>
      <c r="E60" s="1470"/>
    </row>
    <row r="61" spans="2:5" ht="17.25">
      <c r="B61" s="1472">
        <v>44</v>
      </c>
      <c r="C61" s="1472">
        <v>9.5000000000000001E-2</v>
      </c>
      <c r="E61" s="1470"/>
    </row>
    <row r="62" spans="2:5" ht="17.25">
      <c r="B62" s="1472">
        <v>45</v>
      </c>
      <c r="C62" s="1472">
        <v>0.09</v>
      </c>
      <c r="E62" s="1470"/>
    </row>
    <row r="63" spans="2:5" ht="17.25">
      <c r="B63" s="1472">
        <v>46</v>
      </c>
      <c r="C63" s="1472">
        <v>8.5000000000000006E-2</v>
      </c>
      <c r="E63" s="1470"/>
    </row>
    <row r="64" spans="2:5" ht="17.25">
      <c r="B64" s="1472">
        <v>47</v>
      </c>
      <c r="C64" s="1472">
        <v>8.1000000000000003E-2</v>
      </c>
      <c r="E64" s="1470"/>
    </row>
    <row r="65" spans="2:5" ht="17.25">
      <c r="B65" s="1472">
        <v>48</v>
      </c>
      <c r="C65" s="1472">
        <v>7.6999999999999999E-2</v>
      </c>
      <c r="E65" s="1470"/>
    </row>
    <row r="66" spans="2:5" ht="17.25">
      <c r="B66" s="1472">
        <v>49</v>
      </c>
      <c r="C66" s="1472">
        <v>7.2999999999999995E-2</v>
      </c>
      <c r="E66" s="1470"/>
    </row>
    <row r="67" spans="2:5" ht="17.25">
      <c r="B67" s="1472">
        <v>50</v>
      </c>
      <c r="C67" s="1472">
        <v>6.9000000000000006E-2</v>
      </c>
      <c r="E67" s="1470"/>
    </row>
    <row r="68" spans="2:5" ht="17.25">
      <c r="B68" s="1472">
        <v>51</v>
      </c>
      <c r="C68" s="1472">
        <v>6.5000000000000002E-2</v>
      </c>
      <c r="E68" s="1470"/>
    </row>
    <row r="69" spans="2:5" ht="17.25">
      <c r="B69" s="1472">
        <v>52</v>
      </c>
      <c r="C69" s="1472">
        <v>6.2E-2</v>
      </c>
      <c r="E69" s="1470"/>
    </row>
    <row r="70" spans="2:5" ht="17.25">
      <c r="B70" s="1472">
        <v>53</v>
      </c>
      <c r="C70" s="1472">
        <v>5.8999999999999997E-2</v>
      </c>
      <c r="E70" s="1470"/>
    </row>
    <row r="71" spans="2:5" ht="17.25">
      <c r="B71" s="1472">
        <v>54</v>
      </c>
      <c r="C71" s="1472">
        <v>5.6000000000000001E-2</v>
      </c>
      <c r="E71" s="1470"/>
    </row>
    <row r="72" spans="2:5" ht="17.25">
      <c r="B72" s="1472">
        <v>55</v>
      </c>
      <c r="C72" s="1472">
        <v>5.2999999999999999E-2</v>
      </c>
      <c r="E72" s="1470"/>
    </row>
    <row r="73" spans="2:5" ht="17.25">
      <c r="B73" s="1472">
        <v>56</v>
      </c>
      <c r="C73" s="1472">
        <v>0.05</v>
      </c>
      <c r="E73" s="1470"/>
    </row>
    <row r="74" spans="2:5" ht="17.25">
      <c r="B74" s="1472">
        <v>57</v>
      </c>
      <c r="C74" s="1472">
        <v>4.7E-2</v>
      </c>
      <c r="E74" s="1470"/>
    </row>
    <row r="75" spans="2:5" ht="17.25">
      <c r="B75" s="1472">
        <v>58</v>
      </c>
      <c r="C75" s="1472">
        <v>4.4999999999999998E-2</v>
      </c>
      <c r="E75" s="1470"/>
    </row>
    <row r="76" spans="2:5" ht="17.25">
      <c r="B76" s="1472">
        <v>59</v>
      </c>
      <c r="C76" s="1472">
        <v>4.2000000000000003E-2</v>
      </c>
      <c r="E76" s="1470"/>
    </row>
    <row r="77" spans="2:5" ht="17.25">
      <c r="B77" s="1472">
        <v>60</v>
      </c>
      <c r="C77" s="1472">
        <v>0.04</v>
      </c>
      <c r="E77" s="1470"/>
    </row>
    <row r="78" spans="2:5" ht="17.25">
      <c r="B78" s="1472">
        <v>61</v>
      </c>
      <c r="C78" s="1472">
        <v>3.7999999999999999E-2</v>
      </c>
      <c r="E78" s="1470"/>
    </row>
    <row r="79" spans="2:5" ht="17.25">
      <c r="B79" s="1472">
        <v>62</v>
      </c>
      <c r="C79" s="1472">
        <v>3.5999999999999997E-2</v>
      </c>
      <c r="E79" s="1470"/>
    </row>
    <row r="80" spans="2:5" ht="17.25">
      <c r="B80" s="1472">
        <v>63</v>
      </c>
      <c r="C80" s="1472">
        <v>3.4000000000000002E-2</v>
      </c>
      <c r="E80" s="1470"/>
    </row>
    <row r="81" spans="2:5" ht="17.25">
      <c r="B81" s="1472">
        <v>64</v>
      </c>
      <c r="C81" s="1472">
        <v>3.2000000000000001E-2</v>
      </c>
      <c r="E81" s="1470"/>
    </row>
    <row r="82" spans="2:5" ht="17.25">
      <c r="B82" s="1472">
        <v>65</v>
      </c>
      <c r="C82" s="1472">
        <v>3.1E-2</v>
      </c>
      <c r="E82" s="1470"/>
    </row>
    <row r="83" spans="2:5" ht="17.25">
      <c r="B83" s="1472">
        <v>66</v>
      </c>
      <c r="C83" s="1472">
        <v>2.9000000000000001E-2</v>
      </c>
      <c r="E83" s="1470"/>
    </row>
    <row r="84" spans="2:5" ht="17.25">
      <c r="B84" s="1472">
        <v>67</v>
      </c>
      <c r="C84" s="1472">
        <v>2.8000000000000001E-2</v>
      </c>
      <c r="E84" s="1470"/>
    </row>
    <row r="85" spans="2:5" ht="17.25">
      <c r="B85" s="1472">
        <v>68</v>
      </c>
      <c r="C85" s="1472">
        <v>0.02</v>
      </c>
      <c r="E85" s="1470"/>
    </row>
    <row r="86" spans="2:5" ht="17.25">
      <c r="B86" s="1472">
        <v>69</v>
      </c>
      <c r="C86" s="1472">
        <v>2.5000000000000001E-2</v>
      </c>
      <c r="E86" s="1470"/>
    </row>
    <row r="87" spans="2:5" ht="17.25">
      <c r="B87" s="1472">
        <v>70</v>
      </c>
      <c r="C87" s="1472">
        <v>2.4E-2</v>
      </c>
      <c r="E87" s="1470"/>
    </row>
    <row r="88" spans="2:5" ht="17.25">
      <c r="B88" s="1472">
        <v>71</v>
      </c>
      <c r="C88" s="1472">
        <v>2.1999999999999999E-2</v>
      </c>
      <c r="E88" s="1470"/>
    </row>
    <row r="89" spans="2:5" ht="17.25">
      <c r="B89" s="1472">
        <v>72</v>
      </c>
      <c r="C89" s="1472">
        <v>2.1000000000000001E-2</v>
      </c>
      <c r="E89" s="1470"/>
    </row>
    <row r="90" spans="2:5" ht="17.25">
      <c r="B90" s="1472">
        <v>73</v>
      </c>
      <c r="C90" s="1472">
        <v>0.02</v>
      </c>
      <c r="E90" s="1470"/>
    </row>
    <row r="91" spans="2:5" ht="17.25">
      <c r="B91" s="1472">
        <v>74</v>
      </c>
      <c r="C91" s="1472">
        <v>1.9E-2</v>
      </c>
      <c r="E91" s="1470"/>
    </row>
    <row r="92" spans="2:5" ht="17.25">
      <c r="B92" s="1472">
        <v>75</v>
      </c>
      <c r="C92" s="1472">
        <v>1.7999999999999999E-2</v>
      </c>
      <c r="E92" s="1470"/>
    </row>
    <row r="93" spans="2:5" ht="17.25">
      <c r="B93" s="1472">
        <v>76</v>
      </c>
      <c r="C93" s="1472">
        <v>1.7000000000000001E-2</v>
      </c>
      <c r="E93" s="1470"/>
    </row>
    <row r="94" spans="2:5" ht="17.25">
      <c r="B94" s="1472">
        <v>77</v>
      </c>
      <c r="C94" s="1472">
        <v>1.6E-2</v>
      </c>
      <c r="E94" s="1470"/>
    </row>
    <row r="95" spans="2:5" ht="17.25">
      <c r="B95" s="1472">
        <v>78</v>
      </c>
      <c r="C95" s="1472">
        <v>1.4999999999999999E-2</v>
      </c>
      <c r="E95" s="1470"/>
    </row>
    <row r="96" spans="2:5" ht="17.25">
      <c r="B96" s="1472">
        <v>79</v>
      </c>
      <c r="C96" s="1472">
        <v>1.4999999999999999E-2</v>
      </c>
      <c r="E96" s="1470"/>
    </row>
    <row r="97" spans="2:5" ht="17.25">
      <c r="B97" s="1472">
        <v>80</v>
      </c>
      <c r="C97" s="1472">
        <v>1.4E-2</v>
      </c>
      <c r="E97" s="1470"/>
    </row>
    <row r="98" spans="2:5" ht="17.25">
      <c r="B98" s="1472">
        <v>81</v>
      </c>
      <c r="C98" s="1472">
        <v>1.2999999999999999E-2</v>
      </c>
      <c r="E98" s="1470"/>
    </row>
    <row r="99" spans="2:5" ht="17.25">
      <c r="B99" s="1472">
        <v>82</v>
      </c>
      <c r="C99" s="1472">
        <v>1.2E-2</v>
      </c>
      <c r="E99" s="1470"/>
    </row>
    <row r="100" spans="2:5" ht="17.25">
      <c r="B100" s="1472">
        <v>83</v>
      </c>
      <c r="C100" s="1472">
        <v>1.2E-2</v>
      </c>
      <c r="E100" s="1470"/>
    </row>
    <row r="101" spans="2:5" ht="17.25">
      <c r="B101" s="1472">
        <v>84</v>
      </c>
      <c r="C101" s="1472">
        <v>1.0999999999999999E-2</v>
      </c>
      <c r="E101" s="1470"/>
    </row>
    <row r="102" spans="2:5" ht="17.25">
      <c r="B102" s="1472">
        <v>85</v>
      </c>
      <c r="C102" s="1472">
        <v>1.0999999999999999E-2</v>
      </c>
      <c r="E102" s="1470"/>
    </row>
    <row r="103" spans="2:5" ht="17.25">
      <c r="B103" s="1472">
        <v>86</v>
      </c>
      <c r="C103" s="1472">
        <v>0.01</v>
      </c>
      <c r="E103" s="1470"/>
    </row>
    <row r="104" spans="2:5" ht="17.25">
      <c r="B104" s="1472">
        <v>87</v>
      </c>
      <c r="C104" s="1472">
        <v>8.9999999999999993E-3</v>
      </c>
      <c r="E104" s="1470"/>
    </row>
    <row r="105" spans="2:5" ht="17.25">
      <c r="B105" s="1472">
        <v>88</v>
      </c>
      <c r="C105" s="1472">
        <v>8.9999999999999993E-3</v>
      </c>
      <c r="E105" s="1470"/>
    </row>
    <row r="106" spans="2:5" ht="17.25">
      <c r="B106" s="1472">
        <v>89</v>
      </c>
      <c r="C106" s="1472">
        <v>8.9999999999999993E-3</v>
      </c>
      <c r="E106" s="1470"/>
    </row>
    <row r="107" spans="2:5" ht="17.25">
      <c r="B107" s="1472">
        <v>90</v>
      </c>
      <c r="C107" s="1472">
        <v>8.0000000000000002E-3</v>
      </c>
      <c r="E107" s="1470"/>
    </row>
    <row r="108" spans="2:5" ht="17.25">
      <c r="B108" s="1472">
        <v>91</v>
      </c>
      <c r="C108" s="1472">
        <v>8.0000000000000002E-3</v>
      </c>
      <c r="E108" s="1470"/>
    </row>
    <row r="109" spans="2:5" ht="17.25">
      <c r="B109" s="1472">
        <v>92</v>
      </c>
      <c r="C109" s="1472">
        <v>7.0000000000000001E-3</v>
      </c>
      <c r="E109" s="1470"/>
    </row>
    <row r="110" spans="2:5" ht="17.25">
      <c r="B110" s="1472">
        <v>93</v>
      </c>
      <c r="C110" s="1472">
        <v>7.0000000000000001E-3</v>
      </c>
      <c r="E110" s="1470"/>
    </row>
    <row r="111" spans="2:5" ht="17.25">
      <c r="B111" s="1472">
        <v>94</v>
      </c>
      <c r="C111" s="1472">
        <v>7.0000000000000001E-3</v>
      </c>
      <c r="E111" s="1470"/>
    </row>
    <row r="112" spans="2:5" ht="17.25">
      <c r="B112" s="1472">
        <v>95</v>
      </c>
      <c r="C112" s="1472">
        <v>6.0000000000000001E-3</v>
      </c>
      <c r="E112" s="1470"/>
    </row>
    <row r="113" spans="2:5" ht="17.25">
      <c r="B113" s="1472">
        <v>96</v>
      </c>
      <c r="C113" s="1472">
        <v>6.0000000000000001E-3</v>
      </c>
      <c r="E113" s="1470"/>
    </row>
    <row r="114" spans="2:5" ht="17.25">
      <c r="B114" s="1472">
        <v>97</v>
      </c>
      <c r="C114" s="1472">
        <v>6.0000000000000001E-3</v>
      </c>
      <c r="E114" s="1470"/>
    </row>
    <row r="115" spans="2:5" ht="17.25">
      <c r="B115" s="1472">
        <v>98</v>
      </c>
      <c r="C115" s="1472">
        <v>5.0000000000000001E-3</v>
      </c>
      <c r="E115" s="1470"/>
    </row>
    <row r="116" spans="2:5" ht="17.25">
      <c r="B116" s="1472">
        <v>99</v>
      </c>
      <c r="C116" s="1472">
        <v>5.0000000000000001E-3</v>
      </c>
      <c r="E116" s="1470"/>
    </row>
    <row r="117" spans="2:5" ht="17.25">
      <c r="B117" s="1472">
        <v>100</v>
      </c>
      <c r="C117" s="1472">
        <v>5.0000000000000001E-3</v>
      </c>
      <c r="E117" s="1470"/>
    </row>
    <row r="118" spans="2:5" ht="17.25">
      <c r="B118" s="1472"/>
    </row>
    <row r="119" spans="2:5" ht="17.25">
      <c r="B119" s="1472"/>
    </row>
    <row r="120" spans="2:5" ht="17.25">
      <c r="B120" s="1472"/>
    </row>
    <row r="121" spans="2:5" ht="17.25">
      <c r="B121" s="1472"/>
    </row>
    <row r="122" spans="2:5" ht="17.25">
      <c r="B122" s="1472"/>
    </row>
    <row r="123" spans="2:5" ht="17.25">
      <c r="B123" s="1472"/>
    </row>
    <row r="124" spans="2:5" ht="17.25">
      <c r="B124" s="1472"/>
    </row>
    <row r="125" spans="2:5" ht="17.25">
      <c r="B125" s="1472"/>
    </row>
    <row r="126" spans="2:5" ht="17.25">
      <c r="B126" s="1472"/>
    </row>
    <row r="127" spans="2:5" ht="17.25">
      <c r="B127" s="1472"/>
    </row>
    <row r="128" spans="2:5" ht="17.25">
      <c r="B128" s="1472"/>
    </row>
    <row r="129" spans="2:2" ht="17.25">
      <c r="B129" s="1472"/>
    </row>
    <row r="130" spans="2:2" ht="17.25">
      <c r="B130" s="1472"/>
    </row>
    <row r="131" spans="2:2" ht="17.25">
      <c r="B131" s="1472"/>
    </row>
    <row r="132" spans="2:2" ht="17.25">
      <c r="B132" s="1472"/>
    </row>
    <row r="133" spans="2:2" ht="17.25">
      <c r="B133" s="1472"/>
    </row>
    <row r="134" spans="2:2" ht="17.25">
      <c r="B134" s="1472"/>
    </row>
    <row r="135" spans="2:2" ht="17.25">
      <c r="B135" s="1472"/>
    </row>
    <row r="136" spans="2:2" ht="17.25">
      <c r="B136" s="1472"/>
    </row>
    <row r="137" spans="2:2" ht="17.25">
      <c r="B137" s="1472"/>
    </row>
    <row r="138" spans="2:2" ht="17.25">
      <c r="B138" s="1472"/>
    </row>
    <row r="139" spans="2:2" ht="17.25">
      <c r="B139" s="1472"/>
    </row>
    <row r="140" spans="2:2" ht="17.25">
      <c r="B140" s="1472"/>
    </row>
    <row r="141" spans="2:2" ht="17.25">
      <c r="B141" s="1472"/>
    </row>
    <row r="142" spans="2:2" ht="17.25">
      <c r="B142" s="1472"/>
    </row>
    <row r="143" spans="2:2" ht="17.25">
      <c r="B143" s="1472"/>
    </row>
    <row r="144" spans="2:2" ht="17.25">
      <c r="B144" s="1472"/>
    </row>
    <row r="145" spans="2:2" ht="17.25">
      <c r="B145" s="1472"/>
    </row>
    <row r="146" spans="2:2" ht="17.25">
      <c r="B146" s="1472"/>
    </row>
    <row r="147" spans="2:2" ht="17.25">
      <c r="B147" s="1472"/>
    </row>
    <row r="148" spans="2:2" ht="17.25">
      <c r="B148" s="1472"/>
    </row>
    <row r="149" spans="2:2" ht="17.25">
      <c r="B149" s="1472"/>
    </row>
    <row r="150" spans="2:2" ht="17.25">
      <c r="B150" s="1472"/>
    </row>
  </sheetData>
  <sortState xmlns:xlrd2="http://schemas.microsoft.com/office/spreadsheetml/2017/richdata2" ref="B18:C216">
    <sortCondition ref="B18:B216"/>
  </sortState>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785" customWidth="1"/>
    <col min="3" max="3" width="31.125" style="1785" customWidth="1"/>
  </cols>
  <sheetData>
    <row r="1" spans="1:5" ht="36">
      <c r="A1" s="2130" t="s">
        <v>1804</v>
      </c>
      <c r="B1" s="2131" t="s">
        <v>1814</v>
      </c>
      <c r="C1" s="2131" t="s">
        <v>1815</v>
      </c>
      <c r="D1" s="2130"/>
      <c r="E1" s="2130"/>
    </row>
    <row r="2" spans="1:5">
      <c r="B2" s="1934" t="s">
        <v>1805</v>
      </c>
      <c r="E2" t="s">
        <v>1806</v>
      </c>
    </row>
    <row r="9" spans="1:5">
      <c r="A9" t="s">
        <v>1808</v>
      </c>
    </row>
    <row r="10" spans="1:5" ht="25.5">
      <c r="B10" s="1933" t="s">
        <v>1803</v>
      </c>
      <c r="E10" t="s">
        <v>1807</v>
      </c>
    </row>
    <row r="11" spans="1:5" ht="25.5">
      <c r="B11" s="1933" t="s">
        <v>1826</v>
      </c>
      <c r="E11" t="s">
        <v>1827</v>
      </c>
    </row>
    <row r="17" spans="1:5">
      <c r="A17" t="s">
        <v>1476</v>
      </c>
    </row>
    <row r="18" spans="1:5">
      <c r="B18" s="1785" t="s">
        <v>1809</v>
      </c>
      <c r="E18" t="s">
        <v>1807</v>
      </c>
    </row>
    <row r="19" spans="1:5">
      <c r="B19" s="1785" t="s">
        <v>1811</v>
      </c>
      <c r="E19" t="s">
        <v>1807</v>
      </c>
    </row>
    <row r="20" spans="1:5">
      <c r="B20" s="1785" t="s">
        <v>1810</v>
      </c>
      <c r="E20" t="s">
        <v>1807</v>
      </c>
    </row>
    <row r="21" spans="1:5">
      <c r="B21" s="1785" t="s">
        <v>1825</v>
      </c>
    </row>
    <row r="22" spans="1:5" ht="15">
      <c r="B22" s="1786" t="s">
        <v>1812</v>
      </c>
      <c r="E22" s="404" t="s">
        <v>1806</v>
      </c>
    </row>
    <row r="23" spans="1:5" ht="28.5">
      <c r="B23" s="1785" t="s">
        <v>1816</v>
      </c>
      <c r="C23" s="1785" t="s">
        <v>1813</v>
      </c>
      <c r="E23" t="s">
        <v>1806</v>
      </c>
    </row>
    <row r="25" spans="1:5">
      <c r="B25" s="1785" t="s">
        <v>1817</v>
      </c>
      <c r="E25" t="s">
        <v>1806</v>
      </c>
    </row>
    <row r="26" spans="1:5">
      <c r="C26" s="1785" t="s">
        <v>1824</v>
      </c>
    </row>
    <row r="27" spans="1:5">
      <c r="C27" s="1785" t="s">
        <v>1818</v>
      </c>
    </row>
    <row r="28" spans="1:5">
      <c r="C28" s="1785" t="s">
        <v>1819</v>
      </c>
    </row>
    <row r="29" spans="1:5">
      <c r="C29" s="1785" t="s">
        <v>1820</v>
      </c>
    </row>
    <row r="30" spans="1:5" ht="28.5">
      <c r="B30" s="1785" t="s">
        <v>1822</v>
      </c>
      <c r="C30" s="1785" t="s">
        <v>1821</v>
      </c>
    </row>
    <row r="31" spans="1:5" ht="28.5">
      <c r="B31" s="1785" t="s">
        <v>1823</v>
      </c>
    </row>
    <row r="34" spans="1:3">
      <c r="A34" t="s">
        <v>1828</v>
      </c>
      <c r="C34" s="1785" t="s">
        <v>1829</v>
      </c>
    </row>
    <row r="35" spans="1:3">
      <c r="C35" s="1785" t="s">
        <v>1830</v>
      </c>
    </row>
    <row r="36" spans="1:3">
      <c r="C36" s="1785" t="s">
        <v>1834</v>
      </c>
    </row>
    <row r="37" spans="1:3">
      <c r="C37" s="1785" t="s">
        <v>1835</v>
      </c>
    </row>
    <row r="38" spans="1:3">
      <c r="C38" s="1785" t="s">
        <v>1831</v>
      </c>
    </row>
    <row r="40" spans="1:3">
      <c r="A40" t="s">
        <v>209</v>
      </c>
      <c r="C40" s="1785" t="s">
        <v>1836</v>
      </c>
    </row>
    <row r="41" spans="1:3">
      <c r="C41" s="1785" t="s">
        <v>1837</v>
      </c>
    </row>
    <row r="44" spans="1:3">
      <c r="A44" t="s">
        <v>1832</v>
      </c>
      <c r="B44" s="1785" t="s">
        <v>1833</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3987" t="s">
        <v>1592</v>
      </c>
      <c r="H2" s="3988"/>
      <c r="I2" s="1389"/>
    </row>
    <row r="3" spans="2:10">
      <c r="B3" s="540"/>
      <c r="C3" s="66" t="s">
        <v>59</v>
      </c>
      <c r="D3" s="66" t="s">
        <v>1593</v>
      </c>
      <c r="E3" s="66" t="s">
        <v>1594</v>
      </c>
      <c r="F3" s="66" t="s">
        <v>1595</v>
      </c>
      <c r="G3" s="66" t="s">
        <v>1596</v>
      </c>
      <c r="H3" s="1401" t="s">
        <v>1597</v>
      </c>
      <c r="I3" s="1396" t="s">
        <v>1873</v>
      </c>
    </row>
    <row r="4" spans="2:10">
      <c r="B4" s="1384"/>
      <c r="C4" s="1385">
        <v>32874</v>
      </c>
      <c r="D4" s="1386">
        <v>2415.8541386521324</v>
      </c>
      <c r="E4" s="1386">
        <v>28990.249663825587</v>
      </c>
      <c r="F4" s="1387">
        <v>0.125</v>
      </c>
      <c r="G4" s="614"/>
      <c r="H4" s="1393"/>
      <c r="I4" s="1388"/>
      <c r="J4" s="59">
        <f>+F4+G4+H4</f>
        <v>0.125</v>
      </c>
    </row>
    <row r="5" spans="2:10">
      <c r="B5" s="1384"/>
      <c r="C5" s="1385">
        <v>33239</v>
      </c>
      <c r="D5" s="1386">
        <v>2492.5479208315651</v>
      </c>
      <c r="E5" s="1386">
        <v>29910.575049978783</v>
      </c>
      <c r="F5" s="1387">
        <v>0.122</v>
      </c>
      <c r="G5" s="614"/>
      <c r="H5" s="1393"/>
      <c r="I5" s="1388"/>
      <c r="J5" s="59">
        <f t="shared" ref="J5:J40" si="0">+F5+G5+H5</f>
        <v>0.122</v>
      </c>
    </row>
    <row r="6" spans="2:10">
      <c r="B6" s="1384"/>
      <c r="C6" s="1385">
        <v>33604</v>
      </c>
      <c r="D6" s="1386">
        <v>2607.5885941007145</v>
      </c>
      <c r="E6" s="1386">
        <v>31291.063129208571</v>
      </c>
      <c r="F6" s="1387">
        <v>0.127</v>
      </c>
      <c r="G6" s="614"/>
      <c r="H6" s="1393"/>
      <c r="I6" s="1388"/>
      <c r="J6" s="59">
        <f t="shared" si="0"/>
        <v>0.127</v>
      </c>
    </row>
    <row r="7" spans="2:10">
      <c r="B7" s="1384"/>
      <c r="C7" s="1385">
        <v>33970</v>
      </c>
      <c r="D7" s="1386">
        <v>2760.9761584595799</v>
      </c>
      <c r="E7" s="1386">
        <v>33131.713901514959</v>
      </c>
      <c r="F7" s="1387">
        <v>0.13400000000000001</v>
      </c>
      <c r="G7" s="614"/>
      <c r="H7" s="1393"/>
      <c r="I7" s="1388"/>
      <c r="J7" s="59">
        <f t="shared" si="0"/>
        <v>0.13400000000000001</v>
      </c>
    </row>
    <row r="8" spans="2:10">
      <c r="B8" s="1384"/>
      <c r="C8" s="1385">
        <v>34335</v>
      </c>
      <c r="D8" s="1386">
        <v>2914.3637228184452</v>
      </c>
      <c r="E8" s="1386">
        <v>34972.364673821343</v>
      </c>
      <c r="F8" s="1387">
        <v>0.13200000000000001</v>
      </c>
      <c r="G8" s="614"/>
      <c r="H8" s="614"/>
      <c r="I8" s="1389"/>
      <c r="J8" s="59">
        <f t="shared" si="0"/>
        <v>0.13200000000000001</v>
      </c>
    </row>
    <row r="9" spans="2:10">
      <c r="B9" s="1384"/>
      <c r="C9" s="1385">
        <v>34700</v>
      </c>
      <c r="D9" s="1386">
        <v>2991.0575049978784</v>
      </c>
      <c r="E9" s="1386">
        <v>35892.690059974535</v>
      </c>
      <c r="F9" s="1387">
        <v>0.13200000000000001</v>
      </c>
      <c r="G9" s="614">
        <v>0.01</v>
      </c>
      <c r="H9" s="614">
        <v>0</v>
      </c>
      <c r="I9" s="1389"/>
      <c r="J9" s="59">
        <f t="shared" si="0"/>
        <v>0.14200000000000002</v>
      </c>
    </row>
    <row r="10" spans="2:10">
      <c r="B10" s="1384"/>
      <c r="C10" s="1385">
        <v>35065</v>
      </c>
      <c r="D10" s="1386">
        <v>3067.751287177311</v>
      </c>
      <c r="E10" s="1386">
        <v>36813.015446127734</v>
      </c>
      <c r="F10" s="1387">
        <v>0.13500000000000001</v>
      </c>
      <c r="G10" s="614">
        <v>1.7000000000000001E-2</v>
      </c>
      <c r="H10" s="614">
        <v>0</v>
      </c>
      <c r="I10" s="1389"/>
      <c r="J10" s="59">
        <f t="shared" si="0"/>
        <v>0.15200000000000002</v>
      </c>
    </row>
    <row r="11" spans="2:10">
      <c r="B11" s="1384"/>
      <c r="C11" s="1385">
        <v>35431</v>
      </c>
      <c r="D11" s="1386">
        <v>3144.4450693567437</v>
      </c>
      <c r="E11" s="1386">
        <v>37733.340832280926</v>
      </c>
      <c r="F11" s="1387">
        <v>0.13500000000000001</v>
      </c>
      <c r="G11" s="614">
        <v>1.7000000000000001E-2</v>
      </c>
      <c r="H11" s="614">
        <v>0</v>
      </c>
      <c r="I11" s="1389"/>
      <c r="J11" s="59">
        <f t="shared" si="0"/>
        <v>0.15200000000000002</v>
      </c>
    </row>
    <row r="12" spans="2:10">
      <c r="B12" s="1384"/>
      <c r="C12" s="1385">
        <v>35796</v>
      </c>
      <c r="D12" s="1386">
        <v>3221.1388515361764</v>
      </c>
      <c r="E12" s="1386">
        <v>38653.666218434118</v>
      </c>
      <c r="F12" s="1387">
        <v>0.13600000000000001</v>
      </c>
      <c r="G12" s="614">
        <v>1.7000000000000001E-2</v>
      </c>
      <c r="H12" s="614">
        <v>0</v>
      </c>
      <c r="I12" s="1389"/>
      <c r="J12" s="59">
        <f t="shared" si="0"/>
        <v>0.15300000000000002</v>
      </c>
    </row>
    <row r="13" spans="2:10">
      <c r="B13" s="1384"/>
      <c r="C13" s="1385">
        <v>36161</v>
      </c>
      <c r="D13" s="1386">
        <v>3259.4857426258927</v>
      </c>
      <c r="E13" s="1386">
        <v>39113.828911510718</v>
      </c>
      <c r="F13" s="1387">
        <v>0.13500000000000001</v>
      </c>
      <c r="G13" s="614">
        <v>1.7000000000000001E-2</v>
      </c>
      <c r="H13" s="614">
        <v>0</v>
      </c>
      <c r="I13" s="1389"/>
      <c r="J13" s="59">
        <f t="shared" si="0"/>
        <v>0.15200000000000002</v>
      </c>
    </row>
    <row r="14" spans="2:10">
      <c r="B14" s="1384"/>
      <c r="C14" s="1385">
        <v>36526</v>
      </c>
      <c r="D14" s="1386">
        <v>3297.8326337156095</v>
      </c>
      <c r="E14" s="1386">
        <v>39573.991604587311</v>
      </c>
      <c r="F14" s="1387">
        <v>0.13600000000000001</v>
      </c>
      <c r="G14" s="614">
        <v>1.7000000000000001E-2</v>
      </c>
      <c r="H14" s="614">
        <v>0</v>
      </c>
      <c r="I14" s="1389"/>
      <c r="J14" s="59">
        <f t="shared" si="0"/>
        <v>0.15300000000000002</v>
      </c>
    </row>
    <row r="15" spans="2:10">
      <c r="B15" s="1384"/>
      <c r="C15" s="1385">
        <v>36892</v>
      </c>
      <c r="D15" s="1386">
        <v>3336.1795248053259</v>
      </c>
      <c r="E15" s="1386">
        <v>40034.15429766391</v>
      </c>
      <c r="F15" s="1387">
        <v>0.13600000000000001</v>
      </c>
      <c r="G15" s="614">
        <v>1.7000000000000001E-2</v>
      </c>
      <c r="H15" s="614">
        <v>0</v>
      </c>
      <c r="I15" s="1389"/>
      <c r="J15" s="59">
        <f t="shared" si="0"/>
        <v>0.15300000000000002</v>
      </c>
    </row>
    <row r="16" spans="2:10">
      <c r="B16" s="1384"/>
      <c r="C16" s="1390">
        <v>37257</v>
      </c>
      <c r="D16" s="1391">
        <v>3375</v>
      </c>
      <c r="E16" s="1391">
        <v>40500</v>
      </c>
      <c r="F16" s="1392">
        <v>0.14000000000000001</v>
      </c>
      <c r="G16" s="614">
        <v>1.7000000000000001E-2</v>
      </c>
      <c r="H16" s="614">
        <v>0</v>
      </c>
      <c r="I16" s="1389"/>
      <c r="J16" s="59">
        <f t="shared" si="0"/>
        <v>0.15700000000000003</v>
      </c>
    </row>
    <row r="17" spans="2:10">
      <c r="B17" s="1384"/>
      <c r="C17" s="1390">
        <v>37622</v>
      </c>
      <c r="D17" s="1391">
        <v>3450</v>
      </c>
      <c r="E17" s="1391">
        <v>41400</v>
      </c>
      <c r="F17" s="1392">
        <v>0.14399999999999999</v>
      </c>
      <c r="G17" s="614">
        <v>1.7000000000000001E-2</v>
      </c>
      <c r="H17" s="614">
        <v>0</v>
      </c>
      <c r="I17" s="1389"/>
      <c r="J17" s="59">
        <f t="shared" si="0"/>
        <v>0.16099999999999998</v>
      </c>
    </row>
    <row r="18" spans="2:10">
      <c r="B18" s="1384"/>
      <c r="C18" s="1390">
        <v>37987</v>
      </c>
      <c r="D18" s="1391">
        <v>3487.5</v>
      </c>
      <c r="E18" s="1391">
        <v>41850</v>
      </c>
      <c r="F18" s="1392">
        <v>0.14299999999999999</v>
      </c>
      <c r="G18" s="614">
        <v>1.7000000000000001E-2</v>
      </c>
      <c r="H18" s="614">
        <v>0</v>
      </c>
      <c r="I18" s="1389"/>
      <c r="J18" s="59">
        <f t="shared" si="0"/>
        <v>0.15999999999999998</v>
      </c>
    </row>
    <row r="19" spans="2:10">
      <c r="B19" s="1384"/>
      <c r="C19" s="1390">
        <v>38353</v>
      </c>
      <c r="D19" s="1391">
        <v>3525</v>
      </c>
      <c r="E19" s="1391">
        <v>42300</v>
      </c>
      <c r="F19" s="1393">
        <v>0.14299999999999999</v>
      </c>
      <c r="G19" s="614">
        <v>1.7000000000000001E-2</v>
      </c>
      <c r="H19" s="614">
        <v>2.5000000000000001E-3</v>
      </c>
      <c r="I19" s="1389"/>
      <c r="J19" s="59">
        <f t="shared" si="0"/>
        <v>0.16249999999999998</v>
      </c>
    </row>
    <row r="20" spans="2:10">
      <c r="B20" s="1384"/>
      <c r="C20" s="1390">
        <v>38534</v>
      </c>
      <c r="D20" s="1391">
        <v>3525</v>
      </c>
      <c r="E20" s="1391">
        <v>42300</v>
      </c>
      <c r="F20" s="1393">
        <v>0.13800000000000001</v>
      </c>
      <c r="G20" s="614">
        <v>1.7000000000000001E-2</v>
      </c>
      <c r="H20" s="614">
        <v>2.5000000000000001E-3</v>
      </c>
      <c r="I20" s="1389"/>
      <c r="J20" s="59">
        <f t="shared" si="0"/>
        <v>0.15750000000000003</v>
      </c>
    </row>
    <row r="21" spans="2:10">
      <c r="B21" s="1384"/>
      <c r="C21" s="1390">
        <v>38718</v>
      </c>
      <c r="D21" s="1391">
        <v>3562.5</v>
      </c>
      <c r="E21" s="1391">
        <v>42750</v>
      </c>
      <c r="F21" s="1392">
        <v>0.14299999999999999</v>
      </c>
      <c r="G21" s="614">
        <v>1.7000000000000001E-2</v>
      </c>
      <c r="H21" s="614">
        <v>2.5000000000000001E-3</v>
      </c>
      <c r="I21" s="1389"/>
      <c r="J21" s="59">
        <f t="shared" si="0"/>
        <v>0.16249999999999998</v>
      </c>
    </row>
    <row r="22" spans="2:10">
      <c r="B22" s="1384"/>
      <c r="C22" s="1390">
        <v>39083</v>
      </c>
      <c r="D22" s="1391">
        <v>3562.5</v>
      </c>
      <c r="E22" s="1391">
        <v>42750</v>
      </c>
      <c r="F22" s="1392">
        <v>0.14899999999999999</v>
      </c>
      <c r="G22" s="614">
        <v>1.7000000000000001E-2</v>
      </c>
      <c r="H22" s="614">
        <v>2.5000000000000001E-3</v>
      </c>
      <c r="I22" s="1389"/>
      <c r="J22" s="59">
        <f t="shared" si="0"/>
        <v>0.16849999999999998</v>
      </c>
    </row>
    <row r="23" spans="2:10">
      <c r="B23" s="1384"/>
      <c r="C23" s="1390">
        <v>39448</v>
      </c>
      <c r="D23" s="1391">
        <v>3600</v>
      </c>
      <c r="E23" s="1391">
        <v>43200</v>
      </c>
      <c r="F23" s="1392">
        <v>0.14899999999999999</v>
      </c>
      <c r="G23" s="614">
        <v>1.95E-2</v>
      </c>
      <c r="H23" s="614">
        <v>2.5000000000000001E-3</v>
      </c>
      <c r="I23" s="1394"/>
      <c r="J23" s="59">
        <f t="shared" si="0"/>
        <v>0.17099999999999999</v>
      </c>
    </row>
    <row r="24" spans="2:10">
      <c r="B24" s="1384"/>
      <c r="C24" s="1390">
        <v>39814</v>
      </c>
      <c r="D24" s="1391">
        <v>3675</v>
      </c>
      <c r="E24" s="1391">
        <v>44100</v>
      </c>
      <c r="F24" s="1393">
        <v>0.155</v>
      </c>
      <c r="G24" s="614">
        <v>1.95E-2</v>
      </c>
      <c r="H24" s="614">
        <v>2.5000000000000001E-3</v>
      </c>
      <c r="I24" s="1394"/>
      <c r="J24" s="59">
        <f t="shared" si="0"/>
        <v>0.17699999999999999</v>
      </c>
    </row>
    <row r="25" spans="2:10">
      <c r="B25" s="1384"/>
      <c r="C25" s="1390">
        <v>39995</v>
      </c>
      <c r="D25" s="1391">
        <v>3675</v>
      </c>
      <c r="E25" s="1391">
        <v>44100</v>
      </c>
      <c r="F25" s="1393">
        <v>0.14899999999999999</v>
      </c>
      <c r="G25" s="614">
        <v>1.95E-2</v>
      </c>
      <c r="H25" s="614">
        <v>2.5000000000000001E-3</v>
      </c>
      <c r="I25" s="1394"/>
      <c r="J25" s="59">
        <f t="shared" si="0"/>
        <v>0.17099999999999999</v>
      </c>
    </row>
    <row r="26" spans="2:10">
      <c r="B26" s="1384"/>
      <c r="C26" s="1390">
        <v>40179</v>
      </c>
      <c r="D26" s="1391">
        <v>3750</v>
      </c>
      <c r="E26" s="1391">
        <v>45000</v>
      </c>
      <c r="F26" s="1392">
        <v>0.155</v>
      </c>
      <c r="G26" s="614">
        <v>1.95E-2</v>
      </c>
      <c r="H26" s="614">
        <v>2.5000000000000001E-3</v>
      </c>
      <c r="I26" s="1394"/>
      <c r="J26" s="59">
        <f t="shared" si="0"/>
        <v>0.17699999999999999</v>
      </c>
    </row>
    <row r="27" spans="2:10">
      <c r="B27" s="1384"/>
      <c r="C27" s="1390">
        <v>40544</v>
      </c>
      <c r="D27" s="1391">
        <v>3712.5</v>
      </c>
      <c r="E27" s="1391">
        <v>44550</v>
      </c>
      <c r="F27" s="1392">
        <v>0.155</v>
      </c>
      <c r="G27" s="614">
        <v>1.95E-2</v>
      </c>
      <c r="H27" s="614">
        <v>2.5000000000000001E-3</v>
      </c>
      <c r="I27" s="1394"/>
      <c r="J27" s="59">
        <f t="shared" si="0"/>
        <v>0.17699999999999999</v>
      </c>
    </row>
    <row r="28" spans="2:10">
      <c r="B28" s="1384"/>
      <c r="C28" s="1390">
        <v>40909</v>
      </c>
      <c r="D28" s="1391">
        <v>3825</v>
      </c>
      <c r="E28" s="1391">
        <v>45900</v>
      </c>
      <c r="F28" s="1392">
        <v>0.155</v>
      </c>
      <c r="G28" s="614">
        <v>1.95E-2</v>
      </c>
      <c r="H28" s="614">
        <v>2.5000000000000001E-3</v>
      </c>
      <c r="I28" s="1394"/>
      <c r="J28" s="59">
        <f t="shared" si="0"/>
        <v>0.17699999999999999</v>
      </c>
    </row>
    <row r="29" spans="2:10">
      <c r="B29" s="1384"/>
      <c r="C29" s="1390">
        <v>41275</v>
      </c>
      <c r="D29" s="1391">
        <v>3937.5</v>
      </c>
      <c r="E29" s="1391">
        <v>47250</v>
      </c>
      <c r="F29" s="1392">
        <v>0.155</v>
      </c>
      <c r="G29" s="614">
        <v>2.0500000000000001E-2</v>
      </c>
      <c r="H29" s="614">
        <v>2.5000000000000001E-3</v>
      </c>
      <c r="I29" s="1389"/>
      <c r="J29" s="59">
        <f t="shared" si="0"/>
        <v>0.17799999999999999</v>
      </c>
    </row>
    <row r="30" spans="2:10">
      <c r="B30" s="1384"/>
      <c r="C30" s="1390">
        <v>41640</v>
      </c>
      <c r="D30" s="1391">
        <v>4050</v>
      </c>
      <c r="E30" s="1391">
        <v>48600</v>
      </c>
      <c r="F30" s="1392">
        <v>0.155</v>
      </c>
      <c r="G30" s="614">
        <v>2.0500000000000001E-2</v>
      </c>
      <c r="H30" s="614">
        <v>2.5000000000000001E-3</v>
      </c>
      <c r="I30" s="1389"/>
      <c r="J30" s="59">
        <f t="shared" si="0"/>
        <v>0.17799999999999999</v>
      </c>
    </row>
    <row r="31" spans="2:10">
      <c r="B31" s="1384"/>
      <c r="C31" s="1390">
        <v>42005</v>
      </c>
      <c r="D31" s="1391">
        <v>4125</v>
      </c>
      <c r="E31" s="1391">
        <v>49500</v>
      </c>
      <c r="F31" s="1392">
        <v>0.14599999999999999</v>
      </c>
      <c r="G31" s="614">
        <v>2.35E-2</v>
      </c>
      <c r="H31" s="614">
        <v>2.5000000000000001E-3</v>
      </c>
      <c r="I31" s="1389"/>
      <c r="J31" s="59">
        <f t="shared" si="0"/>
        <v>0.17199999999999999</v>
      </c>
    </row>
    <row r="32" spans="2:10">
      <c r="B32" s="1384"/>
      <c r="C32" s="1390">
        <v>42370</v>
      </c>
      <c r="D32" s="1391">
        <v>4237.5</v>
      </c>
      <c r="E32" s="1391">
        <v>50850</v>
      </c>
      <c r="F32" s="1392">
        <v>0.14599999999999999</v>
      </c>
      <c r="G32" s="614">
        <v>2.35E-2</v>
      </c>
      <c r="H32" s="614">
        <v>2.5000000000000001E-3</v>
      </c>
      <c r="I32" s="1389"/>
      <c r="J32" s="59">
        <f t="shared" si="0"/>
        <v>0.17199999999999999</v>
      </c>
    </row>
    <row r="33" spans="2:10">
      <c r="B33" s="1384"/>
      <c r="C33" s="1390">
        <v>42736</v>
      </c>
      <c r="D33" s="1391">
        <v>4350</v>
      </c>
      <c r="E33" s="1391">
        <v>52200</v>
      </c>
      <c r="F33" s="1392">
        <v>0.14599999999999999</v>
      </c>
      <c r="G33" s="614">
        <v>2.5499999999999998E-2</v>
      </c>
      <c r="H33" s="614">
        <v>2.5000000000000001E-3</v>
      </c>
      <c r="I33" s="1389"/>
      <c r="J33" s="59">
        <f t="shared" si="0"/>
        <v>0.17399999999999999</v>
      </c>
    </row>
    <row r="34" spans="2:10">
      <c r="B34" s="1384"/>
      <c r="C34" s="1390">
        <v>43101</v>
      </c>
      <c r="D34" s="1391">
        <v>4425</v>
      </c>
      <c r="E34" s="1391">
        <v>53100</v>
      </c>
      <c r="F34" s="1392">
        <v>0.14599999999999999</v>
      </c>
      <c r="G34" s="614">
        <v>2.5499999999999998E-2</v>
      </c>
      <c r="H34" s="614">
        <v>2.5000000000000001E-3</v>
      </c>
      <c r="I34" s="1389"/>
      <c r="J34" s="59">
        <f t="shared" si="0"/>
        <v>0.17399999999999999</v>
      </c>
    </row>
    <row r="35" spans="2:10">
      <c r="B35" s="1384"/>
      <c r="C35" s="1390">
        <v>43466</v>
      </c>
      <c r="D35" s="1391">
        <v>4537.5</v>
      </c>
      <c r="E35" s="1391">
        <v>54450</v>
      </c>
      <c r="F35" s="1392">
        <v>0.14599999999999999</v>
      </c>
      <c r="G35" s="614">
        <v>3.0499999999999999E-2</v>
      </c>
      <c r="H35" s="614">
        <v>2.5000000000000001E-3</v>
      </c>
      <c r="I35" s="1389"/>
      <c r="J35" s="59">
        <f t="shared" si="0"/>
        <v>0.17899999999999999</v>
      </c>
    </row>
    <row r="36" spans="2:10">
      <c r="B36" s="1384"/>
      <c r="C36" s="1390">
        <v>43831</v>
      </c>
      <c r="D36" s="1391">
        <v>4687.5</v>
      </c>
      <c r="E36" s="1391">
        <v>56250</v>
      </c>
      <c r="F36" s="1392">
        <v>0.14599999999999999</v>
      </c>
      <c r="G36" s="614">
        <v>3.0499999999999999E-2</v>
      </c>
      <c r="H36" s="614">
        <v>2.5000000000000001E-3</v>
      </c>
      <c r="I36" s="1389"/>
      <c r="J36" s="59">
        <f t="shared" si="0"/>
        <v>0.17899999999999999</v>
      </c>
    </row>
    <row r="37" spans="2:10">
      <c r="B37" s="1384"/>
      <c r="C37" s="1390">
        <v>44197</v>
      </c>
      <c r="D37" s="1391">
        <v>4837.5</v>
      </c>
      <c r="E37" s="1391">
        <v>58050</v>
      </c>
      <c r="F37" s="1392">
        <v>0.14599999999999999</v>
      </c>
      <c r="G37" s="614">
        <v>3.0499999999999999E-2</v>
      </c>
      <c r="H37" s="614">
        <v>2.5000000000000001E-3</v>
      </c>
      <c r="I37" s="1389"/>
      <c r="J37" s="59">
        <f t="shared" si="0"/>
        <v>0.17899999999999999</v>
      </c>
    </row>
    <row r="38" spans="2:10">
      <c r="B38" s="1384"/>
      <c r="C38" s="1390">
        <v>44562</v>
      </c>
      <c r="D38" s="1391">
        <v>4837.5</v>
      </c>
      <c r="E38" s="1391">
        <v>58050</v>
      </c>
      <c r="F38" s="1392">
        <v>0.14599999999999999</v>
      </c>
      <c r="G38" s="614">
        <v>3.0499999999999999E-2</v>
      </c>
      <c r="H38" s="614">
        <v>3.5000000000000001E-3</v>
      </c>
      <c r="I38" s="1389"/>
      <c r="J38" s="59">
        <f t="shared" si="0"/>
        <v>0.18</v>
      </c>
    </row>
    <row r="39" spans="2:10">
      <c r="B39" s="1384"/>
      <c r="C39" s="1390">
        <v>44927</v>
      </c>
      <c r="D39" s="1391">
        <v>4987.5</v>
      </c>
      <c r="E39" s="1391">
        <v>59850</v>
      </c>
      <c r="F39" s="1392">
        <v>0.14599999999999999</v>
      </c>
      <c r="G39" s="614">
        <v>3.0499999999999999E-2</v>
      </c>
      <c r="H39" s="614">
        <v>9.4999999999999998E-3</v>
      </c>
      <c r="I39" s="1389"/>
      <c r="J39" s="59">
        <f t="shared" si="0"/>
        <v>0.186</v>
      </c>
    </row>
    <row r="40" spans="2:10">
      <c r="B40" s="58"/>
      <c r="C40" s="1390">
        <v>45108</v>
      </c>
      <c r="D40" s="1391">
        <v>4987.5</v>
      </c>
      <c r="E40" s="1391">
        <v>59850</v>
      </c>
      <c r="F40" s="1392">
        <v>0.14599999999999999</v>
      </c>
      <c r="G40" s="885">
        <v>3.4000000000000002E-2</v>
      </c>
      <c r="H40" s="885">
        <v>6.0000000000000001E-3</v>
      </c>
      <c r="I40" s="1394"/>
      <c r="J40" s="59">
        <f t="shared" si="0"/>
        <v>0.186</v>
      </c>
    </row>
    <row r="41" spans="2:10">
      <c r="B41" s="1384"/>
      <c r="C41" s="1397">
        <v>45292</v>
      </c>
      <c r="D41" s="1398">
        <v>5175</v>
      </c>
      <c r="E41" s="1398">
        <f>+D41*12</f>
        <v>62100</v>
      </c>
      <c r="F41" s="1399">
        <v>0.14599999999999999</v>
      </c>
      <c r="G41" s="1400">
        <v>3.4000000000000002E-2</v>
      </c>
      <c r="H41" s="1389">
        <v>6.0000000000000001E-3</v>
      </c>
      <c r="I41" s="1389">
        <v>1.7000000000000001E-2</v>
      </c>
      <c r="J41" s="59">
        <f>+F41+G41+H41+I41</f>
        <v>0.20300000000000001</v>
      </c>
    </row>
    <row r="42" spans="2:10">
      <c r="B42" s="540"/>
      <c r="C42" s="1385">
        <v>45658</v>
      </c>
      <c r="D42" s="1386">
        <v>5512.5</v>
      </c>
      <c r="E42" s="1386">
        <f>+D42*12</f>
        <v>66150</v>
      </c>
      <c r="F42" s="1387">
        <v>0.14599999999999999</v>
      </c>
      <c r="G42" s="614">
        <v>3.5999999999999997E-2</v>
      </c>
      <c r="H42" s="1389">
        <v>6.0000000000000001E-3</v>
      </c>
      <c r="I42" s="1389">
        <v>2.5000000000000001E-2</v>
      </c>
      <c r="J42" s="59">
        <f>+F42+G42+H42+I42</f>
        <v>0.21299999999999999</v>
      </c>
    </row>
    <row r="43" spans="2:10">
      <c r="B43" s="540"/>
      <c r="C43" s="66"/>
      <c r="D43" s="66"/>
      <c r="E43" s="66"/>
      <c r="F43" s="66"/>
      <c r="G43" s="66"/>
      <c r="H43" s="1395"/>
      <c r="I43" s="1395"/>
    </row>
  </sheetData>
  <mergeCells count="1">
    <mergeCell ref="G2:H2"/>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3994" t="s">
        <v>608</v>
      </c>
      <c r="B2" s="3995"/>
      <c r="C2" s="3995"/>
      <c r="D2" s="3995"/>
      <c r="E2" s="3995"/>
      <c r="F2" s="3995"/>
      <c r="G2" s="3995"/>
      <c r="H2" s="3995"/>
      <c r="I2" s="3996"/>
      <c r="J2" s="25"/>
      <c r="K2" s="3992" t="s">
        <v>601</v>
      </c>
      <c r="L2" s="3992"/>
      <c r="M2" s="3992"/>
      <c r="N2" s="3992"/>
      <c r="O2" s="3992"/>
      <c r="P2" s="3992"/>
      <c r="Q2" s="3992"/>
      <c r="R2" s="3992"/>
      <c r="S2" s="3992"/>
      <c r="T2" s="25"/>
      <c r="U2" s="3992" t="s">
        <v>601</v>
      </c>
      <c r="V2" s="3992"/>
      <c r="W2" s="3992"/>
      <c r="X2" s="3992"/>
      <c r="Y2" s="3992"/>
      <c r="Z2" s="3992"/>
      <c r="AA2" s="3992"/>
      <c r="AB2" s="3992"/>
      <c r="AC2" s="3992"/>
      <c r="AD2" s="3992"/>
      <c r="AE2" s="3992"/>
    </row>
    <row r="3" spans="1:31" ht="15">
      <c r="A3" s="3999" t="s">
        <v>605</v>
      </c>
      <c r="B3" s="4000"/>
      <c r="C3" s="4000"/>
      <c r="D3" s="4000"/>
      <c r="E3" s="4000"/>
      <c r="F3" s="4000"/>
      <c r="G3" s="4000"/>
      <c r="H3" s="4000"/>
      <c r="I3" s="4001"/>
      <c r="J3" s="25"/>
      <c r="K3" s="3993" t="s">
        <v>602</v>
      </c>
      <c r="L3" s="3993"/>
      <c r="M3" s="3993"/>
      <c r="N3" s="3993"/>
      <c r="O3" s="3993"/>
      <c r="P3" s="3993"/>
      <c r="Q3" s="3993"/>
      <c r="R3" s="3993"/>
      <c r="S3" s="3993"/>
      <c r="T3" s="25"/>
      <c r="U3" s="3993" t="s">
        <v>606</v>
      </c>
      <c r="V3" s="3993"/>
      <c r="W3" s="3993"/>
      <c r="X3" s="3993"/>
      <c r="Y3" s="3993"/>
      <c r="Z3" s="3993"/>
      <c r="AA3" s="3993"/>
      <c r="AB3" s="3993"/>
      <c r="AC3" s="3993"/>
      <c r="AD3" s="3993"/>
      <c r="AE3" s="3993"/>
    </row>
    <row r="4" spans="1:31">
      <c r="A4" s="3997" t="s">
        <v>7</v>
      </c>
      <c r="B4" s="3998"/>
      <c r="C4" s="29">
        <v>35</v>
      </c>
      <c r="D4" s="29">
        <v>40</v>
      </c>
      <c r="E4" s="29">
        <v>45</v>
      </c>
      <c r="F4" s="29">
        <v>50</v>
      </c>
      <c r="G4" s="29">
        <v>55</v>
      </c>
      <c r="H4" s="29">
        <v>60</v>
      </c>
      <c r="I4" s="29">
        <v>65</v>
      </c>
      <c r="J4" s="25"/>
      <c r="K4" s="4002" t="s">
        <v>7</v>
      </c>
      <c r="L4" s="4003"/>
      <c r="M4" s="29">
        <v>35</v>
      </c>
      <c r="N4" s="29">
        <v>40</v>
      </c>
      <c r="O4" s="29">
        <v>45</v>
      </c>
      <c r="P4" s="29">
        <v>50</v>
      </c>
      <c r="Q4" s="29">
        <v>55</v>
      </c>
      <c r="R4" s="29">
        <v>60</v>
      </c>
      <c r="S4" s="29">
        <v>65</v>
      </c>
      <c r="T4" s="25"/>
      <c r="U4" s="3991" t="s">
        <v>7</v>
      </c>
      <c r="V4" s="3991"/>
      <c r="W4" s="29">
        <v>35</v>
      </c>
      <c r="X4" s="29">
        <v>40</v>
      </c>
      <c r="Y4" s="29">
        <v>45</v>
      </c>
      <c r="Z4" s="29">
        <v>50</v>
      </c>
      <c r="AA4" s="29">
        <v>55</v>
      </c>
      <c r="AB4" s="29">
        <v>60</v>
      </c>
      <c r="AC4" s="29">
        <v>65</v>
      </c>
      <c r="AD4" s="29">
        <v>70</v>
      </c>
      <c r="AE4" s="29">
        <v>75</v>
      </c>
    </row>
    <row r="5" spans="1:31" ht="14.25" customHeight="1">
      <c r="A5" s="3989" t="s">
        <v>269</v>
      </c>
      <c r="B5" s="568">
        <v>0.01</v>
      </c>
      <c r="C5" s="569">
        <v>2.41</v>
      </c>
      <c r="D5" s="569">
        <v>2.23</v>
      </c>
      <c r="E5" s="569">
        <v>2.06</v>
      </c>
      <c r="F5" s="569">
        <v>1.91</v>
      </c>
      <c r="G5" s="569">
        <v>1.77</v>
      </c>
      <c r="H5" s="569">
        <v>1.64</v>
      </c>
      <c r="I5" s="569">
        <v>1.54</v>
      </c>
      <c r="K5" s="3989" t="s">
        <v>269</v>
      </c>
      <c r="L5" s="568">
        <v>0.01</v>
      </c>
      <c r="M5" s="569">
        <v>2.4500000000000002</v>
      </c>
      <c r="N5" s="569">
        <v>2.27</v>
      </c>
      <c r="O5" s="569">
        <v>2.1</v>
      </c>
      <c r="P5" s="569">
        <v>1.94</v>
      </c>
      <c r="Q5" s="569">
        <v>1.8</v>
      </c>
      <c r="R5" s="569">
        <v>1.68</v>
      </c>
      <c r="S5" s="569">
        <v>1.57</v>
      </c>
      <c r="U5" s="3989" t="s">
        <v>269</v>
      </c>
      <c r="V5" s="568">
        <v>0.01</v>
      </c>
      <c r="W5" s="569">
        <v>1.28</v>
      </c>
      <c r="X5" s="569">
        <v>1.22</v>
      </c>
      <c r="Y5" s="569">
        <v>1.1599999999999999</v>
      </c>
      <c r="Z5" s="569">
        <v>1.1000000000000001</v>
      </c>
      <c r="AA5" s="569">
        <v>1.06</v>
      </c>
      <c r="AB5" s="569">
        <v>1.01</v>
      </c>
      <c r="AC5" s="569">
        <v>0.97</v>
      </c>
      <c r="AD5" s="569">
        <v>0.92</v>
      </c>
      <c r="AE5" s="569">
        <v>0.85</v>
      </c>
    </row>
    <row r="6" spans="1:31" ht="14.1" customHeight="1">
      <c r="A6" s="3989"/>
      <c r="B6" s="568">
        <v>1.2500000000000001E-2</v>
      </c>
      <c r="C6" s="569">
        <v>2.16</v>
      </c>
      <c r="D6" s="569">
        <v>2.02</v>
      </c>
      <c r="E6" s="569">
        <v>1.9</v>
      </c>
      <c r="F6" s="569">
        <v>1.78</v>
      </c>
      <c r="G6" s="569">
        <v>1.66</v>
      </c>
      <c r="H6" s="569">
        <v>1.56</v>
      </c>
      <c r="I6" s="569">
        <v>1.48</v>
      </c>
      <c r="K6" s="3989"/>
      <c r="L6" s="568">
        <v>1.2500000000000001E-2</v>
      </c>
      <c r="M6" s="569">
        <v>2.19</v>
      </c>
      <c r="N6" s="569">
        <v>2.0499999999999998</v>
      </c>
      <c r="O6" s="569">
        <v>1.92</v>
      </c>
      <c r="P6" s="569">
        <v>1.8</v>
      </c>
      <c r="Q6" s="569">
        <v>1.69</v>
      </c>
      <c r="R6" s="569">
        <v>1.59</v>
      </c>
      <c r="S6" s="569">
        <v>1.51</v>
      </c>
      <c r="U6" s="3989"/>
      <c r="V6" s="568">
        <v>1.2500000000000001E-2</v>
      </c>
      <c r="W6" s="569">
        <v>1.1399999999999999</v>
      </c>
      <c r="X6" s="569">
        <v>1.1000000000000001</v>
      </c>
      <c r="Y6" s="569">
        <v>1.06</v>
      </c>
      <c r="Z6" s="569">
        <v>1.03</v>
      </c>
      <c r="AA6" s="569">
        <v>0.99</v>
      </c>
      <c r="AB6" s="569">
        <v>0.97</v>
      </c>
      <c r="AC6" s="569">
        <v>0.94</v>
      </c>
      <c r="AD6" s="569">
        <v>0.89</v>
      </c>
      <c r="AE6" s="569">
        <v>0.83</v>
      </c>
    </row>
    <row r="7" spans="1:31" ht="14.1" customHeight="1">
      <c r="A7" s="3989"/>
      <c r="B7" s="568">
        <v>1.4999999999999999E-2</v>
      </c>
      <c r="C7" s="569">
        <v>1.94</v>
      </c>
      <c r="D7" s="569">
        <v>1.84</v>
      </c>
      <c r="E7" s="569">
        <v>1.74</v>
      </c>
      <c r="F7" s="569">
        <v>1.65</v>
      </c>
      <c r="G7" s="569">
        <v>1.57</v>
      </c>
      <c r="H7" s="569">
        <v>1.49</v>
      </c>
      <c r="I7" s="569">
        <v>1.43</v>
      </c>
      <c r="K7" s="3989"/>
      <c r="L7" s="568">
        <v>1.4999999999999999E-2</v>
      </c>
      <c r="M7" s="569">
        <v>1.96</v>
      </c>
      <c r="N7" s="569">
        <v>1.86</v>
      </c>
      <c r="O7" s="569">
        <v>1.76</v>
      </c>
      <c r="P7" s="569">
        <v>1.67</v>
      </c>
      <c r="Q7" s="569">
        <v>1.59</v>
      </c>
      <c r="R7" s="569">
        <v>1.52</v>
      </c>
      <c r="S7" s="569">
        <v>1.46</v>
      </c>
      <c r="U7" s="3989"/>
      <c r="V7" s="568">
        <v>1.4999999999999999E-2</v>
      </c>
      <c r="W7" s="569">
        <v>1.02</v>
      </c>
      <c r="X7" s="569">
        <v>1</v>
      </c>
      <c r="Y7" s="569">
        <v>0.98</v>
      </c>
      <c r="Z7" s="569">
        <v>0.95</v>
      </c>
      <c r="AA7" s="569">
        <v>0.94</v>
      </c>
      <c r="AB7" s="569">
        <v>0.92</v>
      </c>
      <c r="AC7" s="569">
        <v>0.91</v>
      </c>
      <c r="AD7" s="569">
        <v>0.87</v>
      </c>
      <c r="AE7" s="569">
        <v>0.81</v>
      </c>
    </row>
    <row r="8" spans="1:31" ht="14.1" customHeight="1">
      <c r="A8" s="3989"/>
      <c r="B8" s="568">
        <v>1.7500000000000002E-2</v>
      </c>
      <c r="C8" s="569">
        <v>1.74</v>
      </c>
      <c r="D8" s="569">
        <v>1.67</v>
      </c>
      <c r="E8" s="569">
        <v>1.6</v>
      </c>
      <c r="F8" s="569">
        <v>1.54</v>
      </c>
      <c r="G8" s="569">
        <v>1.48</v>
      </c>
      <c r="H8" s="569">
        <v>1.42</v>
      </c>
      <c r="I8" s="569">
        <v>1.39</v>
      </c>
      <c r="K8" s="3989"/>
      <c r="L8" s="568">
        <v>1.7500000000000002E-2</v>
      </c>
      <c r="M8" s="569">
        <v>1.76</v>
      </c>
      <c r="N8" s="569">
        <v>1.69</v>
      </c>
      <c r="O8" s="569">
        <v>1.62</v>
      </c>
      <c r="P8" s="569">
        <v>1.56</v>
      </c>
      <c r="Q8" s="569">
        <v>1.5</v>
      </c>
      <c r="R8" s="569">
        <v>1.44</v>
      </c>
      <c r="S8" s="569">
        <v>1.41</v>
      </c>
      <c r="U8" s="3989"/>
      <c r="V8" s="568">
        <v>1.7500000000000002E-2</v>
      </c>
      <c r="W8" s="569">
        <v>0.92</v>
      </c>
      <c r="X8" s="569">
        <v>0.91</v>
      </c>
      <c r="Y8" s="569">
        <v>0.9</v>
      </c>
      <c r="Z8" s="569">
        <v>0.89</v>
      </c>
      <c r="AA8" s="569">
        <v>0.88</v>
      </c>
      <c r="AB8" s="569">
        <v>0.88</v>
      </c>
      <c r="AC8" s="569">
        <v>0.88</v>
      </c>
      <c r="AD8" s="569">
        <v>0.84</v>
      </c>
      <c r="AE8" s="569">
        <v>0.8</v>
      </c>
    </row>
    <row r="9" spans="1:31" ht="14.1" customHeight="1">
      <c r="A9" s="3989"/>
      <c r="B9" s="568">
        <v>0.02</v>
      </c>
      <c r="C9" s="569">
        <v>1.56</v>
      </c>
      <c r="D9" s="569">
        <v>1.52</v>
      </c>
      <c r="E9" s="569">
        <v>1.48</v>
      </c>
      <c r="F9" s="569">
        <v>1.43</v>
      </c>
      <c r="G9" s="569">
        <v>1.39</v>
      </c>
      <c r="H9" s="569">
        <v>1.36</v>
      </c>
      <c r="I9" s="569">
        <v>1.34</v>
      </c>
      <c r="K9" s="3989"/>
      <c r="L9" s="568">
        <v>0.02</v>
      </c>
      <c r="M9" s="569">
        <v>1.57</v>
      </c>
      <c r="N9" s="569">
        <v>1.53</v>
      </c>
      <c r="O9" s="569">
        <v>1.49</v>
      </c>
      <c r="P9" s="569">
        <v>1.45</v>
      </c>
      <c r="Q9" s="569">
        <v>1.41</v>
      </c>
      <c r="R9" s="569">
        <v>1.38</v>
      </c>
      <c r="S9" s="569">
        <v>1.36</v>
      </c>
      <c r="U9" s="3989"/>
      <c r="V9" s="568">
        <v>0.02</v>
      </c>
      <c r="W9" s="569">
        <v>0.82</v>
      </c>
      <c r="X9" s="569">
        <v>0.82</v>
      </c>
      <c r="Y9" s="569">
        <v>0.82</v>
      </c>
      <c r="Z9" s="569">
        <v>0.83</v>
      </c>
      <c r="AA9" s="569">
        <v>0.83</v>
      </c>
      <c r="AB9" s="569">
        <v>0.84</v>
      </c>
      <c r="AC9" s="569">
        <v>0.85</v>
      </c>
      <c r="AD9" s="569">
        <v>0.82</v>
      </c>
      <c r="AE9" s="569">
        <v>0.78</v>
      </c>
    </row>
    <row r="10" spans="1:31" ht="14.1" customHeight="1">
      <c r="A10" s="3989"/>
      <c r="B10" s="568">
        <v>2.2499999999999999E-2</v>
      </c>
      <c r="C10" s="569">
        <v>1.41</v>
      </c>
      <c r="D10" s="569">
        <v>1.38</v>
      </c>
      <c r="E10" s="569">
        <v>1.36</v>
      </c>
      <c r="F10" s="569">
        <v>1.34</v>
      </c>
      <c r="G10" s="569">
        <v>1.32</v>
      </c>
      <c r="H10" s="569">
        <v>1.3</v>
      </c>
      <c r="I10" s="569">
        <v>1.3</v>
      </c>
      <c r="K10" s="3989"/>
      <c r="L10" s="568">
        <v>2.2499999999999999E-2</v>
      </c>
      <c r="M10" s="569">
        <v>1.41</v>
      </c>
      <c r="N10" s="569">
        <v>1.39</v>
      </c>
      <c r="O10" s="569">
        <v>1.37</v>
      </c>
      <c r="P10" s="569">
        <v>1.35</v>
      </c>
      <c r="Q10" s="569">
        <v>1.33</v>
      </c>
      <c r="R10" s="569">
        <v>1.31</v>
      </c>
      <c r="S10" s="569">
        <v>1.31</v>
      </c>
      <c r="U10" s="3989"/>
      <c r="V10" s="568">
        <v>2.2499999999999999E-2</v>
      </c>
      <c r="W10" s="569">
        <v>0.74</v>
      </c>
      <c r="X10" s="569">
        <v>0.75</v>
      </c>
      <c r="Y10" s="569">
        <v>0.76</v>
      </c>
      <c r="Z10" s="569">
        <v>0.77</v>
      </c>
      <c r="AA10" s="569">
        <v>0.79</v>
      </c>
      <c r="AB10" s="569">
        <v>0.81</v>
      </c>
      <c r="AC10" s="569">
        <v>0.82</v>
      </c>
      <c r="AD10" s="569">
        <v>0.8</v>
      </c>
      <c r="AE10" s="569">
        <v>0.76</v>
      </c>
    </row>
    <row r="11" spans="1:31" ht="14.1" customHeight="1">
      <c r="A11" s="3989"/>
      <c r="B11" s="568">
        <v>2.5000000000000001E-2</v>
      </c>
      <c r="C11" s="569">
        <v>1.27</v>
      </c>
      <c r="D11" s="569">
        <v>1.26</v>
      </c>
      <c r="E11" s="569">
        <v>1.26</v>
      </c>
      <c r="F11" s="569">
        <v>1.25</v>
      </c>
      <c r="G11" s="569">
        <v>1.24</v>
      </c>
      <c r="H11" s="569">
        <v>1.24</v>
      </c>
      <c r="I11" s="569">
        <v>1.25</v>
      </c>
      <c r="K11" s="3989"/>
      <c r="L11" s="568">
        <v>2.5000000000000001E-2</v>
      </c>
      <c r="M11" s="569">
        <v>1.27</v>
      </c>
      <c r="N11" s="569">
        <v>1.27</v>
      </c>
      <c r="O11" s="569">
        <v>1.26</v>
      </c>
      <c r="P11" s="569">
        <v>1.26</v>
      </c>
      <c r="Q11" s="569">
        <v>1.25</v>
      </c>
      <c r="R11" s="569">
        <v>1.25</v>
      </c>
      <c r="S11" s="569">
        <v>1.27</v>
      </c>
      <c r="U11" s="3989"/>
      <c r="V11" s="568">
        <v>2.5000000000000001E-2</v>
      </c>
      <c r="W11" s="569">
        <v>0.66</v>
      </c>
      <c r="X11" s="569">
        <v>0.68</v>
      </c>
      <c r="Y11" s="569">
        <v>0.7</v>
      </c>
      <c r="Z11" s="569">
        <v>0.72</v>
      </c>
      <c r="AA11" s="569">
        <v>0.74</v>
      </c>
      <c r="AB11" s="569">
        <v>0.77</v>
      </c>
      <c r="AC11" s="569">
        <v>0.8</v>
      </c>
      <c r="AD11" s="569">
        <v>0.78</v>
      </c>
      <c r="AE11" s="569">
        <v>0.75</v>
      </c>
    </row>
    <row r="12" spans="1:31" ht="14.1" customHeight="1">
      <c r="A12" s="3989"/>
      <c r="B12" s="568">
        <v>2.75E-2</v>
      </c>
      <c r="C12" s="569">
        <v>1.1399999999999999</v>
      </c>
      <c r="D12" s="569">
        <v>1.1499999999999999</v>
      </c>
      <c r="E12" s="569">
        <v>1.1599999999999999</v>
      </c>
      <c r="F12" s="569">
        <v>1.17</v>
      </c>
      <c r="G12" s="569">
        <v>1.17</v>
      </c>
      <c r="H12" s="569">
        <v>1.19</v>
      </c>
      <c r="I12" s="569">
        <v>1.22</v>
      </c>
      <c r="K12" s="3989"/>
      <c r="L12" s="568">
        <v>2.75E-2</v>
      </c>
      <c r="M12" s="569">
        <v>1.1399999999999999</v>
      </c>
      <c r="N12" s="569">
        <v>1.1499999999999999</v>
      </c>
      <c r="O12" s="569">
        <v>1.1599999999999999</v>
      </c>
      <c r="P12" s="569">
        <v>1.17</v>
      </c>
      <c r="Q12" s="569">
        <v>1.18</v>
      </c>
      <c r="R12" s="569">
        <v>1.2</v>
      </c>
      <c r="S12" s="569">
        <v>1.23</v>
      </c>
      <c r="U12" s="3989"/>
      <c r="V12" s="568">
        <v>2.75E-2</v>
      </c>
      <c r="W12" s="569">
        <v>0.59</v>
      </c>
      <c r="X12" s="569">
        <v>0.62</v>
      </c>
      <c r="Y12" s="569">
        <v>0.64</v>
      </c>
      <c r="Z12" s="569">
        <v>0.67</v>
      </c>
      <c r="AA12" s="569">
        <v>0.7</v>
      </c>
      <c r="AB12" s="569">
        <v>0.74</v>
      </c>
      <c r="AC12" s="569">
        <v>0.77</v>
      </c>
      <c r="AD12" s="569">
        <v>0.76</v>
      </c>
      <c r="AE12" s="569">
        <v>0.73</v>
      </c>
    </row>
    <row r="13" spans="1:31" ht="14.1" customHeight="1">
      <c r="A13" s="3989"/>
      <c r="B13" s="568">
        <v>0.03</v>
      </c>
      <c r="C13" s="569">
        <v>1.03</v>
      </c>
      <c r="D13" s="569">
        <v>1.05</v>
      </c>
      <c r="E13" s="569">
        <v>1.07</v>
      </c>
      <c r="F13" s="569">
        <v>1.0900000000000001</v>
      </c>
      <c r="G13" s="569">
        <v>1.1100000000000001</v>
      </c>
      <c r="H13" s="569">
        <v>1.1299999999999999</v>
      </c>
      <c r="I13" s="569">
        <v>1.18</v>
      </c>
      <c r="K13" s="3989"/>
      <c r="L13" s="568">
        <v>0.03</v>
      </c>
      <c r="M13" s="569">
        <v>1.03</v>
      </c>
      <c r="N13" s="569">
        <v>1.05</v>
      </c>
      <c r="O13" s="569">
        <v>1.07</v>
      </c>
      <c r="P13" s="569">
        <v>1.0900000000000001</v>
      </c>
      <c r="Q13" s="569">
        <v>1.1200000000000001</v>
      </c>
      <c r="R13" s="569">
        <v>1.1399999999999999</v>
      </c>
      <c r="S13" s="569">
        <v>1.19</v>
      </c>
      <c r="U13" s="3989"/>
      <c r="V13" s="568">
        <v>0.03</v>
      </c>
      <c r="W13" s="569">
        <v>0.54</v>
      </c>
      <c r="X13" s="569">
        <v>0.56000000000000005</v>
      </c>
      <c r="Y13" s="569">
        <v>0.59</v>
      </c>
      <c r="Z13" s="569">
        <v>0.63</v>
      </c>
      <c r="AA13" s="569">
        <v>0.67</v>
      </c>
      <c r="AB13" s="569">
        <v>0.71</v>
      </c>
      <c r="AC13" s="569">
        <v>0.75</v>
      </c>
      <c r="AD13" s="569">
        <v>0.74</v>
      </c>
      <c r="AE13" s="569">
        <v>0.72</v>
      </c>
    </row>
    <row r="14" spans="1:31" ht="14.1" customHeight="1">
      <c r="A14" s="3989"/>
      <c r="B14" s="568">
        <v>3.2500000000000001E-2</v>
      </c>
      <c r="C14" s="569">
        <v>0.93</v>
      </c>
      <c r="D14" s="569">
        <v>0.96</v>
      </c>
      <c r="E14" s="569">
        <v>0.99</v>
      </c>
      <c r="F14" s="569">
        <v>1.02</v>
      </c>
      <c r="G14" s="569">
        <v>1.05</v>
      </c>
      <c r="H14" s="569">
        <v>1.0900000000000001</v>
      </c>
      <c r="I14" s="569">
        <v>1.1399999999999999</v>
      </c>
      <c r="K14" s="3989"/>
      <c r="L14" s="568">
        <v>3.2500000000000001E-2</v>
      </c>
      <c r="M14" s="569">
        <v>0.93</v>
      </c>
      <c r="N14" s="569">
        <v>0.96</v>
      </c>
      <c r="O14" s="569">
        <v>0.99</v>
      </c>
      <c r="P14" s="569">
        <v>1.02</v>
      </c>
      <c r="Q14" s="569">
        <v>1.05</v>
      </c>
      <c r="R14" s="569">
        <v>1.0900000000000001</v>
      </c>
      <c r="S14" s="569">
        <v>1.1499999999999999</v>
      </c>
      <c r="U14" s="3989"/>
      <c r="V14" s="568">
        <v>3.2500000000000001E-2</v>
      </c>
      <c r="W14" s="569">
        <v>0.48</v>
      </c>
      <c r="X14" s="569">
        <v>0.51</v>
      </c>
      <c r="Y14" s="569">
        <v>0.55000000000000004</v>
      </c>
      <c r="Z14" s="569">
        <v>0.59</v>
      </c>
      <c r="AA14" s="569">
        <v>0.63</v>
      </c>
      <c r="AB14" s="569">
        <v>0.68</v>
      </c>
      <c r="AC14" s="569">
        <v>0.73</v>
      </c>
      <c r="AD14" s="569">
        <v>0.72</v>
      </c>
      <c r="AE14" s="569">
        <v>0.7</v>
      </c>
    </row>
    <row r="15" spans="1:31" ht="14.1" customHeight="1">
      <c r="A15" s="3989"/>
      <c r="B15" s="568">
        <v>3.5000000000000003E-2</v>
      </c>
      <c r="C15" s="569">
        <v>0.84</v>
      </c>
      <c r="D15" s="569">
        <v>0.88</v>
      </c>
      <c r="E15" s="569">
        <v>0.92</v>
      </c>
      <c r="F15" s="569">
        <v>0.95</v>
      </c>
      <c r="G15" s="569">
        <v>1</v>
      </c>
      <c r="H15" s="569">
        <v>1.04</v>
      </c>
      <c r="I15" s="569">
        <v>1.1100000000000001</v>
      </c>
      <c r="K15" s="3989"/>
      <c r="L15" s="568">
        <v>3.5000000000000003E-2</v>
      </c>
      <c r="M15" s="569">
        <v>0.84</v>
      </c>
      <c r="N15" s="569">
        <v>0.88</v>
      </c>
      <c r="O15" s="569">
        <v>0.91</v>
      </c>
      <c r="P15" s="569">
        <v>0.95</v>
      </c>
      <c r="Q15" s="569">
        <v>1</v>
      </c>
      <c r="R15" s="569">
        <v>1.05</v>
      </c>
      <c r="S15" s="569">
        <v>1.1100000000000001</v>
      </c>
      <c r="U15" s="3989"/>
      <c r="V15" s="568">
        <v>3.5000000000000003E-2</v>
      </c>
      <c r="W15" s="569">
        <v>0.43</v>
      </c>
      <c r="X15" s="569">
        <v>0.47</v>
      </c>
      <c r="Y15" s="569">
        <v>0.51</v>
      </c>
      <c r="Z15" s="569">
        <v>0.55000000000000004</v>
      </c>
      <c r="AA15" s="569">
        <v>0.6</v>
      </c>
      <c r="AB15" s="569">
        <v>0.65</v>
      </c>
      <c r="AC15" s="569">
        <v>0.71</v>
      </c>
      <c r="AD15" s="569">
        <v>0.7</v>
      </c>
      <c r="AE15" s="569">
        <v>0.69</v>
      </c>
    </row>
    <row r="16" spans="1:31" ht="14.1" customHeight="1">
      <c r="A16" s="3989"/>
      <c r="B16" s="568">
        <v>3.7499999999999999E-2</v>
      </c>
      <c r="C16" s="569">
        <v>0.76</v>
      </c>
      <c r="D16" s="569">
        <v>0.81</v>
      </c>
      <c r="E16" s="569">
        <v>0.85</v>
      </c>
      <c r="F16" s="569">
        <v>0.89</v>
      </c>
      <c r="G16" s="569">
        <v>0.94</v>
      </c>
      <c r="H16" s="569">
        <v>1</v>
      </c>
      <c r="I16" s="569">
        <v>1.07</v>
      </c>
      <c r="K16" s="3989"/>
      <c r="L16" s="568">
        <v>3.7499999999999999E-2</v>
      </c>
      <c r="M16" s="569">
        <v>0.76</v>
      </c>
      <c r="N16" s="569">
        <v>0.8</v>
      </c>
      <c r="O16" s="569">
        <v>0.84</v>
      </c>
      <c r="P16" s="569">
        <v>0.89</v>
      </c>
      <c r="Q16" s="569">
        <v>0.94</v>
      </c>
      <c r="R16" s="569">
        <v>1</v>
      </c>
      <c r="S16" s="569">
        <v>1.08</v>
      </c>
      <c r="U16" s="3989"/>
      <c r="V16" s="568">
        <v>3.7499999999999999E-2</v>
      </c>
      <c r="W16" s="569">
        <v>0.39</v>
      </c>
      <c r="X16" s="569">
        <v>0.43</v>
      </c>
      <c r="Y16" s="569">
        <v>0.47</v>
      </c>
      <c r="Z16" s="569">
        <v>0.51</v>
      </c>
      <c r="AA16" s="569">
        <v>0.56000000000000005</v>
      </c>
      <c r="AB16" s="569">
        <v>0.62</v>
      </c>
      <c r="AC16" s="569">
        <v>0.69</v>
      </c>
      <c r="AD16" s="569">
        <v>0.69</v>
      </c>
      <c r="AE16" s="569">
        <v>0.68</v>
      </c>
    </row>
    <row r="17" spans="1:31" ht="14.1" customHeight="1">
      <c r="A17" s="3989"/>
      <c r="B17" s="568">
        <v>0.04</v>
      </c>
      <c r="C17" s="569">
        <v>0.69</v>
      </c>
      <c r="D17" s="569">
        <v>0.74</v>
      </c>
      <c r="E17" s="569">
        <v>0.79</v>
      </c>
      <c r="F17" s="569">
        <v>0.84</v>
      </c>
      <c r="G17" s="569">
        <v>0.89</v>
      </c>
      <c r="H17" s="569">
        <v>0.96</v>
      </c>
      <c r="I17" s="569">
        <v>1.04</v>
      </c>
      <c r="K17" s="3989"/>
      <c r="L17" s="568">
        <v>0.04</v>
      </c>
      <c r="M17" s="569">
        <v>0.68</v>
      </c>
      <c r="N17" s="569">
        <v>0.73</v>
      </c>
      <c r="O17" s="569">
        <v>0.78</v>
      </c>
      <c r="P17" s="569">
        <v>0.84</v>
      </c>
      <c r="Q17" s="569">
        <v>0.89</v>
      </c>
      <c r="R17" s="569">
        <v>0.96</v>
      </c>
      <c r="S17" s="569">
        <v>1.05</v>
      </c>
      <c r="U17" s="3989"/>
      <c r="V17" s="568">
        <v>0.04</v>
      </c>
      <c r="W17" s="569">
        <v>0.35</v>
      </c>
      <c r="X17" s="569">
        <v>0.39</v>
      </c>
      <c r="Y17" s="569">
        <v>0.43</v>
      </c>
      <c r="Z17" s="569">
        <v>0.48</v>
      </c>
      <c r="AA17" s="569">
        <v>0.54</v>
      </c>
      <c r="AB17" s="569">
        <v>0.6</v>
      </c>
      <c r="AC17" s="569">
        <v>0.67</v>
      </c>
      <c r="AD17" s="569">
        <v>0.67</v>
      </c>
      <c r="AE17" s="569">
        <v>0.66</v>
      </c>
    </row>
    <row r="18" spans="1:31">
      <c r="B18" s="146"/>
      <c r="L18" s="146"/>
      <c r="V18" s="146"/>
    </row>
    <row r="19" spans="1:31" ht="15">
      <c r="A19" s="3990" t="s">
        <v>604</v>
      </c>
      <c r="B19" s="3990"/>
      <c r="C19" s="3990"/>
      <c r="D19" s="3990"/>
      <c r="E19" s="3990"/>
      <c r="F19" s="3990"/>
      <c r="G19" s="3990"/>
      <c r="H19" s="3990"/>
      <c r="I19" s="3990"/>
      <c r="J19" s="25"/>
      <c r="K19" s="3990" t="s">
        <v>603</v>
      </c>
      <c r="L19" s="3990"/>
      <c r="M19" s="3990"/>
      <c r="N19" s="3990"/>
      <c r="O19" s="3990"/>
      <c r="P19" s="3990"/>
      <c r="Q19" s="3990"/>
      <c r="R19" s="3990"/>
      <c r="S19" s="3990"/>
      <c r="T19" s="25"/>
      <c r="U19" s="3990" t="s">
        <v>607</v>
      </c>
      <c r="V19" s="3990"/>
      <c r="W19" s="3990"/>
      <c r="X19" s="3990"/>
      <c r="Y19" s="3990"/>
      <c r="Z19" s="3990"/>
      <c r="AA19" s="3990"/>
      <c r="AB19" s="3990"/>
      <c r="AC19" s="3990"/>
      <c r="AD19" s="3990"/>
      <c r="AE19" s="3990"/>
    </row>
    <row r="20" spans="1:31">
      <c r="A20" s="3991" t="s">
        <v>7</v>
      </c>
      <c r="B20" s="3991"/>
      <c r="C20" s="29">
        <v>35</v>
      </c>
      <c r="D20" s="29">
        <v>40</v>
      </c>
      <c r="E20" s="29">
        <v>45</v>
      </c>
      <c r="F20" s="29">
        <v>50</v>
      </c>
      <c r="G20" s="29">
        <v>55</v>
      </c>
      <c r="H20" s="29">
        <v>60</v>
      </c>
      <c r="I20" s="29">
        <v>65</v>
      </c>
      <c r="J20" s="25"/>
      <c r="K20" s="3991" t="s">
        <v>7</v>
      </c>
      <c r="L20" s="3991"/>
      <c r="M20" s="29">
        <v>35</v>
      </c>
      <c r="N20" s="29">
        <v>40</v>
      </c>
      <c r="O20" s="29">
        <v>45</v>
      </c>
      <c r="P20" s="29">
        <v>50</v>
      </c>
      <c r="Q20" s="29">
        <v>55</v>
      </c>
      <c r="R20" s="29">
        <v>60</v>
      </c>
      <c r="S20" s="29">
        <v>65</v>
      </c>
      <c r="T20" s="25"/>
      <c r="U20" s="3991" t="s">
        <v>7</v>
      </c>
      <c r="V20" s="3991"/>
      <c r="W20" s="29">
        <v>35</v>
      </c>
      <c r="X20" s="29">
        <v>40</v>
      </c>
      <c r="Y20" s="29">
        <v>45</v>
      </c>
      <c r="Z20" s="29">
        <v>50</v>
      </c>
      <c r="AA20" s="29">
        <v>55</v>
      </c>
      <c r="AB20" s="29">
        <v>60</v>
      </c>
      <c r="AC20" s="29">
        <v>65</v>
      </c>
      <c r="AD20" s="29">
        <v>70</v>
      </c>
      <c r="AE20" s="29">
        <v>75</v>
      </c>
    </row>
    <row r="21" spans="1:31" ht="14.25" customHeight="1">
      <c r="A21" s="3989" t="s">
        <v>269</v>
      </c>
      <c r="B21" s="568">
        <v>0.01</v>
      </c>
      <c r="C21" s="569">
        <v>2.29</v>
      </c>
      <c r="D21" s="569">
        <v>2.13</v>
      </c>
      <c r="E21" s="569">
        <v>1.99</v>
      </c>
      <c r="F21" s="569">
        <v>1.86</v>
      </c>
      <c r="G21" s="569">
        <v>1.74</v>
      </c>
      <c r="H21" s="569">
        <v>1.64</v>
      </c>
      <c r="I21" s="569">
        <v>1.54</v>
      </c>
      <c r="K21" s="3989" t="s">
        <v>269</v>
      </c>
      <c r="L21" s="568">
        <v>0.01</v>
      </c>
      <c r="M21" s="569">
        <v>2.34</v>
      </c>
      <c r="N21" s="569">
        <v>2.1800000000000002</v>
      </c>
      <c r="O21" s="569">
        <v>2.0299999999999998</v>
      </c>
      <c r="P21" s="569">
        <v>1.9</v>
      </c>
      <c r="Q21" s="569">
        <v>1.78</v>
      </c>
      <c r="R21" s="569">
        <v>1.67</v>
      </c>
      <c r="S21" s="569">
        <v>1.57</v>
      </c>
      <c r="U21" s="3989" t="s">
        <v>269</v>
      </c>
      <c r="V21" s="568">
        <v>0.01</v>
      </c>
      <c r="W21" s="569">
        <v>1.1000000000000001</v>
      </c>
      <c r="X21" s="569">
        <v>1.04</v>
      </c>
      <c r="Y21" s="569">
        <v>0.98</v>
      </c>
      <c r="Z21" s="569">
        <v>0.93</v>
      </c>
      <c r="AA21" s="569">
        <v>0.89</v>
      </c>
      <c r="AB21" s="569">
        <v>0.86</v>
      </c>
      <c r="AC21" s="569">
        <v>0.83</v>
      </c>
      <c r="AD21" s="569">
        <v>0.77</v>
      </c>
      <c r="AE21" s="569">
        <v>0.71</v>
      </c>
    </row>
    <row r="22" spans="1:31">
      <c r="A22" s="3989"/>
      <c r="B22" s="568">
        <v>1.2500000000000001E-2</v>
      </c>
      <c r="C22" s="569">
        <v>2.04</v>
      </c>
      <c r="D22" s="569">
        <v>1.93</v>
      </c>
      <c r="E22" s="569">
        <v>1.83</v>
      </c>
      <c r="F22" s="569">
        <v>1.73</v>
      </c>
      <c r="G22" s="569">
        <v>1.64</v>
      </c>
      <c r="H22" s="569">
        <v>1.56</v>
      </c>
      <c r="I22" s="569">
        <v>1.48</v>
      </c>
      <c r="K22" s="3989"/>
      <c r="L22" s="568">
        <v>1.2500000000000001E-2</v>
      </c>
      <c r="M22" s="569">
        <v>2.09</v>
      </c>
      <c r="N22" s="569">
        <v>1.97</v>
      </c>
      <c r="O22" s="569">
        <v>1.86</v>
      </c>
      <c r="P22" s="569">
        <v>1.76</v>
      </c>
      <c r="Q22" s="569">
        <v>1.67</v>
      </c>
      <c r="R22" s="569">
        <v>1.59</v>
      </c>
      <c r="S22" s="569">
        <v>1.51</v>
      </c>
      <c r="U22" s="3989"/>
      <c r="V22" s="568">
        <v>1.2500000000000001E-2</v>
      </c>
      <c r="W22" s="569">
        <v>0.99</v>
      </c>
      <c r="X22" s="569">
        <v>0.94</v>
      </c>
      <c r="Y22" s="569">
        <v>0.9</v>
      </c>
      <c r="Z22" s="569">
        <v>0.87</v>
      </c>
      <c r="AA22" s="569">
        <v>0.84</v>
      </c>
      <c r="AB22" s="569">
        <v>0.82</v>
      </c>
      <c r="AC22" s="569">
        <v>0.8</v>
      </c>
      <c r="AD22" s="569">
        <v>0.75</v>
      </c>
      <c r="AE22" s="569">
        <v>0.7</v>
      </c>
    </row>
    <row r="23" spans="1:31">
      <c r="A23" s="3989"/>
      <c r="B23" s="568">
        <v>1.4999999999999999E-2</v>
      </c>
      <c r="C23" s="569">
        <v>1.82</v>
      </c>
      <c r="D23" s="569">
        <v>1.75</v>
      </c>
      <c r="E23" s="569">
        <v>1.67</v>
      </c>
      <c r="F23" s="569">
        <v>1.61</v>
      </c>
      <c r="G23" s="569">
        <v>1.54</v>
      </c>
      <c r="H23" s="569">
        <v>1.49</v>
      </c>
      <c r="I23" s="569">
        <v>1.43</v>
      </c>
      <c r="K23" s="3989"/>
      <c r="L23" s="568">
        <v>1.4999999999999999E-2</v>
      </c>
      <c r="M23" s="569">
        <v>1.86</v>
      </c>
      <c r="N23" s="569">
        <v>1.78</v>
      </c>
      <c r="O23" s="569">
        <v>1.7</v>
      </c>
      <c r="P23" s="569">
        <v>1.63</v>
      </c>
      <c r="Q23" s="569">
        <v>1.57</v>
      </c>
      <c r="R23" s="569">
        <v>1.51</v>
      </c>
      <c r="S23" s="569">
        <v>1.49</v>
      </c>
      <c r="U23" s="3989"/>
      <c r="V23" s="568">
        <v>1.4999999999999999E-2</v>
      </c>
      <c r="W23" s="569">
        <v>0.89</v>
      </c>
      <c r="X23" s="569">
        <v>0.86</v>
      </c>
      <c r="Y23" s="569">
        <v>0.83</v>
      </c>
      <c r="Z23" s="569">
        <v>0.81</v>
      </c>
      <c r="AA23" s="569">
        <v>0.79</v>
      </c>
      <c r="AB23" s="569">
        <v>0.78</v>
      </c>
      <c r="AC23" s="569">
        <v>0.78</v>
      </c>
      <c r="AD23" s="569">
        <v>0.73</v>
      </c>
      <c r="AE23" s="569">
        <v>0.68</v>
      </c>
    </row>
    <row r="24" spans="1:31">
      <c r="A24" s="3989"/>
      <c r="B24" s="568">
        <v>1.7500000000000002E-2</v>
      </c>
      <c r="C24" s="569">
        <v>1.63</v>
      </c>
      <c r="D24" s="569">
        <v>1.58</v>
      </c>
      <c r="E24" s="569">
        <v>1.54</v>
      </c>
      <c r="F24" s="569">
        <v>1.49</v>
      </c>
      <c r="G24" s="569">
        <v>1.45</v>
      </c>
      <c r="H24" s="569">
        <v>1.42</v>
      </c>
      <c r="I24" s="569">
        <v>1.39</v>
      </c>
      <c r="K24" s="3989"/>
      <c r="L24" s="568">
        <v>1.7500000000000002E-2</v>
      </c>
      <c r="M24" s="569">
        <v>1.66</v>
      </c>
      <c r="N24" s="569">
        <v>1.61</v>
      </c>
      <c r="O24" s="569">
        <v>1.56</v>
      </c>
      <c r="P24" s="569">
        <v>1.51</v>
      </c>
      <c r="Q24" s="569">
        <v>1.47</v>
      </c>
      <c r="R24" s="569">
        <v>1.44</v>
      </c>
      <c r="S24" s="569">
        <v>1.41</v>
      </c>
      <c r="U24" s="3989"/>
      <c r="V24" s="568">
        <v>1.7500000000000002E-2</v>
      </c>
      <c r="W24" s="569">
        <v>0.8</v>
      </c>
      <c r="X24" s="569">
        <v>0.78</v>
      </c>
      <c r="Y24" s="569">
        <v>0.77</v>
      </c>
      <c r="Z24" s="569">
        <v>0.76</v>
      </c>
      <c r="AA24" s="569">
        <v>0.75</v>
      </c>
      <c r="AB24" s="569">
        <v>0.75</v>
      </c>
      <c r="AC24" s="569">
        <v>0.75</v>
      </c>
      <c r="AD24" s="569">
        <v>0.71</v>
      </c>
      <c r="AE24" s="569">
        <v>0.67</v>
      </c>
    </row>
    <row r="25" spans="1:31">
      <c r="A25" s="3989"/>
      <c r="B25" s="568">
        <v>0.02</v>
      </c>
      <c r="C25" s="569">
        <v>1.46</v>
      </c>
      <c r="D25" s="569">
        <v>1.44</v>
      </c>
      <c r="E25" s="569">
        <v>1.41</v>
      </c>
      <c r="F25" s="569">
        <v>1.39</v>
      </c>
      <c r="G25" s="569">
        <v>1.37</v>
      </c>
      <c r="H25" s="569">
        <v>1.35</v>
      </c>
      <c r="I25" s="569">
        <v>1.34</v>
      </c>
      <c r="K25" s="3989"/>
      <c r="L25" s="568">
        <v>0.02</v>
      </c>
      <c r="M25" s="569">
        <v>1.49</v>
      </c>
      <c r="N25" s="569">
        <v>1.46</v>
      </c>
      <c r="O25" s="569">
        <v>1.43</v>
      </c>
      <c r="P25" s="569">
        <v>1.4</v>
      </c>
      <c r="Q25" s="569">
        <v>1.38</v>
      </c>
      <c r="R25" s="569">
        <v>1.37</v>
      </c>
      <c r="S25" s="569">
        <v>1.36</v>
      </c>
      <c r="U25" s="3989"/>
      <c r="V25" s="568">
        <v>0.02</v>
      </c>
      <c r="W25" s="569">
        <v>0.72</v>
      </c>
      <c r="X25" s="569">
        <v>0.71</v>
      </c>
      <c r="Y25" s="569">
        <v>0.71</v>
      </c>
      <c r="Z25" s="569">
        <v>0.71</v>
      </c>
      <c r="AA25" s="569">
        <v>0.71</v>
      </c>
      <c r="AB25" s="569">
        <v>0.72</v>
      </c>
      <c r="AC25" s="569">
        <v>0.73</v>
      </c>
      <c r="AD25" s="569">
        <v>0.7</v>
      </c>
      <c r="AE25" s="569">
        <v>0.66</v>
      </c>
    </row>
    <row r="26" spans="1:31">
      <c r="A26" s="3989"/>
      <c r="B26" s="568">
        <v>2.2499999999999999E-2</v>
      </c>
      <c r="C26" s="569">
        <v>1.31</v>
      </c>
      <c r="D26" s="569">
        <v>1.3</v>
      </c>
      <c r="E26" s="569">
        <v>1.3</v>
      </c>
      <c r="F26" s="569">
        <v>1.29</v>
      </c>
      <c r="G26" s="569">
        <v>1.29</v>
      </c>
      <c r="H26" s="569">
        <v>1.29</v>
      </c>
      <c r="I26" s="569">
        <v>1.3</v>
      </c>
      <c r="K26" s="3989"/>
      <c r="L26" s="568">
        <v>2.2499999999999999E-2</v>
      </c>
      <c r="M26" s="569">
        <v>1.33</v>
      </c>
      <c r="N26" s="569">
        <v>1.32</v>
      </c>
      <c r="O26" s="569">
        <v>1.31</v>
      </c>
      <c r="P26" s="569">
        <v>1.31</v>
      </c>
      <c r="Q26" s="569">
        <v>1.3</v>
      </c>
      <c r="R26" s="569">
        <v>1.31</v>
      </c>
      <c r="S26" s="569">
        <v>1.31</v>
      </c>
      <c r="U26" s="3989"/>
      <c r="V26" s="568">
        <v>2.2499999999999999E-2</v>
      </c>
      <c r="W26" s="569">
        <v>0.64</v>
      </c>
      <c r="X26" s="569">
        <v>0.65</v>
      </c>
      <c r="Y26" s="569">
        <v>0.65</v>
      </c>
      <c r="Z26" s="569">
        <v>0.66</v>
      </c>
      <c r="AA26" s="569">
        <v>0.67</v>
      </c>
      <c r="AB26" s="569">
        <v>0.69</v>
      </c>
      <c r="AC26" s="569">
        <v>0.71</v>
      </c>
      <c r="AD26" s="569">
        <v>0.68</v>
      </c>
      <c r="AE26" s="569">
        <v>0.64</v>
      </c>
    </row>
    <row r="27" spans="1:31">
      <c r="A27" s="3989"/>
      <c r="B27" s="568">
        <v>2.5000000000000001E-2</v>
      </c>
      <c r="C27" s="569">
        <v>1.17</v>
      </c>
      <c r="D27" s="569">
        <v>1.18</v>
      </c>
      <c r="E27" s="569">
        <v>1.19</v>
      </c>
      <c r="F27" s="569">
        <v>1.21</v>
      </c>
      <c r="G27" s="569">
        <v>1.22</v>
      </c>
      <c r="H27" s="569">
        <v>1.23</v>
      </c>
      <c r="I27" s="569">
        <v>1.25</v>
      </c>
      <c r="K27" s="3989"/>
      <c r="L27" s="568">
        <v>2.5000000000000001E-2</v>
      </c>
      <c r="M27" s="569">
        <v>1.19</v>
      </c>
      <c r="N27" s="569">
        <v>1.2</v>
      </c>
      <c r="O27" s="569">
        <v>1.21</v>
      </c>
      <c r="P27" s="569">
        <v>1.21</v>
      </c>
      <c r="Q27" s="569">
        <v>1.23</v>
      </c>
      <c r="R27" s="569">
        <v>1.25</v>
      </c>
      <c r="S27" s="569">
        <v>1.27</v>
      </c>
      <c r="U27" s="3989"/>
      <c r="V27" s="568">
        <v>2.5000000000000001E-2</v>
      </c>
      <c r="W27" s="569">
        <v>0.57999999999999996</v>
      </c>
      <c r="X27" s="569">
        <v>0.59</v>
      </c>
      <c r="Y27" s="569">
        <v>0.6</v>
      </c>
      <c r="Z27" s="569">
        <v>0.62</v>
      </c>
      <c r="AA27" s="569">
        <v>0.64</v>
      </c>
      <c r="AB27" s="569">
        <v>0.66</v>
      </c>
      <c r="AC27" s="569">
        <v>0.69</v>
      </c>
      <c r="AD27" s="569">
        <v>0.67</v>
      </c>
      <c r="AE27" s="569">
        <v>0.63</v>
      </c>
    </row>
    <row r="28" spans="1:31">
      <c r="A28" s="3989"/>
      <c r="B28" s="568">
        <v>2.75E-2</v>
      </c>
      <c r="C28" s="569">
        <v>1.05</v>
      </c>
      <c r="D28" s="569">
        <v>1.08</v>
      </c>
      <c r="E28" s="569">
        <v>1.1000000000000001</v>
      </c>
      <c r="F28" s="569">
        <v>1.1200000000000001</v>
      </c>
      <c r="G28" s="569">
        <v>1.1499999999999999</v>
      </c>
      <c r="H28" s="569">
        <v>1.18</v>
      </c>
      <c r="I28" s="569">
        <v>1.22</v>
      </c>
      <c r="K28" s="3989"/>
      <c r="L28" s="568">
        <v>2.75E-2</v>
      </c>
      <c r="M28" s="569">
        <v>1.07</v>
      </c>
      <c r="N28" s="569">
        <v>1.0900000000000001</v>
      </c>
      <c r="O28" s="569">
        <v>1.1100000000000001</v>
      </c>
      <c r="P28" s="569">
        <v>1.1299999999999999</v>
      </c>
      <c r="Q28" s="569">
        <v>1.1599999999999999</v>
      </c>
      <c r="R28" s="569">
        <v>1.19</v>
      </c>
      <c r="S28" s="569">
        <v>1.23</v>
      </c>
      <c r="U28" s="3989"/>
      <c r="V28" s="568">
        <v>2.75E-2</v>
      </c>
      <c r="W28" s="569">
        <v>0.52</v>
      </c>
      <c r="X28" s="569">
        <v>0.54</v>
      </c>
      <c r="Y28" s="569">
        <v>0.56000000000000005</v>
      </c>
      <c r="Z28" s="569">
        <v>0.57999999999999996</v>
      </c>
      <c r="AA28" s="569">
        <v>0.6</v>
      </c>
      <c r="AB28" s="569">
        <v>0.64</v>
      </c>
      <c r="AC28" s="569">
        <v>0.67</v>
      </c>
      <c r="AD28" s="569">
        <v>0.65</v>
      </c>
      <c r="AE28" s="569">
        <v>0.62</v>
      </c>
    </row>
    <row r="29" spans="1:31">
      <c r="A29" s="3989"/>
      <c r="B29" s="568">
        <v>0.03</v>
      </c>
      <c r="C29" s="569">
        <v>0.95</v>
      </c>
      <c r="D29" s="569">
        <v>0.98</v>
      </c>
      <c r="E29" s="569">
        <v>1.01</v>
      </c>
      <c r="F29" s="569">
        <v>1.05</v>
      </c>
      <c r="G29" s="569">
        <v>1.0900000000000001</v>
      </c>
      <c r="H29" s="569">
        <v>1.1299999999999999</v>
      </c>
      <c r="I29" s="569">
        <v>1.18</v>
      </c>
      <c r="K29" s="3989"/>
      <c r="L29" s="568">
        <v>0.03</v>
      </c>
      <c r="M29" s="569">
        <v>0.96</v>
      </c>
      <c r="N29" s="569">
        <v>0.99</v>
      </c>
      <c r="O29" s="569">
        <v>1.02</v>
      </c>
      <c r="P29" s="569">
        <v>1.05</v>
      </c>
      <c r="Q29" s="569">
        <v>1.0900000000000001</v>
      </c>
      <c r="R29" s="569">
        <v>1.1399999999999999</v>
      </c>
      <c r="S29" s="569">
        <v>1.19</v>
      </c>
      <c r="U29" s="3989"/>
      <c r="V29" s="568">
        <v>0.03</v>
      </c>
      <c r="W29" s="569">
        <v>0.47</v>
      </c>
      <c r="X29" s="569">
        <v>0.49</v>
      </c>
      <c r="Y29" s="569">
        <v>0.51</v>
      </c>
      <c r="Z29" s="569">
        <v>0.54</v>
      </c>
      <c r="AA29" s="569">
        <v>0.56999999999999995</v>
      </c>
      <c r="AB29" s="569">
        <v>0.61</v>
      </c>
      <c r="AC29" s="569">
        <v>0.65</v>
      </c>
      <c r="AD29" s="569">
        <v>0.64</v>
      </c>
      <c r="AE29" s="569">
        <v>0.61</v>
      </c>
    </row>
    <row r="30" spans="1:31">
      <c r="A30" s="3989"/>
      <c r="B30" s="568">
        <v>3.2500000000000001E-2</v>
      </c>
      <c r="C30" s="569">
        <v>0.85</v>
      </c>
      <c r="D30" s="569">
        <v>0.89</v>
      </c>
      <c r="E30" s="569">
        <v>0.93</v>
      </c>
      <c r="F30" s="569">
        <v>0.98</v>
      </c>
      <c r="G30" s="569">
        <v>1.03</v>
      </c>
      <c r="H30" s="569">
        <v>1.08</v>
      </c>
      <c r="I30" s="569">
        <v>1.1399999999999999</v>
      </c>
      <c r="K30" s="3989"/>
      <c r="L30" s="568">
        <v>3.2500000000000001E-2</v>
      </c>
      <c r="M30" s="569">
        <v>0.86</v>
      </c>
      <c r="N30" s="569">
        <v>0.9</v>
      </c>
      <c r="O30" s="569">
        <v>0.94</v>
      </c>
      <c r="P30" s="569">
        <v>0.98</v>
      </c>
      <c r="Q30" s="569">
        <v>1.03</v>
      </c>
      <c r="R30" s="569">
        <v>1.0900000000000001</v>
      </c>
      <c r="S30" s="569">
        <v>1.1499999999999999</v>
      </c>
      <c r="U30" s="3989"/>
      <c r="V30" s="568">
        <v>3.2500000000000001E-2</v>
      </c>
      <c r="W30" s="569">
        <v>0.42</v>
      </c>
      <c r="X30" s="569">
        <v>0.45</v>
      </c>
      <c r="Y30" s="569">
        <v>0.48</v>
      </c>
      <c r="Z30" s="569">
        <v>0.51</v>
      </c>
      <c r="AA30" s="569">
        <v>0.54</v>
      </c>
      <c r="AB30" s="569">
        <v>0.59</v>
      </c>
      <c r="AC30" s="569">
        <v>0.64</v>
      </c>
      <c r="AD30" s="569">
        <v>0.62</v>
      </c>
      <c r="AE30" s="569">
        <v>0.6</v>
      </c>
    </row>
    <row r="31" spans="1:31">
      <c r="A31" s="3989"/>
      <c r="B31" s="568">
        <v>3.5000000000000003E-2</v>
      </c>
      <c r="C31" s="569">
        <v>0.77</v>
      </c>
      <c r="D31" s="569">
        <v>0.81</v>
      </c>
      <c r="E31" s="569">
        <v>0.86</v>
      </c>
      <c r="F31" s="569">
        <v>0.91</v>
      </c>
      <c r="G31" s="569">
        <v>0.97</v>
      </c>
      <c r="H31" s="569">
        <v>1.04</v>
      </c>
      <c r="I31" s="569">
        <v>1.1100000000000001</v>
      </c>
      <c r="K31" s="3989"/>
      <c r="L31" s="568">
        <v>3.5000000000000003E-2</v>
      </c>
      <c r="M31" s="569">
        <v>0.77</v>
      </c>
      <c r="N31" s="569">
        <v>0.82</v>
      </c>
      <c r="O31" s="569">
        <v>0.86</v>
      </c>
      <c r="P31" s="569">
        <v>0.92</v>
      </c>
      <c r="Q31" s="569">
        <v>0.97</v>
      </c>
      <c r="R31" s="569">
        <v>1.04</v>
      </c>
      <c r="S31" s="569">
        <v>1.1100000000000001</v>
      </c>
      <c r="U31" s="3989"/>
      <c r="V31" s="568">
        <v>3.5000000000000003E-2</v>
      </c>
      <c r="W31" s="569">
        <v>0.38</v>
      </c>
      <c r="X31" s="569">
        <v>0.41</v>
      </c>
      <c r="Y31" s="569">
        <v>0.44</v>
      </c>
      <c r="Z31" s="569">
        <v>0.47</v>
      </c>
      <c r="AA31" s="569">
        <v>0.52</v>
      </c>
      <c r="AB31" s="569">
        <v>0.56000000000000005</v>
      </c>
      <c r="AC31" s="569">
        <v>0.62</v>
      </c>
      <c r="AD31" s="569">
        <v>0.61</v>
      </c>
      <c r="AE31" s="569">
        <v>0.59</v>
      </c>
    </row>
    <row r="32" spans="1:31">
      <c r="A32" s="3989"/>
      <c r="B32" s="568">
        <v>3.7499999999999999E-2</v>
      </c>
      <c r="C32" s="569">
        <v>0.69</v>
      </c>
      <c r="D32" s="569">
        <v>0.74</v>
      </c>
      <c r="E32" s="569">
        <v>0.8</v>
      </c>
      <c r="F32" s="569">
        <v>0.86</v>
      </c>
      <c r="G32" s="569">
        <v>0.92</v>
      </c>
      <c r="H32" s="569">
        <v>0.99</v>
      </c>
      <c r="I32" s="569">
        <v>1.07</v>
      </c>
      <c r="K32" s="3989"/>
      <c r="L32" s="568">
        <v>3.7499999999999999E-2</v>
      </c>
      <c r="M32" s="569">
        <v>0.69</v>
      </c>
      <c r="N32" s="569">
        <v>0.74</v>
      </c>
      <c r="O32" s="569">
        <v>0.8</v>
      </c>
      <c r="P32" s="569">
        <v>0.86</v>
      </c>
      <c r="Q32" s="569">
        <v>0.92</v>
      </c>
      <c r="R32" s="569">
        <v>0.99</v>
      </c>
      <c r="S32" s="569">
        <v>1.08</v>
      </c>
      <c r="U32" s="3989"/>
      <c r="V32" s="568">
        <v>3.7499999999999999E-2</v>
      </c>
      <c r="W32" s="569">
        <v>0.35</v>
      </c>
      <c r="X32" s="569">
        <v>0.37</v>
      </c>
      <c r="Y32" s="569">
        <v>0.41</v>
      </c>
      <c r="Z32" s="569">
        <v>0.44</v>
      </c>
      <c r="AA32" s="569">
        <v>0.49</v>
      </c>
      <c r="AB32" s="569">
        <v>0.54</v>
      </c>
      <c r="AC32" s="569">
        <v>0.6</v>
      </c>
      <c r="AD32" s="569">
        <v>0.59</v>
      </c>
      <c r="AE32" s="569">
        <v>0.57999999999999996</v>
      </c>
    </row>
    <row r="33" spans="1:31">
      <c r="A33" s="3989"/>
      <c r="B33" s="568">
        <v>0.04</v>
      </c>
      <c r="C33" s="569">
        <v>0.62</v>
      </c>
      <c r="D33" s="569">
        <v>0.68</v>
      </c>
      <c r="E33" s="569">
        <v>0.74</v>
      </c>
      <c r="F33" s="569">
        <v>0.8</v>
      </c>
      <c r="G33" s="569">
        <v>0.87</v>
      </c>
      <c r="H33" s="569">
        <v>0.95</v>
      </c>
      <c r="I33" s="569">
        <v>1.04</v>
      </c>
      <c r="K33" s="3989"/>
      <c r="L33" s="568">
        <v>0.04</v>
      </c>
      <c r="M33" s="569">
        <v>0.63</v>
      </c>
      <c r="N33" s="569">
        <v>0.68</v>
      </c>
      <c r="O33" s="569">
        <v>0.74</v>
      </c>
      <c r="P33" s="569">
        <v>0.8</v>
      </c>
      <c r="Q33" s="569">
        <v>0.87</v>
      </c>
      <c r="R33" s="569">
        <v>0.95</v>
      </c>
      <c r="S33" s="569">
        <v>1.05</v>
      </c>
      <c r="U33" s="3989"/>
      <c r="V33" s="568">
        <v>0.04</v>
      </c>
      <c r="W33" s="569">
        <v>0.31</v>
      </c>
      <c r="X33" s="569">
        <v>0.34</v>
      </c>
      <c r="Y33" s="569">
        <v>0.38</v>
      </c>
      <c r="Z33" s="569">
        <v>0.42</v>
      </c>
      <c r="AA33" s="569">
        <v>0.47</v>
      </c>
      <c r="AB33" s="569">
        <v>0.52</v>
      </c>
      <c r="AC33" s="569">
        <v>0.59</v>
      </c>
      <c r="AD33" s="569">
        <v>0.57999999999999996</v>
      </c>
      <c r="AE33" s="569">
        <v>0.56999999999999995</v>
      </c>
    </row>
    <row r="34" spans="1:31"/>
    <row r="35" spans="1:31" hidden="1">
      <c r="B35" s="146"/>
      <c r="C35" s="555"/>
      <c r="D35" s="146"/>
      <c r="E35" s="555"/>
      <c r="F35" s="146"/>
      <c r="G35" s="555"/>
      <c r="H35" s="146"/>
      <c r="I35" s="555"/>
      <c r="J35" s="146"/>
      <c r="K35" s="555"/>
      <c r="L35" s="146"/>
      <c r="M35" s="555"/>
      <c r="N35" s="146"/>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4008" t="s">
        <v>218</v>
      </c>
      <c r="C1" s="4008"/>
      <c r="D1" s="4008"/>
      <c r="E1" s="4008"/>
      <c r="F1" s="4008"/>
      <c r="G1" s="4008"/>
      <c r="H1" s="4008"/>
      <c r="I1" s="4008"/>
      <c r="J1" s="4008"/>
      <c r="K1" s="4009" t="s">
        <v>219</v>
      </c>
      <c r="L1" s="4009"/>
      <c r="M1" s="4009"/>
      <c r="N1" s="4009"/>
      <c r="O1" s="4009"/>
      <c r="P1" s="4009"/>
      <c r="Q1" s="4009"/>
      <c r="R1" s="4009"/>
      <c r="S1" s="4009"/>
      <c r="T1" s="4010" t="s">
        <v>585</v>
      </c>
      <c r="U1" s="4010"/>
      <c r="V1" s="4010"/>
      <c r="W1" s="4010"/>
      <c r="X1" s="4010"/>
      <c r="Y1" s="4010"/>
      <c r="Z1" s="4010"/>
      <c r="AA1" s="4010"/>
      <c r="AB1" s="4010"/>
    </row>
    <row r="2" spans="1:28" ht="65.25" customHeight="1">
      <c r="A2" t="s">
        <v>168</v>
      </c>
      <c r="B2" s="4007" t="s">
        <v>12</v>
      </c>
      <c r="C2" s="2084" t="s">
        <v>0</v>
      </c>
      <c r="D2" s="2084" t="s">
        <v>1</v>
      </c>
      <c r="E2" s="2084" t="s">
        <v>2</v>
      </c>
      <c r="F2" s="2084" t="s">
        <v>3</v>
      </c>
      <c r="G2" s="2084" t="s">
        <v>1952</v>
      </c>
      <c r="H2" s="4004" t="s">
        <v>5</v>
      </c>
      <c r="I2" s="4004"/>
      <c r="J2" s="4004"/>
      <c r="K2" s="2078"/>
      <c r="L2" s="2079" t="s">
        <v>0</v>
      </c>
      <c r="M2" s="2079" t="s">
        <v>1</v>
      </c>
      <c r="N2" s="2079" t="s">
        <v>2</v>
      </c>
      <c r="O2" s="2079" t="s">
        <v>3</v>
      </c>
      <c r="P2" s="2079" t="str">
        <f>+G2</f>
        <v>Anwartschafts-barwert
Altersrente</v>
      </c>
      <c r="Q2" s="4005" t="s">
        <v>1950</v>
      </c>
      <c r="R2" s="4005"/>
      <c r="S2" s="4005"/>
      <c r="T2" s="2081"/>
      <c r="U2" s="2082" t="s">
        <v>0</v>
      </c>
      <c r="V2" s="2082" t="s">
        <v>1</v>
      </c>
      <c r="W2" s="2082" t="s">
        <v>2</v>
      </c>
      <c r="X2" s="2082" t="s">
        <v>3</v>
      </c>
      <c r="Y2" s="2082" t="s">
        <v>4</v>
      </c>
      <c r="Z2" s="4006" t="s">
        <v>6</v>
      </c>
      <c r="AA2" s="4006"/>
      <c r="AB2" s="4006"/>
    </row>
    <row r="3" spans="1:28" s="2" customFormat="1" ht="13.5">
      <c r="A3" s="60">
        <v>43111</v>
      </c>
      <c r="B3" s="4007" t="s">
        <v>13</v>
      </c>
      <c r="C3" s="2085" t="s">
        <v>15</v>
      </c>
      <c r="D3" s="2085" t="s">
        <v>14</v>
      </c>
      <c r="E3" s="2085" t="s">
        <v>75</v>
      </c>
      <c r="F3" s="2085" t="s">
        <v>16</v>
      </c>
      <c r="G3" s="2085"/>
      <c r="H3" s="2085" t="s">
        <v>8</v>
      </c>
      <c r="I3" s="2085" t="s">
        <v>9</v>
      </c>
      <c r="J3" s="2085" t="s">
        <v>10</v>
      </c>
      <c r="K3" s="2080" t="s">
        <v>13</v>
      </c>
      <c r="L3" s="2080" t="s">
        <v>15</v>
      </c>
      <c r="M3" s="2080" t="s">
        <v>14</v>
      </c>
      <c r="N3" s="2080" t="s">
        <v>76</v>
      </c>
      <c r="O3" s="2080" t="s">
        <v>16</v>
      </c>
      <c r="P3" s="2080"/>
      <c r="Q3" s="2080" t="s">
        <v>8</v>
      </c>
      <c r="R3" s="2080" t="s">
        <v>9</v>
      </c>
      <c r="S3" s="2080" t="s">
        <v>10</v>
      </c>
      <c r="T3" s="2083" t="s">
        <v>150</v>
      </c>
      <c r="U3" s="2083" t="s">
        <v>151</v>
      </c>
      <c r="V3" s="2083" t="s">
        <v>152</v>
      </c>
      <c r="W3" s="2083" t="s">
        <v>153</v>
      </c>
      <c r="X3" s="2083"/>
      <c r="Y3" s="2083"/>
      <c r="Z3" s="2083" t="s">
        <v>8</v>
      </c>
      <c r="AA3" s="2083" t="s">
        <v>9</v>
      </c>
      <c r="AB3" s="2083"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48">
        <v>7.0483897670572587E-2</v>
      </c>
      <c r="AA4" s="248">
        <v>8.3369892720491029E-2</v>
      </c>
      <c r="AB4" s="248">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48">
        <v>8.0745174207078066E-2</v>
      </c>
      <c r="AA5" s="248">
        <v>9.5295458863765919E-2</v>
      </c>
      <c r="AB5" s="248">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48">
        <v>9.0094446034654607E-2</v>
      </c>
      <c r="AA6" s="248">
        <v>0.10730941953653658</v>
      </c>
      <c r="AB6" s="248">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48">
        <v>9.8292856944623364E-2</v>
      </c>
      <c r="AA7" s="248">
        <v>0.11887549306438996</v>
      </c>
      <c r="AB7" s="248">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48">
        <v>0.1049257309292525</v>
      </c>
      <c r="AA8" s="248">
        <v>0.1286201654503302</v>
      </c>
      <c r="AB8" s="248">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48">
        <v>0.11057598287044296</v>
      </c>
      <c r="AA9" s="248">
        <v>0.13696247645405443</v>
      </c>
      <c r="AB9" s="248">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48">
        <v>0.11534996107800313</v>
      </c>
      <c r="AA10" s="248">
        <v>0.14432518360717311</v>
      </c>
      <c r="AB10" s="248">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48">
        <v>0.11936905818333238</v>
      </c>
      <c r="AA11" s="248">
        <v>0.15075519204920057</v>
      </c>
      <c r="AB11" s="248">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48">
        <v>0.12259660982319119</v>
      </c>
      <c r="AA12" s="248">
        <v>0.15665941246483805</v>
      </c>
      <c r="AB12" s="248">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48">
        <v>0.12520304763912271</v>
      </c>
      <c r="AA13" s="248">
        <v>0.16173199787948933</v>
      </c>
      <c r="AB13" s="248">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48">
        <v>0.12731782873614017</v>
      </c>
      <c r="AA14" s="248">
        <v>0.16629399810650602</v>
      </c>
      <c r="AB14" s="248">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48">
        <v>0.12882206683532313</v>
      </c>
      <c r="AA15" s="248">
        <v>0.17046884950769831</v>
      </c>
      <c r="AB15" s="248">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48">
        <v>0.1299240142074857</v>
      </c>
      <c r="AA16" s="248">
        <v>0.17411330329492153</v>
      </c>
      <c r="AB16" s="248">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48">
        <v>0.13066145312318092</v>
      </c>
      <c r="AA17" s="248">
        <v>0.17742142489491344</v>
      </c>
      <c r="AB17" s="248">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48">
        <v>0.13081586572646456</v>
      </c>
      <c r="AA18" s="248">
        <v>0.18037722984846977</v>
      </c>
      <c r="AB18" s="248">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48">
        <v>0.13053043515115934</v>
      </c>
      <c r="AA19" s="248">
        <v>0.18306203645419367</v>
      </c>
      <c r="AB19" s="248">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48">
        <v>0.129437846208247</v>
      </c>
      <c r="AA20" s="248">
        <v>0.18523503429080285</v>
      </c>
      <c r="AB20" s="248">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48">
        <v>0.1277194023025876</v>
      </c>
      <c r="AA21" s="248">
        <v>0.18715973078993811</v>
      </c>
      <c r="AB21" s="248">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48">
        <v>0.12525372065294541</v>
      </c>
      <c r="AA22" s="248">
        <v>0.18867854162218636</v>
      </c>
      <c r="AB22" s="248">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48">
        <v>0.12197295667843104</v>
      </c>
      <c r="AA23" s="248">
        <v>0.18991327208723779</v>
      </c>
      <c r="AB23" s="248">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48">
        <v>0.11819124792838102</v>
      </c>
      <c r="AA24" s="248">
        <v>0.19087415938541794</v>
      </c>
      <c r="AB24" s="248">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48">
        <v>0.11411597043799768</v>
      </c>
      <c r="AA25" s="248">
        <v>0.19166459740713279</v>
      </c>
      <c r="AB25" s="248">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48">
        <v>0.10985129344980479</v>
      </c>
      <c r="AA26" s="248">
        <v>0.19223770526340125</v>
      </c>
      <c r="AB26" s="248">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48">
        <v>0.10570535794347907</v>
      </c>
      <c r="AA27" s="248">
        <v>0.19264507641184109</v>
      </c>
      <c r="AB27" s="248">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48">
        <v>0.1015103263777421</v>
      </c>
      <c r="AA28" s="248">
        <v>0.19287712680577848</v>
      </c>
      <c r="AB28" s="248">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48">
        <v>9.720551977387136E-2</v>
      </c>
      <c r="AA29" s="248">
        <v>0.1929237444880233</v>
      </c>
      <c r="AB29" s="248">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48">
        <v>9.2849217069747636E-2</v>
      </c>
      <c r="AA30" s="248">
        <v>0.19261111669947839</v>
      </c>
      <c r="AB30" s="248">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48">
        <v>8.8367515816752937E-2</v>
      </c>
      <c r="AA31" s="248">
        <v>0.19215991751144729</v>
      </c>
      <c r="AB31" s="248">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48">
        <v>8.3689055520959954E-2</v>
      </c>
      <c r="AA32" s="248">
        <v>0.19129944988094952</v>
      </c>
      <c r="AB32" s="248">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48">
        <v>7.8702780758199975E-2</v>
      </c>
      <c r="AA33" s="248">
        <v>0.19012895711787992</v>
      </c>
      <c r="AB33" s="248">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48">
        <v>7.344140199243776E-2</v>
      </c>
      <c r="AA34" s="248">
        <v>0.18866046063208552</v>
      </c>
      <c r="AB34" s="248">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48">
        <v>6.7850016454165024E-2</v>
      </c>
      <c r="AA35" s="248">
        <v>0.18680472387077149</v>
      </c>
      <c r="AB35" s="248">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48">
        <v>6.2001773331116089E-2</v>
      </c>
      <c r="AA36" s="248">
        <v>0.1846460073654225</v>
      </c>
      <c r="AB36" s="248">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48">
        <v>5.593577053216478E-2</v>
      </c>
      <c r="AA37" s="248">
        <v>0.18221034873904479</v>
      </c>
      <c r="AB37" s="248">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48">
        <v>4.952712757982157E-2</v>
      </c>
      <c r="AA38" s="248">
        <v>0.17946940406870782</v>
      </c>
      <c r="AB38" s="248">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48">
        <v>4.2885063916295818E-2</v>
      </c>
      <c r="AA39" s="248">
        <v>0.17645159903593582</v>
      </c>
      <c r="AB39" s="248">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48">
        <v>3.6074626146263875E-2</v>
      </c>
      <c r="AA40" s="248">
        <v>0.17333298988348386</v>
      </c>
      <c r="AB40" s="248">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48">
        <v>2.9218107626367645E-2</v>
      </c>
      <c r="AA41" s="248">
        <v>0.16999447049181982</v>
      </c>
      <c r="AB41" s="248">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48">
        <v>2.2557231799763502E-2</v>
      </c>
      <c r="AA42" s="248">
        <v>0.16665679025591332</v>
      </c>
      <c r="AB42" s="248">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48">
        <v>1.6329901067312313E-2</v>
      </c>
      <c r="AA43" s="248">
        <v>0.1633305222303835</v>
      </c>
      <c r="AB43" s="248">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48">
        <v>1.0991301770815403E-2</v>
      </c>
      <c r="AA44" s="248">
        <v>0.1600649037421486</v>
      </c>
      <c r="AB44" s="248">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48">
        <v>6.7299023580834729E-3</v>
      </c>
      <c r="AA45" s="248">
        <v>0.15692821775773982</v>
      </c>
      <c r="AB45" s="248">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48">
        <v>3.6465949461909966E-3</v>
      </c>
      <c r="AA46" s="248">
        <v>0.15318945465545808</v>
      </c>
      <c r="AB46" s="248">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48">
        <v>1.6160878938106149E-3</v>
      </c>
      <c r="AA47" s="248">
        <v>0.14946449746599297</v>
      </c>
      <c r="AB47" s="248">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48">
        <v>5.5405781530359455E-4</v>
      </c>
      <c r="AA48" s="248">
        <v>0.14568296529246541</v>
      </c>
      <c r="AB48" s="248">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48">
        <v>9.5443348918953599E-5</v>
      </c>
      <c r="AA49" s="248">
        <v>0.14179598532940987</v>
      </c>
      <c r="AB49" s="248">
        <v>0.14189142867832885</v>
      </c>
    </row>
    <row r="50" spans="2:28" s="34" customFormat="1">
      <c r="B50" s="1425">
        <v>66</v>
      </c>
      <c r="C50" s="1426">
        <v>0</v>
      </c>
      <c r="D50" s="1426">
        <v>15.661</v>
      </c>
      <c r="E50" s="1426">
        <v>3.6739999999999999</v>
      </c>
      <c r="F50" s="1426">
        <v>3.6739999999999999</v>
      </c>
      <c r="G50" s="141">
        <v>15.661</v>
      </c>
      <c r="H50" s="142">
        <v>0</v>
      </c>
      <c r="I50" s="142">
        <v>0.23459549198646318</v>
      </c>
      <c r="J50" s="142">
        <v>0.23459549198646318</v>
      </c>
      <c r="K50" s="1425">
        <v>66</v>
      </c>
      <c r="L50" s="2086">
        <v>0</v>
      </c>
      <c r="M50" s="1426">
        <v>17.216999999999999</v>
      </c>
      <c r="N50" s="1426">
        <v>0.60399999999999998</v>
      </c>
      <c r="O50" s="141">
        <v>0.60399999999999998</v>
      </c>
      <c r="P50" s="1426">
        <v>17.634</v>
      </c>
      <c r="Q50" s="142">
        <v>0</v>
      </c>
      <c r="R50" s="142">
        <v>3.4252013156402403E-2</v>
      </c>
      <c r="S50" s="142">
        <v>3.4252013156402403E-2</v>
      </c>
      <c r="T50" s="1425">
        <v>66</v>
      </c>
      <c r="U50" s="143">
        <v>0</v>
      </c>
      <c r="V50" s="143">
        <v>16.439</v>
      </c>
      <c r="W50" s="143">
        <v>2.1389999999999998</v>
      </c>
      <c r="X50" s="143">
        <v>2.1389999999999998</v>
      </c>
      <c r="Y50" s="143">
        <v>16.647500000000001</v>
      </c>
      <c r="Z50" s="248">
        <v>0</v>
      </c>
      <c r="AA50" s="248">
        <v>0.1344237525714328</v>
      </c>
      <c r="AB50" s="248">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48">
        <v>0</v>
      </c>
      <c r="AA51" s="248">
        <v>0.13726813456162032</v>
      </c>
      <c r="AB51" s="248">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48">
        <v>0</v>
      </c>
      <c r="AA52" s="248">
        <v>0.14053568101750782</v>
      </c>
      <c r="AB52" s="248">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48">
        <v>0</v>
      </c>
      <c r="AA53" s="248">
        <v>0.14407621152597713</v>
      </c>
      <c r="AB53" s="248">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48">
        <v>0</v>
      </c>
      <c r="AA54" s="248">
        <v>0.14780819794292951</v>
      </c>
      <c r="AB54" s="248">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48">
        <v>0</v>
      </c>
      <c r="AA55" s="248">
        <v>0.15178383687363481</v>
      </c>
      <c r="AB55" s="248">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48">
        <v>0</v>
      </c>
      <c r="AA56" s="248">
        <v>0.1561156769640383</v>
      </c>
      <c r="AB56" s="248">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48">
        <v>0</v>
      </c>
      <c r="AA57" s="248">
        <v>0.16104223291977471</v>
      </c>
      <c r="AB57" s="248">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48">
        <v>0</v>
      </c>
      <c r="AA58" s="248">
        <v>0.1663411325696037</v>
      </c>
      <c r="AB58" s="248">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48">
        <v>0</v>
      </c>
      <c r="AA59" s="248">
        <v>0.17211334525479105</v>
      </c>
      <c r="AB59" s="248">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48">
        <v>0</v>
      </c>
      <c r="AA60" s="248">
        <v>0.17823000476484518</v>
      </c>
      <c r="AB60" s="248">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48">
        <v>0</v>
      </c>
      <c r="AA61" s="248">
        <v>0.18467454203600653</v>
      </c>
      <c r="AB61" s="248">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48">
        <v>0</v>
      </c>
      <c r="AA62" s="248">
        <v>0.19147878284346553</v>
      </c>
      <c r="AB62" s="248">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48">
        <v>0</v>
      </c>
      <c r="AA63" s="248">
        <v>0.19864352434554819</v>
      </c>
      <c r="AB63" s="248">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48">
        <v>0</v>
      </c>
      <c r="AA64" s="248">
        <v>0.20612932693906064</v>
      </c>
      <c r="AB64" s="248">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48">
        <v>0</v>
      </c>
      <c r="AA65" s="248">
        <v>0.21375124643144064</v>
      </c>
      <c r="AB65" s="248">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48">
        <v>0</v>
      </c>
      <c r="AA66" s="248">
        <v>0.22065147302577107</v>
      </c>
      <c r="AB66" s="248">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48">
        <v>0</v>
      </c>
      <c r="AA67" s="248">
        <v>0.22725602991631955</v>
      </c>
      <c r="AB67" s="248">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48">
        <v>0</v>
      </c>
      <c r="AA68" s="248">
        <v>0.23346434961032392</v>
      </c>
      <c r="AB68" s="248">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48">
        <v>0</v>
      </c>
      <c r="AA69" s="248">
        <v>0.23908345949324505</v>
      </c>
      <c r="AB69" s="248">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48">
        <v>0</v>
      </c>
      <c r="AA70" s="248">
        <v>0.24407011271162149</v>
      </c>
      <c r="AB70" s="248">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48">
        <v>0</v>
      </c>
      <c r="AA71" s="248">
        <v>0.24804080477967907</v>
      </c>
      <c r="AB71" s="248">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48">
        <v>0</v>
      </c>
      <c r="AA72" s="248">
        <v>0.24816649561791387</v>
      </c>
      <c r="AB72" s="248">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48">
        <v>0</v>
      </c>
      <c r="AA73" s="248">
        <v>0.2455262550273585</v>
      </c>
      <c r="AB73" s="248">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48">
        <v>0</v>
      </c>
      <c r="AA74" s="248">
        <v>0.24170839808898867</v>
      </c>
      <c r="AB74" s="248">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48">
        <v>0</v>
      </c>
      <c r="AA75" s="248">
        <v>0.23461568093489102</v>
      </c>
      <c r="AB75" s="248">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48">
        <v>0</v>
      </c>
      <c r="AA76" s="248">
        <v>0.22743402529828161</v>
      </c>
      <c r="AB76" s="248">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48">
        <v>0</v>
      </c>
      <c r="AA77" s="248">
        <v>0.21697569513068829</v>
      </c>
      <c r="AB77" s="248">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48">
        <v>0</v>
      </c>
      <c r="AA78" s="248">
        <v>0.20671566559961332</v>
      </c>
      <c r="AB78" s="248">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48">
        <v>0</v>
      </c>
      <c r="AA79" s="248">
        <v>0.19719441610727917</v>
      </c>
      <c r="AB79" s="248">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48">
        <v>0</v>
      </c>
      <c r="AA80" s="248">
        <v>0.18391091744874927</v>
      </c>
      <c r="AB80" s="248">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48">
        <v>0</v>
      </c>
      <c r="AA81" s="248">
        <v>0.16989086567835535</v>
      </c>
      <c r="AB81" s="248">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48">
        <v>0</v>
      </c>
      <c r="AA82" s="248">
        <v>0.15132410574448871</v>
      </c>
      <c r="AB82" s="248">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48">
        <v>0</v>
      </c>
      <c r="AA83" s="248">
        <v>0.1279623677424935</v>
      </c>
      <c r="AB83" s="248">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48">
        <v>0</v>
      </c>
      <c r="AA84" s="248">
        <v>0.10508664743756445</v>
      </c>
      <c r="AB84" s="248">
        <v>0.10508664743756445</v>
      </c>
    </row>
  </sheetData>
  <mergeCells count="7">
    <mergeCell ref="H2:J2"/>
    <mergeCell ref="Q2:S2"/>
    <mergeCell ref="Z2:AB2"/>
    <mergeCell ref="B2:B3"/>
    <mergeCell ref="B1:J1"/>
    <mergeCell ref="K1:S1"/>
    <mergeCell ref="T1:AB1"/>
  </mergeCells>
  <phoneticPr fontId="60" type="noConversion"/>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4015" t="s">
        <v>7</v>
      </c>
      <c r="C2" s="2095" t="s">
        <v>0</v>
      </c>
      <c r="D2" s="2095" t="s">
        <v>1</v>
      </c>
      <c r="E2" s="2095" t="s">
        <v>2</v>
      </c>
      <c r="F2" s="2095" t="s">
        <v>1698</v>
      </c>
      <c r="G2" s="2095" t="s">
        <v>1952</v>
      </c>
      <c r="H2" s="4011" t="s">
        <v>162</v>
      </c>
      <c r="I2" s="4011"/>
      <c r="J2" s="4012"/>
      <c r="K2" s="2105"/>
      <c r="L2" s="2106" t="s">
        <v>0</v>
      </c>
      <c r="M2" s="2106" t="s">
        <v>1</v>
      </c>
      <c r="N2" s="2106" t="s">
        <v>2</v>
      </c>
      <c r="O2" s="2106" t="s">
        <v>1698</v>
      </c>
      <c r="P2" s="2106" t="str">
        <f>+G2</f>
        <v>Anwartschafts-barwert
Altersrente</v>
      </c>
      <c r="Q2" s="4013" t="s">
        <v>163</v>
      </c>
      <c r="R2" s="4013"/>
      <c r="S2" s="4014"/>
      <c r="T2" s="2110"/>
      <c r="U2" s="2111" t="s">
        <v>0</v>
      </c>
      <c r="V2" s="2111" t="s">
        <v>1</v>
      </c>
      <c r="W2" s="2111" t="s">
        <v>2</v>
      </c>
      <c r="X2" s="2111" t="s">
        <v>1698</v>
      </c>
      <c r="Y2" s="2111" t="str">
        <f>+P2</f>
        <v>Anwartschafts-barwert
Altersrente</v>
      </c>
      <c r="Z2" s="4017" t="s">
        <v>167</v>
      </c>
      <c r="AA2" s="4017"/>
      <c r="AB2" s="4018"/>
    </row>
    <row r="3" spans="1:28" s="2" customFormat="1" ht="13.5">
      <c r="A3" s="60">
        <v>43463</v>
      </c>
      <c r="B3" s="4016"/>
      <c r="C3" s="2089" t="s">
        <v>165</v>
      </c>
      <c r="D3" s="2089" t="s">
        <v>18</v>
      </c>
      <c r="E3" s="2089" t="s">
        <v>24</v>
      </c>
      <c r="F3" s="2089"/>
      <c r="G3" s="2089"/>
      <c r="H3" s="1108" t="s">
        <v>8</v>
      </c>
      <c r="I3" s="1108" t="s">
        <v>9</v>
      </c>
      <c r="J3" s="2097" t="s">
        <v>10</v>
      </c>
      <c r="K3" s="2107" t="s">
        <v>7</v>
      </c>
      <c r="L3" s="1109" t="s">
        <v>166</v>
      </c>
      <c r="M3" s="1109" t="s">
        <v>20</v>
      </c>
      <c r="N3" s="1109" t="s">
        <v>26</v>
      </c>
      <c r="O3" s="1109" t="s">
        <v>27</v>
      </c>
      <c r="P3" s="1109"/>
      <c r="Q3" s="1109" t="s">
        <v>8</v>
      </c>
      <c r="R3" s="1109" t="s">
        <v>9</v>
      </c>
      <c r="S3" s="2108" t="s">
        <v>10</v>
      </c>
      <c r="T3" s="2112" t="s">
        <v>7</v>
      </c>
      <c r="U3" s="2087" t="s">
        <v>146</v>
      </c>
      <c r="V3" s="2087" t="s">
        <v>147</v>
      </c>
      <c r="W3" s="2087" t="s">
        <v>148</v>
      </c>
      <c r="X3" s="2087" t="s">
        <v>149</v>
      </c>
      <c r="Y3" s="2087"/>
      <c r="Z3" s="2087" t="s">
        <v>8</v>
      </c>
      <c r="AA3" s="2087" t="s">
        <v>9</v>
      </c>
      <c r="AB3" s="2113" t="s">
        <v>10</v>
      </c>
    </row>
    <row r="4" spans="1:28">
      <c r="B4" s="2098">
        <v>20</v>
      </c>
      <c r="C4" s="2090">
        <v>0.29599999999999999</v>
      </c>
      <c r="D4" s="2090">
        <v>4.476</v>
      </c>
      <c r="E4" s="2090">
        <v>0.53500000000000003</v>
      </c>
      <c r="F4" s="2090">
        <v>0.53500000000000003</v>
      </c>
      <c r="G4" s="2090">
        <v>4.18</v>
      </c>
      <c r="H4" s="2091">
        <v>7.0813397129186606E-2</v>
      </c>
      <c r="I4" s="2091">
        <v>0.1279904306220096</v>
      </c>
      <c r="J4" s="2099">
        <v>0.1988038277511962</v>
      </c>
      <c r="K4" s="2098">
        <v>20</v>
      </c>
      <c r="L4" s="2090">
        <v>0.308</v>
      </c>
      <c r="M4" s="2090">
        <v>5.2350000000000003</v>
      </c>
      <c r="N4" s="2092">
        <v>0.14000000000000001</v>
      </c>
      <c r="O4" s="2090">
        <v>0.14000000000000001</v>
      </c>
      <c r="P4" s="2090">
        <v>4.9270000000000005</v>
      </c>
      <c r="Q4" s="2091">
        <v>6.2512685203978069E-2</v>
      </c>
      <c r="R4" s="2091">
        <v>2.8414856910899126E-2</v>
      </c>
      <c r="S4" s="2099">
        <v>9.0927542114877191E-2</v>
      </c>
      <c r="T4" s="2098">
        <v>20</v>
      </c>
      <c r="U4" s="1707">
        <v>0.30199999999999999</v>
      </c>
      <c r="V4" s="1707">
        <v>4.8555000000000001</v>
      </c>
      <c r="W4" s="1707">
        <v>0.33750000000000002</v>
      </c>
      <c r="X4" s="1707">
        <v>0.33750000000000002</v>
      </c>
      <c r="Y4" s="1707">
        <v>4.5534999999999997</v>
      </c>
      <c r="Z4" s="2093">
        <v>6.6663041166582337E-2</v>
      </c>
      <c r="AA4" s="2093">
        <v>7.8202643766454361E-2</v>
      </c>
      <c r="AB4" s="2114">
        <v>0.1448656849330367</v>
      </c>
    </row>
    <row r="5" spans="1:28">
      <c r="B5" s="89">
        <v>21</v>
      </c>
      <c r="C5" s="1">
        <v>0.34200000000000003</v>
      </c>
      <c r="D5" s="1">
        <v>4.6120000000000001</v>
      </c>
      <c r="E5" s="1">
        <v>0.623</v>
      </c>
      <c r="F5" s="1">
        <v>0.623</v>
      </c>
      <c r="G5" s="1">
        <v>4.2700000000000005</v>
      </c>
      <c r="H5" s="742">
        <v>8.0093676814988288E-2</v>
      </c>
      <c r="I5" s="742">
        <v>0.14590163934426228</v>
      </c>
      <c r="J5" s="2100">
        <v>0.22599531615925056</v>
      </c>
      <c r="K5" s="89">
        <v>21</v>
      </c>
      <c r="L5" s="1">
        <v>0.37</v>
      </c>
      <c r="M5" s="1">
        <v>5.391</v>
      </c>
      <c r="N5" s="1427">
        <v>0.16900000000000001</v>
      </c>
      <c r="O5" s="1">
        <v>0.16900000000000001</v>
      </c>
      <c r="P5" s="1">
        <v>5.0209999999999999</v>
      </c>
      <c r="Q5" s="742">
        <v>7.3690499900418246E-2</v>
      </c>
      <c r="R5" s="742">
        <v>3.3658633738299144E-2</v>
      </c>
      <c r="S5" s="2100">
        <v>0.1073491336387174</v>
      </c>
      <c r="T5" s="89">
        <v>21</v>
      </c>
      <c r="U5" s="741">
        <v>0.35599999999999998</v>
      </c>
      <c r="V5" s="741">
        <v>5.0015000000000001</v>
      </c>
      <c r="W5" s="741">
        <v>0.39600000000000002</v>
      </c>
      <c r="X5" s="741">
        <v>0.39600000000000002</v>
      </c>
      <c r="Y5" s="741">
        <v>4.6455000000000002</v>
      </c>
      <c r="Z5" s="2088">
        <v>7.6892088357703267E-2</v>
      </c>
      <c r="AA5" s="2088">
        <v>8.9780136541280711E-2</v>
      </c>
      <c r="AB5" s="2115">
        <v>0.16667222489898398</v>
      </c>
    </row>
    <row r="6" spans="1:28">
      <c r="B6" s="2098">
        <v>22</v>
      </c>
      <c r="C6" s="2090">
        <v>0.38900000000000001</v>
      </c>
      <c r="D6" s="2090">
        <v>4.7510000000000003</v>
      </c>
      <c r="E6" s="2090">
        <v>0.71499999999999997</v>
      </c>
      <c r="F6" s="2090">
        <v>0.71499999999999997</v>
      </c>
      <c r="G6" s="2090">
        <v>4.3620000000000001</v>
      </c>
      <c r="H6" s="2091">
        <v>8.9179275561668964E-2</v>
      </c>
      <c r="I6" s="2091">
        <v>0.16391563502980283</v>
      </c>
      <c r="J6" s="2099">
        <v>0.25309491059147182</v>
      </c>
      <c r="K6" s="2098">
        <v>22</v>
      </c>
      <c r="L6" s="2090">
        <v>0.42799999999999999</v>
      </c>
      <c r="M6" s="2090">
        <v>5.5519999999999996</v>
      </c>
      <c r="N6" s="2092">
        <v>0.19600000000000001</v>
      </c>
      <c r="O6" s="2090">
        <v>0.19600000000000001</v>
      </c>
      <c r="P6" s="2090">
        <v>5.1239999999999997</v>
      </c>
      <c r="Q6" s="2091">
        <v>8.3528493364558948E-2</v>
      </c>
      <c r="R6" s="2091">
        <v>3.825136612021858E-2</v>
      </c>
      <c r="S6" s="2099">
        <v>0.12177985948477753</v>
      </c>
      <c r="T6" s="2098">
        <v>22</v>
      </c>
      <c r="U6" s="1707">
        <v>0.40849999999999997</v>
      </c>
      <c r="V6" s="1707">
        <v>5.1515000000000004</v>
      </c>
      <c r="W6" s="1707">
        <v>0.45550000000000002</v>
      </c>
      <c r="X6" s="1707">
        <v>0.45550000000000002</v>
      </c>
      <c r="Y6" s="1707">
        <v>4.7430000000000003</v>
      </c>
      <c r="Z6" s="2093">
        <v>8.6353884463113956E-2</v>
      </c>
      <c r="AA6" s="2093">
        <v>0.1010835005750107</v>
      </c>
      <c r="AB6" s="2114">
        <v>0.18743738503812468</v>
      </c>
    </row>
    <row r="7" spans="1:28">
      <c r="B7" s="89">
        <v>23</v>
      </c>
      <c r="C7" s="1">
        <v>0.437</v>
      </c>
      <c r="D7" s="1">
        <v>4.8929999999999998</v>
      </c>
      <c r="E7" s="1">
        <v>0.81200000000000006</v>
      </c>
      <c r="F7" s="1">
        <v>0.81200000000000006</v>
      </c>
      <c r="G7" s="1">
        <v>4.4559999999999995</v>
      </c>
      <c r="H7" s="742">
        <v>9.8070017953321376E-2</v>
      </c>
      <c r="I7" s="742">
        <v>0.18222621184919213</v>
      </c>
      <c r="J7" s="2100">
        <v>0.28029622980251351</v>
      </c>
      <c r="K7" s="89">
        <v>23</v>
      </c>
      <c r="L7" s="1">
        <v>0.47599999999999998</v>
      </c>
      <c r="M7" s="1">
        <v>5.7160000000000002</v>
      </c>
      <c r="N7" s="1427">
        <v>0.219</v>
      </c>
      <c r="O7" s="1">
        <v>0.219</v>
      </c>
      <c r="P7" s="1">
        <v>5.24</v>
      </c>
      <c r="Q7" s="742">
        <v>9.0839694656488543E-2</v>
      </c>
      <c r="R7" s="742">
        <v>4.1793893129770991E-2</v>
      </c>
      <c r="S7" s="2100">
        <v>0.13263358778625953</v>
      </c>
      <c r="T7" s="89">
        <v>23</v>
      </c>
      <c r="U7" s="741">
        <v>0.45650000000000002</v>
      </c>
      <c r="V7" s="741">
        <v>5.3045</v>
      </c>
      <c r="W7" s="741">
        <v>0.51550000000000007</v>
      </c>
      <c r="X7" s="741">
        <v>0.51550000000000007</v>
      </c>
      <c r="Y7" s="741">
        <v>4.8479999999999999</v>
      </c>
      <c r="Z7" s="2088">
        <v>9.4454856304904966E-2</v>
      </c>
      <c r="AA7" s="2088">
        <v>0.11201005248948157</v>
      </c>
      <c r="AB7" s="2115">
        <v>0.2064649087943865</v>
      </c>
    </row>
    <row r="8" spans="1:28">
      <c r="B8" s="2098">
        <v>24</v>
      </c>
      <c r="C8" s="2090">
        <v>0.48</v>
      </c>
      <c r="D8" s="2090">
        <v>5.0380000000000003</v>
      </c>
      <c r="E8" s="2090">
        <v>0.90100000000000002</v>
      </c>
      <c r="F8" s="2090">
        <v>0.90100000000000002</v>
      </c>
      <c r="G8" s="2090">
        <v>4.5579999999999998</v>
      </c>
      <c r="H8" s="2091">
        <v>0.10530934620447564</v>
      </c>
      <c r="I8" s="2091">
        <v>0.19767441860465118</v>
      </c>
      <c r="J8" s="2099">
        <v>0.30298376480912681</v>
      </c>
      <c r="K8" s="2098">
        <v>24</v>
      </c>
      <c r="L8" s="2090">
        <v>0.52</v>
      </c>
      <c r="M8" s="2090">
        <v>5.8840000000000003</v>
      </c>
      <c r="N8" s="2092">
        <v>0.24099999999999999</v>
      </c>
      <c r="O8" s="2090">
        <v>0.24099999999999999</v>
      </c>
      <c r="P8" s="2090">
        <v>5.3640000000000008</v>
      </c>
      <c r="Q8" s="2091">
        <v>9.6942580164056658E-2</v>
      </c>
      <c r="R8" s="2091">
        <v>4.4929157345264717E-2</v>
      </c>
      <c r="S8" s="2099">
        <v>0.14187173750932136</v>
      </c>
      <c r="T8" s="2098">
        <v>24</v>
      </c>
      <c r="U8" s="1707">
        <v>0.5</v>
      </c>
      <c r="V8" s="1707">
        <v>5.4610000000000003</v>
      </c>
      <c r="W8" s="1707">
        <v>0.57099999999999995</v>
      </c>
      <c r="X8" s="1707">
        <v>0.57099999999999995</v>
      </c>
      <c r="Y8" s="1707">
        <v>4.9610000000000003</v>
      </c>
      <c r="Z8" s="2093">
        <v>0.10112596318426614</v>
      </c>
      <c r="AA8" s="2093">
        <v>0.12130178797495794</v>
      </c>
      <c r="AB8" s="2114">
        <v>0.22242775115922409</v>
      </c>
    </row>
    <row r="9" spans="1:28">
      <c r="B9" s="89">
        <v>25</v>
      </c>
      <c r="C9" s="1">
        <v>0.51900000000000002</v>
      </c>
      <c r="D9" s="1">
        <v>5.1870000000000003</v>
      </c>
      <c r="E9" s="1">
        <v>0.98399999999999999</v>
      </c>
      <c r="F9" s="1">
        <v>0.98399999999999999</v>
      </c>
      <c r="G9" s="1">
        <v>4.6680000000000001</v>
      </c>
      <c r="H9" s="742">
        <v>0.11118251928020566</v>
      </c>
      <c r="I9" s="742">
        <v>0.21079691516709512</v>
      </c>
      <c r="J9" s="2100">
        <v>0.32197943444730076</v>
      </c>
      <c r="K9" s="89">
        <v>25</v>
      </c>
      <c r="L9" s="1">
        <v>0.56299999999999994</v>
      </c>
      <c r="M9" s="1">
        <v>6.056</v>
      </c>
      <c r="N9" s="1427">
        <v>0.26200000000000001</v>
      </c>
      <c r="O9" s="1">
        <v>0.26200000000000001</v>
      </c>
      <c r="P9" s="1">
        <v>5.4930000000000003</v>
      </c>
      <c r="Q9" s="742">
        <v>0.10249408337884579</v>
      </c>
      <c r="R9" s="742">
        <v>4.7697068996905151E-2</v>
      </c>
      <c r="S9" s="2100">
        <v>0.15019115237575092</v>
      </c>
      <c r="T9" s="89">
        <v>25</v>
      </c>
      <c r="U9" s="741">
        <v>0.54099999999999993</v>
      </c>
      <c r="V9" s="741">
        <v>5.6215000000000002</v>
      </c>
      <c r="W9" s="741">
        <v>0.623</v>
      </c>
      <c r="X9" s="741">
        <v>0.623</v>
      </c>
      <c r="Y9" s="741">
        <v>5.0805000000000007</v>
      </c>
      <c r="Z9" s="2088">
        <v>0.10683830132952572</v>
      </c>
      <c r="AA9" s="2088">
        <v>0.12924699208200013</v>
      </c>
      <c r="AB9" s="2115">
        <v>0.23608529341152584</v>
      </c>
    </row>
    <row r="10" spans="1:28">
      <c r="B10" s="2098">
        <v>26</v>
      </c>
      <c r="C10" s="2090">
        <v>0.55400000000000005</v>
      </c>
      <c r="D10" s="2090">
        <v>5.3390000000000004</v>
      </c>
      <c r="E10" s="2090">
        <v>1.0629999999999999</v>
      </c>
      <c r="F10" s="2090">
        <v>1.0629999999999999</v>
      </c>
      <c r="G10" s="2090">
        <v>4.7850000000000001</v>
      </c>
      <c r="H10" s="2091">
        <v>0.11577847439916406</v>
      </c>
      <c r="I10" s="2091">
        <v>0.22215256008359455</v>
      </c>
      <c r="J10" s="2099">
        <v>0.33793103448275863</v>
      </c>
      <c r="K10" s="2098">
        <v>26</v>
      </c>
      <c r="L10" s="2090">
        <v>0.60499999999999998</v>
      </c>
      <c r="M10" s="2090">
        <v>6.2309999999999999</v>
      </c>
      <c r="N10" s="2092">
        <v>0.28299999999999997</v>
      </c>
      <c r="O10" s="2090">
        <v>0.28299999999999997</v>
      </c>
      <c r="P10" s="2090">
        <v>5.6259999999999994</v>
      </c>
      <c r="Q10" s="2091">
        <v>0.10753643796658373</v>
      </c>
      <c r="R10" s="2091">
        <v>5.0302168503377175E-2</v>
      </c>
      <c r="S10" s="2099">
        <v>0.1578386064699609</v>
      </c>
      <c r="T10" s="2098">
        <v>26</v>
      </c>
      <c r="U10" s="1707">
        <v>0.57950000000000002</v>
      </c>
      <c r="V10" s="1707">
        <v>5.7850000000000001</v>
      </c>
      <c r="W10" s="1707">
        <v>0.67299999999999993</v>
      </c>
      <c r="X10" s="1707">
        <v>0.67299999999999993</v>
      </c>
      <c r="Y10" s="1707">
        <v>5.2054999999999998</v>
      </c>
      <c r="Z10" s="2093">
        <v>0.1116574561828739</v>
      </c>
      <c r="AA10" s="2093">
        <v>0.13622736429348586</v>
      </c>
      <c r="AB10" s="2114">
        <v>0.24788482047635976</v>
      </c>
    </row>
    <row r="11" spans="1:28">
      <c r="B11" s="89">
        <v>27</v>
      </c>
      <c r="C11" s="1">
        <v>0.58499999999999996</v>
      </c>
      <c r="D11" s="1">
        <v>5.4939999999999998</v>
      </c>
      <c r="E11" s="1">
        <v>1.139</v>
      </c>
      <c r="F11" s="1">
        <v>1.139</v>
      </c>
      <c r="G11" s="1">
        <v>4.9089999999999998</v>
      </c>
      <c r="H11" s="742">
        <v>0.11916887349765737</v>
      </c>
      <c r="I11" s="742">
        <v>0.23202281523731921</v>
      </c>
      <c r="J11" s="2100">
        <v>0.35119168873497658</v>
      </c>
      <c r="K11" s="89">
        <v>27</v>
      </c>
      <c r="L11" s="1">
        <v>0.64700000000000002</v>
      </c>
      <c r="M11" s="1">
        <v>6.4089999999999998</v>
      </c>
      <c r="N11" s="1427">
        <v>0.30499999999999999</v>
      </c>
      <c r="O11" s="1">
        <v>0.30499999999999999</v>
      </c>
      <c r="P11" s="1">
        <v>5.7619999999999996</v>
      </c>
      <c r="Q11" s="742">
        <v>0.11228740020826103</v>
      </c>
      <c r="R11" s="742">
        <v>5.2933009371745922E-2</v>
      </c>
      <c r="S11" s="2100">
        <v>0.16522040958000694</v>
      </c>
      <c r="T11" s="89">
        <v>27</v>
      </c>
      <c r="U11" s="741">
        <v>0.61599999999999999</v>
      </c>
      <c r="V11" s="741">
        <v>5.9514999999999993</v>
      </c>
      <c r="W11" s="741">
        <v>0.72199999999999998</v>
      </c>
      <c r="X11" s="741">
        <v>0.72199999999999998</v>
      </c>
      <c r="Y11" s="741">
        <v>5.3354999999999997</v>
      </c>
      <c r="Z11" s="2088">
        <v>0.1157281368529592</v>
      </c>
      <c r="AA11" s="2088">
        <v>0.14247791230453258</v>
      </c>
      <c r="AB11" s="2115">
        <v>0.25820604915749179</v>
      </c>
    </row>
    <row r="12" spans="1:28">
      <c r="B12" s="2098">
        <v>28</v>
      </c>
      <c r="C12" s="2090">
        <v>0.61499999999999999</v>
      </c>
      <c r="D12" s="2090">
        <v>5.6529999999999996</v>
      </c>
      <c r="E12" s="2090">
        <v>1.214</v>
      </c>
      <c r="F12" s="2090">
        <v>1.214</v>
      </c>
      <c r="G12" s="2090">
        <v>5.0379999999999994</v>
      </c>
      <c r="H12" s="2091">
        <v>0.12207225089321161</v>
      </c>
      <c r="I12" s="2091">
        <v>0.24096863834855103</v>
      </c>
      <c r="J12" s="2099">
        <v>0.36304088924176264</v>
      </c>
      <c r="K12" s="2098">
        <v>28</v>
      </c>
      <c r="L12" s="2090">
        <v>0.68600000000000005</v>
      </c>
      <c r="M12" s="2090">
        <v>6.5910000000000002</v>
      </c>
      <c r="N12" s="2092">
        <v>0.32600000000000001</v>
      </c>
      <c r="O12" s="2090">
        <v>0.32600000000000001</v>
      </c>
      <c r="P12" s="2090">
        <v>5.9050000000000002</v>
      </c>
      <c r="Q12" s="2091">
        <v>0.11617273497036411</v>
      </c>
      <c r="R12" s="2091">
        <v>5.520745131244708E-2</v>
      </c>
      <c r="S12" s="2099">
        <v>0.17138018628281118</v>
      </c>
      <c r="T12" s="2098">
        <v>28</v>
      </c>
      <c r="U12" s="1707">
        <v>0.65050000000000008</v>
      </c>
      <c r="V12" s="1707">
        <v>6.1219999999999999</v>
      </c>
      <c r="W12" s="1707">
        <v>0.77</v>
      </c>
      <c r="X12" s="1707">
        <v>0.77</v>
      </c>
      <c r="Y12" s="1707">
        <v>5.4714999999999998</v>
      </c>
      <c r="Z12" s="2093">
        <v>0.11912249293178787</v>
      </c>
      <c r="AA12" s="2093">
        <v>0.14808804483049906</v>
      </c>
      <c r="AB12" s="2114">
        <v>0.26721053776228693</v>
      </c>
    </row>
    <row r="13" spans="1:28">
      <c r="B13" s="89">
        <v>29</v>
      </c>
      <c r="C13" s="1">
        <v>0.64200000000000002</v>
      </c>
      <c r="D13" s="1">
        <v>5.8150000000000004</v>
      </c>
      <c r="E13" s="1">
        <v>1.2869999999999999</v>
      </c>
      <c r="F13" s="1">
        <v>1.2869999999999999</v>
      </c>
      <c r="G13" s="1">
        <v>5.173</v>
      </c>
      <c r="H13" s="742">
        <v>0.12410593466073845</v>
      </c>
      <c r="I13" s="742">
        <v>0.24879180359559247</v>
      </c>
      <c r="J13" s="2100">
        <v>0.37289773825633094</v>
      </c>
      <c r="K13" s="89">
        <v>29</v>
      </c>
      <c r="L13" s="1">
        <v>0.72399999999999998</v>
      </c>
      <c r="M13" s="1">
        <v>6.7770000000000001</v>
      </c>
      <c r="N13" s="1427">
        <v>0.34599999999999997</v>
      </c>
      <c r="O13" s="1">
        <v>0.34599999999999997</v>
      </c>
      <c r="P13" s="1">
        <v>6.0529999999999999</v>
      </c>
      <c r="Q13" s="742">
        <v>0.11961011068891458</v>
      </c>
      <c r="R13" s="742">
        <v>5.7161737981166361E-2</v>
      </c>
      <c r="S13" s="2100">
        <v>0.17677184867008094</v>
      </c>
      <c r="T13" s="89">
        <v>29</v>
      </c>
      <c r="U13" s="741">
        <v>0.68300000000000005</v>
      </c>
      <c r="V13" s="741">
        <v>6.2960000000000003</v>
      </c>
      <c r="W13" s="741">
        <v>0.8165</v>
      </c>
      <c r="X13" s="741">
        <v>0.8165</v>
      </c>
      <c r="Y13" s="741">
        <v>5.6129999999999995</v>
      </c>
      <c r="Z13" s="2088">
        <v>0.12185802267482651</v>
      </c>
      <c r="AA13" s="2088">
        <v>0.1529767707883794</v>
      </c>
      <c r="AB13" s="2115">
        <v>0.27483479346320594</v>
      </c>
    </row>
    <row r="14" spans="1:28">
      <c r="B14" s="2098">
        <v>30</v>
      </c>
      <c r="C14" s="2090">
        <v>0.66800000000000004</v>
      </c>
      <c r="D14" s="2090">
        <v>5.9820000000000002</v>
      </c>
      <c r="E14" s="2090">
        <v>1.359</v>
      </c>
      <c r="F14" s="2090">
        <v>1.359</v>
      </c>
      <c r="G14" s="2090">
        <v>5.3140000000000001</v>
      </c>
      <c r="H14" s="2091">
        <v>0.125705683101242</v>
      </c>
      <c r="I14" s="2091">
        <v>0.25573955589010161</v>
      </c>
      <c r="J14" s="2099">
        <v>0.38144523899134364</v>
      </c>
      <c r="K14" s="2098">
        <v>30</v>
      </c>
      <c r="L14" s="2090">
        <v>0.76</v>
      </c>
      <c r="M14" s="2090">
        <v>6.9660000000000002</v>
      </c>
      <c r="N14" s="2092">
        <v>0.36599999999999999</v>
      </c>
      <c r="O14" s="2090">
        <v>0.36599999999999999</v>
      </c>
      <c r="P14" s="2090">
        <v>6.2060000000000004</v>
      </c>
      <c r="Q14" s="2091">
        <v>0.12246213341927166</v>
      </c>
      <c r="R14" s="2091">
        <v>5.8975185304543987E-2</v>
      </c>
      <c r="S14" s="2099">
        <v>0.18143731872381563</v>
      </c>
      <c r="T14" s="2098">
        <v>30</v>
      </c>
      <c r="U14" s="1707">
        <v>0.71399999999999997</v>
      </c>
      <c r="V14" s="1707">
        <v>6.4740000000000002</v>
      </c>
      <c r="W14" s="1707">
        <v>0.86250000000000004</v>
      </c>
      <c r="X14" s="1707">
        <v>0.86250000000000004</v>
      </c>
      <c r="Y14" s="1707">
        <v>5.76</v>
      </c>
      <c r="Z14" s="2093">
        <v>0.12408390826025684</v>
      </c>
      <c r="AA14" s="2093">
        <v>0.1573573705973228</v>
      </c>
      <c r="AB14" s="2114">
        <v>0.28144127885757964</v>
      </c>
    </row>
    <row r="15" spans="1:28">
      <c r="B15" s="89">
        <v>31</v>
      </c>
      <c r="C15" s="1">
        <v>0.69199999999999995</v>
      </c>
      <c r="D15" s="1">
        <v>6.1520000000000001</v>
      </c>
      <c r="E15" s="1">
        <v>1.431</v>
      </c>
      <c r="F15" s="1">
        <v>1.431</v>
      </c>
      <c r="G15" s="1">
        <v>5.46</v>
      </c>
      <c r="H15" s="742">
        <v>0.12673992673992673</v>
      </c>
      <c r="I15" s="742">
        <v>0.2620879120879121</v>
      </c>
      <c r="J15" s="2100">
        <v>0.38882783882783883</v>
      </c>
      <c r="K15" s="89">
        <v>31</v>
      </c>
      <c r="L15" s="1">
        <v>0.79300000000000004</v>
      </c>
      <c r="M15" s="1">
        <v>7.1589999999999998</v>
      </c>
      <c r="N15" s="1427">
        <v>0.38600000000000001</v>
      </c>
      <c r="O15" s="1">
        <v>0.38600000000000001</v>
      </c>
      <c r="P15" s="1">
        <v>6.3659999999999997</v>
      </c>
      <c r="Q15" s="742">
        <v>0.12456801759346529</v>
      </c>
      <c r="R15" s="742">
        <v>6.0634621426327369E-2</v>
      </c>
      <c r="S15" s="2100">
        <v>0.18520263901979267</v>
      </c>
      <c r="T15" s="89">
        <v>31</v>
      </c>
      <c r="U15" s="741">
        <v>0.74249999999999994</v>
      </c>
      <c r="V15" s="741">
        <v>6.6555</v>
      </c>
      <c r="W15" s="741">
        <v>0.90850000000000009</v>
      </c>
      <c r="X15" s="741">
        <v>0.90850000000000009</v>
      </c>
      <c r="Y15" s="741">
        <v>5.9130000000000003</v>
      </c>
      <c r="Z15" s="2088">
        <v>0.12565397216669602</v>
      </c>
      <c r="AA15" s="2088">
        <v>0.16136126675711973</v>
      </c>
      <c r="AB15" s="2115">
        <v>0.28701523892381575</v>
      </c>
    </row>
    <row r="16" spans="1:28">
      <c r="B16" s="2098">
        <v>32</v>
      </c>
      <c r="C16" s="2090">
        <v>0.71499999999999997</v>
      </c>
      <c r="D16" s="2090">
        <v>6.327</v>
      </c>
      <c r="E16" s="2090">
        <v>1.502</v>
      </c>
      <c r="F16" s="2090">
        <v>1.502</v>
      </c>
      <c r="G16" s="2090">
        <v>5.6120000000000001</v>
      </c>
      <c r="H16" s="2091">
        <v>0.12740555951532428</v>
      </c>
      <c r="I16" s="2091">
        <v>0.26764076977904488</v>
      </c>
      <c r="J16" s="2099">
        <v>0.39504632929436917</v>
      </c>
      <c r="K16" s="2098">
        <v>32</v>
      </c>
      <c r="L16" s="2090">
        <v>0.82399999999999995</v>
      </c>
      <c r="M16" s="2090">
        <v>7.3550000000000004</v>
      </c>
      <c r="N16" s="2092">
        <v>0.40500000000000003</v>
      </c>
      <c r="O16" s="2090">
        <v>0.40500000000000003</v>
      </c>
      <c r="P16" s="2090">
        <v>6.5310000000000006</v>
      </c>
      <c r="Q16" s="2091">
        <v>0.12616750880416475</v>
      </c>
      <c r="R16" s="2091">
        <v>6.2011943040881944E-2</v>
      </c>
      <c r="S16" s="2099">
        <v>0.1881794518450467</v>
      </c>
      <c r="T16" s="2098">
        <v>32</v>
      </c>
      <c r="U16" s="1707">
        <v>0.76949999999999996</v>
      </c>
      <c r="V16" s="1707">
        <v>6.8410000000000002</v>
      </c>
      <c r="W16" s="1707">
        <v>0.95350000000000001</v>
      </c>
      <c r="X16" s="1707">
        <v>0.95350000000000001</v>
      </c>
      <c r="Y16" s="1707">
        <v>6.0715000000000003</v>
      </c>
      <c r="Z16" s="2093">
        <v>0.1267865341597445</v>
      </c>
      <c r="AA16" s="2093">
        <v>0.1648263564099634</v>
      </c>
      <c r="AB16" s="2114">
        <v>0.29161289056970796</v>
      </c>
    </row>
    <row r="17" spans="2:28">
      <c r="B17" s="89">
        <v>33</v>
      </c>
      <c r="C17" s="1">
        <v>0.73699999999999999</v>
      </c>
      <c r="D17" s="1">
        <v>6.5060000000000002</v>
      </c>
      <c r="E17" s="1">
        <v>1.5740000000000001</v>
      </c>
      <c r="F17" s="1">
        <v>1.5740000000000001</v>
      </c>
      <c r="G17" s="1">
        <v>5.7690000000000001</v>
      </c>
      <c r="H17" s="742">
        <v>0.12775177673773616</v>
      </c>
      <c r="I17" s="742">
        <v>0.27283758016987347</v>
      </c>
      <c r="J17" s="2100">
        <v>0.40058935690760966</v>
      </c>
      <c r="K17" s="89">
        <v>33</v>
      </c>
      <c r="L17" s="1">
        <v>0.85199999999999998</v>
      </c>
      <c r="M17" s="1">
        <v>7.556</v>
      </c>
      <c r="N17" s="1427">
        <v>0.42299999999999999</v>
      </c>
      <c r="O17" s="1">
        <v>0.42299999999999999</v>
      </c>
      <c r="P17" s="1">
        <v>6.7039999999999997</v>
      </c>
      <c r="Q17" s="742">
        <v>0.12708830548926014</v>
      </c>
      <c r="R17" s="742">
        <v>6.3096658711217182E-2</v>
      </c>
      <c r="S17" s="2100">
        <v>0.19018496420047731</v>
      </c>
      <c r="T17" s="89">
        <v>33</v>
      </c>
      <c r="U17" s="741">
        <v>0.79449999999999998</v>
      </c>
      <c r="V17" s="741">
        <v>7.0310000000000006</v>
      </c>
      <c r="W17" s="741">
        <v>0.99850000000000005</v>
      </c>
      <c r="X17" s="741">
        <v>0.99850000000000005</v>
      </c>
      <c r="Y17" s="741">
        <v>6.2364999999999995</v>
      </c>
      <c r="Z17" s="2088">
        <v>0.12742004111349814</v>
      </c>
      <c r="AA17" s="2088">
        <v>0.16796711944054532</v>
      </c>
      <c r="AB17" s="2115">
        <v>0.29538716055404346</v>
      </c>
    </row>
    <row r="18" spans="2:28">
      <c r="B18" s="2098">
        <v>34</v>
      </c>
      <c r="C18" s="2090">
        <v>0.75700000000000001</v>
      </c>
      <c r="D18" s="2090">
        <v>6.6890000000000001</v>
      </c>
      <c r="E18" s="2090">
        <v>1.6459999999999999</v>
      </c>
      <c r="F18" s="2090">
        <v>1.6459999999999999</v>
      </c>
      <c r="G18" s="2090">
        <v>5.9320000000000004</v>
      </c>
      <c r="H18" s="2091">
        <v>0.12761294672960216</v>
      </c>
      <c r="I18" s="2091">
        <v>0.27747808496291299</v>
      </c>
      <c r="J18" s="2099">
        <v>0.40509103169251515</v>
      </c>
      <c r="K18" s="2098">
        <v>34</v>
      </c>
      <c r="L18" s="2090">
        <v>0.877</v>
      </c>
      <c r="M18" s="2090">
        <v>7.76</v>
      </c>
      <c r="N18" s="2092">
        <v>0.441</v>
      </c>
      <c r="O18" s="2090">
        <v>0.441</v>
      </c>
      <c r="P18" s="2090">
        <v>6.883</v>
      </c>
      <c r="Q18" s="2091">
        <v>0.12741537120441668</v>
      </c>
      <c r="R18" s="2091">
        <v>6.4070899317158217E-2</v>
      </c>
      <c r="S18" s="2099">
        <v>0.19148627052157491</v>
      </c>
      <c r="T18" s="2098">
        <v>34</v>
      </c>
      <c r="U18" s="1707">
        <v>0.81699999999999995</v>
      </c>
      <c r="V18" s="1707">
        <v>7.2244999999999999</v>
      </c>
      <c r="W18" s="1707">
        <v>1.0434999999999999</v>
      </c>
      <c r="X18" s="1707">
        <v>1.0434999999999999</v>
      </c>
      <c r="Y18" s="1707">
        <v>6.4075000000000006</v>
      </c>
      <c r="Z18" s="2093">
        <v>0.12751415896700941</v>
      </c>
      <c r="AA18" s="2093">
        <v>0.17077449214003559</v>
      </c>
      <c r="AB18" s="2114">
        <v>0.29828865110704506</v>
      </c>
    </row>
    <row r="19" spans="2:28">
      <c r="B19" s="89">
        <v>35</v>
      </c>
      <c r="C19" s="1">
        <v>0.77500000000000002</v>
      </c>
      <c r="D19" s="1">
        <v>6.8769999999999998</v>
      </c>
      <c r="E19" s="1">
        <v>1.718</v>
      </c>
      <c r="F19" s="1">
        <v>1.718</v>
      </c>
      <c r="G19" s="1">
        <v>6.1019999999999994</v>
      </c>
      <c r="H19" s="742">
        <v>0.12700753851196331</v>
      </c>
      <c r="I19" s="742">
        <v>0.28154703375942314</v>
      </c>
      <c r="J19" s="2100">
        <v>0.40855457227138647</v>
      </c>
      <c r="K19" s="89">
        <v>35</v>
      </c>
      <c r="L19" s="1">
        <v>0.89800000000000002</v>
      </c>
      <c r="M19" s="1">
        <v>7.968</v>
      </c>
      <c r="N19" s="1427">
        <v>0.45800000000000002</v>
      </c>
      <c r="O19" s="1">
        <v>0.45800000000000002</v>
      </c>
      <c r="P19" s="1">
        <v>7.07</v>
      </c>
      <c r="Q19" s="742">
        <v>0.12701555869872702</v>
      </c>
      <c r="R19" s="742">
        <v>6.4780763790664775E-2</v>
      </c>
      <c r="S19" s="2100">
        <v>0.1917963224893918</v>
      </c>
      <c r="T19" s="89">
        <v>35</v>
      </c>
      <c r="U19" s="741">
        <v>0.83650000000000002</v>
      </c>
      <c r="V19" s="741">
        <v>7.4224999999999994</v>
      </c>
      <c r="W19" s="741">
        <v>1.0880000000000001</v>
      </c>
      <c r="X19" s="741">
        <v>1.0880000000000001</v>
      </c>
      <c r="Y19" s="741">
        <v>6.5860000000000003</v>
      </c>
      <c r="Z19" s="2088">
        <v>0.12701154860534516</v>
      </c>
      <c r="AA19" s="2088">
        <v>0.17316389877504396</v>
      </c>
      <c r="AB19" s="2115">
        <v>0.30017544738038915</v>
      </c>
    </row>
    <row r="20" spans="2:28">
      <c r="B20" s="2098">
        <v>36</v>
      </c>
      <c r="C20" s="2090">
        <v>0.79</v>
      </c>
      <c r="D20" s="2090">
        <v>7.0670000000000002</v>
      </c>
      <c r="E20" s="2090">
        <v>1.79</v>
      </c>
      <c r="F20" s="2090">
        <v>1.79</v>
      </c>
      <c r="G20" s="2090">
        <v>6.2770000000000001</v>
      </c>
      <c r="H20" s="2091">
        <v>0.12585630078062768</v>
      </c>
      <c r="I20" s="2091">
        <v>0.28516807392066273</v>
      </c>
      <c r="J20" s="2099">
        <v>0.41102437470129038</v>
      </c>
      <c r="K20" s="2098">
        <v>36</v>
      </c>
      <c r="L20" s="2090">
        <v>0.91400000000000003</v>
      </c>
      <c r="M20" s="2090">
        <v>8.1780000000000008</v>
      </c>
      <c r="N20" s="2092">
        <v>0.47499999999999998</v>
      </c>
      <c r="O20" s="2090">
        <v>0.47499999999999998</v>
      </c>
      <c r="P20" s="2090">
        <v>7.2640000000000011</v>
      </c>
      <c r="Q20" s="2091">
        <v>0.12582599118942731</v>
      </c>
      <c r="R20" s="2091">
        <v>6.5390969162995582E-2</v>
      </c>
      <c r="S20" s="2099">
        <v>0.19121696035242289</v>
      </c>
      <c r="T20" s="2098">
        <v>36</v>
      </c>
      <c r="U20" s="1707">
        <v>0.85200000000000009</v>
      </c>
      <c r="V20" s="1707">
        <v>7.6225000000000005</v>
      </c>
      <c r="W20" s="1707">
        <v>1.1325000000000001</v>
      </c>
      <c r="X20" s="1707">
        <v>1.1325000000000001</v>
      </c>
      <c r="Y20" s="1707">
        <v>6.7705000000000002</v>
      </c>
      <c r="Z20" s="2093">
        <v>0.12584114598502749</v>
      </c>
      <c r="AA20" s="2093">
        <v>0.17527952154182916</v>
      </c>
      <c r="AB20" s="2114">
        <v>0.30112066752685662</v>
      </c>
    </row>
    <row r="21" spans="2:28">
      <c r="B21" s="89">
        <v>37</v>
      </c>
      <c r="C21" s="1">
        <v>0.8</v>
      </c>
      <c r="D21" s="1">
        <v>7.26</v>
      </c>
      <c r="E21" s="1">
        <v>1.8620000000000001</v>
      </c>
      <c r="F21" s="1">
        <v>1.8620000000000001</v>
      </c>
      <c r="G21" s="1">
        <v>6.46</v>
      </c>
      <c r="H21" s="742">
        <v>0.12383900928792571</v>
      </c>
      <c r="I21" s="742">
        <v>0.28823529411764709</v>
      </c>
      <c r="J21" s="2100">
        <v>0.41207430340557283</v>
      </c>
      <c r="K21" s="89">
        <v>37</v>
      </c>
      <c r="L21" s="1">
        <v>0.92500000000000004</v>
      </c>
      <c r="M21" s="1">
        <v>8.391</v>
      </c>
      <c r="N21" s="1427">
        <v>0.49</v>
      </c>
      <c r="O21" s="1">
        <v>0.49</v>
      </c>
      <c r="P21" s="1">
        <v>7.4660000000000002</v>
      </c>
      <c r="Q21" s="742">
        <v>0.12389499062416287</v>
      </c>
      <c r="R21" s="742">
        <v>6.5630859898205191E-2</v>
      </c>
      <c r="S21" s="2100">
        <v>0.18952585052236806</v>
      </c>
      <c r="T21" s="89">
        <v>37</v>
      </c>
      <c r="U21" s="741">
        <v>0.86250000000000004</v>
      </c>
      <c r="V21" s="741">
        <v>7.8254999999999999</v>
      </c>
      <c r="W21" s="741">
        <v>1.1760000000000002</v>
      </c>
      <c r="X21" s="741">
        <v>1.1760000000000002</v>
      </c>
      <c r="Y21" s="741">
        <v>6.9630000000000001</v>
      </c>
      <c r="Z21" s="2088">
        <v>0.12386699995604429</v>
      </c>
      <c r="AA21" s="2088">
        <v>0.17693307700792615</v>
      </c>
      <c r="AB21" s="2115">
        <v>0.30080007696397043</v>
      </c>
    </row>
    <row r="22" spans="2:28">
      <c r="B22" s="2098">
        <v>38</v>
      </c>
      <c r="C22" s="2090">
        <v>0.80400000000000005</v>
      </c>
      <c r="D22" s="2090">
        <v>7.4550000000000001</v>
      </c>
      <c r="E22" s="2090">
        <v>1.9339999999999999</v>
      </c>
      <c r="F22" s="2090">
        <v>1.9339999999999999</v>
      </c>
      <c r="G22" s="2090">
        <v>6.6509999999999998</v>
      </c>
      <c r="H22" s="2091">
        <v>0.12088407758231846</v>
      </c>
      <c r="I22" s="2091">
        <v>0.29078334085099983</v>
      </c>
      <c r="J22" s="2099">
        <v>0.41166741843331828</v>
      </c>
      <c r="K22" s="2098">
        <v>38</v>
      </c>
      <c r="L22" s="2090">
        <v>0.92900000000000005</v>
      </c>
      <c r="M22" s="2090">
        <v>8.6050000000000004</v>
      </c>
      <c r="N22" s="2092">
        <v>0.505</v>
      </c>
      <c r="O22" s="2090">
        <v>0.505</v>
      </c>
      <c r="P22" s="2090">
        <v>7.6760000000000002</v>
      </c>
      <c r="Q22" s="2091">
        <v>0.12102657634184472</v>
      </c>
      <c r="R22" s="2091">
        <v>6.5789473684210523E-2</v>
      </c>
      <c r="S22" s="2099">
        <v>0.18681605002605522</v>
      </c>
      <c r="T22" s="2098">
        <v>38</v>
      </c>
      <c r="U22" s="1707">
        <v>0.86650000000000005</v>
      </c>
      <c r="V22" s="1707">
        <v>8.0300000000000011</v>
      </c>
      <c r="W22" s="1707">
        <v>1.2195</v>
      </c>
      <c r="X22" s="1707">
        <v>1.2195</v>
      </c>
      <c r="Y22" s="1707">
        <v>7.1635</v>
      </c>
      <c r="Z22" s="2093">
        <v>0.12095532696208158</v>
      </c>
      <c r="AA22" s="2093">
        <v>0.17828640726760517</v>
      </c>
      <c r="AB22" s="2114">
        <v>0.29924173422968675</v>
      </c>
    </row>
    <row r="23" spans="2:28">
      <c r="B23" s="89">
        <v>39</v>
      </c>
      <c r="C23" s="1">
        <v>0.80400000000000005</v>
      </c>
      <c r="D23" s="1">
        <v>7.6529999999999996</v>
      </c>
      <c r="E23" s="1">
        <v>2.0059999999999998</v>
      </c>
      <c r="F23" s="1">
        <v>2.0059999999999998</v>
      </c>
      <c r="G23" s="1">
        <v>6.8489999999999993</v>
      </c>
      <c r="H23" s="742">
        <v>0.11738939991239598</v>
      </c>
      <c r="I23" s="742">
        <v>0.29288947291575412</v>
      </c>
      <c r="J23" s="2100">
        <v>0.41027887282815012</v>
      </c>
      <c r="K23" s="89">
        <v>39</v>
      </c>
      <c r="L23" s="1">
        <v>0.92700000000000005</v>
      </c>
      <c r="M23" s="1">
        <v>8.8230000000000004</v>
      </c>
      <c r="N23" s="1427">
        <v>0.51900000000000002</v>
      </c>
      <c r="O23" s="1">
        <v>0.51900000000000002</v>
      </c>
      <c r="P23" s="1">
        <v>7.8960000000000008</v>
      </c>
      <c r="Q23" s="742">
        <v>0.11740121580547112</v>
      </c>
      <c r="R23" s="742">
        <v>6.5729483282674764E-2</v>
      </c>
      <c r="S23" s="2100">
        <v>0.18313069908814589</v>
      </c>
      <c r="T23" s="89">
        <v>39</v>
      </c>
      <c r="U23" s="741">
        <v>0.86550000000000005</v>
      </c>
      <c r="V23" s="741">
        <v>8.2379999999999995</v>
      </c>
      <c r="W23" s="741">
        <v>1.2625</v>
      </c>
      <c r="X23" s="741">
        <v>1.2625</v>
      </c>
      <c r="Y23" s="741">
        <v>7.3725000000000005</v>
      </c>
      <c r="Z23" s="2088">
        <v>0.11739530785893355</v>
      </c>
      <c r="AA23" s="2088">
        <v>0.17930947809921444</v>
      </c>
      <c r="AB23" s="2115">
        <v>0.29670478595814798</v>
      </c>
    </row>
    <row r="24" spans="2:28">
      <c r="B24" s="2098">
        <v>40</v>
      </c>
      <c r="C24" s="2090">
        <v>0.79900000000000004</v>
      </c>
      <c r="D24" s="2090">
        <v>7.8540000000000001</v>
      </c>
      <c r="E24" s="2090">
        <v>2.0790000000000002</v>
      </c>
      <c r="F24" s="2090">
        <v>2.0790000000000002</v>
      </c>
      <c r="G24" s="2090">
        <v>7.0549999999999997</v>
      </c>
      <c r="H24" s="2091">
        <v>0.11325301204819278</v>
      </c>
      <c r="I24" s="2091">
        <v>0.29468462083628638</v>
      </c>
      <c r="J24" s="2099">
        <v>0.40793763288447915</v>
      </c>
      <c r="K24" s="2098">
        <v>40</v>
      </c>
      <c r="L24" s="2090">
        <v>0.92</v>
      </c>
      <c r="M24" s="2090">
        <v>9.0429999999999993</v>
      </c>
      <c r="N24" s="2092">
        <v>0.53300000000000003</v>
      </c>
      <c r="O24" s="2090">
        <v>0.53300000000000003</v>
      </c>
      <c r="P24" s="2090">
        <v>8.1229999999999993</v>
      </c>
      <c r="Q24" s="2091">
        <v>0.11325864828265421</v>
      </c>
      <c r="R24" s="2091">
        <v>6.5616151668102932E-2</v>
      </c>
      <c r="S24" s="2099">
        <v>0.17887479995075714</v>
      </c>
      <c r="T24" s="2098">
        <v>40</v>
      </c>
      <c r="U24" s="1707">
        <v>0.85950000000000004</v>
      </c>
      <c r="V24" s="1707">
        <v>8.4484999999999992</v>
      </c>
      <c r="W24" s="1707">
        <v>1.306</v>
      </c>
      <c r="X24" s="1707">
        <v>1.306</v>
      </c>
      <c r="Y24" s="1707">
        <v>7.5889999999999995</v>
      </c>
      <c r="Z24" s="2093">
        <v>0.1132558301654235</v>
      </c>
      <c r="AA24" s="2093">
        <v>0.18015038625219465</v>
      </c>
      <c r="AB24" s="2114">
        <v>0.29340621641761816</v>
      </c>
    </row>
    <row r="25" spans="2:28">
      <c r="B25" s="89">
        <v>41</v>
      </c>
      <c r="C25" s="1">
        <v>0.79200000000000004</v>
      </c>
      <c r="D25" s="1">
        <v>8.0609999999999999</v>
      </c>
      <c r="E25" s="1">
        <v>2.153</v>
      </c>
      <c r="F25" s="1">
        <v>2.153</v>
      </c>
      <c r="G25" s="1">
        <v>7.2690000000000001</v>
      </c>
      <c r="H25" s="742">
        <v>0.10895583986793232</v>
      </c>
      <c r="I25" s="742">
        <v>0.29618929701472002</v>
      </c>
      <c r="J25" s="2100">
        <v>0.40514513688265236</v>
      </c>
      <c r="K25" s="89">
        <v>41</v>
      </c>
      <c r="L25" s="1">
        <v>0.90900000000000003</v>
      </c>
      <c r="M25" s="1">
        <v>9.2690000000000001</v>
      </c>
      <c r="N25" s="1427">
        <v>0.54500000000000004</v>
      </c>
      <c r="O25" s="1">
        <v>0.54500000000000004</v>
      </c>
      <c r="P25" s="1">
        <v>8.36</v>
      </c>
      <c r="Q25" s="742">
        <v>0.10873205741626796</v>
      </c>
      <c r="R25" s="742">
        <v>6.519138755980862E-2</v>
      </c>
      <c r="S25" s="2100">
        <v>0.17392344497607659</v>
      </c>
      <c r="T25" s="89">
        <v>41</v>
      </c>
      <c r="U25" s="741">
        <v>0.85050000000000003</v>
      </c>
      <c r="V25" s="741">
        <v>8.6649999999999991</v>
      </c>
      <c r="W25" s="741">
        <v>1.349</v>
      </c>
      <c r="X25" s="741">
        <v>1.349</v>
      </c>
      <c r="Y25" s="741">
        <v>7.8144999999999998</v>
      </c>
      <c r="Z25" s="2088">
        <v>0.10884394864210015</v>
      </c>
      <c r="AA25" s="2088">
        <v>0.18069034228726433</v>
      </c>
      <c r="AB25" s="2115">
        <v>0.28953429092936445</v>
      </c>
    </row>
    <row r="26" spans="2:28">
      <c r="B26" s="2098">
        <v>42</v>
      </c>
      <c r="C26" s="2090">
        <v>0.78400000000000003</v>
      </c>
      <c r="D26" s="2090">
        <v>8.2739999999999991</v>
      </c>
      <c r="E26" s="2090">
        <v>2.2269999999999999</v>
      </c>
      <c r="F26" s="2090">
        <v>2.2269999999999999</v>
      </c>
      <c r="G26" s="2090">
        <v>7.4899999999999993</v>
      </c>
      <c r="H26" s="2091">
        <v>0.1046728971962617</v>
      </c>
      <c r="I26" s="2091">
        <v>0.29732977303070762</v>
      </c>
      <c r="J26" s="2099">
        <v>0.40200267022696934</v>
      </c>
      <c r="K26" s="2098">
        <v>42</v>
      </c>
      <c r="L26" s="2090">
        <v>0.89400000000000002</v>
      </c>
      <c r="M26" s="2090">
        <v>9.5</v>
      </c>
      <c r="N26" s="2092">
        <v>0.55800000000000005</v>
      </c>
      <c r="O26" s="2090">
        <v>0.55800000000000005</v>
      </c>
      <c r="P26" s="2090">
        <v>8.6059999999999999</v>
      </c>
      <c r="Q26" s="2091">
        <v>0.10388101324657216</v>
      </c>
      <c r="R26" s="2091">
        <v>6.4838484778061825E-2</v>
      </c>
      <c r="S26" s="2099">
        <v>0.16871949802463398</v>
      </c>
      <c r="T26" s="2098">
        <v>42</v>
      </c>
      <c r="U26" s="1707">
        <v>0.83899999999999997</v>
      </c>
      <c r="V26" s="1707">
        <v>8.8870000000000005</v>
      </c>
      <c r="W26" s="1707">
        <v>1.3925000000000001</v>
      </c>
      <c r="X26" s="1707">
        <v>1.3925000000000001</v>
      </c>
      <c r="Y26" s="1707">
        <v>8.048</v>
      </c>
      <c r="Z26" s="2093">
        <v>0.10427695522141693</v>
      </c>
      <c r="AA26" s="2093">
        <v>0.18108412890438472</v>
      </c>
      <c r="AB26" s="2114">
        <v>0.28536108412580163</v>
      </c>
    </row>
    <row r="27" spans="2:28">
      <c r="B27" s="89">
        <v>43</v>
      </c>
      <c r="C27" s="1">
        <v>0.77500000000000002</v>
      </c>
      <c r="D27" s="1">
        <v>8.4960000000000004</v>
      </c>
      <c r="E27" s="1">
        <v>2.3029999999999999</v>
      </c>
      <c r="F27" s="1">
        <v>2.3029999999999999</v>
      </c>
      <c r="G27" s="1">
        <v>7.7210000000000001</v>
      </c>
      <c r="H27" s="742">
        <v>0.10037559901567154</v>
      </c>
      <c r="I27" s="742">
        <v>0.29827742520398909</v>
      </c>
      <c r="J27" s="2100">
        <v>0.39865302421966065</v>
      </c>
      <c r="K27" s="89">
        <v>43</v>
      </c>
      <c r="L27" s="1">
        <v>0.877</v>
      </c>
      <c r="M27" s="1">
        <v>9.7379999999999995</v>
      </c>
      <c r="N27" s="1427">
        <v>0.56999999999999995</v>
      </c>
      <c r="O27" s="1">
        <v>0.56999999999999995</v>
      </c>
      <c r="P27" s="1">
        <v>8.8609999999999989</v>
      </c>
      <c r="Q27" s="742">
        <v>9.8973027874957695E-2</v>
      </c>
      <c r="R27" s="742">
        <v>6.4326825414738747E-2</v>
      </c>
      <c r="S27" s="2100">
        <v>0.16329985328969643</v>
      </c>
      <c r="T27" s="89">
        <v>43</v>
      </c>
      <c r="U27" s="741">
        <v>0.82600000000000007</v>
      </c>
      <c r="V27" s="741">
        <v>9.1170000000000009</v>
      </c>
      <c r="W27" s="741">
        <v>1.4364999999999999</v>
      </c>
      <c r="X27" s="741">
        <v>1.4364999999999999</v>
      </c>
      <c r="Y27" s="741">
        <v>8.2910000000000004</v>
      </c>
      <c r="Z27" s="2088">
        <v>9.9674313445314619E-2</v>
      </c>
      <c r="AA27" s="2088">
        <v>0.1813021253093639</v>
      </c>
      <c r="AB27" s="2115">
        <v>0.28097643875467854</v>
      </c>
    </row>
    <row r="28" spans="2:28">
      <c r="B28" s="2098">
        <v>44</v>
      </c>
      <c r="C28" s="2090">
        <v>0.76600000000000001</v>
      </c>
      <c r="D28" s="2090">
        <v>8.7260000000000009</v>
      </c>
      <c r="E28" s="2090">
        <v>2.38</v>
      </c>
      <c r="F28" s="2090">
        <v>2.38</v>
      </c>
      <c r="G28" s="2090">
        <v>7.9600000000000009</v>
      </c>
      <c r="H28" s="2091">
        <v>9.6231155778894462E-2</v>
      </c>
      <c r="I28" s="2091">
        <v>0.29899497487437182</v>
      </c>
      <c r="J28" s="2099">
        <v>0.39522613065326628</v>
      </c>
      <c r="K28" s="2098">
        <v>44</v>
      </c>
      <c r="L28" s="2090">
        <v>0.85799999999999998</v>
      </c>
      <c r="M28" s="2090">
        <v>9.984</v>
      </c>
      <c r="N28" s="2092">
        <v>0.58199999999999996</v>
      </c>
      <c r="O28" s="2090">
        <v>0.58199999999999996</v>
      </c>
      <c r="P28" s="2090">
        <v>9.1259999999999994</v>
      </c>
      <c r="Q28" s="2091">
        <v>9.4017094017094016E-2</v>
      </c>
      <c r="R28" s="2091">
        <v>6.3773833004602237E-2</v>
      </c>
      <c r="S28" s="2099">
        <v>0.15779092702169625</v>
      </c>
      <c r="T28" s="2098">
        <v>44</v>
      </c>
      <c r="U28" s="1707">
        <v>0.81200000000000006</v>
      </c>
      <c r="V28" s="1707">
        <v>9.3550000000000004</v>
      </c>
      <c r="W28" s="1707">
        <v>1.4809999999999999</v>
      </c>
      <c r="X28" s="1707">
        <v>1.4809999999999999</v>
      </c>
      <c r="Y28" s="1707">
        <v>8.5429999999999993</v>
      </c>
      <c r="Z28" s="2093">
        <v>9.5124124897994239E-2</v>
      </c>
      <c r="AA28" s="2093">
        <v>0.18138440393948702</v>
      </c>
      <c r="AB28" s="2114">
        <v>0.27650852883748128</v>
      </c>
    </row>
    <row r="29" spans="2:28">
      <c r="B29" s="89">
        <v>45</v>
      </c>
      <c r="C29" s="1">
        <v>0.75600000000000001</v>
      </c>
      <c r="D29" s="1">
        <v>8.9640000000000004</v>
      </c>
      <c r="E29" s="1">
        <v>2.456</v>
      </c>
      <c r="F29" s="1">
        <v>2.456</v>
      </c>
      <c r="G29" s="1">
        <v>8.2080000000000002</v>
      </c>
      <c r="H29" s="742">
        <v>9.2105263157894732E-2</v>
      </c>
      <c r="I29" s="742">
        <v>0.29922027290448344</v>
      </c>
      <c r="J29" s="2100">
        <v>0.39132553606237819</v>
      </c>
      <c r="K29" s="89">
        <v>45</v>
      </c>
      <c r="L29" s="1">
        <v>0.83799999999999997</v>
      </c>
      <c r="M29" s="1">
        <v>10.238</v>
      </c>
      <c r="N29" s="1427">
        <v>0.59399999999999997</v>
      </c>
      <c r="O29" s="1">
        <v>0.59399999999999997</v>
      </c>
      <c r="P29" s="1">
        <v>9.4</v>
      </c>
      <c r="Q29" s="742">
        <v>8.9148936170212759E-2</v>
      </c>
      <c r="R29" s="742">
        <v>6.3191489361702116E-2</v>
      </c>
      <c r="S29" s="2100">
        <v>0.15234042553191487</v>
      </c>
      <c r="T29" s="89">
        <v>45</v>
      </c>
      <c r="U29" s="741">
        <v>0.79699999999999993</v>
      </c>
      <c r="V29" s="741">
        <v>9.6009999999999991</v>
      </c>
      <c r="W29" s="741">
        <v>1.5249999999999999</v>
      </c>
      <c r="X29" s="741">
        <v>1.5249999999999999</v>
      </c>
      <c r="Y29" s="741">
        <v>8.8040000000000003</v>
      </c>
      <c r="Z29" s="2088">
        <v>9.0627099664053745E-2</v>
      </c>
      <c r="AA29" s="2088">
        <v>0.18120588113309277</v>
      </c>
      <c r="AB29" s="2115">
        <v>0.27183298079714652</v>
      </c>
    </row>
    <row r="30" spans="2:28">
      <c r="B30" s="2098">
        <v>46</v>
      </c>
      <c r="C30" s="2090">
        <v>0.74399999999999999</v>
      </c>
      <c r="D30" s="2090">
        <v>9.2089999999999996</v>
      </c>
      <c r="E30" s="2090">
        <v>2.5329999999999999</v>
      </c>
      <c r="F30" s="2090">
        <v>2.5329999999999999</v>
      </c>
      <c r="G30" s="2090">
        <v>8.4649999999999999</v>
      </c>
      <c r="H30" s="2091">
        <v>8.7891317188422913E-2</v>
      </c>
      <c r="I30" s="2091">
        <v>0.29923213230950974</v>
      </c>
      <c r="J30" s="2099">
        <v>0.38712344949793265</v>
      </c>
      <c r="K30" s="2098">
        <v>46</v>
      </c>
      <c r="L30" s="2090">
        <v>0.81499999999999995</v>
      </c>
      <c r="M30" s="2090">
        <v>10.5</v>
      </c>
      <c r="N30" s="2092">
        <v>0.60599999999999998</v>
      </c>
      <c r="O30" s="2090">
        <v>0.60599999999999998</v>
      </c>
      <c r="P30" s="2090">
        <v>9.6850000000000005</v>
      </c>
      <c r="Q30" s="2091">
        <v>8.4150748580278767E-2</v>
      </c>
      <c r="R30" s="2091">
        <v>6.2570986060918946E-2</v>
      </c>
      <c r="S30" s="2099">
        <v>0.1467217346411977</v>
      </c>
      <c r="T30" s="2098">
        <v>46</v>
      </c>
      <c r="U30" s="1707">
        <v>0.77949999999999997</v>
      </c>
      <c r="V30" s="1707">
        <v>9.8544999999999998</v>
      </c>
      <c r="W30" s="1707">
        <v>1.5694999999999999</v>
      </c>
      <c r="X30" s="1707">
        <v>1.5694999999999999</v>
      </c>
      <c r="Y30" s="1707">
        <v>9.0749999999999993</v>
      </c>
      <c r="Z30" s="2093">
        <v>8.602103288435084E-2</v>
      </c>
      <c r="AA30" s="2093">
        <v>0.18090155918521433</v>
      </c>
      <c r="AB30" s="2114">
        <v>0.26692259206956515</v>
      </c>
    </row>
    <row r="31" spans="2:28">
      <c r="B31" s="89">
        <v>47</v>
      </c>
      <c r="C31" s="1">
        <v>0.73</v>
      </c>
      <c r="D31" s="1">
        <v>9.4629999999999992</v>
      </c>
      <c r="E31" s="1">
        <v>2.6080000000000001</v>
      </c>
      <c r="F31" s="1">
        <v>2.6080000000000001</v>
      </c>
      <c r="G31" s="1">
        <v>8.7329999999999988</v>
      </c>
      <c r="H31" s="742">
        <v>8.3590976754837981E-2</v>
      </c>
      <c r="I31" s="742">
        <v>0.29863735257070884</v>
      </c>
      <c r="J31" s="2100">
        <v>0.38222832932554685</v>
      </c>
      <c r="K31" s="89">
        <v>47</v>
      </c>
      <c r="L31" s="1">
        <v>0.78900000000000003</v>
      </c>
      <c r="M31" s="1">
        <v>10.769</v>
      </c>
      <c r="N31" s="1427">
        <v>0.61699999999999999</v>
      </c>
      <c r="O31" s="1">
        <v>0.61699999999999999</v>
      </c>
      <c r="P31" s="1">
        <v>9.98</v>
      </c>
      <c r="Q31" s="742">
        <v>7.9058116232464934E-2</v>
      </c>
      <c r="R31" s="742">
        <v>6.1823647294589175E-2</v>
      </c>
      <c r="S31" s="2100">
        <v>0.14088176352705412</v>
      </c>
      <c r="T31" s="89">
        <v>47</v>
      </c>
      <c r="U31" s="741">
        <v>0.75950000000000006</v>
      </c>
      <c r="V31" s="741">
        <v>10.116</v>
      </c>
      <c r="W31" s="741">
        <v>1.6125</v>
      </c>
      <c r="X31" s="741">
        <v>1.6125</v>
      </c>
      <c r="Y31" s="741">
        <v>9.3565000000000005</v>
      </c>
      <c r="Z31" s="2088">
        <v>8.1324546493651451E-2</v>
      </c>
      <c r="AA31" s="2088">
        <v>0.180230499932649</v>
      </c>
      <c r="AB31" s="2115">
        <v>0.26155504642630045</v>
      </c>
    </row>
    <row r="32" spans="2:28">
      <c r="B32" s="2098">
        <v>48</v>
      </c>
      <c r="C32" s="2090">
        <v>0.71199999999999997</v>
      </c>
      <c r="D32" s="2090">
        <v>9.7240000000000002</v>
      </c>
      <c r="E32" s="2090">
        <v>2.6829999999999998</v>
      </c>
      <c r="F32" s="2090">
        <v>2.6829999999999998</v>
      </c>
      <c r="G32" s="2090">
        <v>9.0120000000000005</v>
      </c>
      <c r="H32" s="2091">
        <v>7.9005770084331989E-2</v>
      </c>
      <c r="I32" s="2091">
        <v>0.29771415889924541</v>
      </c>
      <c r="J32" s="2099">
        <v>0.37671992898357742</v>
      </c>
      <c r="K32" s="2098">
        <v>48</v>
      </c>
      <c r="L32" s="2090">
        <v>0.76100000000000001</v>
      </c>
      <c r="M32" s="2090">
        <v>11.047000000000001</v>
      </c>
      <c r="N32" s="2092">
        <v>0.627</v>
      </c>
      <c r="O32" s="2090">
        <v>0.627</v>
      </c>
      <c r="P32" s="2090">
        <v>10.286000000000001</v>
      </c>
      <c r="Q32" s="2091">
        <v>7.3984055998444473E-2</v>
      </c>
      <c r="R32" s="2091">
        <v>6.0956640093330731E-2</v>
      </c>
      <c r="S32" s="2099">
        <v>0.1349406960917752</v>
      </c>
      <c r="T32" s="2098">
        <v>48</v>
      </c>
      <c r="U32" s="1707">
        <v>0.73649999999999993</v>
      </c>
      <c r="V32" s="1707">
        <v>10.3855</v>
      </c>
      <c r="W32" s="1707">
        <v>1.6549999999999998</v>
      </c>
      <c r="X32" s="1707">
        <v>1.6549999999999998</v>
      </c>
      <c r="Y32" s="1707">
        <v>9.6490000000000009</v>
      </c>
      <c r="Z32" s="2093">
        <v>7.6494913041388224E-2</v>
      </c>
      <c r="AA32" s="2093">
        <v>0.17933539949628807</v>
      </c>
      <c r="AB32" s="2114">
        <v>0.2558303125376763</v>
      </c>
    </row>
    <row r="33" spans="2:28">
      <c r="B33" s="89">
        <v>49</v>
      </c>
      <c r="C33" s="1">
        <v>0.68899999999999995</v>
      </c>
      <c r="D33" s="1">
        <v>9.9939999999999998</v>
      </c>
      <c r="E33" s="1">
        <v>2.7559999999999998</v>
      </c>
      <c r="F33" s="1">
        <v>2.7559999999999998</v>
      </c>
      <c r="G33" s="1">
        <v>9.3049999999999997</v>
      </c>
      <c r="H33" s="742">
        <v>7.4046211714132185E-2</v>
      </c>
      <c r="I33" s="742">
        <v>0.29618484685652874</v>
      </c>
      <c r="J33" s="2100">
        <v>0.37023105857066091</v>
      </c>
      <c r="K33" s="89">
        <v>49</v>
      </c>
      <c r="L33" s="1">
        <v>0.72799999999999998</v>
      </c>
      <c r="M33" s="1">
        <v>11.332000000000001</v>
      </c>
      <c r="N33" s="1427">
        <v>0.63600000000000001</v>
      </c>
      <c r="O33" s="1">
        <v>0.63600000000000001</v>
      </c>
      <c r="P33" s="1">
        <v>10.604000000000001</v>
      </c>
      <c r="Q33" s="742">
        <v>6.8653338362881927E-2</v>
      </c>
      <c r="R33" s="742">
        <v>5.9977367031308938E-2</v>
      </c>
      <c r="S33" s="2100">
        <v>0.12863070539419086</v>
      </c>
      <c r="T33" s="89">
        <v>49</v>
      </c>
      <c r="U33" s="741">
        <v>0.70849999999999991</v>
      </c>
      <c r="V33" s="741">
        <v>10.663</v>
      </c>
      <c r="W33" s="741">
        <v>1.696</v>
      </c>
      <c r="X33" s="741">
        <v>1.696</v>
      </c>
      <c r="Y33" s="741">
        <v>9.9544999999999995</v>
      </c>
      <c r="Z33" s="2088">
        <v>7.1349775038507063E-2</v>
      </c>
      <c r="AA33" s="2088">
        <v>0.17808110694391885</v>
      </c>
      <c r="AB33" s="2115">
        <v>0.24943088198242588</v>
      </c>
    </row>
    <row r="34" spans="2:28">
      <c r="B34" s="2098">
        <v>50</v>
      </c>
      <c r="C34" s="2090">
        <v>0.66200000000000003</v>
      </c>
      <c r="D34" s="2090">
        <v>10.271000000000001</v>
      </c>
      <c r="E34" s="2090">
        <v>2.827</v>
      </c>
      <c r="F34" s="2090">
        <v>2.827</v>
      </c>
      <c r="G34" s="2090">
        <v>9.609</v>
      </c>
      <c r="H34" s="2091">
        <v>6.8893745446976795E-2</v>
      </c>
      <c r="I34" s="2091">
        <v>0.29420335102508066</v>
      </c>
      <c r="J34" s="2099">
        <v>0.36309709647205746</v>
      </c>
      <c r="K34" s="2098">
        <v>50</v>
      </c>
      <c r="L34" s="2090">
        <v>0.69199999999999995</v>
      </c>
      <c r="M34" s="2090">
        <v>11.625</v>
      </c>
      <c r="N34" s="2092">
        <v>0.64500000000000002</v>
      </c>
      <c r="O34" s="2090">
        <v>0.64500000000000002</v>
      </c>
      <c r="P34" s="2090">
        <v>10.933</v>
      </c>
      <c r="Q34" s="2091">
        <v>6.3294612640629286E-2</v>
      </c>
      <c r="R34" s="2091">
        <v>5.8995701088447823E-2</v>
      </c>
      <c r="S34" s="2099">
        <v>0.12229031372907712</v>
      </c>
      <c r="T34" s="2098">
        <v>50</v>
      </c>
      <c r="U34" s="1707">
        <v>0.67700000000000005</v>
      </c>
      <c r="V34" s="1707">
        <v>10.948</v>
      </c>
      <c r="W34" s="1707">
        <v>1.736</v>
      </c>
      <c r="X34" s="1707">
        <v>1.736</v>
      </c>
      <c r="Y34" s="1707">
        <v>10.271000000000001</v>
      </c>
      <c r="Z34" s="2093">
        <v>6.6094179043803047E-2</v>
      </c>
      <c r="AA34" s="2093">
        <v>0.17659952605676424</v>
      </c>
      <c r="AB34" s="2114">
        <v>0.24269370510056729</v>
      </c>
    </row>
    <row r="35" spans="2:28">
      <c r="B35" s="89">
        <v>51</v>
      </c>
      <c r="C35" s="1">
        <v>0.629</v>
      </c>
      <c r="D35" s="1">
        <v>10.555999999999999</v>
      </c>
      <c r="E35" s="1">
        <v>2.895</v>
      </c>
      <c r="F35" s="1">
        <v>2.895</v>
      </c>
      <c r="G35" s="1">
        <v>9.9269999999999996</v>
      </c>
      <c r="H35" s="742">
        <v>6.3362546590107788E-2</v>
      </c>
      <c r="I35" s="742">
        <v>0.29162889090359628</v>
      </c>
      <c r="J35" s="2100">
        <v>0.3549914374937041</v>
      </c>
      <c r="K35" s="89">
        <v>51</v>
      </c>
      <c r="L35" s="1">
        <v>0.65</v>
      </c>
      <c r="M35" s="1">
        <v>11.927</v>
      </c>
      <c r="N35" s="1427">
        <v>0.65200000000000002</v>
      </c>
      <c r="O35" s="1">
        <v>0.65200000000000002</v>
      </c>
      <c r="P35" s="1">
        <v>11.276999999999999</v>
      </c>
      <c r="Q35" s="742">
        <v>5.7639443114303454E-2</v>
      </c>
      <c r="R35" s="742">
        <v>5.781679524696285E-2</v>
      </c>
      <c r="S35" s="2100">
        <v>0.11545623836126631</v>
      </c>
      <c r="T35" s="89">
        <v>51</v>
      </c>
      <c r="U35" s="741">
        <v>0.63949999999999996</v>
      </c>
      <c r="V35" s="741">
        <v>11.241499999999998</v>
      </c>
      <c r="W35" s="741">
        <v>1.7735000000000001</v>
      </c>
      <c r="X35" s="741">
        <v>1.7735000000000001</v>
      </c>
      <c r="Y35" s="741">
        <v>10.602</v>
      </c>
      <c r="Z35" s="2088">
        <v>6.0500994852205621E-2</v>
      </c>
      <c r="AA35" s="2088">
        <v>0.17472284307527958</v>
      </c>
      <c r="AB35" s="2115">
        <v>0.23522383792748519</v>
      </c>
    </row>
    <row r="36" spans="2:28">
      <c r="B36" s="2098">
        <v>52</v>
      </c>
      <c r="C36" s="2090">
        <v>0.59099999999999997</v>
      </c>
      <c r="D36" s="2090">
        <v>10.851000000000001</v>
      </c>
      <c r="E36" s="2090">
        <v>2.9609999999999999</v>
      </c>
      <c r="F36" s="2090">
        <v>2.9609999999999999</v>
      </c>
      <c r="G36" s="2090">
        <v>10.260000000000002</v>
      </c>
      <c r="H36" s="2091">
        <v>5.7602339181286537E-2</v>
      </c>
      <c r="I36" s="2091">
        <v>0.28859649122807013</v>
      </c>
      <c r="J36" s="2099">
        <v>0.34619883040935667</v>
      </c>
      <c r="K36" s="2098">
        <v>52</v>
      </c>
      <c r="L36" s="2090">
        <v>0.60399999999999998</v>
      </c>
      <c r="M36" s="2090">
        <v>12.236000000000001</v>
      </c>
      <c r="N36" s="2092">
        <v>0.65800000000000003</v>
      </c>
      <c r="O36" s="2090">
        <v>0.65800000000000003</v>
      </c>
      <c r="P36" s="2090">
        <v>11.632000000000001</v>
      </c>
      <c r="Q36" s="2091">
        <v>5.1925722145804667E-2</v>
      </c>
      <c r="R36" s="2091">
        <v>5.6568088033012373E-2</v>
      </c>
      <c r="S36" s="2099">
        <v>0.10849381017881704</v>
      </c>
      <c r="T36" s="2098">
        <v>52</v>
      </c>
      <c r="U36" s="1707">
        <v>0.59749999999999992</v>
      </c>
      <c r="V36" s="1707">
        <v>11.543500000000002</v>
      </c>
      <c r="W36" s="1707">
        <v>1.8094999999999999</v>
      </c>
      <c r="X36" s="1707">
        <v>1.8094999999999999</v>
      </c>
      <c r="Y36" s="1707">
        <v>10.946000000000002</v>
      </c>
      <c r="Z36" s="2093">
        <v>5.4764030663545599E-2</v>
      </c>
      <c r="AA36" s="2093">
        <v>0.17258228963054126</v>
      </c>
      <c r="AB36" s="2114">
        <v>0.22734632029408686</v>
      </c>
    </row>
    <row r="37" spans="2:28">
      <c r="B37" s="89">
        <v>53</v>
      </c>
      <c r="C37" s="1">
        <v>0.54700000000000004</v>
      </c>
      <c r="D37" s="1">
        <v>11.156000000000001</v>
      </c>
      <c r="E37" s="1">
        <v>3.0249999999999999</v>
      </c>
      <c r="F37" s="1">
        <v>3.0249999999999999</v>
      </c>
      <c r="G37" s="1">
        <v>10.609</v>
      </c>
      <c r="H37" s="742">
        <v>5.1559996229616364E-2</v>
      </c>
      <c r="I37" s="742">
        <v>0.28513526251296067</v>
      </c>
      <c r="J37" s="2100">
        <v>0.33669525874257705</v>
      </c>
      <c r="K37" s="89">
        <v>53</v>
      </c>
      <c r="L37" s="1">
        <v>0.55200000000000005</v>
      </c>
      <c r="M37" s="1">
        <v>12.553000000000001</v>
      </c>
      <c r="N37" s="1427">
        <v>0.66300000000000003</v>
      </c>
      <c r="O37" s="1">
        <v>0.66300000000000003</v>
      </c>
      <c r="P37" s="1">
        <v>12.001000000000001</v>
      </c>
      <c r="Q37" s="742">
        <v>4.599616698608449E-2</v>
      </c>
      <c r="R37" s="742">
        <v>5.5245396216981914E-2</v>
      </c>
      <c r="S37" s="2100">
        <v>0.1012415632030664</v>
      </c>
      <c r="T37" s="89">
        <v>53</v>
      </c>
      <c r="U37" s="741">
        <v>0.5495000000000001</v>
      </c>
      <c r="V37" s="741">
        <v>11.854500000000002</v>
      </c>
      <c r="W37" s="741">
        <v>1.8439999999999999</v>
      </c>
      <c r="X37" s="741">
        <v>1.8439999999999999</v>
      </c>
      <c r="Y37" s="741">
        <v>11.305</v>
      </c>
      <c r="Z37" s="2088">
        <v>4.8778081607850424E-2</v>
      </c>
      <c r="AA37" s="2088">
        <v>0.1701903293649713</v>
      </c>
      <c r="AB37" s="2115">
        <v>0.21896841097282171</v>
      </c>
    </row>
    <row r="38" spans="2:28">
      <c r="B38" s="2098">
        <v>54</v>
      </c>
      <c r="C38" s="2090">
        <v>0.498</v>
      </c>
      <c r="D38" s="2090">
        <v>11.47</v>
      </c>
      <c r="E38" s="2090">
        <v>3.0859999999999999</v>
      </c>
      <c r="F38" s="2090">
        <v>3.0859999999999999</v>
      </c>
      <c r="G38" s="2090">
        <v>10.972000000000001</v>
      </c>
      <c r="H38" s="2091">
        <v>4.5388261028071447E-2</v>
      </c>
      <c r="I38" s="2091">
        <v>0.28126139263580019</v>
      </c>
      <c r="J38" s="2099">
        <v>0.32664965366387166</v>
      </c>
      <c r="K38" s="2098">
        <v>54</v>
      </c>
      <c r="L38" s="2090">
        <v>0.495</v>
      </c>
      <c r="M38" s="2090">
        <v>12.879</v>
      </c>
      <c r="N38" s="2092">
        <v>0.66600000000000004</v>
      </c>
      <c r="O38" s="2090">
        <v>0.66600000000000004</v>
      </c>
      <c r="P38" s="2090">
        <v>12.384</v>
      </c>
      <c r="Q38" s="2091">
        <v>3.9970930232558141E-2</v>
      </c>
      <c r="R38" s="2091">
        <v>5.3779069767441859E-2</v>
      </c>
      <c r="S38" s="2099">
        <v>9.375E-2</v>
      </c>
      <c r="T38" s="2098">
        <v>54</v>
      </c>
      <c r="U38" s="1707">
        <v>0.4965</v>
      </c>
      <c r="V38" s="1707">
        <v>12.1745</v>
      </c>
      <c r="W38" s="1707">
        <v>1.8759999999999999</v>
      </c>
      <c r="X38" s="1707">
        <v>1.8759999999999999</v>
      </c>
      <c r="Y38" s="1707">
        <v>11.678000000000001</v>
      </c>
      <c r="Z38" s="2093">
        <v>4.2679595630314794E-2</v>
      </c>
      <c r="AA38" s="2093">
        <v>0.16752023120162102</v>
      </c>
      <c r="AB38" s="2114">
        <v>0.21019982683193583</v>
      </c>
    </row>
    <row r="39" spans="2:28">
      <c r="B39" s="89">
        <v>55</v>
      </c>
      <c r="C39" s="1">
        <v>0.443</v>
      </c>
      <c r="D39" s="1">
        <v>11.795</v>
      </c>
      <c r="E39" s="1">
        <v>3.1440000000000001</v>
      </c>
      <c r="F39" s="1">
        <v>3.1440000000000001</v>
      </c>
      <c r="G39" s="1">
        <v>11.352</v>
      </c>
      <c r="H39" s="742">
        <v>3.9023960535588445E-2</v>
      </c>
      <c r="I39" s="742">
        <v>0.27695560253699791</v>
      </c>
      <c r="J39" s="2100">
        <v>0.31597956307258634</v>
      </c>
      <c r="K39" s="89">
        <v>55</v>
      </c>
      <c r="L39" s="1">
        <v>0.433</v>
      </c>
      <c r="M39" s="1">
        <v>13.214</v>
      </c>
      <c r="N39" s="1427">
        <v>0.66900000000000004</v>
      </c>
      <c r="O39" s="1">
        <v>0.66900000000000004</v>
      </c>
      <c r="P39" s="1">
        <v>12.781000000000001</v>
      </c>
      <c r="Q39" s="742">
        <v>3.3878413269697205E-2</v>
      </c>
      <c r="R39" s="742">
        <v>5.2343322118770047E-2</v>
      </c>
      <c r="S39" s="2100">
        <v>8.6221735388467252E-2</v>
      </c>
      <c r="T39" s="89">
        <v>55</v>
      </c>
      <c r="U39" s="741">
        <v>0.438</v>
      </c>
      <c r="V39" s="741">
        <v>12.5045</v>
      </c>
      <c r="W39" s="741">
        <v>1.9065000000000001</v>
      </c>
      <c r="X39" s="741">
        <v>1.9065000000000001</v>
      </c>
      <c r="Y39" s="741">
        <v>12.066500000000001</v>
      </c>
      <c r="Z39" s="2088">
        <v>3.6451186902642825E-2</v>
      </c>
      <c r="AA39" s="2088">
        <v>0.16464946232788397</v>
      </c>
      <c r="AB39" s="2115">
        <v>0.20110064923052678</v>
      </c>
    </row>
    <row r="40" spans="2:28">
      <c r="B40" s="2098">
        <v>56</v>
      </c>
      <c r="C40" s="2090">
        <v>0.38200000000000001</v>
      </c>
      <c r="D40" s="2090">
        <v>12.131</v>
      </c>
      <c r="E40" s="2090">
        <v>3.2</v>
      </c>
      <c r="F40" s="2090">
        <v>3.2</v>
      </c>
      <c r="G40" s="2090">
        <v>11.749000000000001</v>
      </c>
      <c r="H40" s="2091">
        <v>3.2513405396203933E-2</v>
      </c>
      <c r="I40" s="2091">
        <v>0.27236360541322668</v>
      </c>
      <c r="J40" s="2099">
        <v>0.30487701080943064</v>
      </c>
      <c r="K40" s="2098">
        <v>56</v>
      </c>
      <c r="L40" s="2090">
        <v>0.36599999999999999</v>
      </c>
      <c r="M40" s="2090">
        <v>13.558999999999999</v>
      </c>
      <c r="N40" s="2092">
        <v>0.67</v>
      </c>
      <c r="O40" s="2090">
        <v>0.67</v>
      </c>
      <c r="P40" s="2090">
        <v>13.193</v>
      </c>
      <c r="Q40" s="2091">
        <v>2.7741984385659061E-2</v>
      </c>
      <c r="R40" s="2091">
        <v>5.0784506935496104E-2</v>
      </c>
      <c r="S40" s="2099">
        <v>7.8526491321155162E-2</v>
      </c>
      <c r="T40" s="2098">
        <v>56</v>
      </c>
      <c r="U40" s="1707">
        <v>0.374</v>
      </c>
      <c r="V40" s="1707">
        <v>12.844999999999999</v>
      </c>
      <c r="W40" s="1707">
        <v>1.9350000000000001</v>
      </c>
      <c r="X40" s="1707">
        <v>1.9350000000000001</v>
      </c>
      <c r="Y40" s="1707">
        <v>12.471</v>
      </c>
      <c r="Z40" s="2093">
        <v>3.0127694890931499E-2</v>
      </c>
      <c r="AA40" s="2093">
        <v>0.16157405617436138</v>
      </c>
      <c r="AB40" s="2114">
        <v>0.19170175106529291</v>
      </c>
    </row>
    <row r="41" spans="2:28">
      <c r="B41" s="89">
        <v>57</v>
      </c>
      <c r="C41" s="1">
        <v>0.316</v>
      </c>
      <c r="D41" s="1">
        <v>12.478999999999999</v>
      </c>
      <c r="E41" s="1">
        <v>3.2559999999999998</v>
      </c>
      <c r="F41" s="1">
        <v>3.2559999999999998</v>
      </c>
      <c r="G41" s="1">
        <v>12.162999999999998</v>
      </c>
      <c r="H41" s="742">
        <v>2.5980432459097265E-2</v>
      </c>
      <c r="I41" s="742">
        <v>0.26769711419879966</v>
      </c>
      <c r="J41" s="2100">
        <v>0.29367754665789692</v>
      </c>
      <c r="K41" s="89">
        <v>57</v>
      </c>
      <c r="L41" s="1">
        <v>0.29499999999999998</v>
      </c>
      <c r="M41" s="1">
        <v>13.916</v>
      </c>
      <c r="N41" s="1427">
        <v>0.67</v>
      </c>
      <c r="O41" s="1">
        <v>0.67</v>
      </c>
      <c r="P41" s="1">
        <v>13.621</v>
      </c>
      <c r="Q41" s="742">
        <v>2.1657734380735628E-2</v>
      </c>
      <c r="R41" s="742">
        <v>4.9188752661331769E-2</v>
      </c>
      <c r="S41" s="2100">
        <v>7.0846487042067391E-2</v>
      </c>
      <c r="T41" s="89">
        <v>57</v>
      </c>
      <c r="U41" s="741">
        <v>0.30549999999999999</v>
      </c>
      <c r="V41" s="741">
        <v>13.1975</v>
      </c>
      <c r="W41" s="741">
        <v>1.9629999999999999</v>
      </c>
      <c r="X41" s="741">
        <v>1.9629999999999999</v>
      </c>
      <c r="Y41" s="741">
        <v>12.891999999999999</v>
      </c>
      <c r="Z41" s="2088">
        <v>2.3819083419916447E-2</v>
      </c>
      <c r="AA41" s="2088">
        <v>0.15844293343006571</v>
      </c>
      <c r="AB41" s="2115">
        <v>0.18226201684998217</v>
      </c>
    </row>
    <row r="42" spans="2:28">
      <c r="B42" s="2098">
        <v>58</v>
      </c>
      <c r="C42" s="2090">
        <v>0.249</v>
      </c>
      <c r="D42" s="2090">
        <v>12.840999999999999</v>
      </c>
      <c r="E42" s="2090">
        <v>3.3109999999999999</v>
      </c>
      <c r="F42" s="2090">
        <v>3.3109999999999999</v>
      </c>
      <c r="G42" s="2090">
        <v>12.591999999999999</v>
      </c>
      <c r="H42" s="2091">
        <v>1.9774459974587041E-2</v>
      </c>
      <c r="I42" s="2091">
        <v>0.26294472681067349</v>
      </c>
      <c r="J42" s="2099">
        <v>0.28271918678526053</v>
      </c>
      <c r="K42" s="2098">
        <v>58</v>
      </c>
      <c r="L42" s="2090">
        <v>0.22500000000000001</v>
      </c>
      <c r="M42" s="2090">
        <v>14.288</v>
      </c>
      <c r="N42" s="2092">
        <v>0.67</v>
      </c>
      <c r="O42" s="2090">
        <v>0.67</v>
      </c>
      <c r="P42" s="2090">
        <v>14.063000000000001</v>
      </c>
      <c r="Q42" s="2091">
        <v>1.5999431131337553E-2</v>
      </c>
      <c r="R42" s="2091">
        <v>4.7642750479982933E-2</v>
      </c>
      <c r="S42" s="2099">
        <v>6.3642181611320486E-2</v>
      </c>
      <c r="T42" s="2098">
        <v>58</v>
      </c>
      <c r="U42" s="1707">
        <v>0.23699999999999999</v>
      </c>
      <c r="V42" s="1707">
        <v>13.564499999999999</v>
      </c>
      <c r="W42" s="1707">
        <v>1.9904999999999999</v>
      </c>
      <c r="X42" s="1707">
        <v>1.9904999999999999</v>
      </c>
      <c r="Y42" s="1707">
        <v>13.327500000000001</v>
      </c>
      <c r="Z42" s="2093">
        <v>1.7886945552962295E-2</v>
      </c>
      <c r="AA42" s="2093">
        <v>0.15529373864532822</v>
      </c>
      <c r="AB42" s="2114">
        <v>0.17318068419829052</v>
      </c>
    </row>
    <row r="43" spans="2:28">
      <c r="B43" s="89">
        <v>59</v>
      </c>
      <c r="C43" s="1">
        <v>0.183</v>
      </c>
      <c r="D43" s="1">
        <v>13.22</v>
      </c>
      <c r="E43" s="1">
        <v>3.367</v>
      </c>
      <c r="F43" s="1">
        <v>3.367</v>
      </c>
      <c r="G43" s="1">
        <v>13.037000000000001</v>
      </c>
      <c r="H43" s="742">
        <v>1.4036971695942316E-2</v>
      </c>
      <c r="I43" s="742">
        <v>0.2582649382526655</v>
      </c>
      <c r="J43" s="2100">
        <v>0.27230190994860781</v>
      </c>
      <c r="K43" s="89">
        <v>59</v>
      </c>
      <c r="L43" s="1">
        <v>0.16</v>
      </c>
      <c r="M43" s="1">
        <v>14.679</v>
      </c>
      <c r="N43" s="1427">
        <v>0.67</v>
      </c>
      <c r="O43" s="1">
        <v>0.67</v>
      </c>
      <c r="P43" s="1">
        <v>14.519</v>
      </c>
      <c r="Q43" s="742">
        <v>1.1020042702665473E-2</v>
      </c>
      <c r="R43" s="742">
        <v>4.6146428817411669E-2</v>
      </c>
      <c r="S43" s="2100">
        <v>5.7166471520077144E-2</v>
      </c>
      <c r="T43" s="89">
        <v>59</v>
      </c>
      <c r="U43" s="741">
        <v>0.17149999999999999</v>
      </c>
      <c r="V43" s="741">
        <v>13.9495</v>
      </c>
      <c r="W43" s="741">
        <v>2.0185</v>
      </c>
      <c r="X43" s="741">
        <v>2.0185</v>
      </c>
      <c r="Y43" s="741">
        <v>13.778</v>
      </c>
      <c r="Z43" s="2088">
        <v>1.2528507199303894E-2</v>
      </c>
      <c r="AA43" s="2088">
        <v>0.15220568353503858</v>
      </c>
      <c r="AB43" s="2115">
        <v>0.16473419073434248</v>
      </c>
    </row>
    <row r="44" spans="2:28">
      <c r="B44" s="2098">
        <v>60</v>
      </c>
      <c r="C44" s="2090">
        <v>0.123</v>
      </c>
      <c r="D44" s="2090">
        <v>13.619</v>
      </c>
      <c r="E44" s="2090">
        <v>3.4249999999999998</v>
      </c>
      <c r="F44" s="2090">
        <v>3.4249999999999998</v>
      </c>
      <c r="G44" s="2090">
        <v>13.496</v>
      </c>
      <c r="H44" s="2091">
        <v>9.1138114997036147E-3</v>
      </c>
      <c r="I44" s="2091">
        <v>0.25377889745109661</v>
      </c>
      <c r="J44" s="2099">
        <v>0.26289270895080025</v>
      </c>
      <c r="K44" s="2098">
        <v>60</v>
      </c>
      <c r="L44" s="2090">
        <v>0.10299999999999999</v>
      </c>
      <c r="M44" s="2090">
        <v>15.093999999999999</v>
      </c>
      <c r="N44" s="2092">
        <v>0.66900000000000004</v>
      </c>
      <c r="O44" s="2090">
        <v>0.66900000000000004</v>
      </c>
      <c r="P44" s="2090">
        <v>14.991</v>
      </c>
      <c r="Q44" s="2091">
        <v>6.8707891401507569E-3</v>
      </c>
      <c r="R44" s="2091">
        <v>4.462677606563939E-2</v>
      </c>
      <c r="S44" s="2099">
        <v>5.1497565205790144E-2</v>
      </c>
      <c r="T44" s="2098">
        <v>60</v>
      </c>
      <c r="U44" s="1707">
        <v>0.11299999999999999</v>
      </c>
      <c r="V44" s="1707">
        <v>14.3565</v>
      </c>
      <c r="W44" s="1707">
        <v>2.0469999999999997</v>
      </c>
      <c r="X44" s="1707">
        <v>2.0469999999999997</v>
      </c>
      <c r="Y44" s="1707">
        <v>14.243500000000001</v>
      </c>
      <c r="Z44" s="2093">
        <v>7.9923003199271862E-3</v>
      </c>
      <c r="AA44" s="2093">
        <v>0.14920283675836798</v>
      </c>
      <c r="AB44" s="2114">
        <v>0.15719513707829519</v>
      </c>
    </row>
    <row r="45" spans="2:28">
      <c r="B45" s="89">
        <v>61</v>
      </c>
      <c r="C45" s="1">
        <v>7.3999999999999996E-2</v>
      </c>
      <c r="D45" s="1">
        <v>14.044</v>
      </c>
      <c r="E45" s="1">
        <v>3.4860000000000002</v>
      </c>
      <c r="F45" s="1">
        <v>3.4860000000000002</v>
      </c>
      <c r="G45" s="1">
        <v>13.97</v>
      </c>
      <c r="H45" s="742">
        <v>5.2970651395848238E-3</v>
      </c>
      <c r="I45" s="742">
        <v>0.24953471725125267</v>
      </c>
      <c r="J45" s="2100">
        <v>0.25483178239083748</v>
      </c>
      <c r="K45" s="89">
        <v>61</v>
      </c>
      <c r="L45" s="1">
        <v>5.8999999999999997E-2</v>
      </c>
      <c r="M45" s="1">
        <v>15.537000000000001</v>
      </c>
      <c r="N45" s="1427">
        <v>0.66800000000000004</v>
      </c>
      <c r="O45" s="1">
        <v>0.66800000000000004</v>
      </c>
      <c r="P45" s="1">
        <v>15.478000000000002</v>
      </c>
      <c r="Q45" s="742">
        <v>3.8118619976741175E-3</v>
      </c>
      <c r="R45" s="742">
        <v>4.3158030753327303E-2</v>
      </c>
      <c r="S45" s="2100">
        <v>4.696989275100142E-2</v>
      </c>
      <c r="T45" s="89">
        <v>61</v>
      </c>
      <c r="U45" s="741">
        <v>6.6500000000000004E-2</v>
      </c>
      <c r="V45" s="741">
        <v>14.790500000000002</v>
      </c>
      <c r="W45" s="741">
        <v>2.077</v>
      </c>
      <c r="X45" s="741">
        <v>2.077</v>
      </c>
      <c r="Y45" s="741">
        <v>14.724</v>
      </c>
      <c r="Z45" s="2088">
        <v>4.5544635686294707E-3</v>
      </c>
      <c r="AA45" s="2088">
        <v>0.14634637400229</v>
      </c>
      <c r="AB45" s="2115">
        <v>0.15090083757091946</v>
      </c>
    </row>
    <row r="46" spans="2:28">
      <c r="B46" s="2098">
        <v>62</v>
      </c>
      <c r="C46" s="2090">
        <v>3.6999999999999998E-2</v>
      </c>
      <c r="D46" s="2090">
        <v>14.497999999999999</v>
      </c>
      <c r="E46" s="2090">
        <v>3.5329999999999999</v>
      </c>
      <c r="F46" s="2090">
        <v>3.5329999999999999</v>
      </c>
      <c r="G46" s="2090">
        <v>14.460999999999999</v>
      </c>
      <c r="H46" s="2091">
        <v>2.5586059055390364E-3</v>
      </c>
      <c r="I46" s="2091">
        <v>0.24431228822349771</v>
      </c>
      <c r="J46" s="2099">
        <v>0.24687089412903673</v>
      </c>
      <c r="K46" s="2098">
        <v>62</v>
      </c>
      <c r="L46" s="2090">
        <v>2.8000000000000001E-2</v>
      </c>
      <c r="M46" s="2090">
        <v>16.010999999999999</v>
      </c>
      <c r="N46" s="2092">
        <v>0.66500000000000004</v>
      </c>
      <c r="O46" s="2090">
        <v>0.66500000000000004</v>
      </c>
      <c r="P46" s="2090">
        <v>15.982999999999999</v>
      </c>
      <c r="Q46" s="2091">
        <v>1.7518613526872303E-3</v>
      </c>
      <c r="R46" s="2091">
        <v>4.1606707126321724E-2</v>
      </c>
      <c r="S46" s="2099">
        <v>4.3358568479008951E-2</v>
      </c>
      <c r="T46" s="2098">
        <v>62</v>
      </c>
      <c r="U46" s="1707">
        <v>3.2500000000000001E-2</v>
      </c>
      <c r="V46" s="1707">
        <v>15.2545</v>
      </c>
      <c r="W46" s="1707">
        <v>2.0990000000000002</v>
      </c>
      <c r="X46" s="1707">
        <v>2.0990000000000002</v>
      </c>
      <c r="Y46" s="1707">
        <v>15.221999999999998</v>
      </c>
      <c r="Z46" s="2093">
        <v>2.1552336291131334E-3</v>
      </c>
      <c r="AA46" s="2093">
        <v>0.14295949767490973</v>
      </c>
      <c r="AB46" s="2114">
        <v>0.14511473130402283</v>
      </c>
    </row>
    <row r="47" spans="2:28">
      <c r="B47" s="89">
        <v>63</v>
      </c>
      <c r="C47" s="1">
        <v>1.4E-2</v>
      </c>
      <c r="D47" s="1">
        <v>14.983000000000001</v>
      </c>
      <c r="E47" s="1">
        <v>3.58</v>
      </c>
      <c r="F47" s="1">
        <v>3.58</v>
      </c>
      <c r="G47" s="1">
        <v>14.969000000000001</v>
      </c>
      <c r="H47" s="742">
        <v>9.3526621684815274E-4</v>
      </c>
      <c r="I47" s="742">
        <v>0.23916093259402765</v>
      </c>
      <c r="J47" s="2100">
        <v>0.24009619881087579</v>
      </c>
      <c r="K47" s="89">
        <v>63</v>
      </c>
      <c r="L47" s="1">
        <v>0.01</v>
      </c>
      <c r="M47" s="1">
        <v>16.516999999999999</v>
      </c>
      <c r="N47" s="1427">
        <v>0.66100000000000003</v>
      </c>
      <c r="O47" s="1">
        <v>0.66100000000000003</v>
      </c>
      <c r="P47" s="1">
        <v>16.506999999999998</v>
      </c>
      <c r="Q47" s="742">
        <v>6.0580359847337505E-4</v>
      </c>
      <c r="R47" s="742">
        <v>4.0043617859090087E-2</v>
      </c>
      <c r="S47" s="2100">
        <v>4.0649421457563464E-2</v>
      </c>
      <c r="T47" s="89">
        <v>63</v>
      </c>
      <c r="U47" s="741">
        <v>1.2E-2</v>
      </c>
      <c r="V47" s="741">
        <v>15.75</v>
      </c>
      <c r="W47" s="741">
        <v>2.1204999999999998</v>
      </c>
      <c r="X47" s="741">
        <v>2.1204999999999998</v>
      </c>
      <c r="Y47" s="741">
        <v>15.738</v>
      </c>
      <c r="Z47" s="2088">
        <v>7.7053490766076384E-4</v>
      </c>
      <c r="AA47" s="2088">
        <v>0.13960227522655888</v>
      </c>
      <c r="AB47" s="2115">
        <v>0.14037281013421962</v>
      </c>
    </row>
    <row r="48" spans="2:28">
      <c r="B48" s="2098">
        <v>64</v>
      </c>
      <c r="C48" s="2090">
        <v>3.0000000000000001E-3</v>
      </c>
      <c r="D48" s="2090">
        <v>15.500999999999999</v>
      </c>
      <c r="E48" s="2090">
        <v>3.6259999999999999</v>
      </c>
      <c r="F48" s="2090">
        <v>3.6259999999999999</v>
      </c>
      <c r="G48" s="2090">
        <v>15.497999999999999</v>
      </c>
      <c r="H48" s="2091">
        <v>1.9357336430507162E-4</v>
      </c>
      <c r="I48" s="2091">
        <v>0.23396567299006324</v>
      </c>
      <c r="J48" s="2099">
        <v>0.2341592463543683</v>
      </c>
      <c r="K48" s="2098">
        <v>64</v>
      </c>
      <c r="L48" s="2090">
        <v>2E-3</v>
      </c>
      <c r="M48" s="2090">
        <v>17.053000000000001</v>
      </c>
      <c r="N48" s="2092">
        <v>0.65600000000000003</v>
      </c>
      <c r="O48" s="2090">
        <v>0.65600000000000003</v>
      </c>
      <c r="P48" s="2090">
        <v>17.051000000000002</v>
      </c>
      <c r="Q48" s="2091">
        <v>1.1729517330361855E-4</v>
      </c>
      <c r="R48" s="2091">
        <v>3.8472816843586881E-2</v>
      </c>
      <c r="S48" s="2099">
        <v>3.8590112016890499E-2</v>
      </c>
      <c r="T48" s="2098">
        <v>64</v>
      </c>
      <c r="U48" s="1707">
        <v>2.5000000000000001E-3</v>
      </c>
      <c r="V48" s="1707">
        <v>16.277000000000001</v>
      </c>
      <c r="W48" s="1707">
        <v>2.141</v>
      </c>
      <c r="X48" s="1707">
        <v>2.141</v>
      </c>
      <c r="Y48" s="1707">
        <v>16.2745</v>
      </c>
      <c r="Z48" s="2093">
        <v>1.5543426880434508E-4</v>
      </c>
      <c r="AA48" s="2093">
        <v>0.13621924491682505</v>
      </c>
      <c r="AB48" s="2114">
        <v>0.1363746791856294</v>
      </c>
    </row>
    <row r="49" spans="2:28">
      <c r="B49" s="2119">
        <v>65</v>
      </c>
      <c r="C49" s="2120">
        <v>0</v>
      </c>
      <c r="D49" s="2120">
        <v>16.053000000000001</v>
      </c>
      <c r="E49" s="2120">
        <v>3.6680000000000001</v>
      </c>
      <c r="F49" s="2120">
        <v>3.6680000000000001</v>
      </c>
      <c r="G49" s="2120">
        <v>16.053000000000001</v>
      </c>
      <c r="H49" s="2121">
        <v>0</v>
      </c>
      <c r="I49" s="2121">
        <v>0.2284931165514234</v>
      </c>
      <c r="J49" s="2122">
        <v>0.2284931165514234</v>
      </c>
      <c r="K49" s="2119">
        <v>65</v>
      </c>
      <c r="L49" s="2120">
        <v>0</v>
      </c>
      <c r="M49" s="2120">
        <v>17.619</v>
      </c>
      <c r="N49" s="2123">
        <v>0.623</v>
      </c>
      <c r="O49" s="2120">
        <v>0.623</v>
      </c>
      <c r="P49" s="2120">
        <v>17.619</v>
      </c>
      <c r="Q49" s="2121">
        <v>0</v>
      </c>
      <c r="R49" s="2121">
        <v>3.5359555025824392E-2</v>
      </c>
      <c r="S49" s="2122">
        <v>3.5359555025824392E-2</v>
      </c>
      <c r="T49" s="2119">
        <v>65</v>
      </c>
      <c r="U49" s="2124">
        <v>0</v>
      </c>
      <c r="V49" s="2124">
        <v>16.835999999999999</v>
      </c>
      <c r="W49" s="2124">
        <v>2.1455000000000002</v>
      </c>
      <c r="X49" s="2124">
        <v>2.1455000000000002</v>
      </c>
      <c r="Y49" s="2124">
        <v>16.835999999999999</v>
      </c>
      <c r="Z49" s="2125">
        <v>0</v>
      </c>
      <c r="AA49" s="2125">
        <v>0.13192633578862389</v>
      </c>
      <c r="AB49" s="2126">
        <v>0.13192633578862389</v>
      </c>
    </row>
    <row r="50" spans="2:28">
      <c r="B50" s="2098">
        <v>66</v>
      </c>
      <c r="C50" s="2090"/>
      <c r="D50" s="2090">
        <v>15.661</v>
      </c>
      <c r="E50" s="2090">
        <v>3.6739999999999999</v>
      </c>
      <c r="F50" s="2090">
        <v>3.6739999999999999</v>
      </c>
      <c r="G50" s="2090">
        <v>15.661</v>
      </c>
      <c r="H50" s="2091">
        <v>0</v>
      </c>
      <c r="I50" s="2091">
        <v>0.23459549198646318</v>
      </c>
      <c r="J50" s="2099">
        <v>0.23459549198646318</v>
      </c>
      <c r="K50" s="2098">
        <v>66</v>
      </c>
      <c r="L50" s="2090">
        <v>0</v>
      </c>
      <c r="M50" s="2090">
        <v>17.216999999999999</v>
      </c>
      <c r="N50" s="2092">
        <v>0.60399999999999998</v>
      </c>
      <c r="O50" s="2090">
        <v>0.60399999999999998</v>
      </c>
      <c r="P50" s="2090">
        <v>17.216999999999999</v>
      </c>
      <c r="Q50" s="2091">
        <v>0</v>
      </c>
      <c r="R50" s="2091">
        <v>3.5081605390021489E-2</v>
      </c>
      <c r="S50" s="2099">
        <v>3.5081605390021489E-2</v>
      </c>
      <c r="T50" s="2098">
        <v>66</v>
      </c>
      <c r="U50" s="1707">
        <v>0</v>
      </c>
      <c r="V50" s="1707">
        <v>16.439</v>
      </c>
      <c r="W50" s="1707">
        <v>2.1389999999999998</v>
      </c>
      <c r="X50" s="1707">
        <v>2.1389999999999998</v>
      </c>
      <c r="Y50" s="1707">
        <v>16.439</v>
      </c>
      <c r="Z50" s="2093">
        <v>0</v>
      </c>
      <c r="AA50" s="2093">
        <v>0.13483854868824233</v>
      </c>
      <c r="AB50" s="2114">
        <v>0.13483854868824233</v>
      </c>
    </row>
    <row r="51" spans="2:28">
      <c r="B51" s="89">
        <v>67</v>
      </c>
      <c r="C51" s="1"/>
      <c r="D51" s="1">
        <v>15.260999999999999</v>
      </c>
      <c r="E51" s="1">
        <v>3.6779999999999999</v>
      </c>
      <c r="F51" s="1">
        <v>3.6779999999999999</v>
      </c>
      <c r="G51" s="1">
        <v>15.260999999999999</v>
      </c>
      <c r="H51" s="742">
        <v>0</v>
      </c>
      <c r="I51" s="742">
        <v>0.24100648712404169</v>
      </c>
      <c r="J51" s="2100">
        <v>0.24100648712404169</v>
      </c>
      <c r="K51" s="89">
        <v>67</v>
      </c>
      <c r="L51" s="1">
        <v>0</v>
      </c>
      <c r="M51" s="1">
        <v>16.803000000000001</v>
      </c>
      <c r="N51" s="1427">
        <v>0.58599999999999997</v>
      </c>
      <c r="O51" s="1">
        <v>0.58599999999999997</v>
      </c>
      <c r="P51" s="1">
        <v>16.803000000000001</v>
      </c>
      <c r="Q51" s="742">
        <v>0</v>
      </c>
      <c r="R51" s="742">
        <v>3.4874724751532464E-2</v>
      </c>
      <c r="S51" s="2100">
        <v>3.4874724751532464E-2</v>
      </c>
      <c r="T51" s="89">
        <v>67</v>
      </c>
      <c r="U51" s="741">
        <v>0</v>
      </c>
      <c r="V51" s="741">
        <v>16.032</v>
      </c>
      <c r="W51" s="741">
        <v>2.1320000000000001</v>
      </c>
      <c r="X51" s="741">
        <v>2.1320000000000001</v>
      </c>
      <c r="Y51" s="741">
        <v>16.032</v>
      </c>
      <c r="Z51" s="2088">
        <v>0</v>
      </c>
      <c r="AA51" s="2088">
        <v>0.13794060593778706</v>
      </c>
      <c r="AB51" s="2115">
        <v>0.13794060593778706</v>
      </c>
    </row>
    <row r="52" spans="2:28">
      <c r="B52" s="2098">
        <v>68</v>
      </c>
      <c r="C52" s="2090"/>
      <c r="D52" s="2090">
        <v>14.851000000000001</v>
      </c>
      <c r="E52" s="2090">
        <v>3.68</v>
      </c>
      <c r="F52" s="2090">
        <v>3.68</v>
      </c>
      <c r="G52" s="2090">
        <v>14.851000000000001</v>
      </c>
      <c r="H52" s="2091">
        <v>0</v>
      </c>
      <c r="I52" s="2091">
        <v>0.24779476129553565</v>
      </c>
      <c r="J52" s="2099">
        <v>0.24779476129553565</v>
      </c>
      <c r="K52" s="2098">
        <v>68</v>
      </c>
      <c r="L52" s="2090">
        <v>0</v>
      </c>
      <c r="M52" s="2090">
        <v>16.378</v>
      </c>
      <c r="N52" s="2092">
        <v>0.56699999999999995</v>
      </c>
      <c r="O52" s="2090">
        <v>0.56699999999999995</v>
      </c>
      <c r="P52" s="2090">
        <v>16.378</v>
      </c>
      <c r="Q52" s="2091">
        <v>0</v>
      </c>
      <c r="R52" s="2091">
        <v>3.4619611674197089E-2</v>
      </c>
      <c r="S52" s="2099">
        <v>3.4619611674197089E-2</v>
      </c>
      <c r="T52" s="2098">
        <v>68</v>
      </c>
      <c r="U52" s="1707">
        <v>0</v>
      </c>
      <c r="V52" s="1707">
        <v>15.6145</v>
      </c>
      <c r="W52" s="1707">
        <v>2.1234999999999999</v>
      </c>
      <c r="X52" s="1707">
        <v>2.1234999999999999</v>
      </c>
      <c r="Y52" s="1707">
        <v>15.6145</v>
      </c>
      <c r="Z52" s="2093">
        <v>0</v>
      </c>
      <c r="AA52" s="2093">
        <v>0.14120718648486638</v>
      </c>
      <c r="AB52" s="2114">
        <v>0.14120718648486638</v>
      </c>
    </row>
    <row r="53" spans="2:28">
      <c r="B53" s="89">
        <v>69</v>
      </c>
      <c r="C53" s="1"/>
      <c r="D53" s="1">
        <v>14.432</v>
      </c>
      <c r="E53" s="1">
        <v>3.681</v>
      </c>
      <c r="F53" s="1">
        <v>3.681</v>
      </c>
      <c r="G53" s="1">
        <v>14.432</v>
      </c>
      <c r="H53" s="742">
        <v>0</v>
      </c>
      <c r="I53" s="742">
        <v>0.25505820399113083</v>
      </c>
      <c r="J53" s="2100">
        <v>0.25505820399113083</v>
      </c>
      <c r="K53" s="89">
        <v>69</v>
      </c>
      <c r="L53" s="1">
        <v>0</v>
      </c>
      <c r="M53" s="1">
        <v>15.94</v>
      </c>
      <c r="N53" s="1427">
        <v>0.54900000000000004</v>
      </c>
      <c r="O53" s="1">
        <v>0.54900000000000004</v>
      </c>
      <c r="P53" s="1">
        <v>15.94</v>
      </c>
      <c r="Q53" s="742">
        <v>0</v>
      </c>
      <c r="R53" s="742">
        <v>3.4441656210790469E-2</v>
      </c>
      <c r="S53" s="2100">
        <v>3.4441656210790469E-2</v>
      </c>
      <c r="T53" s="89">
        <v>69</v>
      </c>
      <c r="U53" s="741">
        <v>0</v>
      </c>
      <c r="V53" s="741">
        <v>15.186</v>
      </c>
      <c r="W53" s="741">
        <v>2.1150000000000002</v>
      </c>
      <c r="X53" s="741">
        <v>2.1150000000000002</v>
      </c>
      <c r="Y53" s="741">
        <v>15.186</v>
      </c>
      <c r="Z53" s="2088">
        <v>0</v>
      </c>
      <c r="AA53" s="2088">
        <v>0.14474993010096066</v>
      </c>
      <c r="AB53" s="2115">
        <v>0.14474993010096066</v>
      </c>
    </row>
    <row r="54" spans="2:28">
      <c r="B54" s="2098">
        <v>70</v>
      </c>
      <c r="C54" s="2090"/>
      <c r="D54" s="2090">
        <v>14.002000000000001</v>
      </c>
      <c r="E54" s="2090">
        <v>3.6789999999999998</v>
      </c>
      <c r="F54" s="2090">
        <v>3.6789999999999998</v>
      </c>
      <c r="G54" s="2090">
        <v>14.002000000000001</v>
      </c>
      <c r="H54" s="2091">
        <v>0</v>
      </c>
      <c r="I54" s="2091">
        <v>0.26274817883159546</v>
      </c>
      <c r="J54" s="2099">
        <v>0.26274817883159546</v>
      </c>
      <c r="K54" s="2098">
        <v>70</v>
      </c>
      <c r="L54" s="2090">
        <v>0</v>
      </c>
      <c r="M54" s="2090">
        <v>15.49</v>
      </c>
      <c r="N54" s="2092">
        <v>0.53</v>
      </c>
      <c r="O54" s="2090">
        <v>0.53</v>
      </c>
      <c r="P54" s="2090">
        <v>15.49</v>
      </c>
      <c r="Q54" s="2091">
        <v>0</v>
      </c>
      <c r="R54" s="2091">
        <v>3.4215622982569402E-2</v>
      </c>
      <c r="S54" s="2099">
        <v>3.4215622982569402E-2</v>
      </c>
      <c r="T54" s="2098">
        <v>70</v>
      </c>
      <c r="U54" s="1707">
        <v>0</v>
      </c>
      <c r="V54" s="1707">
        <v>14.746</v>
      </c>
      <c r="W54" s="1707">
        <v>2.1044999999999998</v>
      </c>
      <c r="X54" s="1707">
        <v>2.1044999999999998</v>
      </c>
      <c r="Y54" s="1707">
        <v>14.746</v>
      </c>
      <c r="Z54" s="2093">
        <v>0</v>
      </c>
      <c r="AA54" s="2093">
        <v>0.14848190090708244</v>
      </c>
      <c r="AB54" s="2114">
        <v>0.14848190090708244</v>
      </c>
    </row>
    <row r="55" spans="2:28">
      <c r="B55" s="89">
        <v>71</v>
      </c>
      <c r="C55" s="1"/>
      <c r="D55" s="1">
        <v>13.561999999999999</v>
      </c>
      <c r="E55" s="1">
        <v>3.6749999999999998</v>
      </c>
      <c r="F55" s="1">
        <v>3.6749999999999998</v>
      </c>
      <c r="G55" s="1">
        <v>13.561999999999999</v>
      </c>
      <c r="H55" s="742">
        <v>0</v>
      </c>
      <c r="I55" s="742">
        <v>0.27097773189795016</v>
      </c>
      <c r="J55" s="2100">
        <v>0.27097773189795016</v>
      </c>
      <c r="K55" s="89">
        <v>71</v>
      </c>
      <c r="L55" s="1">
        <v>0</v>
      </c>
      <c r="M55" s="1">
        <v>15.026</v>
      </c>
      <c r="N55" s="1427">
        <v>0.51</v>
      </c>
      <c r="O55" s="1">
        <v>0.51</v>
      </c>
      <c r="P55" s="1">
        <v>15.026</v>
      </c>
      <c r="Q55" s="742">
        <v>0</v>
      </c>
      <c r="R55" s="742">
        <v>3.3941168641022229E-2</v>
      </c>
      <c r="S55" s="2100">
        <v>3.3941168641022229E-2</v>
      </c>
      <c r="T55" s="89">
        <v>71</v>
      </c>
      <c r="U55" s="741">
        <v>0</v>
      </c>
      <c r="V55" s="741">
        <v>14.294</v>
      </c>
      <c r="W55" s="741">
        <v>2.0924999999999998</v>
      </c>
      <c r="X55" s="741">
        <v>2.0924999999999998</v>
      </c>
      <c r="Y55" s="741">
        <v>14.294</v>
      </c>
      <c r="Z55" s="2088">
        <v>0</v>
      </c>
      <c r="AA55" s="2088">
        <v>0.15245945026948621</v>
      </c>
      <c r="AB55" s="2115">
        <v>0.15245945026948621</v>
      </c>
    </row>
    <row r="56" spans="2:28">
      <c r="B56" s="2098">
        <v>72</v>
      </c>
      <c r="C56" s="2090"/>
      <c r="D56" s="2090">
        <v>13.111000000000001</v>
      </c>
      <c r="E56" s="2090">
        <v>3.669</v>
      </c>
      <c r="F56" s="2090">
        <v>3.669</v>
      </c>
      <c r="G56" s="2090">
        <v>13.111000000000001</v>
      </c>
      <c r="H56" s="2091">
        <v>0</v>
      </c>
      <c r="I56" s="2091">
        <v>0.27984135458775072</v>
      </c>
      <c r="J56" s="2099">
        <v>0.27984135458775072</v>
      </c>
      <c r="K56" s="2098">
        <v>72</v>
      </c>
      <c r="L56" s="2090">
        <v>0</v>
      </c>
      <c r="M56" s="2090">
        <v>14.55</v>
      </c>
      <c r="N56" s="2092">
        <v>0.49099999999999999</v>
      </c>
      <c r="O56" s="2090">
        <v>0.49099999999999999</v>
      </c>
      <c r="P56" s="2090">
        <v>14.55</v>
      </c>
      <c r="Q56" s="2091">
        <v>0</v>
      </c>
      <c r="R56" s="2091">
        <v>3.3745704467353949E-2</v>
      </c>
      <c r="S56" s="2099">
        <v>3.3745704467353949E-2</v>
      </c>
      <c r="T56" s="2098">
        <v>72</v>
      </c>
      <c r="U56" s="1707">
        <v>0</v>
      </c>
      <c r="V56" s="1707">
        <v>13.830500000000001</v>
      </c>
      <c r="W56" s="1707">
        <v>2.08</v>
      </c>
      <c r="X56" s="1707">
        <v>2.08</v>
      </c>
      <c r="Y56" s="1707">
        <v>13.830500000000001</v>
      </c>
      <c r="Z56" s="2093">
        <v>0</v>
      </c>
      <c r="AA56" s="2093">
        <v>0.15679352952755232</v>
      </c>
      <c r="AB56" s="2114">
        <v>0.15679352952755232</v>
      </c>
    </row>
    <row r="57" spans="2:28">
      <c r="B57" s="89">
        <v>73</v>
      </c>
      <c r="C57" s="1"/>
      <c r="D57" s="1">
        <v>12.65</v>
      </c>
      <c r="E57" s="1">
        <v>3.6669999999999998</v>
      </c>
      <c r="F57" s="1">
        <v>3.6669999999999998</v>
      </c>
      <c r="G57" s="1">
        <v>12.65</v>
      </c>
      <c r="H57" s="742">
        <v>0</v>
      </c>
      <c r="I57" s="742">
        <v>0.28988142292490116</v>
      </c>
      <c r="J57" s="2100">
        <v>0.28988142292490116</v>
      </c>
      <c r="K57" s="89">
        <v>73</v>
      </c>
      <c r="L57" s="1">
        <v>0</v>
      </c>
      <c r="M57" s="1">
        <v>14.061999999999999</v>
      </c>
      <c r="N57" s="1427">
        <v>0.47199999999999998</v>
      </c>
      <c r="O57" s="1">
        <v>0.47199999999999998</v>
      </c>
      <c r="P57" s="1">
        <v>14.061999999999999</v>
      </c>
      <c r="Q57" s="742">
        <v>0</v>
      </c>
      <c r="R57" s="742">
        <v>3.3565637889347175E-2</v>
      </c>
      <c r="S57" s="2100">
        <v>3.3565637889347175E-2</v>
      </c>
      <c r="T57" s="89">
        <v>73</v>
      </c>
      <c r="U57" s="741">
        <v>0</v>
      </c>
      <c r="V57" s="741">
        <v>13.356</v>
      </c>
      <c r="W57" s="741">
        <v>2.0694999999999997</v>
      </c>
      <c r="X57" s="741">
        <v>2.0694999999999997</v>
      </c>
      <c r="Y57" s="741">
        <v>13.356</v>
      </c>
      <c r="Z57" s="2088">
        <v>0</v>
      </c>
      <c r="AA57" s="2088">
        <v>0.16172353040712417</v>
      </c>
      <c r="AB57" s="2115">
        <v>0.16172353040712417</v>
      </c>
    </row>
    <row r="58" spans="2:28">
      <c r="B58" s="2098">
        <v>74</v>
      </c>
      <c r="C58" s="2090"/>
      <c r="D58" s="2090">
        <v>12.18</v>
      </c>
      <c r="E58" s="2090">
        <v>3.6619999999999999</v>
      </c>
      <c r="F58" s="2090">
        <v>3.6619999999999999</v>
      </c>
      <c r="G58" s="2090">
        <v>12.18</v>
      </c>
      <c r="H58" s="2091">
        <v>0</v>
      </c>
      <c r="I58" s="2091">
        <v>0.30065681444991788</v>
      </c>
      <c r="J58" s="2099">
        <v>0.30065681444991788</v>
      </c>
      <c r="K58" s="2098">
        <v>74</v>
      </c>
      <c r="L58" s="2090">
        <v>0</v>
      </c>
      <c r="M58" s="2090">
        <v>13.561999999999999</v>
      </c>
      <c r="N58" s="2092">
        <v>0.45300000000000001</v>
      </c>
      <c r="O58" s="2090">
        <v>0.45300000000000001</v>
      </c>
      <c r="P58" s="2090">
        <v>13.561999999999999</v>
      </c>
      <c r="Q58" s="2091">
        <v>0</v>
      </c>
      <c r="R58" s="2091">
        <v>3.3402153074767738E-2</v>
      </c>
      <c r="S58" s="2099">
        <v>3.3402153074767738E-2</v>
      </c>
      <c r="T58" s="2098">
        <v>74</v>
      </c>
      <c r="U58" s="1707">
        <v>0</v>
      </c>
      <c r="V58" s="1707">
        <v>12.870999999999999</v>
      </c>
      <c r="W58" s="1707">
        <v>2.0575000000000001</v>
      </c>
      <c r="X58" s="1707">
        <v>2.0575000000000001</v>
      </c>
      <c r="Y58" s="1707">
        <v>12.870999999999999</v>
      </c>
      <c r="Z58" s="2093">
        <v>0</v>
      </c>
      <c r="AA58" s="2093">
        <v>0.16702948376234281</v>
      </c>
      <c r="AB58" s="2114">
        <v>0.16702948376234281</v>
      </c>
    </row>
    <row r="59" spans="2:28">
      <c r="B59" s="89">
        <v>75</v>
      </c>
      <c r="C59" s="1"/>
      <c r="D59" s="1">
        <v>11.701000000000001</v>
      </c>
      <c r="E59" s="1">
        <v>3.6549999999999998</v>
      </c>
      <c r="F59" s="1">
        <v>3.6549999999999998</v>
      </c>
      <c r="G59" s="1">
        <v>11.701000000000001</v>
      </c>
      <c r="H59" s="742">
        <v>0</v>
      </c>
      <c r="I59" s="742">
        <v>0.31236646440475169</v>
      </c>
      <c r="J59" s="2100">
        <v>0.31236646440475169</v>
      </c>
      <c r="K59" s="89">
        <v>75</v>
      </c>
      <c r="L59" s="1">
        <v>0</v>
      </c>
      <c r="M59" s="1">
        <v>13.051</v>
      </c>
      <c r="N59" s="1427">
        <v>0.434</v>
      </c>
      <c r="O59" s="1">
        <v>0.434</v>
      </c>
      <c r="P59" s="1">
        <v>13.051</v>
      </c>
      <c r="Q59" s="742">
        <v>0</v>
      </c>
      <c r="R59" s="742">
        <v>3.3254156769596199E-2</v>
      </c>
      <c r="S59" s="2100">
        <v>3.3254156769596199E-2</v>
      </c>
      <c r="T59" s="89">
        <v>75</v>
      </c>
      <c r="U59" s="741">
        <v>0</v>
      </c>
      <c r="V59" s="741">
        <v>12.376000000000001</v>
      </c>
      <c r="W59" s="741">
        <v>2.0444999999999998</v>
      </c>
      <c r="X59" s="741">
        <v>2.0444999999999998</v>
      </c>
      <c r="Y59" s="741">
        <v>12.376000000000001</v>
      </c>
      <c r="Z59" s="2088">
        <v>0</v>
      </c>
      <c r="AA59" s="2088">
        <v>0.17281031058717394</v>
      </c>
      <c r="AB59" s="2115">
        <v>0.17281031058717394</v>
      </c>
    </row>
    <row r="60" spans="2:28">
      <c r="B60" s="2098">
        <v>76</v>
      </c>
      <c r="C60" s="2090"/>
      <c r="D60" s="2090">
        <v>11.215</v>
      </c>
      <c r="E60" s="2090">
        <v>3.6429999999999998</v>
      </c>
      <c r="F60" s="2090">
        <v>3.6429999999999998</v>
      </c>
      <c r="G60" s="2090">
        <v>11.215</v>
      </c>
      <c r="H60" s="2091">
        <v>0</v>
      </c>
      <c r="I60" s="2091">
        <v>0.32483281319661167</v>
      </c>
      <c r="J60" s="2099">
        <v>0.32483281319661167</v>
      </c>
      <c r="K60" s="2098">
        <v>76</v>
      </c>
      <c r="L60" s="2090">
        <v>0</v>
      </c>
      <c r="M60" s="2090">
        <v>12.531000000000001</v>
      </c>
      <c r="N60" s="2092">
        <v>0.41399999999999998</v>
      </c>
      <c r="O60" s="2090">
        <v>0.41399999999999998</v>
      </c>
      <c r="P60" s="2090">
        <v>12.531000000000001</v>
      </c>
      <c r="Q60" s="2091">
        <v>0</v>
      </c>
      <c r="R60" s="2091">
        <v>3.3038065597318644E-2</v>
      </c>
      <c r="S60" s="2099">
        <v>3.3038065597318644E-2</v>
      </c>
      <c r="T60" s="2098">
        <v>76</v>
      </c>
      <c r="U60" s="1707">
        <v>0</v>
      </c>
      <c r="V60" s="1707">
        <v>11.873000000000001</v>
      </c>
      <c r="W60" s="1707">
        <v>2.0284999999999997</v>
      </c>
      <c r="X60" s="1707">
        <v>2.0284999999999997</v>
      </c>
      <c r="Y60" s="1707">
        <v>11.873000000000001</v>
      </c>
      <c r="Z60" s="2093">
        <v>0</v>
      </c>
      <c r="AA60" s="2093">
        <v>0.17893543939696516</v>
      </c>
      <c r="AB60" s="2114">
        <v>0.17893543939696516</v>
      </c>
    </row>
    <row r="61" spans="2:28">
      <c r="B61" s="89">
        <v>77</v>
      </c>
      <c r="C61" s="1"/>
      <c r="D61" s="1">
        <v>10.724</v>
      </c>
      <c r="E61" s="1">
        <v>3.625</v>
      </c>
      <c r="F61" s="1">
        <v>3.625</v>
      </c>
      <c r="G61" s="1">
        <v>10.724</v>
      </c>
      <c r="H61" s="742">
        <v>0</v>
      </c>
      <c r="I61" s="742">
        <v>0.33802685565087653</v>
      </c>
      <c r="J61" s="2100">
        <v>0.33802685565087653</v>
      </c>
      <c r="K61" s="89">
        <v>77</v>
      </c>
      <c r="L61" s="1">
        <v>0</v>
      </c>
      <c r="M61" s="1">
        <v>12.003</v>
      </c>
      <c r="N61" s="1427">
        <v>0.39300000000000002</v>
      </c>
      <c r="O61" s="1">
        <v>0.39300000000000002</v>
      </c>
      <c r="P61" s="1">
        <v>12.003</v>
      </c>
      <c r="Q61" s="742">
        <v>0</v>
      </c>
      <c r="R61" s="742">
        <v>3.2741814546363407E-2</v>
      </c>
      <c r="S61" s="2100">
        <v>3.2741814546363407E-2</v>
      </c>
      <c r="T61" s="89">
        <v>77</v>
      </c>
      <c r="U61" s="741">
        <v>0</v>
      </c>
      <c r="V61" s="741">
        <v>11.3635</v>
      </c>
      <c r="W61" s="741">
        <v>2.0089999999999999</v>
      </c>
      <c r="X61" s="741">
        <v>2.0089999999999999</v>
      </c>
      <c r="Y61" s="741">
        <v>11.3635</v>
      </c>
      <c r="Z61" s="2088">
        <v>0</v>
      </c>
      <c r="AA61" s="2088">
        <v>0.18538433509861996</v>
      </c>
      <c r="AB61" s="2115">
        <v>0.18538433509861996</v>
      </c>
    </row>
    <row r="62" spans="2:28">
      <c r="B62" s="2098">
        <v>78</v>
      </c>
      <c r="C62" s="2090"/>
      <c r="D62" s="2090">
        <v>10.228999999999999</v>
      </c>
      <c r="E62" s="2090">
        <v>3.601</v>
      </c>
      <c r="F62" s="2090">
        <v>3.601</v>
      </c>
      <c r="G62" s="2090">
        <v>10.228999999999999</v>
      </c>
      <c r="H62" s="2091">
        <v>0</v>
      </c>
      <c r="I62" s="2091">
        <v>0.35203832241665856</v>
      </c>
      <c r="J62" s="2099">
        <v>0.35203832241665856</v>
      </c>
      <c r="K62" s="2098">
        <v>78</v>
      </c>
      <c r="L62" s="2090">
        <v>0</v>
      </c>
      <c r="M62" s="2090">
        <v>11.47</v>
      </c>
      <c r="N62" s="2092">
        <v>0.371</v>
      </c>
      <c r="O62" s="2090">
        <v>0.371</v>
      </c>
      <c r="P62" s="2090">
        <v>11.47</v>
      </c>
      <c r="Q62" s="2091">
        <v>0</v>
      </c>
      <c r="R62" s="2091">
        <v>3.2345248474280733E-2</v>
      </c>
      <c r="S62" s="2099">
        <v>3.2345248474280733E-2</v>
      </c>
      <c r="T62" s="2098">
        <v>78</v>
      </c>
      <c r="U62" s="1707">
        <v>0</v>
      </c>
      <c r="V62" s="1707">
        <v>10.849499999999999</v>
      </c>
      <c r="W62" s="1707">
        <v>1.986</v>
      </c>
      <c r="X62" s="1707">
        <v>1.986</v>
      </c>
      <c r="Y62" s="1707">
        <v>10.849499999999999</v>
      </c>
      <c r="Z62" s="2093">
        <v>0</v>
      </c>
      <c r="AA62" s="2093">
        <v>0.19219178544546964</v>
      </c>
      <c r="AB62" s="2114">
        <v>0.19219178544546964</v>
      </c>
    </row>
    <row r="63" spans="2:28">
      <c r="B63" s="89">
        <v>79</v>
      </c>
      <c r="C63" s="1"/>
      <c r="D63" s="1">
        <v>9.7330000000000005</v>
      </c>
      <c r="E63" s="1">
        <v>3.57</v>
      </c>
      <c r="F63" s="1">
        <v>3.57</v>
      </c>
      <c r="G63" s="1">
        <v>9.7330000000000005</v>
      </c>
      <c r="H63" s="742">
        <v>0</v>
      </c>
      <c r="I63" s="742">
        <v>0.36679338333504569</v>
      </c>
      <c r="J63" s="2100">
        <v>0.36679338333504569</v>
      </c>
      <c r="K63" s="89">
        <v>79</v>
      </c>
      <c r="L63" s="1">
        <v>0</v>
      </c>
      <c r="M63" s="1">
        <v>10.932</v>
      </c>
      <c r="N63" s="1427">
        <v>0.34899999999999998</v>
      </c>
      <c r="O63" s="1">
        <v>0.34899999999999998</v>
      </c>
      <c r="P63" s="1">
        <v>10.932</v>
      </c>
      <c r="Q63" s="742">
        <v>0</v>
      </c>
      <c r="R63" s="742">
        <v>3.1924624954262709E-2</v>
      </c>
      <c r="S63" s="2100">
        <v>3.1924624954262709E-2</v>
      </c>
      <c r="T63" s="89">
        <v>79</v>
      </c>
      <c r="U63" s="741">
        <v>0</v>
      </c>
      <c r="V63" s="741">
        <v>10.3325</v>
      </c>
      <c r="W63" s="741">
        <v>1.9594999999999998</v>
      </c>
      <c r="X63" s="741">
        <v>1.9594999999999998</v>
      </c>
      <c r="Y63" s="741">
        <v>10.3325</v>
      </c>
      <c r="Z63" s="2088">
        <v>0</v>
      </c>
      <c r="AA63" s="2088">
        <v>0.19935900414465418</v>
      </c>
      <c r="AB63" s="2115">
        <v>0.19935900414465418</v>
      </c>
    </row>
    <row r="64" spans="2:28">
      <c r="B64" s="2098">
        <v>80</v>
      </c>
      <c r="C64" s="2090"/>
      <c r="D64" s="2090">
        <v>9.2379999999999995</v>
      </c>
      <c r="E64" s="2090">
        <v>3.5310000000000001</v>
      </c>
      <c r="F64" s="2090">
        <v>3.5310000000000001</v>
      </c>
      <c r="G64" s="2090">
        <v>9.2379999999999995</v>
      </c>
      <c r="H64" s="2091">
        <v>0</v>
      </c>
      <c r="I64" s="2091">
        <v>0.38222558995453565</v>
      </c>
      <c r="J64" s="2099">
        <v>0.38222558995453565</v>
      </c>
      <c r="K64" s="2098">
        <v>80</v>
      </c>
      <c r="L64" s="2090">
        <v>0</v>
      </c>
      <c r="M64" s="2090">
        <v>10.391999999999999</v>
      </c>
      <c r="N64" s="2092">
        <v>0.32700000000000001</v>
      </c>
      <c r="O64" s="2090">
        <v>0.32700000000000001</v>
      </c>
      <c r="P64" s="2090">
        <v>10.391999999999999</v>
      </c>
      <c r="Q64" s="2091">
        <v>0</v>
      </c>
      <c r="R64" s="2091">
        <v>3.1466512702078522E-2</v>
      </c>
      <c r="S64" s="2099">
        <v>3.1466512702078522E-2</v>
      </c>
      <c r="T64" s="2098">
        <v>80</v>
      </c>
      <c r="U64" s="1707">
        <v>0</v>
      </c>
      <c r="V64" s="1707">
        <v>9.8149999999999995</v>
      </c>
      <c r="W64" s="1707">
        <v>1.929</v>
      </c>
      <c r="X64" s="1707">
        <v>1.929</v>
      </c>
      <c r="Y64" s="1707">
        <v>9.8149999999999995</v>
      </c>
      <c r="Z64" s="2093">
        <v>0</v>
      </c>
      <c r="AA64" s="2093">
        <v>0.20684605132830708</v>
      </c>
      <c r="AB64" s="2114">
        <v>0.20684605132830708</v>
      </c>
    </row>
    <row r="65" spans="2:28">
      <c r="B65" s="89">
        <v>81</v>
      </c>
      <c r="C65" s="1"/>
      <c r="D65" s="1">
        <v>8.7469999999999999</v>
      </c>
      <c r="E65" s="1">
        <v>3.4820000000000002</v>
      </c>
      <c r="F65" s="1">
        <v>3.4820000000000002</v>
      </c>
      <c r="G65" s="1">
        <v>8.7469999999999999</v>
      </c>
      <c r="H65" s="742">
        <v>0</v>
      </c>
      <c r="I65" s="742">
        <v>0.39807934148851037</v>
      </c>
      <c r="J65" s="2100">
        <v>0.39807934148851037</v>
      </c>
      <c r="K65" s="89">
        <v>81</v>
      </c>
      <c r="L65" s="1">
        <v>0</v>
      </c>
      <c r="M65" s="1">
        <v>9.8529999999999998</v>
      </c>
      <c r="N65" s="1427">
        <v>0.30399999999999999</v>
      </c>
      <c r="O65" s="1">
        <v>0.30399999999999999</v>
      </c>
      <c r="P65" s="1">
        <v>9.8529999999999998</v>
      </c>
      <c r="Q65" s="742">
        <v>0</v>
      </c>
      <c r="R65" s="742">
        <v>3.0853547143002133E-2</v>
      </c>
      <c r="S65" s="2100">
        <v>3.0853547143002133E-2</v>
      </c>
      <c r="T65" s="89">
        <v>81</v>
      </c>
      <c r="U65" s="741">
        <v>0</v>
      </c>
      <c r="V65" s="741">
        <v>9.3000000000000007</v>
      </c>
      <c r="W65" s="741">
        <v>1.893</v>
      </c>
      <c r="X65" s="741">
        <v>1.893</v>
      </c>
      <c r="Y65" s="741">
        <v>9.3000000000000007</v>
      </c>
      <c r="Z65" s="2088">
        <v>0</v>
      </c>
      <c r="AA65" s="2088">
        <v>0.21446644431575626</v>
      </c>
      <c r="AB65" s="2115">
        <v>0.21446644431575626</v>
      </c>
    </row>
    <row r="66" spans="2:28">
      <c r="B66" s="2098">
        <v>82</v>
      </c>
      <c r="C66" s="2090"/>
      <c r="D66" s="2090">
        <v>8.2629999999999999</v>
      </c>
      <c r="E66" s="2090">
        <v>3.4089999999999998</v>
      </c>
      <c r="F66" s="2090">
        <v>3.4089999999999998</v>
      </c>
      <c r="G66" s="2090">
        <v>8.2629999999999999</v>
      </c>
      <c r="H66" s="2091">
        <v>0</v>
      </c>
      <c r="I66" s="2091">
        <v>0.41256202347815563</v>
      </c>
      <c r="J66" s="2099">
        <v>0.41256202347815563</v>
      </c>
      <c r="K66" s="2098">
        <v>82</v>
      </c>
      <c r="L66" s="2090">
        <v>0</v>
      </c>
      <c r="M66" s="2090">
        <v>9.3179999999999996</v>
      </c>
      <c r="N66" s="2092">
        <v>0.28100000000000003</v>
      </c>
      <c r="O66" s="2090">
        <v>0.28100000000000003</v>
      </c>
      <c r="P66" s="2090">
        <v>9.3179999999999996</v>
      </c>
      <c r="Q66" s="2091">
        <v>0</v>
      </c>
      <c r="R66" s="2091">
        <v>3.0156685984116766E-2</v>
      </c>
      <c r="S66" s="2099">
        <v>3.0156685984116766E-2</v>
      </c>
      <c r="T66" s="2098">
        <v>82</v>
      </c>
      <c r="U66" s="1707">
        <v>0</v>
      </c>
      <c r="V66" s="1707">
        <v>8.7904999999999998</v>
      </c>
      <c r="W66" s="1707">
        <v>1.845</v>
      </c>
      <c r="X66" s="1707">
        <v>1.845</v>
      </c>
      <c r="Y66" s="1707">
        <v>8.7904999999999998</v>
      </c>
      <c r="Z66" s="2093">
        <v>0</v>
      </c>
      <c r="AA66" s="2093">
        <v>0.22135935473113619</v>
      </c>
      <c r="AB66" s="2114">
        <v>0.22135935473113619</v>
      </c>
    </row>
    <row r="67" spans="2:28">
      <c r="B67" s="89">
        <v>83</v>
      </c>
      <c r="C67" s="1"/>
      <c r="D67" s="1">
        <v>7.7880000000000003</v>
      </c>
      <c r="E67" s="1">
        <v>3.3220000000000001</v>
      </c>
      <c r="F67" s="1">
        <v>3.3220000000000001</v>
      </c>
      <c r="G67" s="1">
        <v>7.7880000000000003</v>
      </c>
      <c r="H67" s="742">
        <v>0</v>
      </c>
      <c r="I67" s="742">
        <v>0.42655367231638419</v>
      </c>
      <c r="J67" s="2100">
        <v>0.42655367231638419</v>
      </c>
      <c r="K67" s="89">
        <v>83</v>
      </c>
      <c r="L67" s="1">
        <v>0</v>
      </c>
      <c r="M67" s="1">
        <v>8.7889999999999997</v>
      </c>
      <c r="N67" s="1427">
        <v>0.25800000000000001</v>
      </c>
      <c r="O67" s="1">
        <v>0.25800000000000001</v>
      </c>
      <c r="P67" s="1">
        <v>8.7889999999999997</v>
      </c>
      <c r="Q67" s="742">
        <v>0</v>
      </c>
      <c r="R67" s="742">
        <v>2.9354875412447381E-2</v>
      </c>
      <c r="S67" s="2100">
        <v>2.9354875412447381E-2</v>
      </c>
      <c r="T67" s="89">
        <v>83</v>
      </c>
      <c r="U67" s="741">
        <v>0</v>
      </c>
      <c r="V67" s="741">
        <v>8.2884999999999991</v>
      </c>
      <c r="W67" s="741">
        <v>1.79</v>
      </c>
      <c r="X67" s="741">
        <v>1.79</v>
      </c>
      <c r="Y67" s="741">
        <v>8.2884999999999991</v>
      </c>
      <c r="Z67" s="2088">
        <v>0</v>
      </c>
      <c r="AA67" s="2088">
        <v>0.22795427386441577</v>
      </c>
      <c r="AB67" s="2115">
        <v>0.22795427386441577</v>
      </c>
    </row>
    <row r="68" spans="2:28">
      <c r="B68" s="2098">
        <v>84</v>
      </c>
      <c r="C68" s="2090"/>
      <c r="D68" s="2090">
        <v>7.327</v>
      </c>
      <c r="E68" s="2090">
        <v>3.2229999999999999</v>
      </c>
      <c r="F68" s="2090">
        <v>3.2229999999999999</v>
      </c>
      <c r="G68" s="2090">
        <v>7.327</v>
      </c>
      <c r="H68" s="2091">
        <v>0</v>
      </c>
      <c r="I68" s="2091">
        <v>0.43987989627405483</v>
      </c>
      <c r="J68" s="2099">
        <v>0.43987989627405483</v>
      </c>
      <c r="K68" s="2098">
        <v>84</v>
      </c>
      <c r="L68" s="2090">
        <v>0</v>
      </c>
      <c r="M68" s="2090">
        <v>8.2710000000000008</v>
      </c>
      <c r="N68" s="2092">
        <v>0.23499999999999999</v>
      </c>
      <c r="O68" s="2090">
        <v>0.23499999999999999</v>
      </c>
      <c r="P68" s="2090">
        <v>8.2710000000000008</v>
      </c>
      <c r="Q68" s="2091">
        <v>0</v>
      </c>
      <c r="R68" s="2091">
        <v>2.8412525692177483E-2</v>
      </c>
      <c r="S68" s="2099">
        <v>2.8412525692177483E-2</v>
      </c>
      <c r="T68" s="2098">
        <v>84</v>
      </c>
      <c r="U68" s="1707">
        <v>0</v>
      </c>
      <c r="V68" s="1707">
        <v>7.7990000000000004</v>
      </c>
      <c r="W68" s="1707">
        <v>1.7289999999999999</v>
      </c>
      <c r="X68" s="1707">
        <v>1.7289999999999999</v>
      </c>
      <c r="Y68" s="1707">
        <v>7.7990000000000004</v>
      </c>
      <c r="Z68" s="2093">
        <v>0</v>
      </c>
      <c r="AA68" s="2093">
        <v>0.23414621098311617</v>
      </c>
      <c r="AB68" s="2114">
        <v>0.23414621098311617</v>
      </c>
    </row>
    <row r="69" spans="2:28">
      <c r="B69" s="89">
        <v>85</v>
      </c>
      <c r="C69" s="1"/>
      <c r="D69" s="1">
        <v>6.883</v>
      </c>
      <c r="E69" s="1">
        <v>3.1139999999999999</v>
      </c>
      <c r="F69" s="1">
        <v>3.1139999999999999</v>
      </c>
      <c r="G69" s="1">
        <v>6.883</v>
      </c>
      <c r="H69" s="742">
        <v>0</v>
      </c>
      <c r="I69" s="742">
        <v>0.45241900334156615</v>
      </c>
      <c r="J69" s="2100">
        <v>0.45241900334156615</v>
      </c>
      <c r="K69" s="89">
        <v>85</v>
      </c>
      <c r="L69" s="1">
        <v>0</v>
      </c>
      <c r="M69" s="1">
        <v>7.7679999999999998</v>
      </c>
      <c r="N69" s="1427">
        <v>0.21</v>
      </c>
      <c r="O69" s="1">
        <v>0.21</v>
      </c>
      <c r="P69" s="1">
        <v>7.7679999999999998</v>
      </c>
      <c r="Q69" s="742">
        <v>0</v>
      </c>
      <c r="R69" s="742">
        <v>2.7033985581874358E-2</v>
      </c>
      <c r="S69" s="2100">
        <v>2.7033985581874358E-2</v>
      </c>
      <c r="T69" s="89">
        <v>85</v>
      </c>
      <c r="U69" s="741">
        <v>0</v>
      </c>
      <c r="V69" s="741">
        <v>7.3254999999999999</v>
      </c>
      <c r="W69" s="741">
        <v>1.6619999999999999</v>
      </c>
      <c r="X69" s="741">
        <v>1.6619999999999999</v>
      </c>
      <c r="Y69" s="741">
        <v>7.3254999999999999</v>
      </c>
      <c r="Z69" s="2088">
        <v>0</v>
      </c>
      <c r="AA69" s="2088">
        <v>0.23972649446172026</v>
      </c>
      <c r="AB69" s="2115">
        <v>0.23972649446172026</v>
      </c>
    </row>
    <row r="70" spans="2:28">
      <c r="B70" s="2098">
        <v>86</v>
      </c>
      <c r="C70" s="2090"/>
      <c r="D70" s="2090">
        <v>6.4619999999999997</v>
      </c>
      <c r="E70" s="2090">
        <v>2.9969999999999999</v>
      </c>
      <c r="F70" s="2090">
        <v>2.9969999999999999</v>
      </c>
      <c r="G70" s="2090">
        <v>6.4619999999999997</v>
      </c>
      <c r="H70" s="2091">
        <v>0</v>
      </c>
      <c r="I70" s="2091">
        <v>0.46378830083565459</v>
      </c>
      <c r="J70" s="2099">
        <v>0.46378830083565459</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6.8734999999999999</v>
      </c>
      <c r="W70" s="1707">
        <v>1.5914999999999999</v>
      </c>
      <c r="X70" s="1707">
        <v>1.5914999999999999</v>
      </c>
      <c r="Y70" s="1707">
        <v>6.8734999999999999</v>
      </c>
      <c r="Z70" s="2093">
        <v>0</v>
      </c>
      <c r="AA70" s="2093">
        <v>0.2446601078646358</v>
      </c>
      <c r="AB70" s="2114">
        <v>0.2446601078646358</v>
      </c>
    </row>
    <row r="71" spans="2:28">
      <c r="B71" s="89">
        <v>87</v>
      </c>
      <c r="C71" s="1"/>
      <c r="D71" s="1">
        <v>6.069</v>
      </c>
      <c r="E71" s="1">
        <v>2.8730000000000002</v>
      </c>
      <c r="F71" s="1">
        <v>2.8730000000000002</v>
      </c>
      <c r="G71" s="1">
        <v>6.069</v>
      </c>
      <c r="H71" s="742">
        <v>0</v>
      </c>
      <c r="I71" s="742">
        <v>0.47338935574229696</v>
      </c>
      <c r="J71" s="2100">
        <v>0.47338935574229696</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6.4474999999999998</v>
      </c>
      <c r="W71" s="741">
        <v>1.5175000000000001</v>
      </c>
      <c r="X71" s="741">
        <v>1.5175000000000001</v>
      </c>
      <c r="Y71" s="741">
        <v>6.4474999999999998</v>
      </c>
      <c r="Z71" s="2088">
        <v>0</v>
      </c>
      <c r="AA71" s="2088">
        <v>0.24856107107360967</v>
      </c>
      <c r="AB71" s="2115">
        <v>0.24856107107360967</v>
      </c>
    </row>
    <row r="72" spans="2:28">
      <c r="B72" s="2098">
        <v>88</v>
      </c>
      <c r="C72" s="2090"/>
      <c r="D72" s="2090">
        <v>5.7119999999999997</v>
      </c>
      <c r="E72" s="2090">
        <v>2.7149999999999999</v>
      </c>
      <c r="F72" s="2090">
        <v>2.7149999999999999</v>
      </c>
      <c r="G72" s="2090">
        <v>5.7119999999999997</v>
      </c>
      <c r="H72" s="2091">
        <v>0</v>
      </c>
      <c r="I72" s="2091">
        <v>0.47531512605042014</v>
      </c>
      <c r="J72" s="2099">
        <v>0.47531512605042014</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6.0549999999999997</v>
      </c>
      <c r="W72" s="1707">
        <v>1.4275</v>
      </c>
      <c r="X72" s="1707">
        <v>1.4275</v>
      </c>
      <c r="Y72" s="1707">
        <v>6.0549999999999997</v>
      </c>
      <c r="Z72" s="2093">
        <v>0</v>
      </c>
      <c r="AA72" s="2093">
        <v>0.2485984820624092</v>
      </c>
      <c r="AB72" s="2114">
        <v>0.2485984820624092</v>
      </c>
    </row>
    <row r="73" spans="2:28">
      <c r="B73" s="89">
        <v>89</v>
      </c>
      <c r="C73" s="1"/>
      <c r="D73" s="1">
        <v>5.3979999999999997</v>
      </c>
      <c r="E73" s="1">
        <v>2.5489999999999999</v>
      </c>
      <c r="F73" s="1">
        <v>2.5489999999999999</v>
      </c>
      <c r="G73" s="1">
        <v>5.3979999999999997</v>
      </c>
      <c r="H73" s="742">
        <v>0</v>
      </c>
      <c r="I73" s="742">
        <v>0.4722119303445721</v>
      </c>
      <c r="J73" s="2100">
        <v>0.4722119303445721</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5.7024999999999997</v>
      </c>
      <c r="W73" s="741">
        <v>1.333</v>
      </c>
      <c r="X73" s="741">
        <v>1.333</v>
      </c>
      <c r="Y73" s="741">
        <v>5.7024999999999997</v>
      </c>
      <c r="Z73" s="2088">
        <v>0</v>
      </c>
      <c r="AA73" s="2088">
        <v>0.2458446034276548</v>
      </c>
      <c r="AB73" s="2115">
        <v>0.2458446034276548</v>
      </c>
    </row>
    <row r="74" spans="2:28">
      <c r="B74" s="2098">
        <v>90</v>
      </c>
      <c r="C74" s="2090"/>
      <c r="D74" s="2090">
        <v>5.1150000000000002</v>
      </c>
      <c r="E74" s="2090">
        <v>2.387</v>
      </c>
      <c r="F74" s="2090">
        <v>2.387</v>
      </c>
      <c r="G74" s="2090">
        <v>5.1150000000000002</v>
      </c>
      <c r="H74" s="2091">
        <v>0</v>
      </c>
      <c r="I74" s="2091">
        <v>0.46666666666666667</v>
      </c>
      <c r="J74" s="2099">
        <v>0.46666666666666667</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5.3849999999999998</v>
      </c>
      <c r="W74" s="1707">
        <v>1.242</v>
      </c>
      <c r="X74" s="1707">
        <v>1.242</v>
      </c>
      <c r="Y74" s="1707">
        <v>5.3849999999999998</v>
      </c>
      <c r="Z74" s="2093">
        <v>0</v>
      </c>
      <c r="AA74" s="2093">
        <v>0.24190981432360742</v>
      </c>
      <c r="AB74" s="2114">
        <v>0.24190981432360742</v>
      </c>
    </row>
    <row r="75" spans="2:28">
      <c r="B75" s="89">
        <v>91</v>
      </c>
      <c r="C75" s="1"/>
      <c r="D75" s="1">
        <v>4.8499999999999996</v>
      </c>
      <c r="E75" s="1">
        <v>2.2040000000000002</v>
      </c>
      <c r="F75" s="1">
        <v>2.2040000000000002</v>
      </c>
      <c r="G75" s="1">
        <v>4.8499999999999996</v>
      </c>
      <c r="H75" s="742">
        <v>0</v>
      </c>
      <c r="I75" s="742">
        <v>0.45443298969072171</v>
      </c>
      <c r="J75" s="2100">
        <v>0.45443298969072171</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5.0909999999999993</v>
      </c>
      <c r="W75" s="741">
        <v>1.1420000000000001</v>
      </c>
      <c r="X75" s="741">
        <v>1.1420000000000001</v>
      </c>
      <c r="Y75" s="741">
        <v>5.0909999999999993</v>
      </c>
      <c r="Z75" s="2088">
        <v>0</v>
      </c>
      <c r="AA75" s="2088">
        <v>0.23471837031422807</v>
      </c>
      <c r="AB75" s="2115">
        <v>0.23471837031422807</v>
      </c>
    </row>
    <row r="76" spans="2:28">
      <c r="B76" s="2098">
        <v>92</v>
      </c>
      <c r="C76" s="2090"/>
      <c r="D76" s="2090">
        <v>4.6040000000000001</v>
      </c>
      <c r="E76" s="2090">
        <v>2.0350000000000001</v>
      </c>
      <c r="F76" s="2090">
        <v>2.0350000000000001</v>
      </c>
      <c r="G76" s="2090">
        <v>4.6040000000000001</v>
      </c>
      <c r="H76" s="2091">
        <v>0</v>
      </c>
      <c r="I76" s="2091">
        <v>0.44200695047784538</v>
      </c>
      <c r="J76" s="2099">
        <v>0.44200695047784538</v>
      </c>
      <c r="K76" s="2098">
        <v>92</v>
      </c>
      <c r="L76" s="2090">
        <v>0</v>
      </c>
      <c r="M76" s="2090">
        <v>5.0289999999999999</v>
      </c>
      <c r="N76" s="2092">
        <v>6.5000000000000002E-2</v>
      </c>
      <c r="O76" s="2090">
        <v>6.5000000000000002E-2</v>
      </c>
      <c r="P76" s="2090">
        <v>5.0289999999999999</v>
      </c>
      <c r="Q76" s="2091">
        <v>0</v>
      </c>
      <c r="R76" s="2091">
        <v>1.2925034798170611E-2</v>
      </c>
      <c r="S76" s="2099">
        <v>1.2925034798170611E-2</v>
      </c>
      <c r="T76" s="2098">
        <v>92</v>
      </c>
      <c r="U76" s="1707">
        <v>0</v>
      </c>
      <c r="V76" s="1707">
        <v>4.8164999999999996</v>
      </c>
      <c r="W76" s="1707">
        <v>1.05</v>
      </c>
      <c r="X76" s="1707">
        <v>1.05</v>
      </c>
      <c r="Y76" s="1707">
        <v>4.8164999999999996</v>
      </c>
      <c r="Z76" s="2093">
        <v>0</v>
      </c>
      <c r="AA76" s="2093">
        <v>0.22746599263800799</v>
      </c>
      <c r="AB76" s="2114">
        <v>0.22746599263800799</v>
      </c>
    </row>
    <row r="77" spans="2:28">
      <c r="B77" s="89">
        <v>93</v>
      </c>
      <c r="C77" s="1"/>
      <c r="D77" s="1">
        <v>4.3760000000000003</v>
      </c>
      <c r="E77" s="1">
        <v>1.85</v>
      </c>
      <c r="F77" s="1">
        <v>1.85</v>
      </c>
      <c r="G77" s="1">
        <v>4.3760000000000003</v>
      </c>
      <c r="H77" s="742">
        <v>0</v>
      </c>
      <c r="I77" s="742">
        <v>0.42276051188299818</v>
      </c>
      <c r="J77" s="2100">
        <v>0.42276051188299818</v>
      </c>
      <c r="K77" s="89">
        <v>93</v>
      </c>
      <c r="L77" s="1">
        <v>0</v>
      </c>
      <c r="M77" s="1">
        <v>4.7469999999999999</v>
      </c>
      <c r="N77" s="1427">
        <v>5.2999999999999999E-2</v>
      </c>
      <c r="O77" s="1">
        <v>5.2999999999999999E-2</v>
      </c>
      <c r="P77" s="1">
        <v>4.7469999999999999</v>
      </c>
      <c r="Q77" s="742">
        <v>0</v>
      </c>
      <c r="R77" s="742">
        <v>1.1164946281862228E-2</v>
      </c>
      <c r="S77" s="2100">
        <v>1.1164946281862228E-2</v>
      </c>
      <c r="T77" s="89">
        <v>93</v>
      </c>
      <c r="U77" s="741">
        <v>0</v>
      </c>
      <c r="V77" s="741">
        <v>4.5615000000000006</v>
      </c>
      <c r="W77" s="741">
        <v>0.95150000000000001</v>
      </c>
      <c r="X77" s="741">
        <v>0.95150000000000001</v>
      </c>
      <c r="Y77" s="741">
        <v>4.5615000000000006</v>
      </c>
      <c r="Z77" s="2088">
        <v>0</v>
      </c>
      <c r="AA77" s="2088">
        <v>0.21696272908243019</v>
      </c>
      <c r="AB77" s="2115">
        <v>0.21696272908243019</v>
      </c>
    </row>
    <row r="78" spans="2:28">
      <c r="B78" s="2098">
        <v>94</v>
      </c>
      <c r="C78" s="2090"/>
      <c r="D78" s="2090">
        <v>4.1660000000000004</v>
      </c>
      <c r="E78" s="2090">
        <v>1.6830000000000001</v>
      </c>
      <c r="F78" s="2090">
        <v>1.6830000000000001</v>
      </c>
      <c r="G78" s="2090">
        <v>4.1660000000000004</v>
      </c>
      <c r="H78" s="2091">
        <v>0</v>
      </c>
      <c r="I78" s="2091">
        <v>0.4039846375420067</v>
      </c>
      <c r="J78" s="2099">
        <v>0.4039846375420067</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4.3254999999999999</v>
      </c>
      <c r="W78" s="1707">
        <v>0.86250000000000004</v>
      </c>
      <c r="X78" s="1707">
        <v>0.86250000000000004</v>
      </c>
      <c r="Y78" s="1707">
        <v>4.3254999999999999</v>
      </c>
      <c r="Z78" s="2093">
        <v>0</v>
      </c>
      <c r="AA78" s="2093">
        <v>0.206674593018495</v>
      </c>
      <c r="AB78" s="2114">
        <v>0.206674593018495</v>
      </c>
    </row>
    <row r="79" spans="2:28">
      <c r="B79" s="89">
        <v>95</v>
      </c>
      <c r="C79" s="1"/>
      <c r="D79" s="1">
        <v>3.9740000000000002</v>
      </c>
      <c r="E79" s="1">
        <v>1.5349999999999999</v>
      </c>
      <c r="F79" s="1">
        <v>1.5349999999999999</v>
      </c>
      <c r="G79" s="1">
        <v>3.9740000000000002</v>
      </c>
      <c r="H79" s="742">
        <v>0</v>
      </c>
      <c r="I79" s="742">
        <v>0.38626069451434319</v>
      </c>
      <c r="J79" s="2100">
        <v>0.38626069451434319</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4.1095000000000006</v>
      </c>
      <c r="W79" s="741">
        <v>0.78449999999999998</v>
      </c>
      <c r="X79" s="741">
        <v>0.78449999999999998</v>
      </c>
      <c r="Y79" s="741">
        <v>4.1095000000000006</v>
      </c>
      <c r="Z79" s="2088">
        <v>0</v>
      </c>
      <c r="AA79" s="2088">
        <v>0.19713505868237771</v>
      </c>
      <c r="AB79" s="2115">
        <v>0.19713505868237771</v>
      </c>
    </row>
    <row r="80" spans="2:28">
      <c r="B80" s="2098">
        <v>96</v>
      </c>
      <c r="C80" s="2090"/>
      <c r="D80" s="2090">
        <v>3.798</v>
      </c>
      <c r="E80" s="2090">
        <v>1.371</v>
      </c>
      <c r="F80" s="2090">
        <v>1.371</v>
      </c>
      <c r="G80" s="2090">
        <v>3.798</v>
      </c>
      <c r="H80" s="2091">
        <v>0</v>
      </c>
      <c r="I80" s="2091">
        <v>0.36097946287519744</v>
      </c>
      <c r="J80" s="2099">
        <v>0.36097946287519744</v>
      </c>
      <c r="K80" s="2098">
        <v>96</v>
      </c>
      <c r="L80" s="2090">
        <v>0</v>
      </c>
      <c r="M80" s="2090">
        <v>4.024</v>
      </c>
      <c r="N80" s="2092">
        <v>2.7E-2</v>
      </c>
      <c r="O80" s="2090">
        <v>2.7E-2</v>
      </c>
      <c r="P80" s="2090">
        <v>4.024</v>
      </c>
      <c r="Q80" s="2091">
        <v>0</v>
      </c>
      <c r="R80" s="2091">
        <v>6.7097415506958248E-3</v>
      </c>
      <c r="S80" s="2099">
        <v>6.7097415506958248E-3</v>
      </c>
      <c r="T80" s="2098">
        <v>96</v>
      </c>
      <c r="U80" s="1707">
        <v>0</v>
      </c>
      <c r="V80" s="1707">
        <v>3.911</v>
      </c>
      <c r="W80" s="1707">
        <v>0.69899999999999995</v>
      </c>
      <c r="X80" s="1707">
        <v>0.69899999999999995</v>
      </c>
      <c r="Y80" s="1707">
        <v>3.911</v>
      </c>
      <c r="Z80" s="2093">
        <v>0</v>
      </c>
      <c r="AA80" s="2093">
        <v>0.18384460221294663</v>
      </c>
      <c r="AB80" s="2114">
        <v>0.18384460221294663</v>
      </c>
    </row>
    <row r="81" spans="2:28">
      <c r="B81" s="89">
        <v>97</v>
      </c>
      <c r="C81" s="1"/>
      <c r="D81" s="1">
        <v>3.6389999999999998</v>
      </c>
      <c r="E81" s="1">
        <v>1.216</v>
      </c>
      <c r="F81" s="1">
        <v>1.216</v>
      </c>
      <c r="G81" s="1">
        <v>3.6389999999999998</v>
      </c>
      <c r="H81" s="742">
        <v>0</v>
      </c>
      <c r="I81" s="742">
        <v>0.33415773564165979</v>
      </c>
      <c r="J81" s="2100">
        <v>0.33415773564165979</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3.7314999999999996</v>
      </c>
      <c r="W81" s="741">
        <v>0.61849999999999994</v>
      </c>
      <c r="X81" s="741">
        <v>0.61849999999999994</v>
      </c>
      <c r="Y81" s="741">
        <v>3.7314999999999996</v>
      </c>
      <c r="Z81" s="2088">
        <v>0</v>
      </c>
      <c r="AA81" s="2088">
        <v>0.16982468372041148</v>
      </c>
      <c r="AB81" s="2115">
        <v>0.16982468372041148</v>
      </c>
    </row>
    <row r="82" spans="2:28">
      <c r="B82" s="2098">
        <v>98</v>
      </c>
      <c r="C82" s="2090"/>
      <c r="D82" s="2090">
        <v>3.4950000000000001</v>
      </c>
      <c r="E82" s="2090">
        <v>1.0409999999999999</v>
      </c>
      <c r="F82" s="2090">
        <v>1.0409999999999999</v>
      </c>
      <c r="G82" s="2090">
        <v>3.4950000000000001</v>
      </c>
      <c r="H82" s="2091">
        <v>0</v>
      </c>
      <c r="I82" s="2091">
        <v>0.29785407725321883</v>
      </c>
      <c r="J82" s="2099">
        <v>0.29785407725321883</v>
      </c>
      <c r="K82" s="2098">
        <v>98</v>
      </c>
      <c r="L82" s="2090">
        <v>0</v>
      </c>
      <c r="M82" s="2090">
        <v>3.6429999999999998</v>
      </c>
      <c r="N82" s="2092">
        <v>1.7000000000000001E-2</v>
      </c>
      <c r="O82" s="2090">
        <v>1.7000000000000001E-2</v>
      </c>
      <c r="P82" s="2090">
        <v>3.6429999999999998</v>
      </c>
      <c r="Q82" s="2091">
        <v>0</v>
      </c>
      <c r="R82" s="2091">
        <v>4.6664836673071652E-3</v>
      </c>
      <c r="S82" s="2099">
        <v>4.6664836673071652E-3</v>
      </c>
      <c r="T82" s="2098">
        <v>98</v>
      </c>
      <c r="U82" s="1707">
        <v>0</v>
      </c>
      <c r="V82" s="1707">
        <v>3.569</v>
      </c>
      <c r="W82" s="1707">
        <v>0.52899999999999991</v>
      </c>
      <c r="X82" s="1707">
        <v>0.52899999999999991</v>
      </c>
      <c r="Y82" s="1707">
        <v>3.569</v>
      </c>
      <c r="Z82" s="2093">
        <v>0</v>
      </c>
      <c r="AA82" s="2093">
        <v>0.15126028046026299</v>
      </c>
      <c r="AB82" s="2114">
        <v>0.15126028046026299</v>
      </c>
    </row>
    <row r="83" spans="2:28">
      <c r="B83" s="89">
        <v>99</v>
      </c>
      <c r="C83" s="1"/>
      <c r="D83" s="1">
        <v>3.3639999999999999</v>
      </c>
      <c r="E83" s="1">
        <v>0.84799999999999998</v>
      </c>
      <c r="F83" s="1">
        <v>0.84799999999999998</v>
      </c>
      <c r="G83" s="1">
        <v>3.3639999999999999</v>
      </c>
      <c r="H83" s="742">
        <v>0</v>
      </c>
      <c r="I83" s="742">
        <v>0.25208085612366232</v>
      </c>
      <c r="J83" s="2100">
        <v>0.25208085612366232</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3.4219999999999997</v>
      </c>
      <c r="W83" s="741">
        <v>0.43049999999999999</v>
      </c>
      <c r="X83" s="741">
        <v>0.43049999999999999</v>
      </c>
      <c r="Y83" s="741">
        <v>3.4219999999999997</v>
      </c>
      <c r="Z83" s="2088">
        <v>0</v>
      </c>
      <c r="AA83" s="2088">
        <v>0.12790824415378518</v>
      </c>
      <c r="AB83" s="2115">
        <v>0.12790824415378518</v>
      </c>
    </row>
    <row r="84" spans="2:28" ht="15" thickBot="1">
      <c r="B84" s="2101">
        <v>100</v>
      </c>
      <c r="C84" s="2102"/>
      <c r="D84" s="2102">
        <v>3.2450000000000001</v>
      </c>
      <c r="E84" s="2102">
        <v>0.67200000000000004</v>
      </c>
      <c r="F84" s="2102">
        <v>0.67200000000000004</v>
      </c>
      <c r="G84" s="2102">
        <v>3.2450000000000001</v>
      </c>
      <c r="H84" s="2103">
        <v>0</v>
      </c>
      <c r="I84" s="2103">
        <v>0.20708782742681048</v>
      </c>
      <c r="J84" s="2104">
        <v>0.20708782742681048</v>
      </c>
      <c r="K84" s="2101">
        <v>100</v>
      </c>
      <c r="L84" s="2102">
        <v>0</v>
      </c>
      <c r="M84" s="2102">
        <v>3.335</v>
      </c>
      <c r="N84" s="2109">
        <v>0.01</v>
      </c>
      <c r="O84" s="2102">
        <v>0.01</v>
      </c>
      <c r="P84" s="2102">
        <v>3.335</v>
      </c>
      <c r="Q84" s="2103">
        <v>0</v>
      </c>
      <c r="R84" s="2103">
        <v>2.9985007496251873E-3</v>
      </c>
      <c r="S84" s="2104">
        <v>2.9985007496251873E-3</v>
      </c>
      <c r="T84" s="2101">
        <v>100</v>
      </c>
      <c r="U84" s="2116">
        <v>0</v>
      </c>
      <c r="V84" s="2116">
        <v>3.29</v>
      </c>
      <c r="W84" s="2116">
        <v>0.34100000000000003</v>
      </c>
      <c r="X84" s="2116">
        <v>0.34100000000000003</v>
      </c>
      <c r="Y84" s="2116">
        <v>3.29</v>
      </c>
      <c r="Z84" s="2117">
        <v>0</v>
      </c>
      <c r="AA84" s="2117">
        <v>0.10504316408821783</v>
      </c>
      <c r="AB84" s="2118">
        <v>0.10504316408821783</v>
      </c>
    </row>
  </sheetData>
  <mergeCells count="4">
    <mergeCell ref="H2:J2"/>
    <mergeCell ref="Q2:S2"/>
    <mergeCell ref="B2:B3"/>
    <mergeCell ref="Z2:AB2"/>
  </mergeCells>
  <phoneticPr fontId="60" type="noConversion"/>
  <pageMargins left="0.70866141732283472" right="0.70866141732283472" top="0.78740157480314965" bottom="0.78740157480314965"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workbookViewId="0">
      <pane ySplit="1800" topLeftCell="A4" activePane="bottomLeft"/>
      <selection activeCell="D10" sqref="D10"/>
      <selection pane="bottomLeft" activeCell="J9" sqref="J9"/>
    </sheetView>
  </sheetViews>
  <sheetFormatPr baseColWidth="10" defaultColWidth="11.125" defaultRowHeight="14.25"/>
  <cols>
    <col min="1" max="1" width="2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2038</v>
      </c>
      <c r="B2" s="4015"/>
      <c r="C2" s="2095" t="s">
        <v>0</v>
      </c>
      <c r="D2" s="2095" t="s">
        <v>1</v>
      </c>
      <c r="E2" s="2095" t="s">
        <v>2</v>
      </c>
      <c r="F2" s="2095" t="s">
        <v>185</v>
      </c>
      <c r="G2" s="2095" t="s">
        <v>1951</v>
      </c>
      <c r="H2" s="4011" t="s">
        <v>162</v>
      </c>
      <c r="I2" s="4011"/>
      <c r="J2" s="4012"/>
      <c r="K2" s="2105"/>
      <c r="L2" s="2106" t="s">
        <v>0</v>
      </c>
      <c r="M2" s="2106" t="s">
        <v>1</v>
      </c>
      <c r="N2" s="2106" t="s">
        <v>2</v>
      </c>
      <c r="O2" s="2106" t="s">
        <v>216</v>
      </c>
      <c r="P2" s="2106" t="str">
        <f>+G2</f>
        <v>Anwartschafts-barwert d. Altersrente</v>
      </c>
      <c r="Q2" s="4013" t="s">
        <v>163</v>
      </c>
      <c r="R2" s="4013"/>
      <c r="S2" s="4014"/>
      <c r="T2" s="2110"/>
      <c r="U2" s="2111" t="s">
        <v>0</v>
      </c>
      <c r="V2" s="2111" t="s">
        <v>1</v>
      </c>
      <c r="W2" s="2111" t="s">
        <v>2</v>
      </c>
      <c r="X2" s="2111" t="str">
        <f>+O2</f>
        <v>Witwenrente</v>
      </c>
      <c r="Y2" s="2111" t="s">
        <v>4</v>
      </c>
      <c r="Z2" s="4017" t="s">
        <v>167</v>
      </c>
      <c r="AA2" s="4017"/>
      <c r="AB2" s="4018"/>
    </row>
    <row r="3" spans="1:28" s="2" customFormat="1" ht="18.75">
      <c r="A3" s="60"/>
      <c r="B3" s="4016"/>
      <c r="C3" s="2089">
        <v>0.33100000000000002</v>
      </c>
      <c r="D3" s="2089" t="s">
        <v>14</v>
      </c>
      <c r="E3" s="2089" t="s">
        <v>28</v>
      </c>
      <c r="F3" s="2089" t="s">
        <v>1699</v>
      </c>
      <c r="G3" s="2089"/>
      <c r="H3" s="1108" t="s">
        <v>8</v>
      </c>
      <c r="I3" s="1108" t="s">
        <v>9</v>
      </c>
      <c r="J3" s="2097" t="s">
        <v>10</v>
      </c>
      <c r="K3" s="2107" t="s">
        <v>13</v>
      </c>
      <c r="L3" s="1109" t="s">
        <v>15</v>
      </c>
      <c r="M3" s="1109" t="s">
        <v>14</v>
      </c>
      <c r="N3" s="1109" t="s">
        <v>29</v>
      </c>
      <c r="O3" s="1109"/>
      <c r="P3" s="1109"/>
      <c r="Q3" s="1109" t="s">
        <v>8</v>
      </c>
      <c r="R3" s="1109" t="s">
        <v>9</v>
      </c>
      <c r="S3" s="2108" t="s">
        <v>10</v>
      </c>
      <c r="T3" s="2127" t="s">
        <v>13</v>
      </c>
      <c r="U3" s="2128" t="s">
        <v>15</v>
      </c>
      <c r="V3" s="2128" t="s">
        <v>14</v>
      </c>
      <c r="W3" s="2128" t="s">
        <v>29</v>
      </c>
      <c r="X3" s="2128"/>
      <c r="Y3" s="2128"/>
      <c r="Z3" s="2128" t="s">
        <v>8</v>
      </c>
      <c r="AA3" s="2128" t="s">
        <v>9</v>
      </c>
      <c r="AB3" s="2129" t="s">
        <v>10</v>
      </c>
    </row>
    <row r="4" spans="1:28">
      <c r="B4" s="2098">
        <v>20</v>
      </c>
      <c r="C4" s="2090">
        <v>0.32200000000000001</v>
      </c>
      <c r="D4" s="2090">
        <v>4.0860000000000003</v>
      </c>
      <c r="E4" s="2090">
        <v>0.53800000000000003</v>
      </c>
      <c r="F4" s="2090">
        <v>0.53800000000000003</v>
      </c>
      <c r="G4" s="2090">
        <v>3.7640000000000002</v>
      </c>
      <c r="H4" s="2091">
        <v>8.5547290116896921E-2</v>
      </c>
      <c r="I4" s="2091">
        <v>0.14293304994686504</v>
      </c>
      <c r="J4" s="2099">
        <v>0.22848034006376194</v>
      </c>
      <c r="K4" s="2098">
        <v>20</v>
      </c>
      <c r="L4" s="2090">
        <v>0.33300000000000002</v>
      </c>
      <c r="M4" s="2090">
        <v>4.835</v>
      </c>
      <c r="N4" s="2092">
        <v>0.13400000000000001</v>
      </c>
      <c r="O4" s="2090">
        <v>0.13400000000000001</v>
      </c>
      <c r="P4" s="2090">
        <v>4.5019999999999998</v>
      </c>
      <c r="Q4" s="2091">
        <v>7.3967125721901381E-2</v>
      </c>
      <c r="R4" s="2091">
        <v>2.976454908929365E-2</v>
      </c>
      <c r="S4" s="2099">
        <v>0.10373167481119502</v>
      </c>
      <c r="T4" s="2098">
        <v>20</v>
      </c>
      <c r="U4" s="1707">
        <v>0.32750000000000001</v>
      </c>
      <c r="V4" s="1707">
        <v>4.4604999999999997</v>
      </c>
      <c r="W4" s="1707">
        <v>0.33600000000000002</v>
      </c>
      <c r="X4" s="1707">
        <v>0.33600000000000002</v>
      </c>
      <c r="Y4" s="1707">
        <v>4.133</v>
      </c>
      <c r="Z4" s="2093">
        <v>7.9757207919399151E-2</v>
      </c>
      <c r="AA4" s="2093">
        <v>8.6348799518079347E-2</v>
      </c>
      <c r="AB4" s="2114">
        <v>0.1661060074374785</v>
      </c>
    </row>
    <row r="5" spans="1:28">
      <c r="B5" s="89">
        <v>21</v>
      </c>
      <c r="C5" s="1">
        <v>0.371</v>
      </c>
      <c r="D5" s="1">
        <v>4.21</v>
      </c>
      <c r="E5" s="1">
        <v>0.626</v>
      </c>
      <c r="F5" s="1">
        <v>0.626</v>
      </c>
      <c r="G5" s="1">
        <v>3.839</v>
      </c>
      <c r="H5" s="742">
        <v>9.663974993487888E-2</v>
      </c>
      <c r="I5" s="742">
        <v>0.16306329773378483</v>
      </c>
      <c r="J5" s="2100">
        <v>0.2597030476686637</v>
      </c>
      <c r="K5" s="89">
        <v>21</v>
      </c>
      <c r="L5" s="1">
        <v>0.40100000000000002</v>
      </c>
      <c r="M5" s="1">
        <v>4.9790000000000001</v>
      </c>
      <c r="N5" s="1427">
        <v>0.161</v>
      </c>
      <c r="O5" s="1">
        <v>0.161</v>
      </c>
      <c r="P5" s="1">
        <v>4.5780000000000003</v>
      </c>
      <c r="Q5" s="742">
        <v>8.7592835299257321E-2</v>
      </c>
      <c r="R5" s="742">
        <v>3.5168195718654434E-2</v>
      </c>
      <c r="S5" s="2100">
        <v>0.12276103101791175</v>
      </c>
      <c r="T5" s="89">
        <v>21</v>
      </c>
      <c r="U5" s="741">
        <v>0.38600000000000001</v>
      </c>
      <c r="V5" s="741">
        <v>4.5945</v>
      </c>
      <c r="W5" s="741">
        <v>0.39350000000000002</v>
      </c>
      <c r="X5" s="741">
        <v>0.39350000000000002</v>
      </c>
      <c r="Y5" s="741">
        <v>4.2084999999999999</v>
      </c>
      <c r="Z5" s="2088">
        <v>9.2116292617068107E-2</v>
      </c>
      <c r="AA5" s="2088">
        <v>9.9115746726219631E-2</v>
      </c>
      <c r="AB5" s="2115">
        <v>0.19123203934328772</v>
      </c>
    </row>
    <row r="6" spans="1:28">
      <c r="B6" s="2098">
        <v>22</v>
      </c>
      <c r="C6" s="2090">
        <v>0.42299999999999999</v>
      </c>
      <c r="D6" s="2090">
        <v>4.3360000000000003</v>
      </c>
      <c r="E6" s="2090">
        <v>0.71899999999999997</v>
      </c>
      <c r="F6" s="2090">
        <v>0.71899999999999997</v>
      </c>
      <c r="G6" s="2090">
        <v>3.9130000000000003</v>
      </c>
      <c r="H6" s="2091">
        <v>0.10810120112445692</v>
      </c>
      <c r="I6" s="2091">
        <v>0.18374648607206745</v>
      </c>
      <c r="J6" s="2099">
        <v>0.29184768719652437</v>
      </c>
      <c r="K6" s="2098">
        <v>22</v>
      </c>
      <c r="L6" s="2090">
        <v>0.46300000000000002</v>
      </c>
      <c r="M6" s="2090">
        <v>5.1269999999999998</v>
      </c>
      <c r="N6" s="2092">
        <v>0.187</v>
      </c>
      <c r="O6" s="2090">
        <v>0.187</v>
      </c>
      <c r="P6" s="2090">
        <v>4.6639999999999997</v>
      </c>
      <c r="Q6" s="2091">
        <v>9.9271012006861073E-2</v>
      </c>
      <c r="R6" s="2091">
        <v>4.0094339622641514E-2</v>
      </c>
      <c r="S6" s="2099">
        <v>0.13936535162950259</v>
      </c>
      <c r="T6" s="2098">
        <v>22</v>
      </c>
      <c r="U6" s="1707">
        <v>0.443</v>
      </c>
      <c r="V6" s="1707">
        <v>4.7315000000000005</v>
      </c>
      <c r="W6" s="1707">
        <v>0.45299999999999996</v>
      </c>
      <c r="X6" s="1707">
        <v>0.45299999999999996</v>
      </c>
      <c r="Y6" s="1707">
        <v>4.2885</v>
      </c>
      <c r="Z6" s="2093">
        <v>0.10368610656565899</v>
      </c>
      <c r="AA6" s="2093">
        <v>0.11192041284735449</v>
      </c>
      <c r="AB6" s="2114">
        <v>0.21560651941301348</v>
      </c>
    </row>
    <row r="7" spans="1:28">
      <c r="B7" s="89">
        <v>23</v>
      </c>
      <c r="C7" s="1">
        <v>0.47599999999999998</v>
      </c>
      <c r="D7" s="1">
        <v>4.4649999999999999</v>
      </c>
      <c r="E7" s="1">
        <v>0.81599999999999995</v>
      </c>
      <c r="F7" s="1">
        <v>0.81599999999999995</v>
      </c>
      <c r="G7" s="1">
        <v>3.9889999999999999</v>
      </c>
      <c r="H7" s="742">
        <v>0.11932815241915266</v>
      </c>
      <c r="I7" s="742">
        <v>0.20456254700426171</v>
      </c>
      <c r="J7" s="2100">
        <v>0.32389069942341436</v>
      </c>
      <c r="K7" s="89">
        <v>23</v>
      </c>
      <c r="L7" s="1">
        <v>0.51600000000000001</v>
      </c>
      <c r="M7" s="1">
        <v>5.2779999999999996</v>
      </c>
      <c r="N7" s="1427">
        <v>0.20899999999999999</v>
      </c>
      <c r="O7" s="1">
        <v>0.20899999999999999</v>
      </c>
      <c r="P7" s="1">
        <v>4.7619999999999996</v>
      </c>
      <c r="Q7" s="742">
        <v>0.10835783284334315</v>
      </c>
      <c r="R7" s="742">
        <v>4.388912221755565E-2</v>
      </c>
      <c r="S7" s="2100">
        <v>0.1522469550608988</v>
      </c>
      <c r="T7" s="89">
        <v>23</v>
      </c>
      <c r="U7" s="741">
        <v>0.496</v>
      </c>
      <c r="V7" s="741">
        <v>4.8714999999999993</v>
      </c>
      <c r="W7" s="741">
        <v>0.51249999999999996</v>
      </c>
      <c r="X7" s="741">
        <v>0.51249999999999996</v>
      </c>
      <c r="Y7" s="741">
        <v>4.3754999999999997</v>
      </c>
      <c r="Z7" s="2088">
        <v>0.11384299263124791</v>
      </c>
      <c r="AA7" s="2088">
        <v>0.12422583461090868</v>
      </c>
      <c r="AB7" s="2115">
        <v>0.23806882724215658</v>
      </c>
    </row>
    <row r="8" spans="1:28">
      <c r="B8" s="2098">
        <v>24</v>
      </c>
      <c r="C8" s="2090">
        <v>0.52400000000000002</v>
      </c>
      <c r="D8" s="2090">
        <v>4.5979999999999999</v>
      </c>
      <c r="E8" s="2090">
        <v>0.90600000000000003</v>
      </c>
      <c r="F8" s="2090">
        <v>0.90600000000000003</v>
      </c>
      <c r="G8" s="2090">
        <v>4.0739999999999998</v>
      </c>
      <c r="H8" s="2091">
        <v>0.12862052037309771</v>
      </c>
      <c r="I8" s="2091">
        <v>0.22238586156111931</v>
      </c>
      <c r="J8" s="2099">
        <v>0.35100638193421702</v>
      </c>
      <c r="K8" s="2098">
        <v>24</v>
      </c>
      <c r="L8" s="2090">
        <v>0.56399999999999995</v>
      </c>
      <c r="M8" s="2090">
        <v>5.4329999999999998</v>
      </c>
      <c r="N8" s="2092">
        <v>0.22900000000000001</v>
      </c>
      <c r="O8" s="2090">
        <v>0.22900000000000001</v>
      </c>
      <c r="P8" s="2090">
        <v>4.8689999999999998</v>
      </c>
      <c r="Q8" s="2091">
        <v>0.11583487369069624</v>
      </c>
      <c r="R8" s="2091">
        <v>4.7032244814130215E-2</v>
      </c>
      <c r="S8" s="2099">
        <v>0.16286711850482646</v>
      </c>
      <c r="T8" s="2098">
        <v>24</v>
      </c>
      <c r="U8" s="1707">
        <v>0.54400000000000004</v>
      </c>
      <c r="V8" s="1707">
        <v>5.0154999999999994</v>
      </c>
      <c r="W8" s="1707">
        <v>0.5675</v>
      </c>
      <c r="X8" s="1707">
        <v>0.5675</v>
      </c>
      <c r="Y8" s="1707">
        <v>4.4714999999999998</v>
      </c>
      <c r="Z8" s="2093">
        <v>0.12222769703189698</v>
      </c>
      <c r="AA8" s="2093">
        <v>0.13470905318762477</v>
      </c>
      <c r="AB8" s="2114">
        <v>0.25693675021952173</v>
      </c>
    </row>
    <row r="9" spans="1:28">
      <c r="B9" s="89">
        <v>25</v>
      </c>
      <c r="C9" s="1">
        <v>0.56599999999999995</v>
      </c>
      <c r="D9" s="1">
        <v>4.7329999999999997</v>
      </c>
      <c r="E9" s="1">
        <v>0.99</v>
      </c>
      <c r="F9" s="1">
        <v>0.99</v>
      </c>
      <c r="G9" s="1">
        <v>4.1669999999999998</v>
      </c>
      <c r="H9" s="742">
        <v>0.13582913366930646</v>
      </c>
      <c r="I9" s="742">
        <v>0.23758099352051837</v>
      </c>
      <c r="J9" s="2100">
        <v>0.3734101271898248</v>
      </c>
      <c r="K9" s="89">
        <v>25</v>
      </c>
      <c r="L9" s="1">
        <v>0.61099999999999999</v>
      </c>
      <c r="M9" s="1">
        <v>5.5910000000000002</v>
      </c>
      <c r="N9" s="1427">
        <v>0.25</v>
      </c>
      <c r="O9" s="1">
        <v>0.25</v>
      </c>
      <c r="P9" s="1">
        <v>4.9800000000000004</v>
      </c>
      <c r="Q9" s="742">
        <v>0.12269076305220883</v>
      </c>
      <c r="R9" s="742">
        <v>5.0200803212851398E-2</v>
      </c>
      <c r="S9" s="2100">
        <v>0.17289156626506022</v>
      </c>
      <c r="T9" s="89">
        <v>25</v>
      </c>
      <c r="U9" s="741">
        <v>0.58850000000000002</v>
      </c>
      <c r="V9" s="741">
        <v>5.1619999999999999</v>
      </c>
      <c r="W9" s="741">
        <v>0.62</v>
      </c>
      <c r="X9" s="741">
        <v>0.62</v>
      </c>
      <c r="Y9" s="741">
        <v>4.5735000000000001</v>
      </c>
      <c r="Z9" s="2088">
        <v>0.12925994836075766</v>
      </c>
      <c r="AA9" s="2088">
        <v>0.14389089836668489</v>
      </c>
      <c r="AB9" s="2115">
        <v>0.2731508467274425</v>
      </c>
    </row>
    <row r="10" spans="1:28">
      <c r="B10" s="2098">
        <v>26</v>
      </c>
      <c r="C10" s="2090">
        <v>0.60499999999999998</v>
      </c>
      <c r="D10" s="2090">
        <v>4.87</v>
      </c>
      <c r="E10" s="2090">
        <v>1.069</v>
      </c>
      <c r="F10" s="2090">
        <v>1.069</v>
      </c>
      <c r="G10" s="2090">
        <v>4.2650000000000006</v>
      </c>
      <c r="H10" s="2091">
        <v>0.14185228604923797</v>
      </c>
      <c r="I10" s="2091">
        <v>0.2506447831184056</v>
      </c>
      <c r="J10" s="2099">
        <v>0.3924970691676436</v>
      </c>
      <c r="K10" s="2098">
        <v>26</v>
      </c>
      <c r="L10" s="2090">
        <v>0.65800000000000003</v>
      </c>
      <c r="M10" s="2090">
        <v>5.7519999999999998</v>
      </c>
      <c r="N10" s="2092">
        <v>0.27100000000000002</v>
      </c>
      <c r="O10" s="2090">
        <v>0.27100000000000002</v>
      </c>
      <c r="P10" s="2090">
        <v>5.0939999999999994</v>
      </c>
      <c r="Q10" s="2091">
        <v>0.1291715744012564</v>
      </c>
      <c r="R10" s="2091">
        <v>5.3199842952493137E-2</v>
      </c>
      <c r="S10" s="2099">
        <v>0.18237141735374954</v>
      </c>
      <c r="T10" s="2098">
        <v>26</v>
      </c>
      <c r="U10" s="1707">
        <v>0.63149999999999995</v>
      </c>
      <c r="V10" s="1707">
        <v>5.3109999999999999</v>
      </c>
      <c r="W10" s="1707">
        <v>0.66999999999999993</v>
      </c>
      <c r="X10" s="1707">
        <v>0.66999999999999993</v>
      </c>
      <c r="Y10" s="1707">
        <v>4.6795</v>
      </c>
      <c r="Z10" s="2093">
        <v>0.13551193022524718</v>
      </c>
      <c r="AA10" s="2093">
        <v>0.15192231303544937</v>
      </c>
      <c r="AB10" s="2114">
        <v>0.28743424326069655</v>
      </c>
    </row>
    <row r="11" spans="1:28">
      <c r="B11" s="89">
        <v>27</v>
      </c>
      <c r="C11" s="1">
        <v>0.64</v>
      </c>
      <c r="D11" s="1">
        <v>5.0110000000000001</v>
      </c>
      <c r="E11" s="1">
        <v>1.145</v>
      </c>
      <c r="F11" s="1">
        <v>1.145</v>
      </c>
      <c r="G11" s="1">
        <v>4.3710000000000004</v>
      </c>
      <c r="H11" s="742">
        <v>0.14641958361930907</v>
      </c>
      <c r="I11" s="742">
        <v>0.26195378631892013</v>
      </c>
      <c r="J11" s="2100">
        <v>0.4083733699382292</v>
      </c>
      <c r="K11" s="89">
        <v>27</v>
      </c>
      <c r="L11" s="1">
        <v>0.70399999999999996</v>
      </c>
      <c r="M11" s="1">
        <v>5.915</v>
      </c>
      <c r="N11" s="1427">
        <v>0.29099999999999998</v>
      </c>
      <c r="O11" s="1">
        <v>0.29099999999999998</v>
      </c>
      <c r="P11" s="1">
        <v>5.2110000000000003</v>
      </c>
      <c r="Q11" s="742">
        <v>0.13509882939934753</v>
      </c>
      <c r="R11" s="742">
        <v>5.5843408175014389E-2</v>
      </c>
      <c r="S11" s="2100">
        <v>0.19094223757436191</v>
      </c>
      <c r="T11" s="89">
        <v>27</v>
      </c>
      <c r="U11" s="741">
        <v>0.67199999999999993</v>
      </c>
      <c r="V11" s="741">
        <v>5.4630000000000001</v>
      </c>
      <c r="W11" s="741">
        <v>0.71799999999999997</v>
      </c>
      <c r="X11" s="741">
        <v>0.71799999999999997</v>
      </c>
      <c r="Y11" s="741">
        <v>4.7910000000000004</v>
      </c>
      <c r="Z11" s="2088">
        <v>0.1407592065093283</v>
      </c>
      <c r="AA11" s="2088">
        <v>0.15889859724696725</v>
      </c>
      <c r="AB11" s="2115">
        <v>0.29965780375629558</v>
      </c>
    </row>
    <row r="12" spans="1:28">
      <c r="B12" s="2098">
        <v>28</v>
      </c>
      <c r="C12" s="2090">
        <v>0.67400000000000004</v>
      </c>
      <c r="D12" s="2090">
        <v>5.1550000000000002</v>
      </c>
      <c r="E12" s="2090">
        <v>1.22</v>
      </c>
      <c r="F12" s="2090">
        <v>1.22</v>
      </c>
      <c r="G12" s="2090">
        <v>4.4809999999999999</v>
      </c>
      <c r="H12" s="2091">
        <v>0.15041285427359966</v>
      </c>
      <c r="I12" s="2091">
        <v>0.27226065610354833</v>
      </c>
      <c r="J12" s="2099">
        <v>0.42267351037714795</v>
      </c>
      <c r="K12" s="2098">
        <v>28</v>
      </c>
      <c r="L12" s="2090">
        <v>0.748</v>
      </c>
      <c r="M12" s="2090">
        <v>6.0819999999999999</v>
      </c>
      <c r="N12" s="2092">
        <v>0.311</v>
      </c>
      <c r="O12" s="2090">
        <v>0.311</v>
      </c>
      <c r="P12" s="2090">
        <v>5.3339999999999996</v>
      </c>
      <c r="Q12" s="2091">
        <v>0.14023247094113236</v>
      </c>
      <c r="R12" s="2091">
        <v>5.8305211848518938E-2</v>
      </c>
      <c r="S12" s="2099">
        <v>0.19853768278965131</v>
      </c>
      <c r="T12" s="2098">
        <v>28</v>
      </c>
      <c r="U12" s="1707">
        <v>0.71100000000000008</v>
      </c>
      <c r="V12" s="1707">
        <v>5.6185</v>
      </c>
      <c r="W12" s="1707">
        <v>0.76549999999999996</v>
      </c>
      <c r="X12" s="1707">
        <v>0.76549999999999996</v>
      </c>
      <c r="Y12" s="1707">
        <v>4.9074999999999998</v>
      </c>
      <c r="Z12" s="2093">
        <v>0.14532266260736601</v>
      </c>
      <c r="AA12" s="2093">
        <v>0.16528293397603364</v>
      </c>
      <c r="AB12" s="2114">
        <v>0.31060559658339965</v>
      </c>
    </row>
    <row r="13" spans="1:28">
      <c r="B13" s="89">
        <v>29</v>
      </c>
      <c r="C13" s="1">
        <v>0.70499999999999996</v>
      </c>
      <c r="D13" s="1">
        <v>5.3019999999999996</v>
      </c>
      <c r="E13" s="1">
        <v>1.294</v>
      </c>
      <c r="F13" s="1">
        <v>1.294</v>
      </c>
      <c r="G13" s="1">
        <v>4.5969999999999995</v>
      </c>
      <c r="H13" s="742">
        <v>0.15336088753534916</v>
      </c>
      <c r="I13" s="742">
        <v>0.28148792690885366</v>
      </c>
      <c r="J13" s="2100">
        <v>0.43484881444420281</v>
      </c>
      <c r="K13" s="89">
        <v>29</v>
      </c>
      <c r="L13" s="1">
        <v>0.79</v>
      </c>
      <c r="M13" s="1">
        <v>6.2519999999999998</v>
      </c>
      <c r="N13" s="1427">
        <v>0.33100000000000002</v>
      </c>
      <c r="O13" s="1">
        <v>0.33100000000000002</v>
      </c>
      <c r="P13" s="1">
        <v>5.4619999999999997</v>
      </c>
      <c r="Q13" s="742">
        <v>0.14463566459172467</v>
      </c>
      <c r="R13" s="742">
        <v>6.0600512632735269E-2</v>
      </c>
      <c r="S13" s="2100">
        <v>0.20523617722445994</v>
      </c>
      <c r="T13" s="89">
        <v>29</v>
      </c>
      <c r="U13" s="741">
        <v>0.74750000000000005</v>
      </c>
      <c r="V13" s="741">
        <v>5.7769999999999992</v>
      </c>
      <c r="W13" s="741">
        <v>0.8125</v>
      </c>
      <c r="X13" s="741">
        <v>0.8125</v>
      </c>
      <c r="Y13" s="741">
        <v>5.0294999999999996</v>
      </c>
      <c r="Z13" s="2088">
        <v>0.14899827606353691</v>
      </c>
      <c r="AA13" s="2088">
        <v>0.17104421977079445</v>
      </c>
      <c r="AB13" s="2115">
        <v>0.32004249583433136</v>
      </c>
    </row>
    <row r="14" spans="1:28">
      <c r="B14" s="2098">
        <v>30</v>
      </c>
      <c r="C14" s="2090">
        <v>0.73399999999999999</v>
      </c>
      <c r="D14" s="2090">
        <v>5.452</v>
      </c>
      <c r="E14" s="2090">
        <v>1.3660000000000001</v>
      </c>
      <c r="F14" s="2090">
        <v>1.3660000000000001</v>
      </c>
      <c r="G14" s="2090">
        <v>4.718</v>
      </c>
      <c r="H14" s="2091">
        <v>0.155574395930479</v>
      </c>
      <c r="I14" s="2091">
        <v>0.28952946163628657</v>
      </c>
      <c r="J14" s="2099">
        <v>0.44510385756676557</v>
      </c>
      <c r="K14" s="2098">
        <v>30</v>
      </c>
      <c r="L14" s="2090">
        <v>0.83</v>
      </c>
      <c r="M14" s="2090">
        <v>6.4240000000000004</v>
      </c>
      <c r="N14" s="2092">
        <v>0.35099999999999998</v>
      </c>
      <c r="O14" s="2090">
        <v>0.35099999999999998</v>
      </c>
      <c r="P14" s="2090">
        <v>5.5940000000000003</v>
      </c>
      <c r="Q14" s="2091">
        <v>0.14837325706113691</v>
      </c>
      <c r="R14" s="2091">
        <v>6.2745799070432595E-2</v>
      </c>
      <c r="S14" s="2099">
        <v>0.2111190561315695</v>
      </c>
      <c r="T14" s="2098">
        <v>30</v>
      </c>
      <c r="U14" s="1707">
        <v>0.78200000000000003</v>
      </c>
      <c r="V14" s="1707">
        <v>5.9380000000000006</v>
      </c>
      <c r="W14" s="1707">
        <v>0.85850000000000004</v>
      </c>
      <c r="X14" s="1707">
        <v>0.85850000000000004</v>
      </c>
      <c r="Y14" s="1707">
        <v>5.1560000000000006</v>
      </c>
      <c r="Z14" s="2093">
        <v>0.15197382649580796</v>
      </c>
      <c r="AA14" s="2093">
        <v>0.17613763035335958</v>
      </c>
      <c r="AB14" s="2114">
        <v>0.32811145684916754</v>
      </c>
    </row>
    <row r="15" spans="1:28">
      <c r="B15" s="89">
        <v>31</v>
      </c>
      <c r="C15" s="1">
        <v>0.76200000000000001</v>
      </c>
      <c r="D15" s="1">
        <v>5.6059999999999999</v>
      </c>
      <c r="E15" s="1">
        <v>1.4379999999999999</v>
      </c>
      <c r="F15" s="1">
        <v>1.4379999999999999</v>
      </c>
      <c r="G15" s="1">
        <v>4.8439999999999994</v>
      </c>
      <c r="H15" s="742">
        <v>0.15730800990916599</v>
      </c>
      <c r="I15" s="742">
        <v>0.29686209744013214</v>
      </c>
      <c r="J15" s="2100">
        <v>0.45417010734929814</v>
      </c>
      <c r="K15" s="89">
        <v>31</v>
      </c>
      <c r="L15" s="1">
        <v>0.86799999999999999</v>
      </c>
      <c r="M15" s="1">
        <v>6.6</v>
      </c>
      <c r="N15" s="1427">
        <v>0.37</v>
      </c>
      <c r="O15" s="1">
        <v>0.37</v>
      </c>
      <c r="P15" s="1">
        <v>5.7319999999999993</v>
      </c>
      <c r="Q15" s="742">
        <v>0.15143056524773205</v>
      </c>
      <c r="R15" s="742">
        <v>6.454989532449408E-2</v>
      </c>
      <c r="S15" s="2100">
        <v>0.21598046057222614</v>
      </c>
      <c r="T15" s="89">
        <v>31</v>
      </c>
      <c r="U15" s="741">
        <v>0.81499999999999995</v>
      </c>
      <c r="V15" s="741">
        <v>6.1029999999999998</v>
      </c>
      <c r="W15" s="741">
        <v>0.90399999999999991</v>
      </c>
      <c r="X15" s="741">
        <v>0.90399999999999991</v>
      </c>
      <c r="Y15" s="741">
        <v>5.2879999999999994</v>
      </c>
      <c r="Z15" s="2088">
        <v>0.15436928757844903</v>
      </c>
      <c r="AA15" s="2088">
        <v>0.18070599638231311</v>
      </c>
      <c r="AB15" s="2115">
        <v>0.33507528396076214</v>
      </c>
    </row>
    <row r="16" spans="1:28">
      <c r="B16" s="2098">
        <v>32</v>
      </c>
      <c r="C16" s="2090">
        <v>0.78900000000000003</v>
      </c>
      <c r="D16" s="2090">
        <v>5.7629999999999999</v>
      </c>
      <c r="E16" s="2090">
        <v>1.51</v>
      </c>
      <c r="F16" s="2090">
        <v>1.51</v>
      </c>
      <c r="G16" s="2090">
        <v>4.9740000000000002</v>
      </c>
      <c r="H16" s="2091">
        <v>0.15862484921592279</v>
      </c>
      <c r="I16" s="2091">
        <v>0.30357860876558102</v>
      </c>
      <c r="J16" s="2099">
        <v>0.46220345798150381</v>
      </c>
      <c r="K16" s="2098">
        <v>32</v>
      </c>
      <c r="L16" s="2090">
        <v>0.90400000000000003</v>
      </c>
      <c r="M16" s="2090">
        <v>6.7789999999999999</v>
      </c>
      <c r="N16" s="2092">
        <v>0.38800000000000001</v>
      </c>
      <c r="O16" s="2090">
        <v>0.38800000000000001</v>
      </c>
      <c r="P16" s="2090">
        <v>5.875</v>
      </c>
      <c r="Q16" s="2091">
        <v>0.15387234042553191</v>
      </c>
      <c r="R16" s="2091">
        <v>6.604255319148937E-2</v>
      </c>
      <c r="S16" s="2099">
        <v>0.21991489361702127</v>
      </c>
      <c r="T16" s="2098">
        <v>32</v>
      </c>
      <c r="U16" s="1707">
        <v>0.84650000000000003</v>
      </c>
      <c r="V16" s="1707">
        <v>6.2709999999999999</v>
      </c>
      <c r="W16" s="1707">
        <v>0.94900000000000007</v>
      </c>
      <c r="X16" s="1707">
        <v>0.94900000000000007</v>
      </c>
      <c r="Y16" s="1707">
        <v>5.4245000000000001</v>
      </c>
      <c r="Z16" s="2093">
        <v>0.15624859482072734</v>
      </c>
      <c r="AA16" s="2093">
        <v>0.1848105809785352</v>
      </c>
      <c r="AB16" s="2114">
        <v>0.34105917579926254</v>
      </c>
    </row>
    <row r="17" spans="2:28">
      <c r="B17" s="89">
        <v>33</v>
      </c>
      <c r="C17" s="1">
        <v>0.81399999999999995</v>
      </c>
      <c r="D17" s="1">
        <v>5.9249999999999998</v>
      </c>
      <c r="E17" s="1">
        <v>1.5820000000000001</v>
      </c>
      <c r="F17" s="1">
        <v>1.5820000000000001</v>
      </c>
      <c r="G17" s="1">
        <v>5.1109999999999998</v>
      </c>
      <c r="H17" s="742">
        <v>0.15926433183330072</v>
      </c>
      <c r="I17" s="742">
        <v>0.30952846801017414</v>
      </c>
      <c r="J17" s="2100">
        <v>0.46879279984347488</v>
      </c>
      <c r="K17" s="89">
        <v>33</v>
      </c>
      <c r="L17" s="1">
        <v>0.93700000000000006</v>
      </c>
      <c r="M17" s="1">
        <v>6.9610000000000003</v>
      </c>
      <c r="N17" s="1427">
        <v>0.40600000000000003</v>
      </c>
      <c r="O17" s="1">
        <v>0.40600000000000003</v>
      </c>
      <c r="P17" s="1">
        <v>6.024</v>
      </c>
      <c r="Q17" s="742">
        <v>0.15554448871181939</v>
      </c>
      <c r="R17" s="742">
        <v>6.7397078353253662E-2</v>
      </c>
      <c r="S17" s="2100">
        <v>0.22294156706507307</v>
      </c>
      <c r="T17" s="89">
        <v>33</v>
      </c>
      <c r="U17" s="741">
        <v>0.87549999999999994</v>
      </c>
      <c r="V17" s="741">
        <v>6.4429999999999996</v>
      </c>
      <c r="W17" s="741">
        <v>0.99399999999999999</v>
      </c>
      <c r="X17" s="741">
        <v>0.99399999999999999</v>
      </c>
      <c r="Y17" s="741">
        <v>5.5674999999999999</v>
      </c>
      <c r="Z17" s="2088">
        <v>0.15740441027256005</v>
      </c>
      <c r="AA17" s="2088">
        <v>0.18846277318171389</v>
      </c>
      <c r="AB17" s="2115">
        <v>0.34586718345427397</v>
      </c>
    </row>
    <row r="18" spans="2:28">
      <c r="B18" s="2098">
        <v>34</v>
      </c>
      <c r="C18" s="2090">
        <v>0.83799999999999997</v>
      </c>
      <c r="D18" s="2090">
        <v>6.09</v>
      </c>
      <c r="E18" s="2090">
        <v>1.655</v>
      </c>
      <c r="F18" s="2090">
        <v>1.655</v>
      </c>
      <c r="G18" s="2090">
        <v>5.2519999999999998</v>
      </c>
      <c r="H18" s="2091">
        <v>0.15955826351865957</v>
      </c>
      <c r="I18" s="2091">
        <v>0.31511805026656514</v>
      </c>
      <c r="J18" s="2099">
        <v>0.47467631378522468</v>
      </c>
      <c r="K18" s="2098">
        <v>34</v>
      </c>
      <c r="L18" s="2090">
        <v>0.96599999999999997</v>
      </c>
      <c r="M18" s="2090">
        <v>7.1470000000000002</v>
      </c>
      <c r="N18" s="2092">
        <v>0.42399999999999999</v>
      </c>
      <c r="O18" s="2090">
        <v>0.42399999999999999</v>
      </c>
      <c r="P18" s="2090">
        <v>6.181</v>
      </c>
      <c r="Q18" s="2091">
        <v>0.15628539071347677</v>
      </c>
      <c r="R18" s="2091">
        <v>6.8597314350428734E-2</v>
      </c>
      <c r="S18" s="2099">
        <v>0.22488270506390551</v>
      </c>
      <c r="T18" s="2098">
        <v>34</v>
      </c>
      <c r="U18" s="1707">
        <v>0.90199999999999991</v>
      </c>
      <c r="V18" s="1707">
        <v>6.6185</v>
      </c>
      <c r="W18" s="1707">
        <v>1.0395000000000001</v>
      </c>
      <c r="X18" s="1707">
        <v>1.0395000000000001</v>
      </c>
      <c r="Y18" s="1707">
        <v>5.7164999999999999</v>
      </c>
      <c r="Z18" s="2093">
        <v>0.15792182711606817</v>
      </c>
      <c r="AA18" s="2093">
        <v>0.19185768230849692</v>
      </c>
      <c r="AB18" s="2114">
        <v>0.34977950942456509</v>
      </c>
    </row>
    <row r="19" spans="2:28">
      <c r="B19" s="89">
        <v>35</v>
      </c>
      <c r="C19" s="1">
        <v>0.86</v>
      </c>
      <c r="D19" s="1">
        <v>6.258</v>
      </c>
      <c r="E19" s="1">
        <v>1.7270000000000001</v>
      </c>
      <c r="F19" s="1">
        <v>1.7270000000000001</v>
      </c>
      <c r="G19" s="1">
        <v>5.3979999999999997</v>
      </c>
      <c r="H19" s="742">
        <v>0.15931826602445351</v>
      </c>
      <c r="I19" s="742">
        <v>0.31993330863282698</v>
      </c>
      <c r="J19" s="2100">
        <v>0.47925157465728052</v>
      </c>
      <c r="K19" s="89">
        <v>35</v>
      </c>
      <c r="L19" s="1">
        <v>0.99199999999999999</v>
      </c>
      <c r="M19" s="1">
        <v>7.335</v>
      </c>
      <c r="N19" s="1427">
        <v>0.441</v>
      </c>
      <c r="O19" s="1">
        <v>0.441</v>
      </c>
      <c r="P19" s="1">
        <v>6.343</v>
      </c>
      <c r="Q19" s="742">
        <v>0.15639287403436861</v>
      </c>
      <c r="R19" s="742">
        <v>6.9525461138262648E-2</v>
      </c>
      <c r="S19" s="2100">
        <v>0.22591833517263127</v>
      </c>
      <c r="T19" s="89">
        <v>35</v>
      </c>
      <c r="U19" s="741">
        <v>0.92599999999999993</v>
      </c>
      <c r="V19" s="741">
        <v>6.7965</v>
      </c>
      <c r="W19" s="741">
        <v>1.0840000000000001</v>
      </c>
      <c r="X19" s="741">
        <v>1.0840000000000001</v>
      </c>
      <c r="Y19" s="741">
        <v>5.8704999999999998</v>
      </c>
      <c r="Z19" s="2088">
        <v>0.15785557002941106</v>
      </c>
      <c r="AA19" s="2088">
        <v>0.19472938488554481</v>
      </c>
      <c r="AB19" s="2115">
        <v>0.35258495491495589</v>
      </c>
    </row>
    <row r="20" spans="2:28">
      <c r="B20" s="2098">
        <v>36</v>
      </c>
      <c r="C20" s="2090">
        <v>0.879</v>
      </c>
      <c r="D20" s="2090">
        <v>6.4290000000000003</v>
      </c>
      <c r="E20" s="2090">
        <v>1.8</v>
      </c>
      <c r="F20" s="2090">
        <v>1.8</v>
      </c>
      <c r="G20" s="2090">
        <v>5.5500000000000007</v>
      </c>
      <c r="H20" s="2091">
        <v>0.15837837837837837</v>
      </c>
      <c r="I20" s="2091">
        <v>0.32432432432432429</v>
      </c>
      <c r="J20" s="2099">
        <v>0.48270270270270266</v>
      </c>
      <c r="K20" s="2098">
        <v>36</v>
      </c>
      <c r="L20" s="2090">
        <v>1.0129999999999999</v>
      </c>
      <c r="M20" s="2090">
        <v>7.524</v>
      </c>
      <c r="N20" s="2092">
        <v>0.45700000000000002</v>
      </c>
      <c r="O20" s="2090">
        <v>0.45700000000000002</v>
      </c>
      <c r="P20" s="2090">
        <v>6.5110000000000001</v>
      </c>
      <c r="Q20" s="2091">
        <v>0.15558285977576408</v>
      </c>
      <c r="R20" s="2091">
        <v>7.0188911073567811E-2</v>
      </c>
      <c r="S20" s="2099">
        <v>0.22577177084933189</v>
      </c>
      <c r="T20" s="2098">
        <v>36</v>
      </c>
      <c r="U20" s="1707">
        <v>0.94599999999999995</v>
      </c>
      <c r="V20" s="1707">
        <v>6.9764999999999997</v>
      </c>
      <c r="W20" s="1707">
        <v>1.1285000000000001</v>
      </c>
      <c r="X20" s="1707">
        <v>1.1285000000000001</v>
      </c>
      <c r="Y20" s="1707">
        <v>6.0305</v>
      </c>
      <c r="Z20" s="2093">
        <v>0.15698061907707123</v>
      </c>
      <c r="AA20" s="2093">
        <v>0.19725661769894604</v>
      </c>
      <c r="AB20" s="2114">
        <v>0.35423723677601726</v>
      </c>
    </row>
    <row r="21" spans="2:28">
      <c r="B21" s="89">
        <v>37</v>
      </c>
      <c r="C21" s="1">
        <v>0.89300000000000002</v>
      </c>
      <c r="D21" s="1">
        <v>6.601</v>
      </c>
      <c r="E21" s="1">
        <v>1.8720000000000001</v>
      </c>
      <c r="F21" s="1">
        <v>1.8720000000000001</v>
      </c>
      <c r="G21" s="1">
        <v>5.7080000000000002</v>
      </c>
      <c r="H21" s="742">
        <v>0.15644709180098107</v>
      </c>
      <c r="I21" s="742">
        <v>0.3279607568325158</v>
      </c>
      <c r="J21" s="2100">
        <v>0.48440784863349684</v>
      </c>
      <c r="K21" s="89">
        <v>37</v>
      </c>
      <c r="L21" s="1">
        <v>1.028</v>
      </c>
      <c r="M21" s="1">
        <v>7.7160000000000002</v>
      </c>
      <c r="N21" s="1427">
        <v>0.47299999999999998</v>
      </c>
      <c r="O21" s="1">
        <v>0.47299999999999998</v>
      </c>
      <c r="P21" s="1">
        <v>6.6880000000000006</v>
      </c>
      <c r="Q21" s="742">
        <v>0.15370813397129185</v>
      </c>
      <c r="R21" s="742">
        <v>7.07236842105263E-2</v>
      </c>
      <c r="S21" s="2100">
        <v>0.22443181818181815</v>
      </c>
      <c r="T21" s="89">
        <v>37</v>
      </c>
      <c r="U21" s="741">
        <v>0.96050000000000002</v>
      </c>
      <c r="V21" s="741">
        <v>7.1585000000000001</v>
      </c>
      <c r="W21" s="741">
        <v>1.1725000000000001</v>
      </c>
      <c r="X21" s="741">
        <v>1.1725000000000001</v>
      </c>
      <c r="Y21" s="741">
        <v>6.1980000000000004</v>
      </c>
      <c r="Z21" s="2088">
        <v>0.15507761288613647</v>
      </c>
      <c r="AA21" s="2088">
        <v>0.19934222052152106</v>
      </c>
      <c r="AB21" s="2115">
        <v>0.35441983340765748</v>
      </c>
    </row>
    <row r="22" spans="2:28">
      <c r="B22" s="2098">
        <v>38</v>
      </c>
      <c r="C22" s="2090">
        <v>0.90100000000000002</v>
      </c>
      <c r="D22" s="2090">
        <v>6.774</v>
      </c>
      <c r="E22" s="2090">
        <v>1.944</v>
      </c>
      <c r="F22" s="2090">
        <v>1.944</v>
      </c>
      <c r="G22" s="2090">
        <v>5.8730000000000002</v>
      </c>
      <c r="H22" s="2091">
        <v>0.15341392814575175</v>
      </c>
      <c r="I22" s="2091">
        <v>0.33100630001702708</v>
      </c>
      <c r="J22" s="2099">
        <v>0.48442022816277885</v>
      </c>
      <c r="K22" s="2098">
        <v>38</v>
      </c>
      <c r="L22" s="2090">
        <v>1.0369999999999999</v>
      </c>
      <c r="M22" s="2090">
        <v>7.9080000000000004</v>
      </c>
      <c r="N22" s="2092">
        <v>0.48699999999999999</v>
      </c>
      <c r="O22" s="2090">
        <v>0.48699999999999999</v>
      </c>
      <c r="P22" s="2090">
        <v>6.8710000000000004</v>
      </c>
      <c r="Q22" s="2091">
        <v>0.15092417406491046</v>
      </c>
      <c r="R22" s="2091">
        <v>7.0877601513607905E-2</v>
      </c>
      <c r="S22" s="2099">
        <v>0.22180177557851838</v>
      </c>
      <c r="T22" s="2098">
        <v>38</v>
      </c>
      <c r="U22" s="1707">
        <v>0.96899999999999997</v>
      </c>
      <c r="V22" s="1707">
        <v>7.3410000000000002</v>
      </c>
      <c r="W22" s="1707">
        <v>1.2155</v>
      </c>
      <c r="X22" s="1707">
        <v>1.2155</v>
      </c>
      <c r="Y22" s="1707">
        <v>6.3719999999999999</v>
      </c>
      <c r="Z22" s="2093">
        <v>0.1521690511053311</v>
      </c>
      <c r="AA22" s="2093">
        <v>0.20094195076531748</v>
      </c>
      <c r="AB22" s="2114">
        <v>0.35311100187064859</v>
      </c>
    </row>
    <row r="23" spans="2:28">
      <c r="B23" s="89">
        <v>39</v>
      </c>
      <c r="C23" s="1">
        <v>0.90400000000000003</v>
      </c>
      <c r="D23" s="1">
        <v>6.9489999999999998</v>
      </c>
      <c r="E23" s="1">
        <v>2.016</v>
      </c>
      <c r="F23" s="1">
        <v>2.016</v>
      </c>
      <c r="G23" s="1">
        <v>6.0449999999999999</v>
      </c>
      <c r="H23" s="742">
        <v>0.14954507857733665</v>
      </c>
      <c r="I23" s="742">
        <v>0.33349875930521095</v>
      </c>
      <c r="J23" s="2100">
        <v>0.48304383788254757</v>
      </c>
      <c r="K23" s="89">
        <v>39</v>
      </c>
      <c r="L23" s="1">
        <v>1.0389999999999999</v>
      </c>
      <c r="M23" s="1">
        <v>8.1020000000000003</v>
      </c>
      <c r="N23" s="1427">
        <v>0.501</v>
      </c>
      <c r="O23" s="1">
        <v>0.501</v>
      </c>
      <c r="P23" s="1">
        <v>7.0630000000000006</v>
      </c>
      <c r="Q23" s="742">
        <v>0.14710462976072489</v>
      </c>
      <c r="R23" s="742">
        <v>7.0933031289820189E-2</v>
      </c>
      <c r="S23" s="2100">
        <v>0.21803766105054506</v>
      </c>
      <c r="T23" s="89">
        <v>39</v>
      </c>
      <c r="U23" s="741">
        <v>0.97150000000000003</v>
      </c>
      <c r="V23" s="741">
        <v>7.5255000000000001</v>
      </c>
      <c r="W23" s="741">
        <v>1.2585</v>
      </c>
      <c r="X23" s="741">
        <v>1.2585</v>
      </c>
      <c r="Y23" s="741">
        <v>6.5540000000000003</v>
      </c>
      <c r="Z23" s="2088">
        <v>0.14832485416903077</v>
      </c>
      <c r="AA23" s="2088">
        <v>0.20221589529751557</v>
      </c>
      <c r="AB23" s="2115">
        <v>0.35054074946654634</v>
      </c>
    </row>
    <row r="24" spans="2:28">
      <c r="B24" s="2098">
        <v>40</v>
      </c>
      <c r="C24" s="2090">
        <v>0.90300000000000002</v>
      </c>
      <c r="D24" s="2090">
        <v>7.1269999999999998</v>
      </c>
      <c r="E24" s="2090">
        <v>2.089</v>
      </c>
      <c r="F24" s="2090">
        <v>2.089</v>
      </c>
      <c r="G24" s="2090">
        <v>6.2240000000000002</v>
      </c>
      <c r="H24" s="2091">
        <v>0.14508354755784061</v>
      </c>
      <c r="I24" s="2091">
        <v>0.3356362467866324</v>
      </c>
      <c r="J24" s="2099">
        <v>0.48071979434447298</v>
      </c>
      <c r="K24" s="2098">
        <v>40</v>
      </c>
      <c r="L24" s="2090">
        <v>1.0349999999999999</v>
      </c>
      <c r="M24" s="2090">
        <v>8.2989999999999995</v>
      </c>
      <c r="N24" s="2092">
        <v>0.51500000000000001</v>
      </c>
      <c r="O24" s="2090">
        <v>0.51500000000000001</v>
      </c>
      <c r="P24" s="2090">
        <v>7.2639999999999993</v>
      </c>
      <c r="Q24" s="2091">
        <v>0.14248348017621146</v>
      </c>
      <c r="R24" s="2091">
        <v>7.0897577092511016E-2</v>
      </c>
      <c r="S24" s="2099">
        <v>0.21338105726872247</v>
      </c>
      <c r="T24" s="2098">
        <v>40</v>
      </c>
      <c r="U24" s="1707">
        <v>0.96899999999999997</v>
      </c>
      <c r="V24" s="1707">
        <v>7.7129999999999992</v>
      </c>
      <c r="W24" s="1707">
        <v>1.302</v>
      </c>
      <c r="X24" s="1707">
        <v>1.302</v>
      </c>
      <c r="Y24" s="1707">
        <v>6.7439999999999998</v>
      </c>
      <c r="Z24" s="2093">
        <v>0.14378351386702604</v>
      </c>
      <c r="AA24" s="2093">
        <v>0.20326691193957169</v>
      </c>
      <c r="AB24" s="2114">
        <v>0.34705042580659773</v>
      </c>
    </row>
    <row r="25" spans="2:28">
      <c r="B25" s="89">
        <v>41</v>
      </c>
      <c r="C25" s="1">
        <v>0.89900000000000002</v>
      </c>
      <c r="D25" s="1">
        <v>7.31</v>
      </c>
      <c r="E25" s="1">
        <v>2.1629999999999998</v>
      </c>
      <c r="F25" s="1">
        <v>2.1629999999999998</v>
      </c>
      <c r="G25" s="1">
        <v>6.4109999999999996</v>
      </c>
      <c r="H25" s="742">
        <v>0.14022773358290438</v>
      </c>
      <c r="I25" s="742">
        <v>0.33738886289190451</v>
      </c>
      <c r="J25" s="2100">
        <v>0.47761659647480892</v>
      </c>
      <c r="K25" s="89">
        <v>41</v>
      </c>
      <c r="L25" s="1">
        <v>1.028</v>
      </c>
      <c r="M25" s="1">
        <v>8.4990000000000006</v>
      </c>
      <c r="N25" s="1427">
        <v>0.52700000000000002</v>
      </c>
      <c r="O25" s="1">
        <v>0.52700000000000002</v>
      </c>
      <c r="P25" s="1">
        <v>7.4710000000000001</v>
      </c>
      <c r="Q25" s="742">
        <v>0.13759871503145496</v>
      </c>
      <c r="R25" s="742">
        <v>7.0539419087136929E-2</v>
      </c>
      <c r="S25" s="2100">
        <v>0.20813813411859189</v>
      </c>
      <c r="T25" s="89">
        <v>41</v>
      </c>
      <c r="U25" s="741">
        <v>0.96350000000000002</v>
      </c>
      <c r="V25" s="741">
        <v>7.9045000000000005</v>
      </c>
      <c r="W25" s="741">
        <v>1.345</v>
      </c>
      <c r="X25" s="741">
        <v>1.345</v>
      </c>
      <c r="Y25" s="741">
        <v>6.9409999999999998</v>
      </c>
      <c r="Z25" s="2088">
        <v>0.13891322430717967</v>
      </c>
      <c r="AA25" s="2088">
        <v>0.2039641409895207</v>
      </c>
      <c r="AB25" s="2115">
        <v>0.34287736529670043</v>
      </c>
    </row>
    <row r="26" spans="2:28">
      <c r="B26" s="2098">
        <v>42</v>
      </c>
      <c r="C26" s="2090">
        <v>0.89500000000000002</v>
      </c>
      <c r="D26" s="2090">
        <v>7.4980000000000002</v>
      </c>
      <c r="E26" s="2090">
        <v>2.238</v>
      </c>
      <c r="F26" s="2090">
        <v>2.238</v>
      </c>
      <c r="G26" s="2090">
        <v>6.6029999999999998</v>
      </c>
      <c r="H26" s="2091">
        <v>0.13554444949265487</v>
      </c>
      <c r="I26" s="2091">
        <v>0.33893684688777831</v>
      </c>
      <c r="J26" s="2099">
        <v>0.47448129638043318</v>
      </c>
      <c r="K26" s="2098">
        <v>42</v>
      </c>
      <c r="L26" s="2090">
        <v>1.0169999999999999</v>
      </c>
      <c r="M26" s="2090">
        <v>8.7040000000000006</v>
      </c>
      <c r="N26" s="2092">
        <v>0.54</v>
      </c>
      <c r="O26" s="2090">
        <v>0.54</v>
      </c>
      <c r="P26" s="2090">
        <v>7.6870000000000012</v>
      </c>
      <c r="Q26" s="2091">
        <v>0.13230128788864312</v>
      </c>
      <c r="R26" s="2091">
        <v>7.024847144529725E-2</v>
      </c>
      <c r="S26" s="2099">
        <v>0.20254975933394037</v>
      </c>
      <c r="T26" s="2098">
        <v>42</v>
      </c>
      <c r="U26" s="1707">
        <v>0.95599999999999996</v>
      </c>
      <c r="V26" s="1707">
        <v>8.1010000000000009</v>
      </c>
      <c r="W26" s="1707">
        <v>1.389</v>
      </c>
      <c r="X26" s="1707">
        <v>1.389</v>
      </c>
      <c r="Y26" s="1707">
        <v>7.1450000000000005</v>
      </c>
      <c r="Z26" s="2093">
        <v>0.13392286869064901</v>
      </c>
      <c r="AA26" s="2093">
        <v>0.20459265916653779</v>
      </c>
      <c r="AB26" s="2114">
        <v>0.33851552785718675</v>
      </c>
    </row>
    <row r="27" spans="2:28">
      <c r="B27" s="89">
        <v>43</v>
      </c>
      <c r="C27" s="1">
        <v>0.89</v>
      </c>
      <c r="D27" s="1">
        <v>7.694</v>
      </c>
      <c r="E27" s="1">
        <v>2.3130000000000002</v>
      </c>
      <c r="F27" s="1">
        <v>2.3130000000000002</v>
      </c>
      <c r="G27" s="1">
        <v>6.8040000000000003</v>
      </c>
      <c r="H27" s="742">
        <v>0.13080540858318634</v>
      </c>
      <c r="I27" s="742">
        <v>0.33994708994708994</v>
      </c>
      <c r="J27" s="2100">
        <v>0.47075249853027629</v>
      </c>
      <c r="K27" s="89">
        <v>43</v>
      </c>
      <c r="L27" s="1">
        <v>1.0029999999999999</v>
      </c>
      <c r="M27" s="1">
        <v>8.9149999999999991</v>
      </c>
      <c r="N27" s="1427">
        <v>0.55200000000000005</v>
      </c>
      <c r="O27" s="1">
        <v>0.55200000000000005</v>
      </c>
      <c r="P27" s="1">
        <v>7.911999999999999</v>
      </c>
      <c r="Q27" s="742">
        <v>0.12676946410515672</v>
      </c>
      <c r="R27" s="742">
        <v>6.9767441860465129E-2</v>
      </c>
      <c r="S27" s="2100">
        <v>0.19653690596562184</v>
      </c>
      <c r="T27" s="89">
        <v>43</v>
      </c>
      <c r="U27" s="741">
        <v>0.9464999999999999</v>
      </c>
      <c r="V27" s="741">
        <v>8.3044999999999991</v>
      </c>
      <c r="W27" s="741">
        <v>1.4325000000000001</v>
      </c>
      <c r="X27" s="741">
        <v>1.4325000000000001</v>
      </c>
      <c r="Y27" s="741">
        <v>7.3579999999999997</v>
      </c>
      <c r="Z27" s="2088">
        <v>0.12878743634417153</v>
      </c>
      <c r="AA27" s="2088">
        <v>0.20485726590377754</v>
      </c>
      <c r="AB27" s="2115">
        <v>0.33364470224794907</v>
      </c>
    </row>
    <row r="28" spans="2:28">
      <c r="B28" s="2098">
        <v>44</v>
      </c>
      <c r="C28" s="2090">
        <v>0.88500000000000001</v>
      </c>
      <c r="D28" s="2090">
        <v>7.8970000000000002</v>
      </c>
      <c r="E28" s="2090">
        <v>2.39</v>
      </c>
      <c r="F28" s="2090">
        <v>2.39</v>
      </c>
      <c r="G28" s="2090">
        <v>7.0120000000000005</v>
      </c>
      <c r="H28" s="2091">
        <v>0.12621220764403879</v>
      </c>
      <c r="I28" s="2091">
        <v>0.34084426697090703</v>
      </c>
      <c r="J28" s="2099">
        <v>0.46705647461494582</v>
      </c>
      <c r="K28" s="2098">
        <v>44</v>
      </c>
      <c r="L28" s="2090">
        <v>0.98799999999999999</v>
      </c>
      <c r="M28" s="2090">
        <v>9.1329999999999991</v>
      </c>
      <c r="N28" s="2092">
        <v>0.56399999999999995</v>
      </c>
      <c r="O28" s="2090">
        <v>0.56399999999999995</v>
      </c>
      <c r="P28" s="2090">
        <v>8.1449999999999996</v>
      </c>
      <c r="Q28" s="2091">
        <v>0.12130141190914671</v>
      </c>
      <c r="R28" s="2091">
        <v>6.9244935543278083E-2</v>
      </c>
      <c r="S28" s="2099">
        <v>0.1905463474524248</v>
      </c>
      <c r="T28" s="2098">
        <v>44</v>
      </c>
      <c r="U28" s="1707">
        <v>0.9365</v>
      </c>
      <c r="V28" s="1707">
        <v>8.5150000000000006</v>
      </c>
      <c r="W28" s="1707">
        <v>1.4770000000000001</v>
      </c>
      <c r="X28" s="1707">
        <v>1.4770000000000001</v>
      </c>
      <c r="Y28" s="1707">
        <v>7.5785</v>
      </c>
      <c r="Z28" s="2093">
        <v>0.12375680977659276</v>
      </c>
      <c r="AA28" s="2093">
        <v>0.20504460125709256</v>
      </c>
      <c r="AB28" s="2114">
        <v>0.32880141103368532</v>
      </c>
    </row>
    <row r="29" spans="2:28">
      <c r="B29" s="89">
        <v>45</v>
      </c>
      <c r="C29" s="1">
        <v>0.878</v>
      </c>
      <c r="D29" s="1">
        <v>8.1059999999999999</v>
      </c>
      <c r="E29" s="1">
        <v>2.4660000000000002</v>
      </c>
      <c r="F29" s="1">
        <v>2.4660000000000002</v>
      </c>
      <c r="G29" s="1">
        <v>7.2279999999999998</v>
      </c>
      <c r="H29" s="742">
        <v>0.12147205312672939</v>
      </c>
      <c r="I29" s="742">
        <v>0.34117321527393474</v>
      </c>
      <c r="J29" s="2100">
        <v>0.46264526840066411</v>
      </c>
      <c r="K29" s="89">
        <v>45</v>
      </c>
      <c r="L29" s="1">
        <v>0.97</v>
      </c>
      <c r="M29" s="1">
        <v>9.3569999999999993</v>
      </c>
      <c r="N29" s="1427">
        <v>0.57599999999999996</v>
      </c>
      <c r="O29" s="1">
        <v>0.57599999999999996</v>
      </c>
      <c r="P29" s="1">
        <v>8.3869999999999987</v>
      </c>
      <c r="Q29" s="742">
        <v>0.11565518063669968</v>
      </c>
      <c r="R29" s="742">
        <v>6.8677715512102069E-2</v>
      </c>
      <c r="S29" s="2100">
        <v>0.18433289614880174</v>
      </c>
      <c r="T29" s="89">
        <v>45</v>
      </c>
      <c r="U29" s="741">
        <v>0.92399999999999993</v>
      </c>
      <c r="V29" s="741">
        <v>8.7315000000000005</v>
      </c>
      <c r="W29" s="741">
        <v>1.5210000000000001</v>
      </c>
      <c r="X29" s="741">
        <v>1.5210000000000001</v>
      </c>
      <c r="Y29" s="741">
        <v>7.8074999999999992</v>
      </c>
      <c r="Z29" s="2088">
        <v>0.11856361688171453</v>
      </c>
      <c r="AA29" s="2088">
        <v>0.2049254653930184</v>
      </c>
      <c r="AB29" s="2115">
        <v>0.32348908227473294</v>
      </c>
    </row>
    <row r="30" spans="2:28">
      <c r="B30" s="2098">
        <v>46</v>
      </c>
      <c r="C30" s="2090">
        <v>0.86899999999999999</v>
      </c>
      <c r="D30" s="2090">
        <v>8.3230000000000004</v>
      </c>
      <c r="E30" s="2090">
        <v>2.5430000000000001</v>
      </c>
      <c r="F30" s="2090">
        <v>2.5430000000000001</v>
      </c>
      <c r="G30" s="2090">
        <v>7.4540000000000006</v>
      </c>
      <c r="H30" s="2091">
        <v>0.11658170110008048</v>
      </c>
      <c r="I30" s="2091">
        <v>0.34115910920311243</v>
      </c>
      <c r="J30" s="2099">
        <v>0.45774081030319291</v>
      </c>
      <c r="K30" s="2098">
        <v>46</v>
      </c>
      <c r="L30" s="2090">
        <v>0.95</v>
      </c>
      <c r="M30" s="2090">
        <v>9.5879999999999992</v>
      </c>
      <c r="N30" s="2092">
        <v>0.58699999999999997</v>
      </c>
      <c r="O30" s="2090">
        <v>0.58699999999999997</v>
      </c>
      <c r="P30" s="2090">
        <v>8.6379999999999999</v>
      </c>
      <c r="Q30" s="2091">
        <v>0.10997916184301922</v>
      </c>
      <c r="R30" s="2091">
        <v>6.7955545265107664E-2</v>
      </c>
      <c r="S30" s="2099">
        <v>0.17793470710812687</v>
      </c>
      <c r="T30" s="2098">
        <v>46</v>
      </c>
      <c r="U30" s="1707">
        <v>0.90949999999999998</v>
      </c>
      <c r="V30" s="1707">
        <v>8.9555000000000007</v>
      </c>
      <c r="W30" s="1707">
        <v>1.5649999999999999</v>
      </c>
      <c r="X30" s="1707">
        <v>1.5649999999999999</v>
      </c>
      <c r="Y30" s="1707">
        <v>8.0459999999999994</v>
      </c>
      <c r="Z30" s="2093">
        <v>0.11328043147154984</v>
      </c>
      <c r="AA30" s="2093">
        <v>0.20455732723411005</v>
      </c>
      <c r="AB30" s="2114">
        <v>0.31783775870565989</v>
      </c>
    </row>
    <row r="31" spans="2:28">
      <c r="B31" s="89">
        <v>47</v>
      </c>
      <c r="C31" s="1">
        <v>0.85799999999999998</v>
      </c>
      <c r="D31" s="1">
        <v>8.5459999999999994</v>
      </c>
      <c r="E31" s="1">
        <v>2.6179999999999999</v>
      </c>
      <c r="F31" s="1">
        <v>2.6179999999999999</v>
      </c>
      <c r="G31" s="1">
        <v>7.6879999999999997</v>
      </c>
      <c r="H31" s="742">
        <v>0.11160249739854318</v>
      </c>
      <c r="I31" s="742">
        <v>0.34053069719042661</v>
      </c>
      <c r="J31" s="2100">
        <v>0.45213319458896978</v>
      </c>
      <c r="K31" s="89">
        <v>47</v>
      </c>
      <c r="L31" s="1">
        <v>0.92600000000000005</v>
      </c>
      <c r="M31" s="1">
        <v>9.8249999999999993</v>
      </c>
      <c r="N31" s="1427">
        <v>0.59799999999999998</v>
      </c>
      <c r="O31" s="1">
        <v>0.59799999999999998</v>
      </c>
      <c r="P31" s="1">
        <v>8.8989999999999991</v>
      </c>
      <c r="Q31" s="742">
        <v>0.10405663557703114</v>
      </c>
      <c r="R31" s="742">
        <v>6.7198561636138895E-2</v>
      </c>
      <c r="S31" s="2100">
        <v>0.17125519721317004</v>
      </c>
      <c r="T31" s="89">
        <v>47</v>
      </c>
      <c r="U31" s="741">
        <v>0.89200000000000002</v>
      </c>
      <c r="V31" s="741">
        <v>9.1854999999999993</v>
      </c>
      <c r="W31" s="741">
        <v>1.6079999999999999</v>
      </c>
      <c r="X31" s="741">
        <v>1.6079999999999999</v>
      </c>
      <c r="Y31" s="741">
        <v>8.2934999999999999</v>
      </c>
      <c r="Z31" s="2088">
        <v>0.10782956648778716</v>
      </c>
      <c r="AA31" s="2088">
        <v>0.20386462941328276</v>
      </c>
      <c r="AB31" s="2115">
        <v>0.31169419590106989</v>
      </c>
    </row>
    <row r="32" spans="2:28">
      <c r="B32" s="2098">
        <v>48</v>
      </c>
      <c r="C32" s="2090">
        <v>0.84299999999999997</v>
      </c>
      <c r="D32" s="2090">
        <v>8.7750000000000004</v>
      </c>
      <c r="E32" s="2090">
        <v>2.6920000000000002</v>
      </c>
      <c r="F32" s="2090">
        <v>2.6920000000000002</v>
      </c>
      <c r="G32" s="2090">
        <v>7.9320000000000004</v>
      </c>
      <c r="H32" s="2091">
        <v>0.10627836611195159</v>
      </c>
      <c r="I32" s="2091">
        <v>0.3393847705496722</v>
      </c>
      <c r="J32" s="2099">
        <v>0.44566313666162377</v>
      </c>
      <c r="K32" s="2098">
        <v>48</v>
      </c>
      <c r="L32" s="2090">
        <v>0.9</v>
      </c>
      <c r="M32" s="2090">
        <v>10.07</v>
      </c>
      <c r="N32" s="2092">
        <v>0.60799999999999998</v>
      </c>
      <c r="O32" s="2090">
        <v>0.60799999999999998</v>
      </c>
      <c r="P32" s="2090">
        <v>9.17</v>
      </c>
      <c r="Q32" s="2091">
        <v>9.8146128680479824E-2</v>
      </c>
      <c r="R32" s="2091">
        <v>6.6303162486368597E-2</v>
      </c>
      <c r="S32" s="2099">
        <v>0.16444929116684842</v>
      </c>
      <c r="T32" s="2098">
        <v>48</v>
      </c>
      <c r="U32" s="1707">
        <v>0.87149999999999994</v>
      </c>
      <c r="V32" s="1707">
        <v>9.4224999999999994</v>
      </c>
      <c r="W32" s="1707">
        <v>1.6500000000000001</v>
      </c>
      <c r="X32" s="1707">
        <v>1.6500000000000001</v>
      </c>
      <c r="Y32" s="1707">
        <v>8.5510000000000002</v>
      </c>
      <c r="Z32" s="2093">
        <v>0.10221224739621571</v>
      </c>
      <c r="AA32" s="2093">
        <v>0.20284396651802039</v>
      </c>
      <c r="AB32" s="2114">
        <v>0.3050562139142361</v>
      </c>
    </row>
    <row r="33" spans="2:28">
      <c r="B33" s="89">
        <v>49</v>
      </c>
      <c r="C33" s="1">
        <v>0.82299999999999995</v>
      </c>
      <c r="D33" s="1">
        <v>9.0109999999999992</v>
      </c>
      <c r="E33" s="1">
        <v>2.7650000000000001</v>
      </c>
      <c r="F33" s="1">
        <v>2.7650000000000001</v>
      </c>
      <c r="G33" s="1">
        <v>8.1879999999999988</v>
      </c>
      <c r="H33" s="742">
        <v>0.10051294577430386</v>
      </c>
      <c r="I33" s="742">
        <v>0.33768930141670744</v>
      </c>
      <c r="J33" s="2100">
        <v>0.43820224719101131</v>
      </c>
      <c r="K33" s="89">
        <v>49</v>
      </c>
      <c r="L33" s="1">
        <v>0.86899999999999999</v>
      </c>
      <c r="M33" s="1">
        <v>10.32</v>
      </c>
      <c r="N33" s="1427">
        <v>0.61599999999999999</v>
      </c>
      <c r="O33" s="1">
        <v>0.61599999999999999</v>
      </c>
      <c r="P33" s="1">
        <v>9.4510000000000005</v>
      </c>
      <c r="Q33" s="742">
        <v>9.1947942016717799E-2</v>
      </c>
      <c r="R33" s="742">
        <v>6.5178288011850591E-2</v>
      </c>
      <c r="S33" s="2100">
        <v>0.1571262300285684</v>
      </c>
      <c r="T33" s="89">
        <v>49</v>
      </c>
      <c r="U33" s="741">
        <v>0.84599999999999997</v>
      </c>
      <c r="V33" s="741">
        <v>9.6654999999999998</v>
      </c>
      <c r="W33" s="741">
        <v>1.6905000000000001</v>
      </c>
      <c r="X33" s="741">
        <v>1.6905000000000001</v>
      </c>
      <c r="Y33" s="741">
        <v>8.8194999999999997</v>
      </c>
      <c r="Z33" s="2088">
        <v>9.6230443895510831E-2</v>
      </c>
      <c r="AA33" s="2088">
        <v>0.20143379471427902</v>
      </c>
      <c r="AB33" s="2115">
        <v>0.29766423860978986</v>
      </c>
    </row>
    <row r="34" spans="2:28">
      <c r="B34" s="2098">
        <v>50</v>
      </c>
      <c r="C34" s="2090">
        <v>0.79700000000000004</v>
      </c>
      <c r="D34" s="2090">
        <v>9.2530000000000001</v>
      </c>
      <c r="E34" s="2090">
        <v>2.835</v>
      </c>
      <c r="F34" s="2090">
        <v>2.835</v>
      </c>
      <c r="G34" s="2090">
        <v>8.4559999999999995</v>
      </c>
      <c r="H34" s="2091">
        <v>9.4252601702932842E-2</v>
      </c>
      <c r="I34" s="2091">
        <v>0.33526490066225167</v>
      </c>
      <c r="J34" s="2099">
        <v>0.42951750236518449</v>
      </c>
      <c r="K34" s="2098">
        <v>50</v>
      </c>
      <c r="L34" s="2090">
        <v>0.83299999999999996</v>
      </c>
      <c r="M34" s="2090">
        <v>10.577</v>
      </c>
      <c r="N34" s="2092">
        <v>0.624</v>
      </c>
      <c r="O34" s="2090">
        <v>0.624</v>
      </c>
      <c r="P34" s="2090">
        <v>9.7439999999999998</v>
      </c>
      <c r="Q34" s="2091">
        <v>8.5488505747126436E-2</v>
      </c>
      <c r="R34" s="2091">
        <v>6.4039408866995079E-2</v>
      </c>
      <c r="S34" s="2099">
        <v>0.14952791461412152</v>
      </c>
      <c r="T34" s="2098">
        <v>50</v>
      </c>
      <c r="U34" s="1707">
        <v>0.81499999999999995</v>
      </c>
      <c r="V34" s="1707">
        <v>9.9149999999999991</v>
      </c>
      <c r="W34" s="1707">
        <v>1.7295</v>
      </c>
      <c r="X34" s="1707">
        <v>1.7295</v>
      </c>
      <c r="Y34" s="1707">
        <v>9.1</v>
      </c>
      <c r="Z34" s="2093">
        <v>8.9870553725029639E-2</v>
      </c>
      <c r="AA34" s="2093">
        <v>0.19965215476462339</v>
      </c>
      <c r="AB34" s="2114">
        <v>0.289522708489653</v>
      </c>
    </row>
    <row r="35" spans="2:28">
      <c r="B35" s="89">
        <v>51</v>
      </c>
      <c r="C35" s="1">
        <v>0.76500000000000001</v>
      </c>
      <c r="D35" s="1">
        <v>9.5009999999999994</v>
      </c>
      <c r="E35" s="1">
        <v>2.9020000000000001</v>
      </c>
      <c r="F35" s="1">
        <v>2.9020000000000001</v>
      </c>
      <c r="G35" s="1">
        <v>8.7359999999999989</v>
      </c>
      <c r="H35" s="742">
        <v>8.7568681318681327E-2</v>
      </c>
      <c r="I35" s="742">
        <v>0.33218864468864473</v>
      </c>
      <c r="J35" s="2100">
        <v>0.41975732600732607</v>
      </c>
      <c r="K35" s="89">
        <v>51</v>
      </c>
      <c r="L35" s="1">
        <v>0.79200000000000004</v>
      </c>
      <c r="M35" s="1">
        <v>10.839</v>
      </c>
      <c r="N35" s="1427">
        <v>0.63100000000000001</v>
      </c>
      <c r="O35" s="1">
        <v>0.63100000000000001</v>
      </c>
      <c r="P35" s="1">
        <v>10.047000000000001</v>
      </c>
      <c r="Q35" s="742">
        <v>7.8829501343684674E-2</v>
      </c>
      <c r="R35" s="742">
        <v>6.2804817358415449E-2</v>
      </c>
      <c r="S35" s="2100">
        <v>0.14163431870210014</v>
      </c>
      <c r="T35" s="89">
        <v>51</v>
      </c>
      <c r="U35" s="741">
        <v>0.77849999999999997</v>
      </c>
      <c r="V35" s="741">
        <v>10.17</v>
      </c>
      <c r="W35" s="741">
        <v>1.7665000000000002</v>
      </c>
      <c r="X35" s="741">
        <v>1.7665000000000002</v>
      </c>
      <c r="Y35" s="741">
        <v>9.3915000000000006</v>
      </c>
      <c r="Z35" s="2088">
        <v>8.3199091331183E-2</v>
      </c>
      <c r="AA35" s="2088">
        <v>0.1974967310235301</v>
      </c>
      <c r="AB35" s="2115">
        <v>0.28069582235471313</v>
      </c>
    </row>
    <row r="36" spans="2:28">
      <c r="B36" s="2098">
        <v>52</v>
      </c>
      <c r="C36" s="2090">
        <v>0.72799999999999998</v>
      </c>
      <c r="D36" s="2090">
        <v>9.7569999999999997</v>
      </c>
      <c r="E36" s="2090">
        <v>2.9670000000000001</v>
      </c>
      <c r="F36" s="2090">
        <v>2.9670000000000001</v>
      </c>
      <c r="G36" s="2090">
        <v>9.0289999999999999</v>
      </c>
      <c r="H36" s="2091">
        <v>8.0629084062465384E-2</v>
      </c>
      <c r="I36" s="2091">
        <v>0.32860781924908627</v>
      </c>
      <c r="J36" s="2099">
        <v>0.40923690331155166</v>
      </c>
      <c r="K36" s="2098">
        <v>52</v>
      </c>
      <c r="L36" s="2090">
        <v>0.74399999999999999</v>
      </c>
      <c r="M36" s="2090">
        <v>11.108000000000001</v>
      </c>
      <c r="N36" s="2092">
        <v>0.63600000000000001</v>
      </c>
      <c r="O36" s="2090">
        <v>0.63600000000000001</v>
      </c>
      <c r="P36" s="2090">
        <v>10.364000000000001</v>
      </c>
      <c r="Q36" s="2091">
        <v>7.1786954843689688E-2</v>
      </c>
      <c r="R36" s="2091">
        <v>6.1366267850250865E-2</v>
      </c>
      <c r="S36" s="2099">
        <v>0.13315322269394056</v>
      </c>
      <c r="T36" s="2098">
        <v>52</v>
      </c>
      <c r="U36" s="1707">
        <v>0.73599999999999999</v>
      </c>
      <c r="V36" s="1707">
        <v>10.432500000000001</v>
      </c>
      <c r="W36" s="1707">
        <v>1.8015000000000001</v>
      </c>
      <c r="X36" s="1707">
        <v>1.8015000000000001</v>
      </c>
      <c r="Y36" s="1707">
        <v>9.6965000000000003</v>
      </c>
      <c r="Z36" s="2093">
        <v>7.6208019453077536E-2</v>
      </c>
      <c r="AA36" s="2093">
        <v>0.19498704354966856</v>
      </c>
      <c r="AB36" s="2114">
        <v>0.2711950630027461</v>
      </c>
    </row>
    <row r="37" spans="2:28">
      <c r="B37" s="89">
        <v>53</v>
      </c>
      <c r="C37" s="1">
        <v>0.68400000000000005</v>
      </c>
      <c r="D37" s="1">
        <v>10.02</v>
      </c>
      <c r="E37" s="1">
        <v>3.0289999999999999</v>
      </c>
      <c r="F37" s="1">
        <v>3.0289999999999999</v>
      </c>
      <c r="G37" s="1">
        <v>9.3360000000000003</v>
      </c>
      <c r="H37" s="742">
        <v>7.3264781491002573E-2</v>
      </c>
      <c r="I37" s="742">
        <v>0.32444301628106254</v>
      </c>
      <c r="J37" s="2100">
        <v>0.39770779777206511</v>
      </c>
      <c r="K37" s="89">
        <v>53</v>
      </c>
      <c r="L37" s="1">
        <v>0.69</v>
      </c>
      <c r="M37" s="1">
        <v>11.382</v>
      </c>
      <c r="N37" s="1427">
        <v>0.64</v>
      </c>
      <c r="O37" s="1">
        <v>0.64</v>
      </c>
      <c r="P37" s="1">
        <v>10.692</v>
      </c>
      <c r="Q37" s="742">
        <v>6.4534231200897865E-2</v>
      </c>
      <c r="R37" s="742">
        <v>5.9857837635615412E-2</v>
      </c>
      <c r="S37" s="2100">
        <v>0.12439206883651327</v>
      </c>
      <c r="T37" s="89">
        <v>53</v>
      </c>
      <c r="U37" s="741">
        <v>0.68700000000000006</v>
      </c>
      <c r="V37" s="741">
        <v>10.701000000000001</v>
      </c>
      <c r="W37" s="741">
        <v>1.8345</v>
      </c>
      <c r="X37" s="741">
        <v>1.8345</v>
      </c>
      <c r="Y37" s="741">
        <v>10.013999999999999</v>
      </c>
      <c r="Z37" s="2088">
        <v>6.8899506345950212E-2</v>
      </c>
      <c r="AA37" s="2088">
        <v>0.19215042695833898</v>
      </c>
      <c r="AB37" s="2115">
        <v>0.26104993330428916</v>
      </c>
    </row>
    <row r="38" spans="2:28">
      <c r="B38" s="2098">
        <v>54</v>
      </c>
      <c r="C38" s="2090">
        <v>0.63200000000000001</v>
      </c>
      <c r="D38" s="2090">
        <v>10.29</v>
      </c>
      <c r="E38" s="2090">
        <v>3.0870000000000002</v>
      </c>
      <c r="F38" s="2090">
        <v>3.0870000000000002</v>
      </c>
      <c r="G38" s="2090">
        <v>9.6579999999999995</v>
      </c>
      <c r="H38" s="2091">
        <v>6.5437978877614419E-2</v>
      </c>
      <c r="I38" s="2091">
        <v>0.31963139366328436</v>
      </c>
      <c r="J38" s="2099">
        <v>0.38506937254089879</v>
      </c>
      <c r="K38" s="2098">
        <v>54</v>
      </c>
      <c r="L38" s="2090">
        <v>0.629</v>
      </c>
      <c r="M38" s="2090">
        <v>11.662000000000001</v>
      </c>
      <c r="N38" s="2092">
        <v>0.64200000000000002</v>
      </c>
      <c r="O38" s="2090">
        <v>0.64200000000000002</v>
      </c>
      <c r="P38" s="2090">
        <v>11.033000000000001</v>
      </c>
      <c r="Q38" s="2091">
        <v>5.7010785824345142E-2</v>
      </c>
      <c r="R38" s="2091">
        <v>5.8189069156167852E-2</v>
      </c>
      <c r="S38" s="2099">
        <v>0.11519985498051299</v>
      </c>
      <c r="T38" s="2098">
        <v>54</v>
      </c>
      <c r="U38" s="1707">
        <v>0.63050000000000006</v>
      </c>
      <c r="V38" s="1707">
        <v>10.975999999999999</v>
      </c>
      <c r="W38" s="1707">
        <v>1.8645</v>
      </c>
      <c r="X38" s="1707">
        <v>1.8645</v>
      </c>
      <c r="Y38" s="1707">
        <v>10.345500000000001</v>
      </c>
      <c r="Z38" s="2093">
        <v>6.1224382350979781E-2</v>
      </c>
      <c r="AA38" s="2093">
        <v>0.1889102314097261</v>
      </c>
      <c r="AB38" s="2114">
        <v>0.25013461376070589</v>
      </c>
    </row>
    <row r="39" spans="2:28">
      <c r="B39" s="89">
        <v>55</v>
      </c>
      <c r="C39" s="1">
        <v>0.57399999999999995</v>
      </c>
      <c r="D39" s="1">
        <v>10.568</v>
      </c>
      <c r="E39" s="1">
        <v>3.1429999999999998</v>
      </c>
      <c r="F39" s="1">
        <v>3.1429999999999998</v>
      </c>
      <c r="G39" s="1">
        <v>9.9939999999999998</v>
      </c>
      <c r="H39" s="742">
        <v>5.7434460676405841E-2</v>
      </c>
      <c r="I39" s="742">
        <v>0.31448869321592954</v>
      </c>
      <c r="J39" s="2100">
        <v>0.37192315389233538</v>
      </c>
      <c r="K39" s="89">
        <v>55</v>
      </c>
      <c r="L39" s="1">
        <v>0.56000000000000005</v>
      </c>
      <c r="M39" s="1">
        <v>11.949</v>
      </c>
      <c r="N39" s="1427">
        <v>0.64300000000000002</v>
      </c>
      <c r="O39" s="1">
        <v>0.64300000000000002</v>
      </c>
      <c r="P39" s="1">
        <v>11.388999999999999</v>
      </c>
      <c r="Q39" s="742">
        <v>4.9170251997541492E-2</v>
      </c>
      <c r="R39" s="742">
        <v>5.6457985775748537E-2</v>
      </c>
      <c r="S39" s="2100">
        <v>0.10562823777329003</v>
      </c>
      <c r="T39" s="89">
        <v>55</v>
      </c>
      <c r="U39" s="741">
        <v>0.56699999999999995</v>
      </c>
      <c r="V39" s="741">
        <v>11.2585</v>
      </c>
      <c r="W39" s="741">
        <v>1.8929999999999998</v>
      </c>
      <c r="X39" s="741">
        <v>1.8929999999999998</v>
      </c>
      <c r="Y39" s="741">
        <v>10.6915</v>
      </c>
      <c r="Z39" s="2088">
        <v>5.3302356336973666E-2</v>
      </c>
      <c r="AA39" s="2088">
        <v>0.18547333949583905</v>
      </c>
      <c r="AB39" s="2115">
        <v>0.23877569583281272</v>
      </c>
    </row>
    <row r="40" spans="2:28">
      <c r="B40" s="2098">
        <v>56</v>
      </c>
      <c r="C40" s="2090">
        <v>0.50700000000000001</v>
      </c>
      <c r="D40" s="2090">
        <v>10.853999999999999</v>
      </c>
      <c r="E40" s="2090">
        <v>3.1960000000000002</v>
      </c>
      <c r="F40" s="2090">
        <v>3.1960000000000002</v>
      </c>
      <c r="G40" s="2090">
        <v>10.347</v>
      </c>
      <c r="H40" s="2091">
        <v>4.8999710060887214E-2</v>
      </c>
      <c r="I40" s="2091">
        <v>0.30888180148835415</v>
      </c>
      <c r="J40" s="2099">
        <v>0.35788151154924136</v>
      </c>
      <c r="K40" s="2098">
        <v>56</v>
      </c>
      <c r="L40" s="2090">
        <v>0.48499999999999999</v>
      </c>
      <c r="M40" s="2090">
        <v>12.242000000000001</v>
      </c>
      <c r="N40" s="2092">
        <v>0.64300000000000002</v>
      </c>
      <c r="O40" s="2090">
        <v>0.64300000000000002</v>
      </c>
      <c r="P40" s="2090">
        <v>11.757000000000001</v>
      </c>
      <c r="Q40" s="2091">
        <v>4.1252020073147905E-2</v>
      </c>
      <c r="R40" s="2091">
        <v>5.4690822488730112E-2</v>
      </c>
      <c r="S40" s="2099">
        <v>9.5942842561878017E-2</v>
      </c>
      <c r="T40" s="2098">
        <v>56</v>
      </c>
      <c r="U40" s="1707">
        <v>0.496</v>
      </c>
      <c r="V40" s="1707">
        <v>11.548</v>
      </c>
      <c r="W40" s="1707">
        <v>1.9195000000000002</v>
      </c>
      <c r="X40" s="1707">
        <v>1.9195000000000002</v>
      </c>
      <c r="Y40" s="1707">
        <v>11.052</v>
      </c>
      <c r="Z40" s="2093">
        <v>4.5125865067017559E-2</v>
      </c>
      <c r="AA40" s="2093">
        <v>0.18178631198854212</v>
      </c>
      <c r="AB40" s="2114">
        <v>0.22691217705555969</v>
      </c>
    </row>
    <row r="41" spans="2:28">
      <c r="B41" s="89">
        <v>57</v>
      </c>
      <c r="C41" s="1">
        <v>0.434</v>
      </c>
      <c r="D41" s="1">
        <v>11.148999999999999</v>
      </c>
      <c r="E41" s="1">
        <v>3.2480000000000002</v>
      </c>
      <c r="F41" s="1">
        <v>3.2480000000000002</v>
      </c>
      <c r="G41" s="1">
        <v>10.715</v>
      </c>
      <c r="H41" s="742">
        <v>4.0503966402239848E-2</v>
      </c>
      <c r="I41" s="742">
        <v>0.30312645823611761</v>
      </c>
      <c r="J41" s="2100">
        <v>0.34363042463835747</v>
      </c>
      <c r="K41" s="89">
        <v>57</v>
      </c>
      <c r="L41" s="1">
        <v>0.40500000000000003</v>
      </c>
      <c r="M41" s="1">
        <v>12.544</v>
      </c>
      <c r="N41" s="1427">
        <v>0.64100000000000001</v>
      </c>
      <c r="O41" s="1">
        <v>0.64100000000000001</v>
      </c>
      <c r="P41" s="1">
        <v>12.139000000000001</v>
      </c>
      <c r="Q41" s="742">
        <v>3.3363539006507952E-2</v>
      </c>
      <c r="R41" s="742">
        <v>5.2805008649806404E-2</v>
      </c>
      <c r="S41" s="2100">
        <v>8.6168547656314348E-2</v>
      </c>
      <c r="T41" s="89">
        <v>57</v>
      </c>
      <c r="U41" s="741">
        <v>0.41949999999999998</v>
      </c>
      <c r="V41" s="741">
        <v>11.846499999999999</v>
      </c>
      <c r="W41" s="741">
        <v>1.9445000000000001</v>
      </c>
      <c r="X41" s="741">
        <v>1.9445000000000001</v>
      </c>
      <c r="Y41" s="741">
        <v>11.427</v>
      </c>
      <c r="Z41" s="2088">
        <v>3.69337527043739E-2</v>
      </c>
      <c r="AA41" s="2088">
        <v>0.17796573344296202</v>
      </c>
      <c r="AB41" s="2115">
        <v>0.21489948614733589</v>
      </c>
    </row>
    <row r="42" spans="2:28">
      <c r="B42" s="2098">
        <v>58</v>
      </c>
      <c r="C42" s="2090">
        <v>0.35599999999999998</v>
      </c>
      <c r="D42" s="2090">
        <v>11.454000000000001</v>
      </c>
      <c r="E42" s="2090">
        <v>3.298</v>
      </c>
      <c r="F42" s="2090">
        <v>3.298</v>
      </c>
      <c r="G42" s="2090">
        <v>11.098000000000001</v>
      </c>
      <c r="H42" s="2091">
        <v>3.2077851865200936E-2</v>
      </c>
      <c r="I42" s="2091">
        <v>0.29717066138042891</v>
      </c>
      <c r="J42" s="2099">
        <v>0.32924851324562987</v>
      </c>
      <c r="K42" s="2098">
        <v>58</v>
      </c>
      <c r="L42" s="2090">
        <v>0.32200000000000001</v>
      </c>
      <c r="M42" s="2090">
        <v>12.856999999999999</v>
      </c>
      <c r="N42" s="2092">
        <v>0.63900000000000001</v>
      </c>
      <c r="O42" s="2090">
        <v>0.63900000000000001</v>
      </c>
      <c r="P42" s="2090">
        <v>12.535</v>
      </c>
      <c r="Q42" s="2091">
        <v>2.5688073394495414E-2</v>
      </c>
      <c r="R42" s="2091">
        <v>5.097726366174711E-2</v>
      </c>
      <c r="S42" s="2099">
        <v>7.6665337056242525E-2</v>
      </c>
      <c r="T42" s="2098">
        <v>58</v>
      </c>
      <c r="U42" s="1707">
        <v>0.33899999999999997</v>
      </c>
      <c r="V42" s="1707">
        <v>12.1555</v>
      </c>
      <c r="W42" s="1707">
        <v>1.9685000000000001</v>
      </c>
      <c r="X42" s="1707">
        <v>1.9685000000000001</v>
      </c>
      <c r="Y42" s="1707">
        <v>11.816500000000001</v>
      </c>
      <c r="Z42" s="2093">
        <v>2.8882962629848175E-2</v>
      </c>
      <c r="AA42" s="2093">
        <v>0.174073962521088</v>
      </c>
      <c r="AB42" s="2114">
        <v>0.20295692515093619</v>
      </c>
    </row>
    <row r="43" spans="2:28">
      <c r="B43" s="89">
        <v>59</v>
      </c>
      <c r="C43" s="1">
        <v>0.27700000000000002</v>
      </c>
      <c r="D43" s="1">
        <v>11.773</v>
      </c>
      <c r="E43" s="1">
        <v>3.3490000000000002</v>
      </c>
      <c r="F43" s="1">
        <v>3.3490000000000002</v>
      </c>
      <c r="G43" s="1">
        <v>11.496</v>
      </c>
      <c r="H43" s="742">
        <v>2.4095337508698678E-2</v>
      </c>
      <c r="I43" s="742">
        <v>0.29131871955462768</v>
      </c>
      <c r="J43" s="2100">
        <v>0.31541405706332637</v>
      </c>
      <c r="K43" s="89">
        <v>59</v>
      </c>
      <c r="L43" s="1">
        <v>0.24099999999999999</v>
      </c>
      <c r="M43" s="1">
        <v>13.186</v>
      </c>
      <c r="N43" s="1427">
        <v>0.63600000000000001</v>
      </c>
      <c r="O43" s="1">
        <v>0.63600000000000001</v>
      </c>
      <c r="P43" s="1">
        <v>12.945</v>
      </c>
      <c r="Q43" s="742">
        <v>1.861722672846659E-2</v>
      </c>
      <c r="R43" s="742">
        <v>4.9130938586326764E-2</v>
      </c>
      <c r="S43" s="2100">
        <v>6.7748165314793357E-2</v>
      </c>
      <c r="T43" s="89">
        <v>59</v>
      </c>
      <c r="U43" s="741">
        <v>0.25900000000000001</v>
      </c>
      <c r="V43" s="741">
        <v>12.4795</v>
      </c>
      <c r="W43" s="741">
        <v>1.9925000000000002</v>
      </c>
      <c r="X43" s="741">
        <v>1.9925000000000002</v>
      </c>
      <c r="Y43" s="741">
        <v>12.220500000000001</v>
      </c>
      <c r="Z43" s="2088">
        <v>2.1356282118582634E-2</v>
      </c>
      <c r="AA43" s="2088">
        <v>0.17022482907047723</v>
      </c>
      <c r="AB43" s="2115">
        <v>0.19158111118905985</v>
      </c>
    </row>
    <row r="44" spans="2:28">
      <c r="B44" s="2098">
        <v>60</v>
      </c>
      <c r="C44" s="2090">
        <v>0.20200000000000001</v>
      </c>
      <c r="D44" s="2090">
        <v>12.11</v>
      </c>
      <c r="E44" s="2090">
        <v>3.4009999999999998</v>
      </c>
      <c r="F44" s="2090">
        <v>3.4009999999999998</v>
      </c>
      <c r="G44" s="2090">
        <v>11.907999999999999</v>
      </c>
      <c r="H44" s="2091">
        <v>1.696338595901915E-2</v>
      </c>
      <c r="I44" s="2091">
        <v>0.28560631508229761</v>
      </c>
      <c r="J44" s="2099">
        <v>0.30256970104131675</v>
      </c>
      <c r="K44" s="2098">
        <v>60</v>
      </c>
      <c r="L44" s="2090">
        <v>0.16800000000000001</v>
      </c>
      <c r="M44" s="2090">
        <v>13.537000000000001</v>
      </c>
      <c r="N44" s="2092">
        <v>0.63300000000000001</v>
      </c>
      <c r="O44" s="2090">
        <v>0.63300000000000001</v>
      </c>
      <c r="P44" s="2090">
        <v>13.369000000000002</v>
      </c>
      <c r="Q44" s="2091">
        <v>1.2566384920338096E-2</v>
      </c>
      <c r="R44" s="2091">
        <v>4.7348343181988176E-2</v>
      </c>
      <c r="S44" s="2099">
        <v>5.9914728102326273E-2</v>
      </c>
      <c r="T44" s="2098">
        <v>60</v>
      </c>
      <c r="U44" s="1707">
        <v>0.185</v>
      </c>
      <c r="V44" s="1707">
        <v>12.823499999999999</v>
      </c>
      <c r="W44" s="1707">
        <v>2.0169999999999999</v>
      </c>
      <c r="X44" s="1707">
        <v>2.0169999999999999</v>
      </c>
      <c r="Y44" s="1707">
        <v>12.638500000000001</v>
      </c>
      <c r="Z44" s="2093">
        <v>1.4764885439678622E-2</v>
      </c>
      <c r="AA44" s="2093">
        <v>0.16647732913214289</v>
      </c>
      <c r="AB44" s="2114">
        <v>0.18124221457182152</v>
      </c>
    </row>
    <row r="45" spans="2:28">
      <c r="B45" s="89">
        <v>61</v>
      </c>
      <c r="C45" s="1">
        <v>0.13700000000000001</v>
      </c>
      <c r="D45" s="1">
        <v>12.47</v>
      </c>
      <c r="E45" s="1">
        <v>3.4550000000000001</v>
      </c>
      <c r="F45" s="1">
        <v>3.4550000000000001</v>
      </c>
      <c r="G45" s="1">
        <v>12.333</v>
      </c>
      <c r="H45" s="742">
        <v>1.1108408335360417E-2</v>
      </c>
      <c r="I45" s="742">
        <v>0.28014270655963674</v>
      </c>
      <c r="J45" s="2100">
        <v>0.29125111489499717</v>
      </c>
      <c r="K45" s="89">
        <v>61</v>
      </c>
      <c r="L45" s="1">
        <v>0.108</v>
      </c>
      <c r="M45" s="1">
        <v>13.914</v>
      </c>
      <c r="N45" s="1427">
        <v>0.63</v>
      </c>
      <c r="O45" s="1">
        <v>0.63</v>
      </c>
      <c r="P45" s="1">
        <v>13.805999999999999</v>
      </c>
      <c r="Q45" s="742">
        <v>7.8226857887874843E-3</v>
      </c>
      <c r="R45" s="742">
        <v>4.563233376792699E-2</v>
      </c>
      <c r="S45" s="2100">
        <v>5.3455019556714473E-2</v>
      </c>
      <c r="T45" s="89">
        <v>61</v>
      </c>
      <c r="U45" s="741">
        <v>0.1225</v>
      </c>
      <c r="V45" s="741">
        <v>13.192</v>
      </c>
      <c r="W45" s="741">
        <v>2.0425</v>
      </c>
      <c r="X45" s="741">
        <v>2.0425</v>
      </c>
      <c r="Y45" s="741">
        <v>13.0695</v>
      </c>
      <c r="Z45" s="2088">
        <v>9.4655470620739514E-3</v>
      </c>
      <c r="AA45" s="2088">
        <v>0.16288752016378186</v>
      </c>
      <c r="AB45" s="2115">
        <v>0.1723530672258558</v>
      </c>
    </row>
    <row r="46" spans="2:28">
      <c r="B46" s="2098">
        <v>62</v>
      </c>
      <c r="C46" s="2090">
        <v>8.4000000000000005E-2</v>
      </c>
      <c r="D46" s="2090">
        <v>12.856</v>
      </c>
      <c r="E46" s="2090">
        <v>3.4950000000000001</v>
      </c>
      <c r="F46" s="2090">
        <v>3.4950000000000001</v>
      </c>
      <c r="G46" s="2090">
        <v>12.772</v>
      </c>
      <c r="H46" s="2091">
        <v>6.5768869401816475E-3</v>
      </c>
      <c r="I46" s="2091">
        <v>0.27364547447541498</v>
      </c>
      <c r="J46" s="2099">
        <v>0.28022236141559664</v>
      </c>
      <c r="K46" s="2098">
        <v>62</v>
      </c>
      <c r="L46" s="2090">
        <v>6.2E-2</v>
      </c>
      <c r="M46" s="2090">
        <v>14.321</v>
      </c>
      <c r="N46" s="2092">
        <v>0.625</v>
      </c>
      <c r="O46" s="2090">
        <v>0.625</v>
      </c>
      <c r="P46" s="2090">
        <v>14.259</v>
      </c>
      <c r="Q46" s="2091">
        <v>4.3481310049793111E-3</v>
      </c>
      <c r="R46" s="2091">
        <v>4.3831965776001118E-2</v>
      </c>
      <c r="S46" s="2099">
        <v>4.8180096780980432E-2</v>
      </c>
      <c r="T46" s="2098">
        <v>62</v>
      </c>
      <c r="U46" s="1707">
        <v>7.3000000000000009E-2</v>
      </c>
      <c r="V46" s="1707">
        <v>13.5885</v>
      </c>
      <c r="W46" s="1707">
        <v>2.06</v>
      </c>
      <c r="X46" s="1707">
        <v>2.06</v>
      </c>
      <c r="Y46" s="1707">
        <v>13.515499999999999</v>
      </c>
      <c r="Z46" s="2093">
        <v>5.4625089725804793E-3</v>
      </c>
      <c r="AA46" s="2093">
        <v>0.15873872012570805</v>
      </c>
      <c r="AB46" s="2114">
        <v>0.16420122909828855</v>
      </c>
    </row>
    <row r="47" spans="2:28">
      <c r="B47" s="89">
        <v>63</v>
      </c>
      <c r="C47" s="1">
        <v>4.4999999999999998E-2</v>
      </c>
      <c r="D47" s="1">
        <v>13.273</v>
      </c>
      <c r="E47" s="1">
        <v>3.536</v>
      </c>
      <c r="F47" s="1">
        <v>3.536</v>
      </c>
      <c r="G47" s="1">
        <v>13.228</v>
      </c>
      <c r="H47" s="742">
        <v>3.4018748110069548E-3</v>
      </c>
      <c r="I47" s="742">
        <v>0.26731176292712427</v>
      </c>
      <c r="J47" s="2100">
        <v>0.27071363773813123</v>
      </c>
      <c r="K47" s="89">
        <v>63</v>
      </c>
      <c r="L47" s="1">
        <v>3.2000000000000001E-2</v>
      </c>
      <c r="M47" s="1">
        <v>14.76</v>
      </c>
      <c r="N47" s="1427">
        <v>0.61899999999999999</v>
      </c>
      <c r="O47" s="1">
        <v>0.61899999999999999</v>
      </c>
      <c r="P47" s="1">
        <v>14.728</v>
      </c>
      <c r="Q47" s="742">
        <v>2.1727322107550247E-3</v>
      </c>
      <c r="R47" s="742">
        <v>4.2028788701792504E-2</v>
      </c>
      <c r="S47" s="2100">
        <v>4.4201520912547532E-2</v>
      </c>
      <c r="T47" s="89">
        <v>63</v>
      </c>
      <c r="U47" s="741">
        <v>3.85E-2</v>
      </c>
      <c r="V47" s="741">
        <v>14.016500000000001</v>
      </c>
      <c r="W47" s="741">
        <v>2.0775000000000001</v>
      </c>
      <c r="X47" s="741">
        <v>2.0775000000000001</v>
      </c>
      <c r="Y47" s="741">
        <v>13.978</v>
      </c>
      <c r="Z47" s="2088">
        <v>2.7873035108809899E-3</v>
      </c>
      <c r="AA47" s="2088">
        <v>0.15467027581445839</v>
      </c>
      <c r="AB47" s="2115">
        <v>0.15745757932533938</v>
      </c>
    </row>
    <row r="48" spans="2:28">
      <c r="B48" s="2098">
        <v>64</v>
      </c>
      <c r="C48" s="2090">
        <v>1.9E-2</v>
      </c>
      <c r="D48" s="2090">
        <v>13.721</v>
      </c>
      <c r="E48" s="2090">
        <v>3.5760000000000001</v>
      </c>
      <c r="F48" s="2090">
        <v>3.5760000000000001</v>
      </c>
      <c r="G48" s="2090">
        <v>13.702</v>
      </c>
      <c r="H48" s="2091">
        <v>1.3866588819150488E-3</v>
      </c>
      <c r="I48" s="2091">
        <v>0.26098379798569554</v>
      </c>
      <c r="J48" s="2099">
        <v>0.26237045686761057</v>
      </c>
      <c r="K48" s="2098">
        <v>64</v>
      </c>
      <c r="L48" s="2090">
        <v>1.2999999999999999E-2</v>
      </c>
      <c r="M48" s="2090">
        <v>15.228999999999999</v>
      </c>
      <c r="N48" s="2092">
        <v>0.61299999999999999</v>
      </c>
      <c r="O48" s="2090">
        <v>0.61299999999999999</v>
      </c>
      <c r="P48" s="2090">
        <v>15.215999999999999</v>
      </c>
      <c r="Q48" s="2091">
        <v>8.5436382754994742E-4</v>
      </c>
      <c r="R48" s="2091">
        <v>4.0286540483701366E-2</v>
      </c>
      <c r="S48" s="2099">
        <v>4.1140904311251315E-2</v>
      </c>
      <c r="T48" s="2098">
        <v>64</v>
      </c>
      <c r="U48" s="1707">
        <v>1.6E-2</v>
      </c>
      <c r="V48" s="1707">
        <v>14.475</v>
      </c>
      <c r="W48" s="1707">
        <v>2.0945</v>
      </c>
      <c r="X48" s="1707">
        <v>2.0945</v>
      </c>
      <c r="Y48" s="1707">
        <v>14.459</v>
      </c>
      <c r="Z48" s="2093">
        <v>1.1205113547324982E-3</v>
      </c>
      <c r="AA48" s="2093">
        <v>0.15063516923469844</v>
      </c>
      <c r="AB48" s="2114">
        <v>0.15175568058943095</v>
      </c>
    </row>
    <row r="49" spans="2:28">
      <c r="B49" s="89">
        <v>65</v>
      </c>
      <c r="C49" s="1">
        <v>7.0000000000000001E-3</v>
      </c>
      <c r="D49" s="1">
        <v>14.202999999999999</v>
      </c>
      <c r="E49" s="1">
        <v>3.613</v>
      </c>
      <c r="F49" s="1">
        <v>3.613</v>
      </c>
      <c r="G49" s="1">
        <v>14.196</v>
      </c>
      <c r="H49" s="742">
        <v>4.9309664694280081E-4</v>
      </c>
      <c r="I49" s="742">
        <v>0.25450831220061992</v>
      </c>
      <c r="J49" s="2100">
        <v>0.25500140884756273</v>
      </c>
      <c r="K49" s="89">
        <v>65</v>
      </c>
      <c r="L49" s="1">
        <v>4.0000000000000001E-3</v>
      </c>
      <c r="M49" s="1">
        <v>15.728</v>
      </c>
      <c r="N49" s="1427">
        <v>0.60499999999999998</v>
      </c>
      <c r="O49" s="1">
        <v>0.60499999999999998</v>
      </c>
      <c r="P49" s="1">
        <v>15.724</v>
      </c>
      <c r="Q49" s="742">
        <v>2.5438819638768761E-4</v>
      </c>
      <c r="R49" s="742">
        <v>3.8476214703637747E-2</v>
      </c>
      <c r="S49" s="2100">
        <v>3.8730602900025432E-2</v>
      </c>
      <c r="T49" s="89">
        <v>65</v>
      </c>
      <c r="U49" s="741">
        <v>5.4999999999999997E-3</v>
      </c>
      <c r="V49" s="741">
        <v>14.965499999999999</v>
      </c>
      <c r="W49" s="741">
        <v>2.109</v>
      </c>
      <c r="X49" s="741">
        <v>2.109</v>
      </c>
      <c r="Y49" s="741">
        <v>14.96</v>
      </c>
      <c r="Z49" s="960">
        <v>3.7374242166524421E-4</v>
      </c>
      <c r="AA49" s="960">
        <v>0.14649226345212885</v>
      </c>
      <c r="AB49" s="961">
        <v>0.14686600587379409</v>
      </c>
    </row>
    <row r="50" spans="2:28">
      <c r="B50" s="2098">
        <v>66</v>
      </c>
      <c r="C50" s="2090">
        <v>1E-3</v>
      </c>
      <c r="D50" s="2090">
        <v>14.717000000000001</v>
      </c>
      <c r="E50" s="2090">
        <v>3.6469999999999998</v>
      </c>
      <c r="F50" s="2090">
        <v>3.6469999999999998</v>
      </c>
      <c r="G50" s="2090">
        <v>14.716000000000001</v>
      </c>
      <c r="H50" s="2091">
        <v>6.7953248165262298E-5</v>
      </c>
      <c r="I50" s="2091">
        <v>0.24782549605871157</v>
      </c>
      <c r="J50" s="2099">
        <v>0.24789344930687685</v>
      </c>
      <c r="K50" s="2098">
        <v>66</v>
      </c>
      <c r="L50" s="2090">
        <v>1E-3</v>
      </c>
      <c r="M50" s="2090">
        <v>16.253</v>
      </c>
      <c r="N50" s="2092">
        <v>0.59599999999999997</v>
      </c>
      <c r="O50" s="2090">
        <v>0.59599999999999997</v>
      </c>
      <c r="P50" s="2090">
        <v>16.251999999999999</v>
      </c>
      <c r="Q50" s="2091">
        <v>6.1530888506030037E-5</v>
      </c>
      <c r="R50" s="2091">
        <v>3.6672409549593894E-2</v>
      </c>
      <c r="S50" s="2099">
        <v>3.6733940438099924E-2</v>
      </c>
      <c r="T50" s="2098">
        <v>66</v>
      </c>
      <c r="U50" s="1707">
        <v>1E-3</v>
      </c>
      <c r="V50" s="1707">
        <v>15.484999999999999</v>
      </c>
      <c r="W50" s="1707">
        <v>2.1214999999999997</v>
      </c>
      <c r="X50" s="1707">
        <v>2.1214999999999997</v>
      </c>
      <c r="Y50" s="1707">
        <v>15.484</v>
      </c>
      <c r="Z50" s="2093">
        <v>6.4742068335646167E-5</v>
      </c>
      <c r="AA50" s="2093">
        <v>0.14224895280415273</v>
      </c>
      <c r="AB50" s="2114">
        <v>0.14231369487248838</v>
      </c>
    </row>
    <row r="51" spans="2:28">
      <c r="B51" s="2119">
        <v>67</v>
      </c>
      <c r="C51" s="2120">
        <v>0</v>
      </c>
      <c r="D51" s="2120">
        <v>15.260999999999999</v>
      </c>
      <c r="E51" s="2120">
        <v>3.6779999999999999</v>
      </c>
      <c r="F51" s="2120">
        <v>3.6779999999999999</v>
      </c>
      <c r="G51" s="2120">
        <v>15.260999999999999</v>
      </c>
      <c r="H51" s="2121">
        <v>0</v>
      </c>
      <c r="I51" s="2121">
        <v>0.24100648712404169</v>
      </c>
      <c r="J51" s="2122">
        <v>0.24100648712404169</v>
      </c>
      <c r="K51" s="2119">
        <v>67</v>
      </c>
      <c r="L51" s="2120">
        <v>0</v>
      </c>
      <c r="M51" s="2120">
        <v>16.803000000000001</v>
      </c>
      <c r="N51" s="2123">
        <v>0.58599999999999997</v>
      </c>
      <c r="O51" s="2120">
        <v>0.58599999999999997</v>
      </c>
      <c r="P51" s="2120">
        <v>16.803000000000001</v>
      </c>
      <c r="Q51" s="2121">
        <v>0</v>
      </c>
      <c r="R51" s="2121">
        <v>3.4874724751532464E-2</v>
      </c>
      <c r="S51" s="2122">
        <v>3.4874724751532464E-2</v>
      </c>
      <c r="T51" s="2119">
        <v>67</v>
      </c>
      <c r="U51" s="2124">
        <v>0</v>
      </c>
      <c r="V51" s="2124">
        <v>16.032</v>
      </c>
      <c r="W51" s="2124">
        <v>2.1320000000000001</v>
      </c>
      <c r="X51" s="2124">
        <v>2.1320000000000001</v>
      </c>
      <c r="Y51" s="2124">
        <v>16.032</v>
      </c>
      <c r="Z51" s="2125">
        <v>0</v>
      </c>
      <c r="AA51" s="2125">
        <v>0.13794060593778706</v>
      </c>
      <c r="AB51" s="2126">
        <v>0.13794060593778706</v>
      </c>
    </row>
    <row r="52" spans="2:28">
      <c r="B52" s="2098">
        <v>68</v>
      </c>
      <c r="C52" s="2090">
        <v>0</v>
      </c>
      <c r="D52" s="2090">
        <v>14.851000000000001</v>
      </c>
      <c r="E52" s="2090">
        <v>3.6779999999999999</v>
      </c>
      <c r="F52" s="2090">
        <v>3.6779999999999999</v>
      </c>
      <c r="G52" s="2090">
        <v>14.851000000000001</v>
      </c>
      <c r="H52" s="2091">
        <v>0</v>
      </c>
      <c r="I52" s="2090">
        <v>0.24766009022961416</v>
      </c>
      <c r="J52" s="2091">
        <v>0.24766009022961416</v>
      </c>
      <c r="K52" s="2098">
        <v>68</v>
      </c>
      <c r="L52" s="2090">
        <v>0</v>
      </c>
      <c r="M52" s="2090">
        <v>16.378</v>
      </c>
      <c r="N52" s="2092">
        <v>0.59099999999999997</v>
      </c>
      <c r="O52" s="2090">
        <v>0.56699999999999995</v>
      </c>
      <c r="P52" s="2090">
        <v>16.378</v>
      </c>
      <c r="Q52" s="2091">
        <v>0</v>
      </c>
      <c r="R52" s="2091">
        <v>3.4619611674197089E-2</v>
      </c>
      <c r="S52" s="2099">
        <v>3.4619611674197089E-2</v>
      </c>
      <c r="T52" s="2098">
        <v>68</v>
      </c>
      <c r="U52" s="1707">
        <v>0</v>
      </c>
      <c r="V52" s="1707">
        <v>15.6145</v>
      </c>
      <c r="W52" s="1707">
        <v>2.1345000000000001</v>
      </c>
      <c r="X52" s="1707">
        <v>2.1225000000000001</v>
      </c>
      <c r="Y52" s="1707">
        <v>15.6145</v>
      </c>
      <c r="Z52" s="2093">
        <v>0</v>
      </c>
      <c r="AA52" s="2093">
        <v>0.14113985095190562</v>
      </c>
      <c r="AB52" s="2114">
        <v>0.14113985095190562</v>
      </c>
    </row>
    <row r="53" spans="2:28">
      <c r="B53" s="89">
        <v>69</v>
      </c>
      <c r="C53" s="1">
        <v>0</v>
      </c>
      <c r="D53" s="1">
        <v>14.432</v>
      </c>
      <c r="E53" s="1">
        <v>3.68</v>
      </c>
      <c r="F53" s="1">
        <v>3.68</v>
      </c>
      <c r="G53" s="1">
        <v>14.432</v>
      </c>
      <c r="H53" s="742">
        <v>0</v>
      </c>
      <c r="I53" s="1">
        <v>0.25498891352549891</v>
      </c>
      <c r="J53" s="742">
        <v>0.25498891352549891</v>
      </c>
      <c r="K53" s="89">
        <v>69</v>
      </c>
      <c r="L53" s="1">
        <v>0</v>
      </c>
      <c r="M53" s="1">
        <v>15.94</v>
      </c>
      <c r="N53" s="1427">
        <v>0.57199999999999995</v>
      </c>
      <c r="O53" s="1">
        <v>0.54900000000000004</v>
      </c>
      <c r="P53" s="1">
        <v>15.94</v>
      </c>
      <c r="Q53" s="742">
        <v>0</v>
      </c>
      <c r="R53" s="742">
        <v>3.4441656210790469E-2</v>
      </c>
      <c r="S53" s="2100">
        <v>3.4441656210790469E-2</v>
      </c>
      <c r="T53" s="89">
        <v>69</v>
      </c>
      <c r="U53" s="741">
        <v>0</v>
      </c>
      <c r="V53" s="741">
        <v>15.186</v>
      </c>
      <c r="W53" s="741">
        <v>2.1259999999999999</v>
      </c>
      <c r="X53" s="741">
        <v>2.1145</v>
      </c>
      <c r="Y53" s="741">
        <v>15.186</v>
      </c>
      <c r="Z53" s="2088">
        <v>0</v>
      </c>
      <c r="AA53" s="2088">
        <v>0.14471528486814469</v>
      </c>
      <c r="AB53" s="2115">
        <v>0.14471528486814469</v>
      </c>
    </row>
    <row r="54" spans="2:28">
      <c r="B54" s="2098">
        <v>70</v>
      </c>
      <c r="C54" s="2090">
        <v>0</v>
      </c>
      <c r="D54" s="2090">
        <v>14.002000000000001</v>
      </c>
      <c r="E54" s="2090">
        <v>3.681</v>
      </c>
      <c r="F54" s="2090">
        <v>3.681</v>
      </c>
      <c r="G54" s="2090">
        <v>14.002000000000001</v>
      </c>
      <c r="H54" s="2091">
        <v>0</v>
      </c>
      <c r="I54" s="2090">
        <v>0.26289101556920441</v>
      </c>
      <c r="J54" s="2091">
        <v>0.26289101556920441</v>
      </c>
      <c r="K54" s="2098">
        <v>70</v>
      </c>
      <c r="L54" s="2090">
        <v>0</v>
      </c>
      <c r="M54" s="2090">
        <v>15.49</v>
      </c>
      <c r="N54" s="2092">
        <v>0.55100000000000005</v>
      </c>
      <c r="O54" s="2090">
        <v>0.53</v>
      </c>
      <c r="P54" s="2090">
        <v>15.49</v>
      </c>
      <c r="Q54" s="2091">
        <v>0</v>
      </c>
      <c r="R54" s="2091">
        <v>3.4215622982569402E-2</v>
      </c>
      <c r="S54" s="2099">
        <v>3.4215622982569402E-2</v>
      </c>
      <c r="T54" s="2098">
        <v>70</v>
      </c>
      <c r="U54" s="1707">
        <v>0</v>
      </c>
      <c r="V54" s="1707">
        <v>14.746</v>
      </c>
      <c r="W54" s="1707">
        <v>2.1160000000000001</v>
      </c>
      <c r="X54" s="1707">
        <v>2.1055000000000001</v>
      </c>
      <c r="Y54" s="1707">
        <v>14.746</v>
      </c>
      <c r="Z54" s="2093">
        <v>0</v>
      </c>
      <c r="AA54" s="2093">
        <v>0.14855331927588691</v>
      </c>
      <c r="AB54" s="2114">
        <v>0.14855331927588691</v>
      </c>
    </row>
    <row r="55" spans="2:28">
      <c r="B55" s="89">
        <v>71</v>
      </c>
      <c r="C55" s="1">
        <v>0</v>
      </c>
      <c r="D55" s="1">
        <v>13.561999999999999</v>
      </c>
      <c r="E55" s="1">
        <v>3.6789999999999998</v>
      </c>
      <c r="F55" s="1">
        <v>3.6789999999999998</v>
      </c>
      <c r="G55" s="1">
        <v>13.561999999999999</v>
      </c>
      <c r="H55" s="742">
        <v>0</v>
      </c>
      <c r="I55" s="1">
        <v>0.27127267364695473</v>
      </c>
      <c r="J55" s="742">
        <v>0.27127267364695473</v>
      </c>
      <c r="K55" s="89">
        <v>71</v>
      </c>
      <c r="L55" s="1">
        <v>0</v>
      </c>
      <c r="M55" s="1">
        <v>15.026</v>
      </c>
      <c r="N55" s="1427">
        <v>0.53100000000000003</v>
      </c>
      <c r="O55" s="1">
        <v>0.51</v>
      </c>
      <c r="P55" s="1">
        <v>15.026</v>
      </c>
      <c r="Q55" s="742">
        <v>0</v>
      </c>
      <c r="R55" s="742">
        <v>3.3941168641022229E-2</v>
      </c>
      <c r="S55" s="2100">
        <v>3.3941168641022229E-2</v>
      </c>
      <c r="T55" s="89">
        <v>71</v>
      </c>
      <c r="U55" s="741">
        <v>0</v>
      </c>
      <c r="V55" s="741">
        <v>14.294</v>
      </c>
      <c r="W55" s="741">
        <v>2.105</v>
      </c>
      <c r="X55" s="741">
        <v>2.0945</v>
      </c>
      <c r="Y55" s="741">
        <v>14.294</v>
      </c>
      <c r="Z55" s="2088">
        <v>0</v>
      </c>
      <c r="AA55" s="2088">
        <v>0.15260692114398849</v>
      </c>
      <c r="AB55" s="2115">
        <v>0.15260692114398849</v>
      </c>
    </row>
    <row r="56" spans="2:28">
      <c r="B56" s="2098">
        <v>72</v>
      </c>
      <c r="C56" s="2090">
        <v>0</v>
      </c>
      <c r="D56" s="2090">
        <v>13.111000000000001</v>
      </c>
      <c r="E56" s="2090">
        <v>3.6749999999999998</v>
      </c>
      <c r="F56" s="2090">
        <v>3.6749999999999998</v>
      </c>
      <c r="G56" s="2090">
        <v>13.111000000000001</v>
      </c>
      <c r="H56" s="2091">
        <v>0</v>
      </c>
      <c r="I56" s="2090">
        <v>0.28029898558462357</v>
      </c>
      <c r="J56" s="2091">
        <v>0.28029898558462357</v>
      </c>
      <c r="K56" s="2098">
        <v>72</v>
      </c>
      <c r="L56" s="2090">
        <v>0</v>
      </c>
      <c r="M56" s="2090">
        <v>14.55</v>
      </c>
      <c r="N56" s="2092">
        <v>0.51</v>
      </c>
      <c r="O56" s="2090">
        <v>0.49099999999999999</v>
      </c>
      <c r="P56" s="2090">
        <v>14.55</v>
      </c>
      <c r="Q56" s="2091">
        <v>0</v>
      </c>
      <c r="R56" s="2091">
        <v>3.3745704467353949E-2</v>
      </c>
      <c r="S56" s="2099">
        <v>3.3745704467353949E-2</v>
      </c>
      <c r="T56" s="2098">
        <v>72</v>
      </c>
      <c r="U56" s="1707">
        <v>0</v>
      </c>
      <c r="V56" s="1707">
        <v>13.830500000000001</v>
      </c>
      <c r="W56" s="1707">
        <v>2.0924999999999998</v>
      </c>
      <c r="X56" s="1707">
        <v>2.0829999999999997</v>
      </c>
      <c r="Y56" s="1707">
        <v>13.830500000000001</v>
      </c>
      <c r="Z56" s="2093">
        <v>0</v>
      </c>
      <c r="AA56" s="2093">
        <v>0.15702234502598877</v>
      </c>
      <c r="AB56" s="2114">
        <v>0.15702234502598877</v>
      </c>
    </row>
    <row r="57" spans="2:28">
      <c r="B57" s="89">
        <v>73</v>
      </c>
      <c r="C57" s="1">
        <v>0</v>
      </c>
      <c r="D57" s="1">
        <v>12.65</v>
      </c>
      <c r="E57" s="1">
        <v>3.669</v>
      </c>
      <c r="F57" s="1">
        <v>3.669</v>
      </c>
      <c r="G57" s="1">
        <v>12.65</v>
      </c>
      <c r="H57" s="742">
        <v>0</v>
      </c>
      <c r="I57" s="1">
        <v>0.29003952569169961</v>
      </c>
      <c r="J57" s="742">
        <v>0.29003952569169961</v>
      </c>
      <c r="K57" s="89">
        <v>73</v>
      </c>
      <c r="L57" s="1">
        <v>0</v>
      </c>
      <c r="M57" s="1">
        <v>14.061999999999999</v>
      </c>
      <c r="N57" s="1427">
        <v>0.48899999999999999</v>
      </c>
      <c r="O57" s="1">
        <v>0.47199999999999998</v>
      </c>
      <c r="P57" s="1">
        <v>14.061999999999999</v>
      </c>
      <c r="Q57" s="742">
        <v>0</v>
      </c>
      <c r="R57" s="742">
        <v>3.3565637889347175E-2</v>
      </c>
      <c r="S57" s="2100">
        <v>3.3565637889347175E-2</v>
      </c>
      <c r="T57" s="89">
        <v>73</v>
      </c>
      <c r="U57" s="741">
        <v>0</v>
      </c>
      <c r="V57" s="741">
        <v>13.356</v>
      </c>
      <c r="W57" s="741">
        <v>2.0790000000000002</v>
      </c>
      <c r="X57" s="741">
        <v>2.0705</v>
      </c>
      <c r="Y57" s="741">
        <v>13.356</v>
      </c>
      <c r="Z57" s="2088">
        <v>0</v>
      </c>
      <c r="AA57" s="2088">
        <v>0.1618025817905234</v>
      </c>
      <c r="AB57" s="2115">
        <v>0.1618025817905234</v>
      </c>
    </row>
    <row r="58" spans="2:28">
      <c r="B58" s="2098">
        <v>74</v>
      </c>
      <c r="C58" s="2090">
        <v>0</v>
      </c>
      <c r="D58" s="2090">
        <v>12.18</v>
      </c>
      <c r="E58" s="2090">
        <v>3.6669999999999998</v>
      </c>
      <c r="F58" s="2090">
        <v>3.6669999999999998</v>
      </c>
      <c r="G58" s="2090">
        <v>12.18</v>
      </c>
      <c r="H58" s="2091">
        <v>0</v>
      </c>
      <c r="I58" s="2090">
        <v>0.30106732348111659</v>
      </c>
      <c r="J58" s="2091">
        <v>0.30106732348111659</v>
      </c>
      <c r="K58" s="2098">
        <v>74</v>
      </c>
      <c r="L58" s="2090">
        <v>0</v>
      </c>
      <c r="M58" s="2090">
        <v>13.561999999999999</v>
      </c>
      <c r="N58" s="2092">
        <v>0.46899999999999997</v>
      </c>
      <c r="O58" s="2090">
        <v>0.45300000000000001</v>
      </c>
      <c r="P58" s="2090">
        <v>13.561999999999999</v>
      </c>
      <c r="Q58" s="2091">
        <v>0</v>
      </c>
      <c r="R58" s="2091">
        <v>3.3402153074767738E-2</v>
      </c>
      <c r="S58" s="2099">
        <v>3.3402153074767738E-2</v>
      </c>
      <c r="T58" s="2098">
        <v>74</v>
      </c>
      <c r="U58" s="1707">
        <v>0</v>
      </c>
      <c r="V58" s="1707">
        <v>12.870999999999999</v>
      </c>
      <c r="W58" s="1707">
        <v>2.0680000000000001</v>
      </c>
      <c r="X58" s="1707">
        <v>2.06</v>
      </c>
      <c r="Y58" s="1707">
        <v>12.870999999999999</v>
      </c>
      <c r="Z58" s="2093">
        <v>0</v>
      </c>
      <c r="AA58" s="2093">
        <v>0.16723473827794216</v>
      </c>
      <c r="AB58" s="2114">
        <v>0.16723473827794216</v>
      </c>
    </row>
    <row r="59" spans="2:28">
      <c r="B59" s="89">
        <v>75</v>
      </c>
      <c r="C59" s="1">
        <v>0</v>
      </c>
      <c r="D59" s="1">
        <v>11.701000000000001</v>
      </c>
      <c r="E59" s="1">
        <v>3.6619999999999999</v>
      </c>
      <c r="F59" s="1">
        <v>3.6619999999999999</v>
      </c>
      <c r="G59" s="1">
        <v>11.701000000000001</v>
      </c>
      <c r="H59" s="742">
        <v>0</v>
      </c>
      <c r="I59" s="1">
        <v>0.31296470387146397</v>
      </c>
      <c r="J59" s="742">
        <v>0.31296470387146397</v>
      </c>
      <c r="K59" s="89">
        <v>75</v>
      </c>
      <c r="L59" s="1">
        <v>0</v>
      </c>
      <c r="M59" s="1">
        <v>13.051</v>
      </c>
      <c r="N59" s="1427">
        <v>0.44800000000000001</v>
      </c>
      <c r="O59" s="1">
        <v>0.434</v>
      </c>
      <c r="P59" s="1">
        <v>13.051</v>
      </c>
      <c r="Q59" s="742">
        <v>0</v>
      </c>
      <c r="R59" s="742">
        <v>3.3254156769596199E-2</v>
      </c>
      <c r="S59" s="2100">
        <v>3.3254156769596199E-2</v>
      </c>
      <c r="T59" s="89">
        <v>75</v>
      </c>
      <c r="U59" s="741">
        <v>0</v>
      </c>
      <c r="V59" s="741">
        <v>12.376000000000001</v>
      </c>
      <c r="W59" s="741">
        <v>2.0550000000000002</v>
      </c>
      <c r="X59" s="741">
        <v>2.048</v>
      </c>
      <c r="Y59" s="741">
        <v>12.376000000000001</v>
      </c>
      <c r="Z59" s="2088">
        <v>0</v>
      </c>
      <c r="AA59" s="2088">
        <v>0.17310943032053008</v>
      </c>
      <c r="AB59" s="2115">
        <v>0.17310943032053008</v>
      </c>
    </row>
    <row r="60" spans="2:28">
      <c r="B60" s="2098">
        <v>76</v>
      </c>
      <c r="C60" s="2090">
        <v>0</v>
      </c>
      <c r="D60" s="2090">
        <v>11.215</v>
      </c>
      <c r="E60" s="2090">
        <v>3.6549999999999998</v>
      </c>
      <c r="F60" s="2090">
        <v>3.6549999999999998</v>
      </c>
      <c r="G60" s="2090">
        <v>11.215</v>
      </c>
      <c r="H60" s="2091">
        <v>0</v>
      </c>
      <c r="I60" s="2090">
        <v>0.32590280873829691</v>
      </c>
      <c r="J60" s="2091">
        <v>0.32590280873829691</v>
      </c>
      <c r="K60" s="2098">
        <v>76</v>
      </c>
      <c r="L60" s="2090">
        <v>0</v>
      </c>
      <c r="M60" s="2090">
        <v>12.531000000000001</v>
      </c>
      <c r="N60" s="2092">
        <v>0.42699999999999999</v>
      </c>
      <c r="O60" s="2090">
        <v>0.41399999999999998</v>
      </c>
      <c r="P60" s="2090">
        <v>12.531000000000001</v>
      </c>
      <c r="Q60" s="2091">
        <v>0</v>
      </c>
      <c r="R60" s="2091">
        <v>3.3038065597318644E-2</v>
      </c>
      <c r="S60" s="2099">
        <v>3.3038065597318644E-2</v>
      </c>
      <c r="T60" s="2098">
        <v>76</v>
      </c>
      <c r="U60" s="1707">
        <v>0</v>
      </c>
      <c r="V60" s="1707">
        <v>11.873000000000001</v>
      </c>
      <c r="W60" s="1707">
        <v>2.0409999999999999</v>
      </c>
      <c r="X60" s="1707">
        <v>2.0345</v>
      </c>
      <c r="Y60" s="1707">
        <v>11.873000000000001</v>
      </c>
      <c r="Z60" s="2093">
        <v>0</v>
      </c>
      <c r="AA60" s="2093">
        <v>0.17947043716780778</v>
      </c>
      <c r="AB60" s="2114">
        <v>0.17947043716780778</v>
      </c>
    </row>
    <row r="61" spans="2:28">
      <c r="B61" s="89">
        <v>77</v>
      </c>
      <c r="C61" s="1">
        <v>0</v>
      </c>
      <c r="D61" s="1">
        <v>10.724</v>
      </c>
      <c r="E61" s="1">
        <v>3.6429999999999998</v>
      </c>
      <c r="F61" s="1">
        <v>3.6429999999999998</v>
      </c>
      <c r="G61" s="1">
        <v>10.724</v>
      </c>
      <c r="H61" s="742">
        <v>0</v>
      </c>
      <c r="I61" s="1">
        <v>0.33970533383066015</v>
      </c>
      <c r="J61" s="742">
        <v>0.33970533383066015</v>
      </c>
      <c r="K61" s="89">
        <v>77</v>
      </c>
      <c r="L61" s="1">
        <v>0</v>
      </c>
      <c r="M61" s="1">
        <v>12.003</v>
      </c>
      <c r="N61" s="1427">
        <v>0.40400000000000003</v>
      </c>
      <c r="O61" s="1">
        <v>0.39300000000000002</v>
      </c>
      <c r="P61" s="1">
        <v>12.003</v>
      </c>
      <c r="Q61" s="742">
        <v>0</v>
      </c>
      <c r="R61" s="742">
        <v>3.2741814546363407E-2</v>
      </c>
      <c r="S61" s="2100">
        <v>3.2741814546363407E-2</v>
      </c>
      <c r="T61" s="89">
        <v>77</v>
      </c>
      <c r="U61" s="741">
        <v>0</v>
      </c>
      <c r="V61" s="741">
        <v>11.3635</v>
      </c>
      <c r="W61" s="741">
        <v>2.0234999999999999</v>
      </c>
      <c r="X61" s="741">
        <v>2.0179999999999998</v>
      </c>
      <c r="Y61" s="741">
        <v>11.3635</v>
      </c>
      <c r="Z61" s="2088">
        <v>0</v>
      </c>
      <c r="AA61" s="2088">
        <v>0.18622357418851176</v>
      </c>
      <c r="AB61" s="2115">
        <v>0.18622357418851176</v>
      </c>
    </row>
    <row r="62" spans="2:28">
      <c r="B62" s="2098">
        <v>78</v>
      </c>
      <c r="C62" s="2090">
        <v>0</v>
      </c>
      <c r="D62" s="2090">
        <v>10.228999999999999</v>
      </c>
      <c r="E62" s="2090">
        <v>3.625</v>
      </c>
      <c r="F62" s="2090">
        <v>3.625</v>
      </c>
      <c r="G62" s="2090">
        <v>10.228999999999999</v>
      </c>
      <c r="H62" s="2091">
        <v>0</v>
      </c>
      <c r="I62" s="2090">
        <v>0.35438459282432305</v>
      </c>
      <c r="J62" s="2091">
        <v>0.35438459282432305</v>
      </c>
      <c r="K62" s="2098">
        <v>78</v>
      </c>
      <c r="L62" s="2090">
        <v>0</v>
      </c>
      <c r="M62" s="2090">
        <v>11.47</v>
      </c>
      <c r="N62" s="2092">
        <v>0.38100000000000001</v>
      </c>
      <c r="O62" s="2090">
        <v>0.371</v>
      </c>
      <c r="P62" s="2090">
        <v>11.47</v>
      </c>
      <c r="Q62" s="2091">
        <v>0</v>
      </c>
      <c r="R62" s="2091">
        <v>3.2345248474280733E-2</v>
      </c>
      <c r="S62" s="2099">
        <v>3.2345248474280733E-2</v>
      </c>
      <c r="T62" s="2098">
        <v>78</v>
      </c>
      <c r="U62" s="1707">
        <v>0</v>
      </c>
      <c r="V62" s="1707">
        <v>10.849499999999999</v>
      </c>
      <c r="W62" s="1707">
        <v>2.0030000000000001</v>
      </c>
      <c r="X62" s="1707">
        <v>1.998</v>
      </c>
      <c r="Y62" s="1707">
        <v>10.849499999999999</v>
      </c>
      <c r="Z62" s="2093">
        <v>0</v>
      </c>
      <c r="AA62" s="2093">
        <v>0.19336492064930189</v>
      </c>
      <c r="AB62" s="2114">
        <v>0.19336492064930189</v>
      </c>
    </row>
    <row r="63" spans="2:28">
      <c r="B63" s="89">
        <v>79</v>
      </c>
      <c r="C63" s="1">
        <v>0</v>
      </c>
      <c r="D63" s="1">
        <v>9.7330000000000005</v>
      </c>
      <c r="E63" s="1">
        <v>3.601</v>
      </c>
      <c r="F63" s="1">
        <v>3.601</v>
      </c>
      <c r="G63" s="1">
        <v>9.7330000000000005</v>
      </c>
      <c r="H63" s="742">
        <v>0</v>
      </c>
      <c r="I63" s="1">
        <v>0.36997842391862734</v>
      </c>
      <c r="J63" s="742">
        <v>0.36997842391862734</v>
      </c>
      <c r="K63" s="89">
        <v>79</v>
      </c>
      <c r="L63" s="1">
        <v>0</v>
      </c>
      <c r="M63" s="1">
        <v>10.932</v>
      </c>
      <c r="N63" s="1427">
        <v>0.35699999999999998</v>
      </c>
      <c r="O63" s="1">
        <v>0.34899999999999998</v>
      </c>
      <c r="P63" s="1">
        <v>10.932</v>
      </c>
      <c r="Q63" s="742">
        <v>0</v>
      </c>
      <c r="R63" s="742">
        <v>3.1924624954262709E-2</v>
      </c>
      <c r="S63" s="2100">
        <v>3.1924624954262709E-2</v>
      </c>
      <c r="T63" s="89">
        <v>79</v>
      </c>
      <c r="U63" s="741">
        <v>0</v>
      </c>
      <c r="V63" s="741">
        <v>10.3325</v>
      </c>
      <c r="W63" s="741">
        <v>1.9790000000000001</v>
      </c>
      <c r="X63" s="741">
        <v>1.9750000000000001</v>
      </c>
      <c r="Y63" s="741">
        <v>10.3325</v>
      </c>
      <c r="Z63" s="2088">
        <v>0</v>
      </c>
      <c r="AA63" s="2088">
        <v>0.20095152443644504</v>
      </c>
      <c r="AB63" s="2115">
        <v>0.20095152443644504</v>
      </c>
    </row>
    <row r="64" spans="2:28">
      <c r="B64" s="2098">
        <v>80</v>
      </c>
      <c r="C64" s="2090">
        <v>0</v>
      </c>
      <c r="D64" s="2090">
        <v>9.2379999999999995</v>
      </c>
      <c r="E64" s="2090">
        <v>3.57</v>
      </c>
      <c r="F64" s="2090">
        <v>3.57</v>
      </c>
      <c r="G64" s="2090">
        <v>9.2379999999999995</v>
      </c>
      <c r="H64" s="2091">
        <v>0</v>
      </c>
      <c r="I64" s="2090">
        <v>0.38644728296168002</v>
      </c>
      <c r="J64" s="2091">
        <v>0.38644728296168002</v>
      </c>
      <c r="K64" s="2098">
        <v>80</v>
      </c>
      <c r="L64" s="2090">
        <v>0</v>
      </c>
      <c r="M64" s="2090">
        <v>10.391999999999999</v>
      </c>
      <c r="N64" s="2092">
        <v>0.33300000000000002</v>
      </c>
      <c r="O64" s="2090">
        <v>0.32700000000000001</v>
      </c>
      <c r="P64" s="2090">
        <v>10.391999999999999</v>
      </c>
      <c r="Q64" s="2091">
        <v>0</v>
      </c>
      <c r="R64" s="2091">
        <v>3.1466512702078522E-2</v>
      </c>
      <c r="S64" s="2099">
        <v>3.1466512702078522E-2</v>
      </c>
      <c r="T64" s="2098">
        <v>80</v>
      </c>
      <c r="U64" s="1707">
        <v>0</v>
      </c>
      <c r="V64" s="1707">
        <v>9.8149999999999995</v>
      </c>
      <c r="W64" s="1707">
        <v>1.9515</v>
      </c>
      <c r="X64" s="1707">
        <v>1.9484999999999999</v>
      </c>
      <c r="Y64" s="1707">
        <v>9.8149999999999995</v>
      </c>
      <c r="Z64" s="2093">
        <v>0</v>
      </c>
      <c r="AA64" s="2093">
        <v>0.20895689783187926</v>
      </c>
      <c r="AB64" s="2114">
        <v>0.20895689783187926</v>
      </c>
    </row>
    <row r="65" spans="2:28">
      <c r="B65" s="89">
        <v>81</v>
      </c>
      <c r="C65" s="1">
        <v>0</v>
      </c>
      <c r="D65" s="1">
        <v>8.7469999999999999</v>
      </c>
      <c r="E65" s="1">
        <v>3.5310000000000001</v>
      </c>
      <c r="F65" s="1">
        <v>3.5310000000000001</v>
      </c>
      <c r="G65" s="1">
        <v>8.7469999999999999</v>
      </c>
      <c r="H65" s="742">
        <v>0</v>
      </c>
      <c r="I65" s="1">
        <v>0.40368126214702188</v>
      </c>
      <c r="J65" s="742">
        <v>0.40368126214702188</v>
      </c>
      <c r="K65" s="89">
        <v>81</v>
      </c>
      <c r="L65" s="1">
        <v>0</v>
      </c>
      <c r="M65" s="1">
        <v>9.8529999999999998</v>
      </c>
      <c r="N65" s="1427">
        <v>0.309</v>
      </c>
      <c r="O65" s="1">
        <v>0.30399999999999999</v>
      </c>
      <c r="P65" s="1">
        <v>9.8529999999999998</v>
      </c>
      <c r="Q65" s="742">
        <v>0</v>
      </c>
      <c r="R65" s="742">
        <v>3.0853547143002133E-2</v>
      </c>
      <c r="S65" s="2100">
        <v>3.0853547143002133E-2</v>
      </c>
      <c r="T65" s="89">
        <v>81</v>
      </c>
      <c r="U65" s="741">
        <v>0</v>
      </c>
      <c r="V65" s="741">
        <v>9.3000000000000007</v>
      </c>
      <c r="W65" s="741">
        <v>1.9200000000000002</v>
      </c>
      <c r="X65" s="741">
        <v>1.9175</v>
      </c>
      <c r="Y65" s="741">
        <v>9.3000000000000007</v>
      </c>
      <c r="Z65" s="2088">
        <v>0</v>
      </c>
      <c r="AA65" s="2088">
        <v>0.21726740464501201</v>
      </c>
      <c r="AB65" s="2115">
        <v>0.21726740464501201</v>
      </c>
    </row>
    <row r="66" spans="2:28">
      <c r="B66" s="2098">
        <v>82</v>
      </c>
      <c r="C66" s="2090">
        <v>0</v>
      </c>
      <c r="D66" s="2090">
        <v>8.2629999999999999</v>
      </c>
      <c r="E66" s="2090">
        <v>3.4820000000000002</v>
      </c>
      <c r="F66" s="2090">
        <v>3.4820000000000002</v>
      </c>
      <c r="G66" s="2090">
        <v>8.2629999999999999</v>
      </c>
      <c r="H66" s="2091">
        <v>0</v>
      </c>
      <c r="I66" s="2090">
        <v>0.4213965871959337</v>
      </c>
      <c r="J66" s="2091">
        <v>0.4213965871959337</v>
      </c>
      <c r="K66" s="2098">
        <v>82</v>
      </c>
      <c r="L66" s="2090">
        <v>0</v>
      </c>
      <c r="M66" s="2090">
        <v>9.3179999999999996</v>
      </c>
      <c r="N66" s="2092">
        <v>0.28499999999999998</v>
      </c>
      <c r="O66" s="2090">
        <v>0.28100000000000003</v>
      </c>
      <c r="P66" s="2090">
        <v>9.3179999999999996</v>
      </c>
      <c r="Q66" s="2091">
        <v>0</v>
      </c>
      <c r="R66" s="2091">
        <v>3.0156685984116766E-2</v>
      </c>
      <c r="S66" s="2099">
        <v>3.0156685984116766E-2</v>
      </c>
      <c r="T66" s="2098">
        <v>82</v>
      </c>
      <c r="U66" s="1707">
        <v>0</v>
      </c>
      <c r="V66" s="1707">
        <v>8.7904999999999998</v>
      </c>
      <c r="W66" s="1707">
        <v>1.8835000000000002</v>
      </c>
      <c r="X66" s="1707">
        <v>1.8815000000000002</v>
      </c>
      <c r="Y66" s="1707">
        <v>8.7904999999999998</v>
      </c>
      <c r="Z66" s="2093">
        <v>0</v>
      </c>
      <c r="AA66" s="2093">
        <v>0.22577663659002523</v>
      </c>
      <c r="AB66" s="2114">
        <v>0.22577663659002523</v>
      </c>
    </row>
    <row r="67" spans="2:28">
      <c r="B67" s="89">
        <v>83</v>
      </c>
      <c r="C67" s="1">
        <v>0</v>
      </c>
      <c r="D67" s="1">
        <v>7.7880000000000003</v>
      </c>
      <c r="E67" s="1">
        <v>3.4089999999999998</v>
      </c>
      <c r="F67" s="1">
        <v>3.4089999999999998</v>
      </c>
      <c r="G67" s="1">
        <v>7.7880000000000003</v>
      </c>
      <c r="H67" s="742">
        <v>0</v>
      </c>
      <c r="I67" s="1">
        <v>0.43772470467385716</v>
      </c>
      <c r="J67" s="742">
        <v>0.43772470467385716</v>
      </c>
      <c r="K67" s="89">
        <v>83</v>
      </c>
      <c r="L67" s="1">
        <v>0</v>
      </c>
      <c r="M67" s="1">
        <v>8.7889999999999997</v>
      </c>
      <c r="N67" s="1427">
        <v>0.26100000000000001</v>
      </c>
      <c r="O67" s="1">
        <v>0.25800000000000001</v>
      </c>
      <c r="P67" s="1">
        <v>8.7889999999999997</v>
      </c>
      <c r="Q67" s="742">
        <v>0</v>
      </c>
      <c r="R67" s="742">
        <v>2.9354875412447381E-2</v>
      </c>
      <c r="S67" s="2100">
        <v>2.9354875412447381E-2</v>
      </c>
      <c r="T67" s="89">
        <v>83</v>
      </c>
      <c r="U67" s="741">
        <v>0</v>
      </c>
      <c r="V67" s="741">
        <v>8.2884999999999991</v>
      </c>
      <c r="W67" s="741">
        <v>1.835</v>
      </c>
      <c r="X67" s="741">
        <v>1.8334999999999999</v>
      </c>
      <c r="Y67" s="741">
        <v>8.2884999999999991</v>
      </c>
      <c r="Z67" s="2088">
        <v>0</v>
      </c>
      <c r="AA67" s="2088">
        <v>0.23353979004315226</v>
      </c>
      <c r="AB67" s="2115">
        <v>0.23353979004315226</v>
      </c>
    </row>
    <row r="68" spans="2:28">
      <c r="B68" s="2098">
        <v>84</v>
      </c>
      <c r="C68" s="2090">
        <v>0</v>
      </c>
      <c r="D68" s="2090">
        <v>7.327</v>
      </c>
      <c r="E68" s="2090">
        <v>3.3220000000000001</v>
      </c>
      <c r="F68" s="2090">
        <v>3.3220000000000001</v>
      </c>
      <c r="G68" s="2090">
        <v>7.327</v>
      </c>
      <c r="H68" s="2091">
        <v>0</v>
      </c>
      <c r="I68" s="2090">
        <v>0.4533915654428825</v>
      </c>
      <c r="J68" s="2091">
        <v>0.4533915654428825</v>
      </c>
      <c r="K68" s="2098">
        <v>84</v>
      </c>
      <c r="L68" s="2090">
        <v>0</v>
      </c>
      <c r="M68" s="2090">
        <v>8.2710000000000008</v>
      </c>
      <c r="N68" s="2092">
        <v>0.23799999999999999</v>
      </c>
      <c r="O68" s="2090">
        <v>0.23499999999999999</v>
      </c>
      <c r="P68" s="2090">
        <v>8.2710000000000008</v>
      </c>
      <c r="Q68" s="2091">
        <v>0</v>
      </c>
      <c r="R68" s="2091">
        <v>2.8412525692177483E-2</v>
      </c>
      <c r="S68" s="2099">
        <v>2.8412525692177483E-2</v>
      </c>
      <c r="T68" s="2098">
        <v>84</v>
      </c>
      <c r="U68" s="1707">
        <v>0</v>
      </c>
      <c r="V68" s="1707">
        <v>7.7990000000000004</v>
      </c>
      <c r="W68" s="1707">
        <v>1.78</v>
      </c>
      <c r="X68" s="1707">
        <v>1.7785</v>
      </c>
      <c r="Y68" s="1707">
        <v>7.7990000000000004</v>
      </c>
      <c r="Z68" s="2093">
        <v>0</v>
      </c>
      <c r="AA68" s="2093">
        <v>0.24090204556753</v>
      </c>
      <c r="AB68" s="2114">
        <v>0.24090204556753</v>
      </c>
    </row>
    <row r="69" spans="2:28">
      <c r="B69" s="89">
        <v>85</v>
      </c>
      <c r="C69" s="1">
        <v>0</v>
      </c>
      <c r="D69" s="1">
        <v>6.883</v>
      </c>
      <c r="E69" s="1">
        <v>3.2229999999999999</v>
      </c>
      <c r="F69" s="1">
        <v>3.2229999999999999</v>
      </c>
      <c r="G69" s="1">
        <v>6.883</v>
      </c>
      <c r="H69" s="742">
        <v>0</v>
      </c>
      <c r="I69" s="1">
        <v>0.46825512131338076</v>
      </c>
      <c r="J69" s="742">
        <v>0.46825512131338076</v>
      </c>
      <c r="K69" s="89">
        <v>85</v>
      </c>
      <c r="L69" s="1">
        <v>0</v>
      </c>
      <c r="M69" s="1">
        <v>7.7679999999999998</v>
      </c>
      <c r="N69" s="1427">
        <v>0.21199999999999999</v>
      </c>
      <c r="O69" s="1">
        <v>0.21</v>
      </c>
      <c r="P69" s="1">
        <v>7.7679999999999998</v>
      </c>
      <c r="Q69" s="742">
        <v>0</v>
      </c>
      <c r="R69" s="742">
        <v>2.7033985581874358E-2</v>
      </c>
      <c r="S69" s="2100">
        <v>2.7033985581874358E-2</v>
      </c>
      <c r="T69" s="89">
        <v>85</v>
      </c>
      <c r="U69" s="741">
        <v>0</v>
      </c>
      <c r="V69" s="741">
        <v>7.3254999999999999</v>
      </c>
      <c r="W69" s="741">
        <v>1.7175</v>
      </c>
      <c r="X69" s="741">
        <v>1.7164999999999999</v>
      </c>
      <c r="Y69" s="741">
        <v>7.3254999999999999</v>
      </c>
      <c r="Z69" s="2088">
        <v>0</v>
      </c>
      <c r="AA69" s="2088">
        <v>0.24764455344762756</v>
      </c>
      <c r="AB69" s="2115">
        <v>0.24764455344762756</v>
      </c>
    </row>
    <row r="70" spans="2:28">
      <c r="B70" s="2098">
        <v>86</v>
      </c>
      <c r="C70" s="2090">
        <v>0</v>
      </c>
      <c r="D70" s="2090">
        <v>6.4619999999999997</v>
      </c>
      <c r="E70" s="2090">
        <v>3.1139999999999999</v>
      </c>
      <c r="F70" s="2090">
        <v>3.1139999999999999</v>
      </c>
      <c r="G70" s="2090">
        <v>6.4619999999999997</v>
      </c>
      <c r="H70" s="2091">
        <v>0</v>
      </c>
      <c r="I70" s="2090">
        <v>0.48189415041782729</v>
      </c>
      <c r="J70" s="2091">
        <v>0.48189415041782729</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6.8734999999999999</v>
      </c>
      <c r="W70" s="1707">
        <v>1.65</v>
      </c>
      <c r="X70" s="1707">
        <v>1.65</v>
      </c>
      <c r="Y70" s="1707">
        <v>6.8734999999999999</v>
      </c>
      <c r="Z70" s="2093">
        <v>0</v>
      </c>
      <c r="AA70" s="2093">
        <v>0.25371303265572215</v>
      </c>
      <c r="AB70" s="2114">
        <v>0.25371303265572215</v>
      </c>
    </row>
    <row r="71" spans="2:28">
      <c r="B71" s="89">
        <v>87</v>
      </c>
      <c r="C71" s="1">
        <v>0</v>
      </c>
      <c r="D71" s="1">
        <v>6.069</v>
      </c>
      <c r="E71" s="1">
        <v>2.9969999999999999</v>
      </c>
      <c r="F71" s="1">
        <v>2.9969999999999999</v>
      </c>
      <c r="G71" s="1">
        <v>6.069</v>
      </c>
      <c r="H71" s="742">
        <v>0</v>
      </c>
      <c r="I71" s="1">
        <v>0.49382105783489866</v>
      </c>
      <c r="J71" s="742">
        <v>0.49382105783489866</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6.4474999999999998</v>
      </c>
      <c r="W71" s="741">
        <v>1.5794999999999999</v>
      </c>
      <c r="X71" s="741">
        <v>1.5794999999999999</v>
      </c>
      <c r="Y71" s="741">
        <v>6.4474999999999998</v>
      </c>
      <c r="Z71" s="2088">
        <v>0</v>
      </c>
      <c r="AA71" s="2088">
        <v>0.25877692211991049</v>
      </c>
      <c r="AB71" s="2115">
        <v>0.25877692211991049</v>
      </c>
    </row>
    <row r="72" spans="2:28">
      <c r="B72" s="2098">
        <v>88</v>
      </c>
      <c r="C72" s="2090">
        <v>0</v>
      </c>
      <c r="D72" s="2090">
        <v>5.7119999999999997</v>
      </c>
      <c r="E72" s="2090">
        <v>2.8730000000000002</v>
      </c>
      <c r="F72" s="2090">
        <v>2.8730000000000002</v>
      </c>
      <c r="G72" s="2090">
        <v>5.7119999999999997</v>
      </c>
      <c r="H72" s="2091">
        <v>0</v>
      </c>
      <c r="I72" s="2090">
        <v>0.50297619047619058</v>
      </c>
      <c r="J72" s="2091">
        <v>0.50297619047619058</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6.0549999999999997</v>
      </c>
      <c r="W72" s="1707">
        <v>1.5065000000000002</v>
      </c>
      <c r="X72" s="1707">
        <v>1.5065000000000002</v>
      </c>
      <c r="Y72" s="1707">
        <v>6.0549999999999997</v>
      </c>
      <c r="Z72" s="2093">
        <v>0</v>
      </c>
      <c r="AA72" s="2093">
        <v>0.26242901427529441</v>
      </c>
      <c r="AB72" s="2114">
        <v>0.26242901427529441</v>
      </c>
    </row>
    <row r="73" spans="2:28">
      <c r="B73" s="89">
        <v>89</v>
      </c>
      <c r="C73" s="1">
        <v>0</v>
      </c>
      <c r="D73" s="1">
        <v>5.3979999999999997</v>
      </c>
      <c r="E73" s="1">
        <v>2.7149999999999999</v>
      </c>
      <c r="F73" s="1">
        <v>2.7149999999999999</v>
      </c>
      <c r="G73" s="1">
        <v>5.3979999999999997</v>
      </c>
      <c r="H73" s="742">
        <v>0</v>
      </c>
      <c r="I73" s="1">
        <v>0.50296406076324562</v>
      </c>
      <c r="J73" s="742">
        <v>0.50296406076324562</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5.7024999999999997</v>
      </c>
      <c r="W73" s="741">
        <v>1.4159999999999999</v>
      </c>
      <c r="X73" s="741">
        <v>1.4159999999999999</v>
      </c>
      <c r="Y73" s="741">
        <v>5.7024999999999997</v>
      </c>
      <c r="Z73" s="2088">
        <v>0</v>
      </c>
      <c r="AA73" s="2088">
        <v>0.26122066863699156</v>
      </c>
      <c r="AB73" s="2115">
        <v>0.26122066863699156</v>
      </c>
    </row>
    <row r="74" spans="2:28">
      <c r="B74" s="2098">
        <v>90</v>
      </c>
      <c r="C74" s="2090">
        <v>0</v>
      </c>
      <c r="D74" s="2090">
        <v>5.1150000000000002</v>
      </c>
      <c r="E74" s="2090">
        <v>2.5489999999999999</v>
      </c>
      <c r="F74" s="2090">
        <v>2.5489999999999999</v>
      </c>
      <c r="G74" s="2090">
        <v>5.1150000000000002</v>
      </c>
      <c r="H74" s="2091">
        <v>0</v>
      </c>
      <c r="I74" s="2090">
        <v>0.49833822091886604</v>
      </c>
      <c r="J74" s="2091">
        <v>0.49833822091886604</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5.3849999999999998</v>
      </c>
      <c r="W74" s="1707">
        <v>1.323</v>
      </c>
      <c r="X74" s="1707">
        <v>1.323</v>
      </c>
      <c r="Y74" s="1707">
        <v>5.3849999999999998</v>
      </c>
      <c r="Z74" s="2093">
        <v>0</v>
      </c>
      <c r="AA74" s="2093">
        <v>0.2577455914497071</v>
      </c>
      <c r="AB74" s="2114">
        <v>0.2577455914497071</v>
      </c>
    </row>
    <row r="75" spans="2:28">
      <c r="B75" s="89">
        <v>91</v>
      </c>
      <c r="C75" s="1">
        <v>0</v>
      </c>
      <c r="D75" s="1">
        <v>4.8499999999999996</v>
      </c>
      <c r="E75" s="1">
        <v>2.387</v>
      </c>
      <c r="F75" s="1">
        <v>2.387</v>
      </c>
      <c r="G75" s="1">
        <v>4.8499999999999996</v>
      </c>
      <c r="H75" s="742">
        <v>0</v>
      </c>
      <c r="I75" s="1">
        <v>0.49216494845360831</v>
      </c>
      <c r="J75" s="742">
        <v>0.49216494845360831</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5.0909999999999993</v>
      </c>
      <c r="W75" s="741">
        <v>1.2335</v>
      </c>
      <c r="X75" s="741">
        <v>1.2335</v>
      </c>
      <c r="Y75" s="741">
        <v>5.0909999999999993</v>
      </c>
      <c r="Z75" s="2088">
        <v>0</v>
      </c>
      <c r="AA75" s="2088">
        <v>0.2535843496956714</v>
      </c>
      <c r="AB75" s="2115">
        <v>0.2535843496956714</v>
      </c>
    </row>
    <row r="76" spans="2:28">
      <c r="B76" s="2098">
        <v>92</v>
      </c>
      <c r="C76" s="2090">
        <v>0</v>
      </c>
      <c r="D76" s="2090">
        <v>4.6040000000000001</v>
      </c>
      <c r="E76" s="2090">
        <v>2.2040000000000002</v>
      </c>
      <c r="F76" s="2090">
        <v>2.2040000000000002</v>
      </c>
      <c r="G76" s="2090">
        <v>4.6040000000000001</v>
      </c>
      <c r="H76" s="2091">
        <v>0</v>
      </c>
      <c r="I76" s="2090">
        <v>0.47871416159860991</v>
      </c>
      <c r="J76" s="2091">
        <v>0.47871416159860991</v>
      </c>
      <c r="K76" s="2098">
        <v>92</v>
      </c>
      <c r="L76" s="2090">
        <v>0</v>
      </c>
      <c r="M76" s="2090">
        <v>5.0289999999999999</v>
      </c>
      <c r="N76" s="2092">
        <v>6.4000000000000001E-2</v>
      </c>
      <c r="O76" s="2090">
        <v>6.5000000000000002E-2</v>
      </c>
      <c r="P76" s="2090">
        <v>5.0289999999999999</v>
      </c>
      <c r="Q76" s="2091">
        <v>0</v>
      </c>
      <c r="R76" s="2091">
        <v>1.2925034798170611E-2</v>
      </c>
      <c r="S76" s="2099">
        <v>1.2925034798170611E-2</v>
      </c>
      <c r="T76" s="2098">
        <v>92</v>
      </c>
      <c r="U76" s="1707">
        <v>0</v>
      </c>
      <c r="V76" s="1707">
        <v>4.8164999999999996</v>
      </c>
      <c r="W76" s="1707">
        <v>1.1340000000000001</v>
      </c>
      <c r="X76" s="1707">
        <v>1.1345000000000001</v>
      </c>
      <c r="Y76" s="1707">
        <v>4.8164999999999996</v>
      </c>
      <c r="Z76" s="2093">
        <v>0</v>
      </c>
      <c r="AA76" s="2093">
        <v>0.24581959819839025</v>
      </c>
      <c r="AB76" s="2114">
        <v>0.24581959819839025</v>
      </c>
    </row>
    <row r="77" spans="2:28">
      <c r="B77" s="89">
        <v>93</v>
      </c>
      <c r="C77" s="1">
        <v>0</v>
      </c>
      <c r="D77" s="1">
        <v>4.3760000000000003</v>
      </c>
      <c r="E77" s="1">
        <v>2.0350000000000001</v>
      </c>
      <c r="F77" s="1">
        <v>2.0350000000000001</v>
      </c>
      <c r="G77" s="1">
        <v>4.3760000000000003</v>
      </c>
      <c r="H77" s="742">
        <v>0</v>
      </c>
      <c r="I77" s="1">
        <v>0.46503656307129798</v>
      </c>
      <c r="J77" s="742">
        <v>0.46503656307129798</v>
      </c>
      <c r="K77" s="89">
        <v>93</v>
      </c>
      <c r="L77" s="1">
        <v>0</v>
      </c>
      <c r="M77" s="1">
        <v>4.7469999999999999</v>
      </c>
      <c r="N77" s="1427">
        <v>5.1999999999999998E-2</v>
      </c>
      <c r="O77" s="1">
        <v>5.2999999999999999E-2</v>
      </c>
      <c r="P77" s="1">
        <v>4.7469999999999999</v>
      </c>
      <c r="Q77" s="742">
        <v>0</v>
      </c>
      <c r="R77" s="742">
        <v>1.1164946281862228E-2</v>
      </c>
      <c r="S77" s="2100">
        <v>1.1164946281862228E-2</v>
      </c>
      <c r="T77" s="89">
        <v>93</v>
      </c>
      <c r="U77" s="741">
        <v>0</v>
      </c>
      <c r="V77" s="741">
        <v>4.5615000000000006</v>
      </c>
      <c r="W77" s="741">
        <v>1.0435000000000001</v>
      </c>
      <c r="X77" s="741">
        <v>1.044</v>
      </c>
      <c r="Y77" s="741">
        <v>4.5615000000000006</v>
      </c>
      <c r="Z77" s="2088">
        <v>0</v>
      </c>
      <c r="AA77" s="2088">
        <v>0.2381007546765801</v>
      </c>
      <c r="AB77" s="2115">
        <v>0.2381007546765801</v>
      </c>
    </row>
    <row r="78" spans="2:28">
      <c r="B78" s="2098">
        <v>94</v>
      </c>
      <c r="C78" s="2090">
        <v>0</v>
      </c>
      <c r="D78" s="2090">
        <v>4.1660000000000004</v>
      </c>
      <c r="E78" s="2090">
        <v>1.85</v>
      </c>
      <c r="F78" s="2090">
        <v>1.85</v>
      </c>
      <c r="G78" s="2090">
        <v>4.1660000000000004</v>
      </c>
      <c r="H78" s="2091">
        <v>0</v>
      </c>
      <c r="I78" s="2090">
        <v>0.44407105136821889</v>
      </c>
      <c r="J78" s="2091">
        <v>0.44407105136821889</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4.3254999999999999</v>
      </c>
      <c r="W78" s="1707">
        <v>0.94600000000000006</v>
      </c>
      <c r="X78" s="1707">
        <v>0.94600000000000006</v>
      </c>
      <c r="Y78" s="1707">
        <v>4.3254999999999999</v>
      </c>
      <c r="Z78" s="2093">
        <v>0</v>
      </c>
      <c r="AA78" s="2093">
        <v>0.22671779993160107</v>
      </c>
      <c r="AB78" s="2114">
        <v>0.22671779993160107</v>
      </c>
    </row>
    <row r="79" spans="2:28">
      <c r="B79" s="89">
        <v>95</v>
      </c>
      <c r="C79" s="1">
        <v>0</v>
      </c>
      <c r="D79" s="1">
        <v>3.9740000000000002</v>
      </c>
      <c r="E79" s="1">
        <v>1.6830000000000001</v>
      </c>
      <c r="F79" s="1">
        <v>1.6830000000000001</v>
      </c>
      <c r="G79" s="1">
        <v>3.9740000000000002</v>
      </c>
      <c r="H79" s="742">
        <v>0</v>
      </c>
      <c r="I79" s="1">
        <v>0.42350276799194764</v>
      </c>
      <c r="J79" s="742">
        <v>0.42350276799194764</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4.1095000000000006</v>
      </c>
      <c r="W79" s="741">
        <v>0.85850000000000004</v>
      </c>
      <c r="X79" s="741">
        <v>0.85850000000000004</v>
      </c>
      <c r="Y79" s="741">
        <v>4.1095000000000006</v>
      </c>
      <c r="Z79" s="2088">
        <v>0</v>
      </c>
      <c r="AA79" s="2088">
        <v>0.21575609542117993</v>
      </c>
      <c r="AB79" s="2115">
        <v>0.21575609542117993</v>
      </c>
    </row>
    <row r="80" spans="2:28">
      <c r="B80" s="2098">
        <v>96</v>
      </c>
      <c r="C80" s="2090">
        <v>0</v>
      </c>
      <c r="D80" s="2090">
        <v>3.798</v>
      </c>
      <c r="E80" s="2090">
        <v>1.5349999999999999</v>
      </c>
      <c r="F80" s="2090">
        <v>1.5349999999999999</v>
      </c>
      <c r="G80" s="2090">
        <v>3.798</v>
      </c>
      <c r="H80" s="2091">
        <v>0</v>
      </c>
      <c r="I80" s="2090">
        <v>0.40416008425487093</v>
      </c>
      <c r="J80" s="2091">
        <v>0.40416008425487093</v>
      </c>
      <c r="K80" s="2098">
        <v>96</v>
      </c>
      <c r="L80" s="2090">
        <v>0</v>
      </c>
      <c r="M80" s="2090">
        <v>4.024</v>
      </c>
      <c r="N80" s="2092">
        <v>2.7E-2</v>
      </c>
      <c r="O80" s="2090">
        <v>2.7E-2</v>
      </c>
      <c r="P80" s="2090">
        <v>4.024</v>
      </c>
      <c r="Q80" s="2091">
        <v>0</v>
      </c>
      <c r="R80" s="2091">
        <v>6.7097415506958248E-3</v>
      </c>
      <c r="S80" s="2099">
        <v>6.7097415506958248E-3</v>
      </c>
      <c r="T80" s="2098">
        <v>96</v>
      </c>
      <c r="U80" s="1707">
        <v>0</v>
      </c>
      <c r="V80" s="1707">
        <v>3.911</v>
      </c>
      <c r="W80" s="1707">
        <v>0.78099999999999992</v>
      </c>
      <c r="X80" s="1707">
        <v>0.78099999999999992</v>
      </c>
      <c r="Y80" s="1707">
        <v>3.911</v>
      </c>
      <c r="Z80" s="2093">
        <v>0</v>
      </c>
      <c r="AA80" s="2093">
        <v>0.20543491290278337</v>
      </c>
      <c r="AB80" s="2114">
        <v>0.20543491290278337</v>
      </c>
    </row>
    <row r="81" spans="2:28">
      <c r="B81" s="89">
        <v>97</v>
      </c>
      <c r="C81" s="1">
        <v>0</v>
      </c>
      <c r="D81" s="1">
        <v>3.6389999999999998</v>
      </c>
      <c r="E81" s="1">
        <v>1.371</v>
      </c>
      <c r="F81" s="1">
        <v>1.371</v>
      </c>
      <c r="G81" s="1">
        <v>3.6389999999999998</v>
      </c>
      <c r="H81" s="742">
        <v>0</v>
      </c>
      <c r="I81" s="1">
        <v>0.37675185490519375</v>
      </c>
      <c r="J81" s="742">
        <v>0.37675185490519375</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3.7314999999999996</v>
      </c>
      <c r="W81" s="741">
        <v>0.69599999999999995</v>
      </c>
      <c r="X81" s="741">
        <v>0.69599999999999995</v>
      </c>
      <c r="Y81" s="741">
        <v>3.7314999999999996</v>
      </c>
      <c r="Z81" s="2088">
        <v>0</v>
      </c>
      <c r="AA81" s="2088">
        <v>0.19112174335217846</v>
      </c>
      <c r="AB81" s="2115">
        <v>0.19112174335217846</v>
      </c>
    </row>
    <row r="82" spans="2:28">
      <c r="B82" s="2098">
        <v>98</v>
      </c>
      <c r="C82" s="2090">
        <v>0</v>
      </c>
      <c r="D82" s="2090">
        <v>3.4950000000000001</v>
      </c>
      <c r="E82" s="2090">
        <v>1.216</v>
      </c>
      <c r="F82" s="2090">
        <v>1.216</v>
      </c>
      <c r="G82" s="2090">
        <v>3.4950000000000001</v>
      </c>
      <c r="H82" s="2091">
        <v>0</v>
      </c>
      <c r="I82" s="2090">
        <v>0.3479256080114449</v>
      </c>
      <c r="J82" s="2091">
        <v>0.3479256080114449</v>
      </c>
      <c r="K82" s="2098">
        <v>98</v>
      </c>
      <c r="L82" s="2090">
        <v>0</v>
      </c>
      <c r="M82" s="2090">
        <v>3.6429999999999998</v>
      </c>
      <c r="N82" s="2092">
        <v>1.6E-2</v>
      </c>
      <c r="O82" s="2090">
        <v>1.7000000000000001E-2</v>
      </c>
      <c r="P82" s="2090">
        <v>3.6429999999999998</v>
      </c>
      <c r="Q82" s="2091">
        <v>0</v>
      </c>
      <c r="R82" s="2091">
        <v>4.6664836673071652E-3</v>
      </c>
      <c r="S82" s="2099">
        <v>4.6664836673071652E-3</v>
      </c>
      <c r="T82" s="2098">
        <v>98</v>
      </c>
      <c r="U82" s="1707">
        <v>0</v>
      </c>
      <c r="V82" s="1707">
        <v>3.569</v>
      </c>
      <c r="W82" s="1707">
        <v>0.61599999999999999</v>
      </c>
      <c r="X82" s="1707">
        <v>0.61649999999999994</v>
      </c>
      <c r="Y82" s="1707">
        <v>3.569</v>
      </c>
      <c r="Z82" s="2093">
        <v>0</v>
      </c>
      <c r="AA82" s="2093">
        <v>0.17629604583937603</v>
      </c>
      <c r="AB82" s="2114">
        <v>0.17629604583937603</v>
      </c>
    </row>
    <row r="83" spans="2:28">
      <c r="B83" s="89">
        <v>99</v>
      </c>
      <c r="C83" s="1">
        <v>0</v>
      </c>
      <c r="D83" s="1">
        <v>3.3639999999999999</v>
      </c>
      <c r="E83" s="1">
        <v>1.0409999999999999</v>
      </c>
      <c r="F83" s="1">
        <v>1.0409999999999999</v>
      </c>
      <c r="G83" s="1">
        <v>3.3639999999999999</v>
      </c>
      <c r="H83" s="742">
        <v>0</v>
      </c>
      <c r="I83" s="1">
        <v>0.30945303210463732</v>
      </c>
      <c r="J83" s="742">
        <v>0.30945303210463732</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3.4219999999999997</v>
      </c>
      <c r="W83" s="741">
        <v>0.52699999999999991</v>
      </c>
      <c r="X83" s="741">
        <v>0.52699999999999991</v>
      </c>
      <c r="Y83" s="741">
        <v>3.4219999999999997</v>
      </c>
      <c r="Z83" s="2088">
        <v>0</v>
      </c>
      <c r="AA83" s="2088">
        <v>0.15659433214427268</v>
      </c>
      <c r="AB83" s="2115">
        <v>0.15659433214427268</v>
      </c>
    </row>
    <row r="84" spans="2:28" ht="15" thickBot="1">
      <c r="B84" s="2101">
        <v>100</v>
      </c>
      <c r="C84" s="2102">
        <v>0</v>
      </c>
      <c r="D84" s="2102">
        <v>3.2450000000000001</v>
      </c>
      <c r="E84" s="2102">
        <v>0.84799999999999998</v>
      </c>
      <c r="F84" s="2102">
        <v>0.84799999999999998</v>
      </c>
      <c r="G84" s="2102">
        <v>3.2450000000000001</v>
      </c>
      <c r="H84" s="2103">
        <v>0</v>
      </c>
      <c r="I84" s="2102">
        <v>0.26132511556240368</v>
      </c>
      <c r="J84" s="2103">
        <v>0.26132511556240368</v>
      </c>
      <c r="K84" s="2101">
        <v>100</v>
      </c>
      <c r="L84" s="2102">
        <v>0</v>
      </c>
      <c r="M84" s="2102">
        <v>3.335</v>
      </c>
      <c r="N84" s="2109">
        <v>0.01</v>
      </c>
      <c r="O84" s="2102">
        <v>0.01</v>
      </c>
      <c r="P84" s="2102">
        <v>3.335</v>
      </c>
      <c r="Q84" s="2103">
        <v>0</v>
      </c>
      <c r="R84" s="2103">
        <v>2.9985007496251873E-3</v>
      </c>
      <c r="S84" s="2104">
        <v>2.9985007496251873E-3</v>
      </c>
      <c r="T84" s="2101">
        <v>100</v>
      </c>
      <c r="U84" s="2116">
        <v>0</v>
      </c>
      <c r="V84" s="2116">
        <v>3.29</v>
      </c>
      <c r="W84" s="2116">
        <v>0.42899999999999999</v>
      </c>
      <c r="X84" s="2116">
        <v>0.42899999999999999</v>
      </c>
      <c r="Y84" s="2116">
        <v>3.29</v>
      </c>
      <c r="Z84" s="2117">
        <v>0</v>
      </c>
      <c r="AA84" s="2117">
        <v>0.13216180815601444</v>
      </c>
      <c r="AB84" s="2118">
        <v>0.13216180815601444</v>
      </c>
    </row>
  </sheetData>
  <mergeCells count="4">
    <mergeCell ref="H2:J2"/>
    <mergeCell ref="Q2:S2"/>
    <mergeCell ref="Z2:AB2"/>
    <mergeCell ref="B2:B3"/>
  </mergeCells>
  <phoneticPr fontId="60" type="noConversion"/>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094" t="s">
        <v>7</v>
      </c>
      <c r="C2" s="2095" t="s">
        <v>0</v>
      </c>
      <c r="D2" s="2095" t="s">
        <v>1</v>
      </c>
      <c r="E2" s="2095" t="s">
        <v>2</v>
      </c>
      <c r="F2" s="2095" t="s">
        <v>1698</v>
      </c>
      <c r="G2" s="2095" t="s">
        <v>1952</v>
      </c>
      <c r="H2" s="4019" t="s">
        <v>162</v>
      </c>
      <c r="I2" s="4020"/>
      <c r="J2" s="4021"/>
      <c r="K2" s="2105"/>
      <c r="L2" s="2106" t="s">
        <v>0</v>
      </c>
      <c r="M2" s="2106" t="s">
        <v>1</v>
      </c>
      <c r="N2" s="2106" t="s">
        <v>2</v>
      </c>
      <c r="O2" s="2106" t="s">
        <v>1698</v>
      </c>
      <c r="P2" s="2106" t="str">
        <f>+G2</f>
        <v>Anwartschafts-barwert
Altersrente</v>
      </c>
      <c r="Q2" s="4022" t="s">
        <v>163</v>
      </c>
      <c r="R2" s="4023"/>
      <c r="S2" s="4024"/>
      <c r="T2" s="2110"/>
      <c r="U2" s="2111" t="s">
        <v>0</v>
      </c>
      <c r="V2" s="2111" t="s">
        <v>1</v>
      </c>
      <c r="W2" s="2111" t="s">
        <v>2</v>
      </c>
      <c r="X2" s="2111" t="s">
        <v>1698</v>
      </c>
      <c r="Y2" s="2111" t="str">
        <f>+P2</f>
        <v>Anwartschafts-barwert
Altersrente</v>
      </c>
      <c r="Z2" s="4025" t="s">
        <v>1568</v>
      </c>
      <c r="AA2" s="4026"/>
      <c r="AB2" s="4027"/>
    </row>
    <row r="3" spans="1:28" s="2" customFormat="1" ht="13.5">
      <c r="A3" s="60">
        <v>43111</v>
      </c>
      <c r="B3" s="2096"/>
      <c r="C3" s="2089" t="s">
        <v>17</v>
      </c>
      <c r="D3" s="2089" t="s">
        <v>18</v>
      </c>
      <c r="E3" s="2089" t="s">
        <v>24</v>
      </c>
      <c r="F3" s="2089" t="s">
        <v>24</v>
      </c>
      <c r="G3" s="2089"/>
      <c r="H3" s="1108" t="s">
        <v>8</v>
      </c>
      <c r="I3" s="1108" t="s">
        <v>9</v>
      </c>
      <c r="J3" s="2097" t="s">
        <v>10</v>
      </c>
      <c r="K3" s="2107" t="s">
        <v>7</v>
      </c>
      <c r="L3" s="1109" t="s">
        <v>19</v>
      </c>
      <c r="M3" s="1109" t="s">
        <v>20</v>
      </c>
      <c r="N3" s="1109" t="s">
        <v>26</v>
      </c>
      <c r="O3" s="1109"/>
      <c r="P3" s="1109"/>
      <c r="Q3" s="1109" t="s">
        <v>8</v>
      </c>
      <c r="R3" s="1109" t="s">
        <v>9</v>
      </c>
      <c r="S3" s="2108" t="s">
        <v>10</v>
      </c>
      <c r="T3" s="2127" t="s">
        <v>7</v>
      </c>
      <c r="U3" s="2128" t="s">
        <v>182</v>
      </c>
      <c r="V3" s="2128" t="s">
        <v>183</v>
      </c>
      <c r="W3" s="2128" t="s">
        <v>26</v>
      </c>
      <c r="X3" s="2128"/>
      <c r="Y3" s="2128"/>
      <c r="Z3" s="2128" t="s">
        <v>8</v>
      </c>
      <c r="AA3" s="2128" t="s">
        <v>9</v>
      </c>
      <c r="AB3" s="2129" t="s">
        <v>10</v>
      </c>
    </row>
    <row r="4" spans="1:28">
      <c r="B4" s="2098">
        <v>20</v>
      </c>
      <c r="C4" s="2090">
        <v>0.28299999999999997</v>
      </c>
      <c r="D4" s="2090">
        <v>4.6829999999999998</v>
      </c>
      <c r="E4" s="2090">
        <v>0.53400000000000003</v>
      </c>
      <c r="F4" s="2090">
        <v>0.53400000000000003</v>
      </c>
      <c r="G4" s="2090">
        <v>4.3999999999999995</v>
      </c>
      <c r="H4" s="2091">
        <v>6.4318181818181816E-2</v>
      </c>
      <c r="I4" s="2091">
        <v>0.12136363636363638</v>
      </c>
      <c r="J4" s="2099">
        <v>0.1856818181818182</v>
      </c>
      <c r="K4" s="2098">
        <v>20</v>
      </c>
      <c r="L4" s="2090">
        <v>0.29499999999999998</v>
      </c>
      <c r="M4" s="2090">
        <v>5.4459999999999997</v>
      </c>
      <c r="N4" s="2092">
        <v>0.13300000000000001</v>
      </c>
      <c r="O4" s="2090">
        <v>0.13300000000000001</v>
      </c>
      <c r="P4" s="2090">
        <v>5.1509999999999998</v>
      </c>
      <c r="Q4" s="2091">
        <v>5.7270432925645508E-2</v>
      </c>
      <c r="R4" s="2091">
        <v>2.5820229081731705E-2</v>
      </c>
      <c r="S4" s="2099">
        <v>8.309066200737722E-2</v>
      </c>
      <c r="T4" s="2098">
        <v>20</v>
      </c>
      <c r="U4" s="1707">
        <v>0.28899999999999998</v>
      </c>
      <c r="V4" s="1707">
        <v>5.0644999999999998</v>
      </c>
      <c r="W4" s="1707">
        <v>0.33350000000000002</v>
      </c>
      <c r="X4" s="1707">
        <v>0.33350000000000002</v>
      </c>
      <c r="Y4" s="1707">
        <v>4.7754999999999992</v>
      </c>
      <c r="Z4" s="2093">
        <v>6.0794307371913658E-2</v>
      </c>
      <c r="AA4" s="2093">
        <v>7.359193272268405E-2</v>
      </c>
      <c r="AB4" s="2114">
        <v>0.13438624009459771</v>
      </c>
    </row>
    <row r="5" spans="1:28">
      <c r="B5" s="89">
        <v>21</v>
      </c>
      <c r="C5" s="1">
        <v>0.32600000000000001</v>
      </c>
      <c r="D5" s="1">
        <v>4.8250000000000002</v>
      </c>
      <c r="E5" s="1">
        <v>0.621</v>
      </c>
      <c r="F5" s="1">
        <v>0.621</v>
      </c>
      <c r="G5" s="1">
        <v>4.4990000000000006</v>
      </c>
      <c r="H5" s="742">
        <v>7.2460546788175137E-2</v>
      </c>
      <c r="I5" s="742">
        <v>0.13803067348299619</v>
      </c>
      <c r="J5" s="2100">
        <v>0.21049122027117134</v>
      </c>
      <c r="K5" s="89">
        <v>21</v>
      </c>
      <c r="L5" s="1">
        <v>0.35399999999999998</v>
      </c>
      <c r="M5" s="1">
        <v>5.609</v>
      </c>
      <c r="N5" s="1427">
        <v>0.16</v>
      </c>
      <c r="O5" s="1">
        <v>0.16</v>
      </c>
      <c r="P5" s="1">
        <v>5.2549999999999999</v>
      </c>
      <c r="Q5" s="742">
        <v>6.7364414843006662E-2</v>
      </c>
      <c r="R5" s="742">
        <v>3.0447193149381543E-2</v>
      </c>
      <c r="S5" s="2100">
        <v>9.7811607992388208E-2</v>
      </c>
      <c r="T5" s="89">
        <v>21</v>
      </c>
      <c r="U5" s="741">
        <v>0.33999999999999997</v>
      </c>
      <c r="V5" s="741">
        <v>5.2170000000000005</v>
      </c>
      <c r="W5" s="741">
        <v>0.39050000000000001</v>
      </c>
      <c r="X5" s="741">
        <v>0.39050000000000001</v>
      </c>
      <c r="Y5" s="741">
        <v>4.8770000000000007</v>
      </c>
      <c r="Z5" s="2088">
        <v>6.9912480815590899E-2</v>
      </c>
      <c r="AA5" s="2088">
        <v>8.4238933316188869E-2</v>
      </c>
      <c r="AB5" s="2115">
        <v>0.15415141413177977</v>
      </c>
    </row>
    <row r="6" spans="1:28">
      <c r="B6" s="2098">
        <v>22</v>
      </c>
      <c r="C6" s="2090">
        <v>0.371</v>
      </c>
      <c r="D6" s="2090">
        <v>4.97</v>
      </c>
      <c r="E6" s="2090">
        <v>0.71299999999999997</v>
      </c>
      <c r="F6" s="2090">
        <v>0.71299999999999997</v>
      </c>
      <c r="G6" s="2090">
        <v>4.5990000000000002</v>
      </c>
      <c r="H6" s="2091">
        <v>8.0669710806697104E-2</v>
      </c>
      <c r="I6" s="2091">
        <v>0.15503370297890845</v>
      </c>
      <c r="J6" s="2099">
        <v>0.23570341378560555</v>
      </c>
      <c r="K6" s="2098">
        <v>22</v>
      </c>
      <c r="L6" s="2090">
        <v>0.40899999999999997</v>
      </c>
      <c r="M6" s="2090">
        <v>5.7750000000000004</v>
      </c>
      <c r="N6" s="2092">
        <v>0.186</v>
      </c>
      <c r="O6" s="2090">
        <v>0.186</v>
      </c>
      <c r="P6" s="2090">
        <v>5.3660000000000005</v>
      </c>
      <c r="Q6" s="2091">
        <v>7.6220648527767415E-2</v>
      </c>
      <c r="R6" s="2091">
        <v>3.4662691017517698E-2</v>
      </c>
      <c r="S6" s="2099">
        <v>0.11088333954528512</v>
      </c>
      <c r="T6" s="2098">
        <v>22</v>
      </c>
      <c r="U6" s="1707">
        <v>0.39</v>
      </c>
      <c r="V6" s="1707">
        <v>5.3725000000000005</v>
      </c>
      <c r="W6" s="1707">
        <v>0.44950000000000001</v>
      </c>
      <c r="X6" s="1707">
        <v>0.44950000000000001</v>
      </c>
      <c r="Y6" s="1707">
        <v>4.9824999999999999</v>
      </c>
      <c r="Z6" s="2093">
        <v>7.8445179667232259E-2</v>
      </c>
      <c r="AA6" s="2093">
        <v>9.4848196998213077E-2</v>
      </c>
      <c r="AB6" s="2114">
        <v>0.17329337666544534</v>
      </c>
    </row>
    <row r="7" spans="1:28">
      <c r="B7" s="89">
        <v>23</v>
      </c>
      <c r="C7" s="1">
        <v>0.41699999999999998</v>
      </c>
      <c r="D7" s="1">
        <v>5.1189999999999998</v>
      </c>
      <c r="E7" s="1">
        <v>0.81</v>
      </c>
      <c r="F7" s="1">
        <v>0.81</v>
      </c>
      <c r="G7" s="1">
        <v>4.702</v>
      </c>
      <c r="H7" s="742">
        <v>8.8685665674181194E-2</v>
      </c>
      <c r="I7" s="742">
        <v>0.17226712037430883</v>
      </c>
      <c r="J7" s="2100">
        <v>0.26095278604849004</v>
      </c>
      <c r="K7" s="89">
        <v>23</v>
      </c>
      <c r="L7" s="1">
        <v>0.45500000000000002</v>
      </c>
      <c r="M7" s="1">
        <v>5.9470000000000001</v>
      </c>
      <c r="N7" s="1427">
        <v>0.20799999999999999</v>
      </c>
      <c r="O7" s="1">
        <v>0.20799999999999999</v>
      </c>
      <c r="P7" s="1">
        <v>5.492</v>
      </c>
      <c r="Q7" s="742">
        <v>8.2847778587035695E-2</v>
      </c>
      <c r="R7" s="742">
        <v>3.7873270211216316E-2</v>
      </c>
      <c r="S7" s="2100">
        <v>0.12072104879825202</v>
      </c>
      <c r="T7" s="89">
        <v>23</v>
      </c>
      <c r="U7" s="741">
        <v>0.436</v>
      </c>
      <c r="V7" s="741">
        <v>5.5329999999999995</v>
      </c>
      <c r="W7" s="741">
        <v>0.50900000000000001</v>
      </c>
      <c r="X7" s="741">
        <v>0.50900000000000001</v>
      </c>
      <c r="Y7" s="741">
        <v>5.0969999999999995</v>
      </c>
      <c r="Z7" s="2088">
        <v>8.5766722130608444E-2</v>
      </c>
      <c r="AA7" s="2088">
        <v>0.10507019529276257</v>
      </c>
      <c r="AB7" s="2115">
        <v>0.19083691742337103</v>
      </c>
    </row>
    <row r="8" spans="1:28">
      <c r="B8" s="2098">
        <v>24</v>
      </c>
      <c r="C8" s="2090">
        <v>0.45700000000000002</v>
      </c>
      <c r="D8" s="2090">
        <v>5.2720000000000002</v>
      </c>
      <c r="E8" s="2090">
        <v>0.89900000000000002</v>
      </c>
      <c r="F8" s="2090">
        <v>0.89900000000000002</v>
      </c>
      <c r="G8" s="2090">
        <v>4.8150000000000004</v>
      </c>
      <c r="H8" s="2091">
        <v>9.4911734164070602E-2</v>
      </c>
      <c r="I8" s="2091">
        <v>0.18670820353063342</v>
      </c>
      <c r="J8" s="2099">
        <v>0.281619937694704</v>
      </c>
      <c r="K8" s="2098">
        <v>24</v>
      </c>
      <c r="L8" s="2090">
        <v>0.496</v>
      </c>
      <c r="M8" s="2090">
        <v>6.1219999999999999</v>
      </c>
      <c r="N8" s="2092">
        <v>0.22800000000000001</v>
      </c>
      <c r="O8" s="2090">
        <v>0.22800000000000001</v>
      </c>
      <c r="P8" s="2090">
        <v>5.6259999999999994</v>
      </c>
      <c r="Q8" s="2091">
        <v>8.816210451475294E-2</v>
      </c>
      <c r="R8" s="2091">
        <v>4.0526128688233208E-2</v>
      </c>
      <c r="S8" s="2099">
        <v>0.12868823320298614</v>
      </c>
      <c r="T8" s="2098">
        <v>24</v>
      </c>
      <c r="U8" s="1707">
        <v>0.47650000000000003</v>
      </c>
      <c r="V8" s="1707">
        <v>5.6970000000000001</v>
      </c>
      <c r="W8" s="1707">
        <v>0.5635</v>
      </c>
      <c r="X8" s="1707">
        <v>0.5635</v>
      </c>
      <c r="Y8" s="1707">
        <v>5.2204999999999995</v>
      </c>
      <c r="Z8" s="2093">
        <v>9.1536919339411771E-2</v>
      </c>
      <c r="AA8" s="2093">
        <v>0.11361716610943332</v>
      </c>
      <c r="AB8" s="2114">
        <v>0.20515408544884506</v>
      </c>
    </row>
    <row r="9" spans="1:28">
      <c r="B9" s="89">
        <v>25</v>
      </c>
      <c r="C9" s="1">
        <v>0.49399999999999999</v>
      </c>
      <c r="D9" s="1">
        <v>5.4279999999999999</v>
      </c>
      <c r="E9" s="1">
        <v>0.98099999999999998</v>
      </c>
      <c r="F9" s="1">
        <v>0.98099999999999998</v>
      </c>
      <c r="G9" s="1">
        <v>4.9340000000000002</v>
      </c>
      <c r="H9" s="742">
        <v>0.10012160518848803</v>
      </c>
      <c r="I9" s="742">
        <v>0.19882448317794893</v>
      </c>
      <c r="J9" s="2100">
        <v>0.29894608836643699</v>
      </c>
      <c r="K9" s="89">
        <v>25</v>
      </c>
      <c r="L9" s="1">
        <v>0.53700000000000003</v>
      </c>
      <c r="M9" s="1">
        <v>6.3010000000000002</v>
      </c>
      <c r="N9" s="1427">
        <v>0.248</v>
      </c>
      <c r="O9" s="1">
        <v>0.248</v>
      </c>
      <c r="P9" s="1">
        <v>5.7640000000000002</v>
      </c>
      <c r="Q9" s="742">
        <v>9.3164469118667589E-2</v>
      </c>
      <c r="R9" s="742">
        <v>4.302567661346287E-2</v>
      </c>
      <c r="S9" s="2100">
        <v>0.13619014573213045</v>
      </c>
      <c r="T9" s="89">
        <v>25</v>
      </c>
      <c r="U9" s="741">
        <v>0.51550000000000007</v>
      </c>
      <c r="V9" s="741">
        <v>5.8644999999999996</v>
      </c>
      <c r="W9" s="741">
        <v>0.61450000000000005</v>
      </c>
      <c r="X9" s="741">
        <v>0.61450000000000005</v>
      </c>
      <c r="Y9" s="741">
        <v>5.3490000000000002</v>
      </c>
      <c r="Z9" s="2088">
        <v>9.6643037153577804E-2</v>
      </c>
      <c r="AA9" s="2088">
        <v>0.1209250798957059</v>
      </c>
      <c r="AB9" s="2115">
        <v>0.21756811704928372</v>
      </c>
    </row>
    <row r="10" spans="1:28">
      <c r="B10" s="2098">
        <v>26</v>
      </c>
      <c r="C10" s="2090">
        <v>0.52600000000000002</v>
      </c>
      <c r="D10" s="2090">
        <v>5.5869999999999997</v>
      </c>
      <c r="E10" s="2090">
        <v>1.06</v>
      </c>
      <c r="F10" s="2090">
        <v>1.06</v>
      </c>
      <c r="G10" s="2090">
        <v>5.0609999999999999</v>
      </c>
      <c r="H10" s="2091">
        <v>0.10393202924323257</v>
      </c>
      <c r="I10" s="2091">
        <v>0.20944477376012646</v>
      </c>
      <c r="J10" s="2099">
        <v>0.31337680300335902</v>
      </c>
      <c r="K10" s="2098">
        <v>26</v>
      </c>
      <c r="L10" s="2090">
        <v>0.57799999999999996</v>
      </c>
      <c r="M10" s="2090">
        <v>6.4829999999999997</v>
      </c>
      <c r="N10" s="2092">
        <v>0.26900000000000002</v>
      </c>
      <c r="O10" s="2090">
        <v>0.26900000000000002</v>
      </c>
      <c r="P10" s="2090">
        <v>5.9049999999999994</v>
      </c>
      <c r="Q10" s="2091">
        <v>9.7883149872988989E-2</v>
      </c>
      <c r="R10" s="2091">
        <v>4.5554614733276891E-2</v>
      </c>
      <c r="S10" s="2099">
        <v>0.14343776460626589</v>
      </c>
      <c r="T10" s="2098">
        <v>26</v>
      </c>
      <c r="U10" s="1707">
        <v>0.55200000000000005</v>
      </c>
      <c r="V10" s="1707">
        <v>6.0350000000000001</v>
      </c>
      <c r="W10" s="1707">
        <v>0.66450000000000009</v>
      </c>
      <c r="X10" s="1707">
        <v>0.66450000000000009</v>
      </c>
      <c r="Y10" s="1707">
        <v>5.4829999999999997</v>
      </c>
      <c r="Z10" s="2093">
        <v>0.10090758955811077</v>
      </c>
      <c r="AA10" s="2093">
        <v>0.12749969424670168</v>
      </c>
      <c r="AB10" s="2114">
        <v>0.22840728380481246</v>
      </c>
    </row>
    <row r="11" spans="1:28">
      <c r="B11" s="89">
        <v>27</v>
      </c>
      <c r="C11" s="1">
        <v>0.55600000000000005</v>
      </c>
      <c r="D11" s="1">
        <v>5.75</v>
      </c>
      <c r="E11" s="1">
        <v>1.1359999999999999</v>
      </c>
      <c r="F11" s="1">
        <v>1.1359999999999999</v>
      </c>
      <c r="G11" s="1">
        <v>5.194</v>
      </c>
      <c r="H11" s="742">
        <v>0.10704659222179438</v>
      </c>
      <c r="I11" s="742">
        <v>0.21871390065460145</v>
      </c>
      <c r="J11" s="2100">
        <v>0.32576049287639586</v>
      </c>
      <c r="K11" s="89">
        <v>27</v>
      </c>
      <c r="L11" s="1">
        <v>0.61699999999999999</v>
      </c>
      <c r="M11" s="1">
        <v>6.67</v>
      </c>
      <c r="N11" s="1427">
        <v>0.28899999999999998</v>
      </c>
      <c r="O11" s="1">
        <v>0.28899999999999998</v>
      </c>
      <c r="P11" s="1">
        <v>6.0529999999999999</v>
      </c>
      <c r="Q11" s="742">
        <v>0.10193292582190649</v>
      </c>
      <c r="R11" s="742">
        <v>4.7744919874442425E-2</v>
      </c>
      <c r="S11" s="2100">
        <v>0.14967784569634893</v>
      </c>
      <c r="T11" s="89">
        <v>27</v>
      </c>
      <c r="U11" s="741">
        <v>0.58650000000000002</v>
      </c>
      <c r="V11" s="741">
        <v>6.21</v>
      </c>
      <c r="W11" s="741">
        <v>0.71249999999999991</v>
      </c>
      <c r="X11" s="741">
        <v>0.71249999999999991</v>
      </c>
      <c r="Y11" s="741">
        <v>5.6234999999999999</v>
      </c>
      <c r="Z11" s="2088">
        <v>0.10448975902185044</v>
      </c>
      <c r="AA11" s="2088">
        <v>0.13322941026452192</v>
      </c>
      <c r="AB11" s="2115">
        <v>0.23771916928637238</v>
      </c>
    </row>
    <row r="12" spans="1:28">
      <c r="B12" s="2098">
        <v>28</v>
      </c>
      <c r="C12" s="2090">
        <v>0.58399999999999996</v>
      </c>
      <c r="D12" s="2090">
        <v>5.9169999999999998</v>
      </c>
      <c r="E12" s="2090">
        <v>1.21</v>
      </c>
      <c r="F12" s="2090">
        <v>1.21</v>
      </c>
      <c r="G12" s="2090">
        <v>5.3330000000000002</v>
      </c>
      <c r="H12" s="2091">
        <v>0.1095068441777611</v>
      </c>
      <c r="I12" s="2091">
        <v>0.22688918057378585</v>
      </c>
      <c r="J12" s="2099">
        <v>0.33639602475154695</v>
      </c>
      <c r="K12" s="2098">
        <v>28</v>
      </c>
      <c r="L12" s="2090">
        <v>0.65400000000000003</v>
      </c>
      <c r="M12" s="2090">
        <v>6.86</v>
      </c>
      <c r="N12" s="2092">
        <v>0.309</v>
      </c>
      <c r="O12" s="2090">
        <v>0.309</v>
      </c>
      <c r="P12" s="2090">
        <v>6.2060000000000004</v>
      </c>
      <c r="Q12" s="2091">
        <v>0.10538188849500484</v>
      </c>
      <c r="R12" s="2091">
        <v>4.979052529809861E-2</v>
      </c>
      <c r="S12" s="2099">
        <v>0.15517241379310345</v>
      </c>
      <c r="T12" s="2098">
        <v>28</v>
      </c>
      <c r="U12" s="1707">
        <v>0.61899999999999999</v>
      </c>
      <c r="V12" s="1707">
        <v>6.3885000000000005</v>
      </c>
      <c r="W12" s="1707">
        <v>0.75949999999999995</v>
      </c>
      <c r="X12" s="1707">
        <v>0.75949999999999995</v>
      </c>
      <c r="Y12" s="1707">
        <v>5.7695000000000007</v>
      </c>
      <c r="Z12" s="2093">
        <v>0.10744436633638296</v>
      </c>
      <c r="AA12" s="2093">
        <v>0.13833985293594223</v>
      </c>
      <c r="AB12" s="2114">
        <v>0.24578421927232519</v>
      </c>
    </row>
    <row r="13" spans="1:28">
      <c r="B13" s="89">
        <v>29</v>
      </c>
      <c r="C13" s="1">
        <v>0.60899999999999999</v>
      </c>
      <c r="D13" s="1">
        <v>6.0869999999999997</v>
      </c>
      <c r="E13" s="1">
        <v>1.2829999999999999</v>
      </c>
      <c r="F13" s="1">
        <v>1.2829999999999999</v>
      </c>
      <c r="G13" s="1">
        <v>5.4779999999999998</v>
      </c>
      <c r="H13" s="742">
        <v>0.11117196056955093</v>
      </c>
      <c r="I13" s="742">
        <v>0.23420956553486674</v>
      </c>
      <c r="J13" s="2100">
        <v>0.34538152610441769</v>
      </c>
      <c r="K13" s="89">
        <v>29</v>
      </c>
      <c r="L13" s="1">
        <v>0.68899999999999995</v>
      </c>
      <c r="M13" s="1">
        <v>7.0540000000000003</v>
      </c>
      <c r="N13" s="1427">
        <v>0.32900000000000001</v>
      </c>
      <c r="O13" s="1">
        <v>0.32900000000000001</v>
      </c>
      <c r="P13" s="1">
        <v>6.3650000000000002</v>
      </c>
      <c r="Q13" s="742">
        <v>0.1082482325216025</v>
      </c>
      <c r="R13" s="742">
        <v>5.1688923802042423E-2</v>
      </c>
      <c r="S13" s="2100">
        <v>0.15993715632364491</v>
      </c>
      <c r="T13" s="89">
        <v>29</v>
      </c>
      <c r="U13" s="741">
        <v>0.64900000000000002</v>
      </c>
      <c r="V13" s="741">
        <v>6.5705</v>
      </c>
      <c r="W13" s="741">
        <v>0.80599999999999994</v>
      </c>
      <c r="X13" s="741">
        <v>0.80599999999999994</v>
      </c>
      <c r="Y13" s="741">
        <v>5.9215</v>
      </c>
      <c r="Z13" s="2088">
        <v>0.10971009654557672</v>
      </c>
      <c r="AA13" s="2088">
        <v>0.14294924466845457</v>
      </c>
      <c r="AB13" s="2115">
        <v>0.25265934121403133</v>
      </c>
    </row>
    <row r="14" spans="1:28">
      <c r="B14" s="2098">
        <v>30</v>
      </c>
      <c r="C14" s="2090">
        <v>0.63300000000000001</v>
      </c>
      <c r="D14" s="2090">
        <v>6.2619999999999996</v>
      </c>
      <c r="E14" s="2090">
        <v>1.355</v>
      </c>
      <c r="F14" s="2090">
        <v>1.355</v>
      </c>
      <c r="G14" s="2090">
        <v>5.6289999999999996</v>
      </c>
      <c r="H14" s="2091">
        <v>0.11245336649493694</v>
      </c>
      <c r="I14" s="2091">
        <v>0.24071771184935159</v>
      </c>
      <c r="J14" s="2099">
        <v>0.35317107834428851</v>
      </c>
      <c r="K14" s="2098">
        <v>30</v>
      </c>
      <c r="L14" s="2090">
        <v>0.72299999999999998</v>
      </c>
      <c r="M14" s="2090">
        <v>7.2510000000000003</v>
      </c>
      <c r="N14" s="2092">
        <v>0.34799999999999998</v>
      </c>
      <c r="O14" s="2090">
        <v>0.34799999999999998</v>
      </c>
      <c r="P14" s="2090">
        <v>6.5280000000000005</v>
      </c>
      <c r="Q14" s="2091">
        <v>0.11075367647058823</v>
      </c>
      <c r="R14" s="2091">
        <v>5.3308823529411756E-2</v>
      </c>
      <c r="S14" s="2099">
        <v>0.1640625</v>
      </c>
      <c r="T14" s="2098">
        <v>30</v>
      </c>
      <c r="U14" s="1707">
        <v>0.67799999999999994</v>
      </c>
      <c r="V14" s="1707">
        <v>6.7565</v>
      </c>
      <c r="W14" s="1707">
        <v>0.85149999999999992</v>
      </c>
      <c r="X14" s="1707">
        <v>0.85149999999999992</v>
      </c>
      <c r="Y14" s="1707">
        <v>6.0785</v>
      </c>
      <c r="Z14" s="2093">
        <v>0.11160352148276259</v>
      </c>
      <c r="AA14" s="2093">
        <v>0.14701326768938167</v>
      </c>
      <c r="AB14" s="2114">
        <v>0.25861678917214426</v>
      </c>
    </row>
    <row r="15" spans="1:28">
      <c r="B15" s="89">
        <v>31</v>
      </c>
      <c r="C15" s="1">
        <v>0.65500000000000003</v>
      </c>
      <c r="D15" s="1">
        <v>6.4420000000000002</v>
      </c>
      <c r="E15" s="1">
        <v>1.427</v>
      </c>
      <c r="F15" s="1">
        <v>1.427</v>
      </c>
      <c r="G15" s="1">
        <v>5.7869999999999999</v>
      </c>
      <c r="H15" s="742">
        <v>0.11318472438223605</v>
      </c>
      <c r="I15" s="742">
        <v>0.24658717815794023</v>
      </c>
      <c r="J15" s="2100">
        <v>0.35977190254017627</v>
      </c>
      <c r="K15" s="89">
        <v>31</v>
      </c>
      <c r="L15" s="1">
        <v>0.753</v>
      </c>
      <c r="M15" s="1">
        <v>7.4530000000000003</v>
      </c>
      <c r="N15" s="1427">
        <v>0.36699999999999999</v>
      </c>
      <c r="O15" s="1">
        <v>0.36699999999999999</v>
      </c>
      <c r="P15" s="1">
        <v>6.7</v>
      </c>
      <c r="Q15" s="742">
        <v>0.11238805970149253</v>
      </c>
      <c r="R15" s="742">
        <v>5.4776119402985074E-2</v>
      </c>
      <c r="S15" s="2100">
        <v>0.16716417910447762</v>
      </c>
      <c r="T15" s="89">
        <v>31</v>
      </c>
      <c r="U15" s="741">
        <v>0.70399999999999996</v>
      </c>
      <c r="V15" s="741">
        <v>6.9474999999999998</v>
      </c>
      <c r="W15" s="741">
        <v>0.89700000000000002</v>
      </c>
      <c r="X15" s="741">
        <v>0.89700000000000002</v>
      </c>
      <c r="Y15" s="741">
        <v>6.2435</v>
      </c>
      <c r="Z15" s="2088">
        <v>0.11278639204186429</v>
      </c>
      <c r="AA15" s="2088">
        <v>0.15068164878046264</v>
      </c>
      <c r="AB15" s="2115">
        <v>0.26346804082232694</v>
      </c>
    </row>
    <row r="16" spans="1:28">
      <c r="B16" s="2098">
        <v>32</v>
      </c>
      <c r="C16" s="2090">
        <v>0.67600000000000005</v>
      </c>
      <c r="D16" s="2090">
        <v>6.625</v>
      </c>
      <c r="E16" s="2090">
        <v>1.498</v>
      </c>
      <c r="F16" s="2090">
        <v>1.498</v>
      </c>
      <c r="G16" s="2090">
        <v>5.9489999999999998</v>
      </c>
      <c r="H16" s="2091">
        <v>0.11363254328458565</v>
      </c>
      <c r="I16" s="2091">
        <v>0.25180702639099006</v>
      </c>
      <c r="J16" s="2099">
        <v>0.36543956967557573</v>
      </c>
      <c r="K16" s="2098">
        <v>32</v>
      </c>
      <c r="L16" s="2090">
        <v>0.78200000000000003</v>
      </c>
      <c r="M16" s="2090">
        <v>7.6589999999999998</v>
      </c>
      <c r="N16" s="2092">
        <v>0.38600000000000001</v>
      </c>
      <c r="O16" s="2090">
        <v>0.38600000000000001</v>
      </c>
      <c r="P16" s="2090">
        <v>6.8769999999999998</v>
      </c>
      <c r="Q16" s="2091">
        <v>0.11371237458193981</v>
      </c>
      <c r="R16" s="2091">
        <v>5.6129126072415297E-2</v>
      </c>
      <c r="S16" s="2099">
        <v>0.1698415006543551</v>
      </c>
      <c r="T16" s="2098">
        <v>32</v>
      </c>
      <c r="U16" s="1707">
        <v>0.72900000000000009</v>
      </c>
      <c r="V16" s="1707">
        <v>7.1419999999999995</v>
      </c>
      <c r="W16" s="1707">
        <v>0.94199999999999995</v>
      </c>
      <c r="X16" s="1707">
        <v>0.94199999999999995</v>
      </c>
      <c r="Y16" s="1707">
        <v>6.4130000000000003</v>
      </c>
      <c r="Z16" s="2093">
        <v>0.11367245893326272</v>
      </c>
      <c r="AA16" s="2093">
        <v>0.15396807623170267</v>
      </c>
      <c r="AB16" s="2114">
        <v>0.26764053516496544</v>
      </c>
    </row>
    <row r="17" spans="2:28">
      <c r="B17" s="89">
        <v>33</v>
      </c>
      <c r="C17" s="1">
        <v>0.69599999999999995</v>
      </c>
      <c r="D17" s="1">
        <v>6.8140000000000001</v>
      </c>
      <c r="E17" s="1">
        <v>1.57</v>
      </c>
      <c r="F17" s="1">
        <v>1.57</v>
      </c>
      <c r="G17" s="1">
        <v>6.1180000000000003</v>
      </c>
      <c r="H17" s="742">
        <v>0.11376266753841123</v>
      </c>
      <c r="I17" s="742">
        <v>0.25661981039555409</v>
      </c>
      <c r="J17" s="2100">
        <v>0.37038247793396534</v>
      </c>
      <c r="K17" s="89">
        <v>33</v>
      </c>
      <c r="L17" s="1">
        <v>0.80700000000000005</v>
      </c>
      <c r="M17" s="1">
        <v>7.8689999999999998</v>
      </c>
      <c r="N17" s="1427">
        <v>0.40300000000000002</v>
      </c>
      <c r="O17" s="1">
        <v>0.40300000000000002</v>
      </c>
      <c r="P17" s="1">
        <v>7.0619999999999994</v>
      </c>
      <c r="Q17" s="742">
        <v>0.11427357689039934</v>
      </c>
      <c r="R17" s="742">
        <v>5.7065986972529036E-2</v>
      </c>
      <c r="S17" s="2100">
        <v>0.17133956386292837</v>
      </c>
      <c r="T17" s="89">
        <v>33</v>
      </c>
      <c r="U17" s="741">
        <v>0.75150000000000006</v>
      </c>
      <c r="V17" s="741">
        <v>7.3414999999999999</v>
      </c>
      <c r="W17" s="741">
        <v>0.98650000000000004</v>
      </c>
      <c r="X17" s="741">
        <v>0.98650000000000004</v>
      </c>
      <c r="Y17" s="741">
        <v>6.59</v>
      </c>
      <c r="Z17" s="2088">
        <v>0.11401812221440528</v>
      </c>
      <c r="AA17" s="2088">
        <v>0.15684289868404155</v>
      </c>
      <c r="AB17" s="2115">
        <v>0.27086102089844688</v>
      </c>
    </row>
    <row r="18" spans="2:28">
      <c r="B18" s="2098">
        <v>34</v>
      </c>
      <c r="C18" s="2090">
        <v>0.71399999999999997</v>
      </c>
      <c r="D18" s="2090">
        <v>7.0069999999999997</v>
      </c>
      <c r="E18" s="2090">
        <v>1.641</v>
      </c>
      <c r="F18" s="2090">
        <v>1.641</v>
      </c>
      <c r="G18" s="2090">
        <v>6.2929999999999993</v>
      </c>
      <c r="H18" s="2091">
        <v>0.11345939933259178</v>
      </c>
      <c r="I18" s="2091">
        <v>0.26076593039885593</v>
      </c>
      <c r="J18" s="2099">
        <v>0.37422532973144773</v>
      </c>
      <c r="K18" s="2098">
        <v>34</v>
      </c>
      <c r="L18" s="2090">
        <v>0.83</v>
      </c>
      <c r="M18" s="2090">
        <v>8.0830000000000002</v>
      </c>
      <c r="N18" s="2092">
        <v>0.42099999999999999</v>
      </c>
      <c r="O18" s="2090">
        <v>0.42099999999999999</v>
      </c>
      <c r="P18" s="2090">
        <v>7.2530000000000001</v>
      </c>
      <c r="Q18" s="2091">
        <v>0.11443540603888046</v>
      </c>
      <c r="R18" s="2091">
        <v>5.8044946918516471E-2</v>
      </c>
      <c r="S18" s="2099">
        <v>0.17248035295739694</v>
      </c>
      <c r="T18" s="2098">
        <v>34</v>
      </c>
      <c r="U18" s="1707">
        <v>0.77200000000000002</v>
      </c>
      <c r="V18" s="1707">
        <v>7.5449999999999999</v>
      </c>
      <c r="W18" s="1707">
        <v>1.0309999999999999</v>
      </c>
      <c r="X18" s="1707">
        <v>1.0309999999999999</v>
      </c>
      <c r="Y18" s="1707">
        <v>6.7729999999999997</v>
      </c>
      <c r="Z18" s="2093">
        <v>0.11394740268573611</v>
      </c>
      <c r="AA18" s="2093">
        <v>0.1594054386586862</v>
      </c>
      <c r="AB18" s="2114">
        <v>0.27335284134442234</v>
      </c>
    </row>
    <row r="19" spans="2:28">
      <c r="B19" s="89">
        <v>35</v>
      </c>
      <c r="C19" s="1">
        <v>0.73</v>
      </c>
      <c r="D19" s="1">
        <v>7.2050000000000001</v>
      </c>
      <c r="E19" s="1">
        <v>1.7130000000000001</v>
      </c>
      <c r="F19" s="1">
        <v>1.7130000000000001</v>
      </c>
      <c r="G19" s="1">
        <v>6.4749999999999996</v>
      </c>
      <c r="H19" s="742">
        <v>0.11274131274131274</v>
      </c>
      <c r="I19" s="742">
        <v>0.26455598455598456</v>
      </c>
      <c r="J19" s="2100">
        <v>0.37729729729729733</v>
      </c>
      <c r="K19" s="89">
        <v>35</v>
      </c>
      <c r="L19" s="1">
        <v>0.84899999999999998</v>
      </c>
      <c r="M19" s="1">
        <v>8.3010000000000002</v>
      </c>
      <c r="N19" s="1427">
        <v>0.438</v>
      </c>
      <c r="O19" s="1">
        <v>0.438</v>
      </c>
      <c r="P19" s="1">
        <v>7.452</v>
      </c>
      <c r="Q19" s="742">
        <v>0.11392914653784218</v>
      </c>
      <c r="R19" s="742">
        <v>5.8776167471819643E-2</v>
      </c>
      <c r="S19" s="2100">
        <v>0.17270531400966183</v>
      </c>
      <c r="T19" s="89">
        <v>35</v>
      </c>
      <c r="U19" s="741">
        <v>0.78949999999999998</v>
      </c>
      <c r="V19" s="741">
        <v>7.7530000000000001</v>
      </c>
      <c r="W19" s="741">
        <v>1.0755000000000001</v>
      </c>
      <c r="X19" s="741">
        <v>1.0755000000000001</v>
      </c>
      <c r="Y19" s="741">
        <v>6.9634999999999998</v>
      </c>
      <c r="Z19" s="2088">
        <v>0.11333522963957746</v>
      </c>
      <c r="AA19" s="2088">
        <v>0.16166607601390209</v>
      </c>
      <c r="AB19" s="2115">
        <v>0.27500130565347958</v>
      </c>
    </row>
    <row r="20" spans="2:28">
      <c r="B20" s="2098">
        <v>36</v>
      </c>
      <c r="C20" s="2090">
        <v>0.74299999999999999</v>
      </c>
      <c r="D20" s="2090">
        <v>7.4059999999999997</v>
      </c>
      <c r="E20" s="2090">
        <v>1.7849999999999999</v>
      </c>
      <c r="F20" s="2090">
        <v>1.7849999999999999</v>
      </c>
      <c r="G20" s="2090">
        <v>6.6629999999999994</v>
      </c>
      <c r="H20" s="2091">
        <v>0.11151133123217771</v>
      </c>
      <c r="I20" s="2091">
        <v>0.26789734353894645</v>
      </c>
      <c r="J20" s="2099">
        <v>0.37940867477112417</v>
      </c>
      <c r="K20" s="2098">
        <v>36</v>
      </c>
      <c r="L20" s="2090">
        <v>0.86299999999999999</v>
      </c>
      <c r="M20" s="2090">
        <v>8.5220000000000002</v>
      </c>
      <c r="N20" s="2092">
        <v>0.45400000000000001</v>
      </c>
      <c r="O20" s="2090">
        <v>0.45400000000000001</v>
      </c>
      <c r="P20" s="2090">
        <v>7.6590000000000007</v>
      </c>
      <c r="Q20" s="2091">
        <v>0.11267789528659093</v>
      </c>
      <c r="R20" s="2091">
        <v>5.9276667972320146E-2</v>
      </c>
      <c r="S20" s="2099">
        <v>0.17195456325891106</v>
      </c>
      <c r="T20" s="2098">
        <v>36</v>
      </c>
      <c r="U20" s="1707">
        <v>0.80299999999999994</v>
      </c>
      <c r="V20" s="1707">
        <v>7.9640000000000004</v>
      </c>
      <c r="W20" s="1707">
        <v>1.1194999999999999</v>
      </c>
      <c r="X20" s="1707">
        <v>1.1194999999999999</v>
      </c>
      <c r="Y20" s="1707">
        <v>7.1609999999999996</v>
      </c>
      <c r="Z20" s="2093">
        <v>0.11209461325938433</v>
      </c>
      <c r="AA20" s="2093">
        <v>0.16358700575563329</v>
      </c>
      <c r="AB20" s="2114">
        <v>0.27568161901501764</v>
      </c>
    </row>
    <row r="21" spans="2:28">
      <c r="B21" s="89">
        <v>37</v>
      </c>
      <c r="C21" s="1">
        <v>0.751</v>
      </c>
      <c r="D21" s="1">
        <v>7.61</v>
      </c>
      <c r="E21" s="1">
        <v>1.8580000000000001</v>
      </c>
      <c r="F21" s="1">
        <v>1.8580000000000001</v>
      </c>
      <c r="G21" s="1">
        <v>6.859</v>
      </c>
      <c r="H21" s="742">
        <v>0.10949117947222627</v>
      </c>
      <c r="I21" s="742">
        <v>0.27088496865432282</v>
      </c>
      <c r="J21" s="2100">
        <v>0.38037614812654907</v>
      </c>
      <c r="K21" s="89">
        <v>37</v>
      </c>
      <c r="L21" s="1">
        <v>0.871</v>
      </c>
      <c r="M21" s="1">
        <v>8.7460000000000004</v>
      </c>
      <c r="N21" s="1427">
        <v>0.47</v>
      </c>
      <c r="O21" s="1">
        <v>0.47</v>
      </c>
      <c r="P21" s="1">
        <v>7.875</v>
      </c>
      <c r="Q21" s="742">
        <v>0.11060317460317461</v>
      </c>
      <c r="R21" s="742">
        <v>5.9682539682539677E-2</v>
      </c>
      <c r="S21" s="2100">
        <v>0.17028571428571429</v>
      </c>
      <c r="T21" s="89">
        <v>37</v>
      </c>
      <c r="U21" s="741">
        <v>0.81099999999999994</v>
      </c>
      <c r="V21" s="741">
        <v>8.1780000000000008</v>
      </c>
      <c r="W21" s="741">
        <v>1.1640000000000001</v>
      </c>
      <c r="X21" s="741">
        <v>1.1640000000000001</v>
      </c>
      <c r="Y21" s="741">
        <v>7.367</v>
      </c>
      <c r="Z21" s="2088">
        <v>0.11004717703770044</v>
      </c>
      <c r="AA21" s="2088">
        <v>0.16528375416843125</v>
      </c>
      <c r="AB21" s="2115">
        <v>0.27533093120613167</v>
      </c>
    </row>
    <row r="22" spans="2:28">
      <c r="B22" s="2098">
        <v>38</v>
      </c>
      <c r="C22" s="2090">
        <v>0.753</v>
      </c>
      <c r="D22" s="2090">
        <v>7.8159999999999998</v>
      </c>
      <c r="E22" s="2090">
        <v>1.929</v>
      </c>
      <c r="F22" s="2090">
        <v>1.929</v>
      </c>
      <c r="G22" s="2090">
        <v>7.0629999999999997</v>
      </c>
      <c r="H22" s="2091">
        <v>0.10661192127990939</v>
      </c>
      <c r="I22" s="2091">
        <v>0.27311340790032568</v>
      </c>
      <c r="J22" s="2099">
        <v>0.37972532918023505</v>
      </c>
      <c r="K22" s="2098">
        <v>38</v>
      </c>
      <c r="L22" s="2090">
        <v>0.873</v>
      </c>
      <c r="M22" s="2090">
        <v>8.9730000000000008</v>
      </c>
      <c r="N22" s="2092">
        <v>0.48399999999999999</v>
      </c>
      <c r="O22" s="2090">
        <v>0.48399999999999999</v>
      </c>
      <c r="P22" s="2090">
        <v>8.1000000000000014</v>
      </c>
      <c r="Q22" s="2091">
        <v>0.10777777777777776</v>
      </c>
      <c r="R22" s="2091">
        <v>5.9753086419753076E-2</v>
      </c>
      <c r="S22" s="2099">
        <v>0.16753086419753083</v>
      </c>
      <c r="T22" s="2098">
        <v>38</v>
      </c>
      <c r="U22" s="1707">
        <v>0.81299999999999994</v>
      </c>
      <c r="V22" s="1707">
        <v>8.3945000000000007</v>
      </c>
      <c r="W22" s="1707">
        <v>1.2065000000000001</v>
      </c>
      <c r="X22" s="1707">
        <v>1.2065000000000001</v>
      </c>
      <c r="Y22" s="1707">
        <v>7.5815000000000001</v>
      </c>
      <c r="Z22" s="2093">
        <v>0.10719484952884357</v>
      </c>
      <c r="AA22" s="2093">
        <v>0.16643324716003938</v>
      </c>
      <c r="AB22" s="2114">
        <v>0.27362809668888294</v>
      </c>
    </row>
    <row r="23" spans="2:28">
      <c r="B23" s="89">
        <v>39</v>
      </c>
      <c r="C23" s="1">
        <v>0.751</v>
      </c>
      <c r="D23" s="1">
        <v>8.0250000000000004</v>
      </c>
      <c r="E23" s="1">
        <v>2.0019999999999998</v>
      </c>
      <c r="F23" s="1">
        <v>2.0019999999999998</v>
      </c>
      <c r="G23" s="1">
        <v>7.274</v>
      </c>
      <c r="H23" s="742">
        <v>0.10324443222436074</v>
      </c>
      <c r="I23" s="742">
        <v>0.2752268353038218</v>
      </c>
      <c r="J23" s="2100">
        <v>0.37847126752818255</v>
      </c>
      <c r="K23" s="89">
        <v>39</v>
      </c>
      <c r="L23" s="1">
        <v>0.86899999999999999</v>
      </c>
      <c r="M23" s="1">
        <v>9.202</v>
      </c>
      <c r="N23" s="1427">
        <v>0.498</v>
      </c>
      <c r="O23" s="1">
        <v>0.498</v>
      </c>
      <c r="P23" s="1">
        <v>8.3330000000000002</v>
      </c>
      <c r="Q23" s="742">
        <v>0.10428417136685467</v>
      </c>
      <c r="R23" s="742">
        <v>5.9762390495619822E-2</v>
      </c>
      <c r="S23" s="2100">
        <v>0.16404656186247449</v>
      </c>
      <c r="T23" s="89">
        <v>39</v>
      </c>
      <c r="U23" s="741">
        <v>0.81</v>
      </c>
      <c r="V23" s="741">
        <v>8.6135000000000002</v>
      </c>
      <c r="W23" s="741">
        <v>1.25</v>
      </c>
      <c r="X23" s="741">
        <v>1.25</v>
      </c>
      <c r="Y23" s="741">
        <v>7.8034999999999997</v>
      </c>
      <c r="Z23" s="2088">
        <v>0.10376430179560769</v>
      </c>
      <c r="AA23" s="2088">
        <v>0.16749461289972081</v>
      </c>
      <c r="AB23" s="2115">
        <v>0.27125891469532853</v>
      </c>
    </row>
    <row r="24" spans="2:28">
      <c r="B24" s="2098">
        <v>40</v>
      </c>
      <c r="C24" s="2090">
        <v>0.74399999999999999</v>
      </c>
      <c r="D24" s="2090">
        <v>8.2390000000000008</v>
      </c>
      <c r="E24" s="2090">
        <v>2.0739999999999998</v>
      </c>
      <c r="F24" s="2090">
        <v>2.0739999999999998</v>
      </c>
      <c r="G24" s="2090">
        <v>7.495000000000001</v>
      </c>
      <c r="H24" s="2091">
        <v>9.9266177451634408E-2</v>
      </c>
      <c r="I24" s="2091">
        <v>0.276717811874583</v>
      </c>
      <c r="J24" s="2099">
        <v>0.3759839893262174</v>
      </c>
      <c r="K24" s="2098">
        <v>40</v>
      </c>
      <c r="L24" s="2090">
        <v>0.86</v>
      </c>
      <c r="M24" s="2090">
        <v>9.4350000000000005</v>
      </c>
      <c r="N24" s="2092">
        <v>0.51200000000000001</v>
      </c>
      <c r="O24" s="2090">
        <v>0.51200000000000001</v>
      </c>
      <c r="P24" s="2090">
        <v>8.5750000000000011</v>
      </c>
      <c r="Q24" s="2091">
        <v>0.10029154518950435</v>
      </c>
      <c r="R24" s="2091">
        <v>5.9708454810495623E-2</v>
      </c>
      <c r="S24" s="2099">
        <v>0.15999999999999998</v>
      </c>
      <c r="T24" s="2098">
        <v>40</v>
      </c>
      <c r="U24" s="1707">
        <v>0.80200000000000005</v>
      </c>
      <c r="V24" s="1707">
        <v>8.8369999999999997</v>
      </c>
      <c r="W24" s="1707">
        <v>1.2929999999999999</v>
      </c>
      <c r="X24" s="1707">
        <v>1.2929999999999999</v>
      </c>
      <c r="Y24" s="1707">
        <v>8.0350000000000001</v>
      </c>
      <c r="Z24" s="2093">
        <v>9.9778861320569373E-2</v>
      </c>
      <c r="AA24" s="2093">
        <v>0.16821313334253932</v>
      </c>
      <c r="AB24" s="2114">
        <v>0.26799199466310869</v>
      </c>
    </row>
    <row r="25" spans="2:28">
      <c r="B25" s="89">
        <v>41</v>
      </c>
      <c r="C25" s="1">
        <v>0.73499999999999999</v>
      </c>
      <c r="D25" s="1">
        <v>8.4589999999999996</v>
      </c>
      <c r="E25" s="1">
        <v>2.1480000000000001</v>
      </c>
      <c r="F25" s="1">
        <v>2.1480000000000001</v>
      </c>
      <c r="G25" s="1">
        <v>7.7239999999999993</v>
      </c>
      <c r="H25" s="742">
        <v>9.5157949249093737E-2</v>
      </c>
      <c r="I25" s="742">
        <v>0.27809425168306579</v>
      </c>
      <c r="J25" s="2100">
        <v>0.37325220093215949</v>
      </c>
      <c r="K25" s="89">
        <v>41</v>
      </c>
      <c r="L25" s="1">
        <v>0.84599999999999997</v>
      </c>
      <c r="M25" s="1">
        <v>9.6739999999999995</v>
      </c>
      <c r="N25" s="1427">
        <v>0.52500000000000002</v>
      </c>
      <c r="O25" s="1">
        <v>0.52500000000000002</v>
      </c>
      <c r="P25" s="1">
        <v>8.8279999999999994</v>
      </c>
      <c r="Q25" s="742">
        <v>9.5831445400996834E-2</v>
      </c>
      <c r="R25" s="742">
        <v>5.9469868599909388E-2</v>
      </c>
      <c r="S25" s="2100">
        <v>0.15530131400090622</v>
      </c>
      <c r="T25" s="89">
        <v>41</v>
      </c>
      <c r="U25" s="741">
        <v>0.79049999999999998</v>
      </c>
      <c r="V25" s="741">
        <v>9.0664999999999996</v>
      </c>
      <c r="W25" s="741">
        <v>1.3365</v>
      </c>
      <c r="X25" s="741">
        <v>1.3365</v>
      </c>
      <c r="Y25" s="741">
        <v>8.2759999999999998</v>
      </c>
      <c r="Z25" s="2088">
        <v>9.5494697325045286E-2</v>
      </c>
      <c r="AA25" s="2088">
        <v>0.16878206014148758</v>
      </c>
      <c r="AB25" s="2115">
        <v>0.26427675746653284</v>
      </c>
    </row>
    <row r="26" spans="2:28">
      <c r="B26" s="2098">
        <v>42</v>
      </c>
      <c r="C26" s="2090">
        <v>0.72499999999999998</v>
      </c>
      <c r="D26" s="2090">
        <v>8.6859999999999999</v>
      </c>
      <c r="E26" s="2090">
        <v>2.222</v>
      </c>
      <c r="F26" s="2090">
        <v>2.222</v>
      </c>
      <c r="G26" s="2090">
        <v>7.9610000000000003</v>
      </c>
      <c r="H26" s="2091">
        <v>9.1068961185780672E-2</v>
      </c>
      <c r="I26" s="2091">
        <v>0.27911066448938576</v>
      </c>
      <c r="J26" s="2099">
        <v>0.37017962567516643</v>
      </c>
      <c r="K26" s="2098">
        <v>42</v>
      </c>
      <c r="L26" s="2090">
        <v>0.83</v>
      </c>
      <c r="M26" s="2090">
        <v>9.9190000000000005</v>
      </c>
      <c r="N26" s="2092">
        <v>0.53700000000000003</v>
      </c>
      <c r="O26" s="2090">
        <v>0.53700000000000003</v>
      </c>
      <c r="P26" s="2090">
        <v>9.0890000000000004</v>
      </c>
      <c r="Q26" s="2091">
        <v>9.1319177027175694E-2</v>
      </c>
      <c r="R26" s="2091">
        <v>5.9082407305534164E-2</v>
      </c>
      <c r="S26" s="2099">
        <v>0.15040158433270986</v>
      </c>
      <c r="T26" s="2098">
        <v>42</v>
      </c>
      <c r="U26" s="1707">
        <v>0.77749999999999997</v>
      </c>
      <c r="V26" s="1707">
        <v>9.3025000000000002</v>
      </c>
      <c r="W26" s="1707">
        <v>1.3794999999999999</v>
      </c>
      <c r="X26" s="1707">
        <v>1.3794999999999999</v>
      </c>
      <c r="Y26" s="1707">
        <v>8.5250000000000004</v>
      </c>
      <c r="Z26" s="2093">
        <v>9.1194069106478176E-2</v>
      </c>
      <c r="AA26" s="2093">
        <v>0.16909653589745996</v>
      </c>
      <c r="AB26" s="2114">
        <v>0.26029060500393814</v>
      </c>
    </row>
    <row r="27" spans="2:28">
      <c r="B27" s="89">
        <v>43</v>
      </c>
      <c r="C27" s="1">
        <v>0.71499999999999997</v>
      </c>
      <c r="D27" s="1">
        <v>8.9209999999999994</v>
      </c>
      <c r="E27" s="1">
        <v>2.298</v>
      </c>
      <c r="F27" s="1">
        <v>2.298</v>
      </c>
      <c r="G27" s="1">
        <v>8.2059999999999995</v>
      </c>
      <c r="H27" s="742">
        <v>8.7131367292225204E-2</v>
      </c>
      <c r="I27" s="742">
        <v>0.28003899585669023</v>
      </c>
      <c r="J27" s="2100">
        <v>0.36717036314891544</v>
      </c>
      <c r="K27" s="89">
        <v>43</v>
      </c>
      <c r="L27" s="1">
        <v>0.81100000000000005</v>
      </c>
      <c r="M27" s="1">
        <v>10.172000000000001</v>
      </c>
      <c r="N27" s="1427">
        <v>0.55000000000000004</v>
      </c>
      <c r="O27" s="1">
        <v>0.55000000000000004</v>
      </c>
      <c r="P27" s="1">
        <v>9.3610000000000007</v>
      </c>
      <c r="Q27" s="742">
        <v>8.6636043157782283E-2</v>
      </c>
      <c r="R27" s="742">
        <v>5.8754406580493537E-2</v>
      </c>
      <c r="S27" s="2100">
        <v>0.14539044973827581</v>
      </c>
      <c r="T27" s="89">
        <v>43</v>
      </c>
      <c r="U27" s="741">
        <v>0.76300000000000001</v>
      </c>
      <c r="V27" s="741">
        <v>9.5465</v>
      </c>
      <c r="W27" s="741">
        <v>1.4239999999999999</v>
      </c>
      <c r="X27" s="741">
        <v>1.4239999999999999</v>
      </c>
      <c r="Y27" s="741">
        <v>8.7835000000000001</v>
      </c>
      <c r="Z27" s="2088">
        <v>8.6883705225003743E-2</v>
      </c>
      <c r="AA27" s="2088">
        <v>0.16939670121859188</v>
      </c>
      <c r="AB27" s="2115">
        <v>0.25628040644359562</v>
      </c>
    </row>
    <row r="28" spans="2:28">
      <c r="B28" s="2098">
        <v>44</v>
      </c>
      <c r="C28" s="2090">
        <v>0.70399999999999996</v>
      </c>
      <c r="D28" s="2090">
        <v>9.1649999999999991</v>
      </c>
      <c r="E28" s="2090">
        <v>2.375</v>
      </c>
      <c r="F28" s="2090">
        <v>2.375</v>
      </c>
      <c r="G28" s="2090">
        <v>8.4609999999999985</v>
      </c>
      <c r="H28" s="2091">
        <v>8.3205294882401623E-2</v>
      </c>
      <c r="I28" s="2091">
        <v>0.28069968088878389</v>
      </c>
      <c r="J28" s="2099">
        <v>0.36390497577118552</v>
      </c>
      <c r="K28" s="2098">
        <v>44</v>
      </c>
      <c r="L28" s="2090">
        <v>0.79100000000000004</v>
      </c>
      <c r="M28" s="2090">
        <v>10.433</v>
      </c>
      <c r="N28" s="2092">
        <v>0.56200000000000006</v>
      </c>
      <c r="O28" s="2090">
        <v>0.56200000000000006</v>
      </c>
      <c r="P28" s="2090">
        <v>9.6419999999999995</v>
      </c>
      <c r="Q28" s="2091">
        <v>8.2036921800456339E-2</v>
      </c>
      <c r="R28" s="2091">
        <v>5.8286662518149769E-2</v>
      </c>
      <c r="S28" s="2099">
        <v>0.14032358431860611</v>
      </c>
      <c r="T28" s="2098">
        <v>44</v>
      </c>
      <c r="U28" s="1707">
        <v>0.74750000000000005</v>
      </c>
      <c r="V28" s="1707">
        <v>9.7989999999999995</v>
      </c>
      <c r="W28" s="1707">
        <v>1.4685000000000001</v>
      </c>
      <c r="X28" s="1707">
        <v>1.4685000000000001</v>
      </c>
      <c r="Y28" s="1707">
        <v>9.051499999999999</v>
      </c>
      <c r="Z28" s="2093">
        <v>8.2621108341428981E-2</v>
      </c>
      <c r="AA28" s="2093">
        <v>0.16949317170346684</v>
      </c>
      <c r="AB28" s="2114">
        <v>0.25211428004489583</v>
      </c>
    </row>
    <row r="29" spans="2:28">
      <c r="B29" s="89">
        <v>45</v>
      </c>
      <c r="C29" s="1">
        <v>0.69199999999999995</v>
      </c>
      <c r="D29" s="1">
        <v>9.4179999999999993</v>
      </c>
      <c r="E29" s="1">
        <v>2.452</v>
      </c>
      <c r="F29" s="1">
        <v>2.452</v>
      </c>
      <c r="G29" s="1">
        <v>8.7259999999999991</v>
      </c>
      <c r="H29" s="742">
        <v>7.9303231721292694E-2</v>
      </c>
      <c r="I29" s="742">
        <v>0.28099931239972498</v>
      </c>
      <c r="J29" s="2100">
        <v>0.3603025441210177</v>
      </c>
      <c r="K29" s="89">
        <v>45</v>
      </c>
      <c r="L29" s="1">
        <v>0.76900000000000002</v>
      </c>
      <c r="M29" s="1">
        <v>10.702</v>
      </c>
      <c r="N29" s="1427">
        <v>0.57399999999999995</v>
      </c>
      <c r="O29" s="1">
        <v>0.57399999999999995</v>
      </c>
      <c r="P29" s="1">
        <v>9.9329999999999998</v>
      </c>
      <c r="Q29" s="742">
        <v>7.7418705325682069E-2</v>
      </c>
      <c r="R29" s="742">
        <v>5.7787174066243834E-2</v>
      </c>
      <c r="S29" s="2100">
        <v>0.13520587939192591</v>
      </c>
      <c r="T29" s="89">
        <v>45</v>
      </c>
      <c r="U29" s="741">
        <v>0.73049999999999993</v>
      </c>
      <c r="V29" s="741">
        <v>10.059999999999999</v>
      </c>
      <c r="W29" s="741">
        <v>1.5129999999999999</v>
      </c>
      <c r="X29" s="741">
        <v>1.5129999999999999</v>
      </c>
      <c r="Y29" s="741">
        <v>9.3294999999999995</v>
      </c>
      <c r="Z29" s="2088">
        <v>7.8360968523487382E-2</v>
      </c>
      <c r="AA29" s="2088">
        <v>0.16939324323298441</v>
      </c>
      <c r="AB29" s="2115">
        <v>0.2477542117564718</v>
      </c>
    </row>
    <row r="30" spans="2:28">
      <c r="B30" s="2098">
        <v>46</v>
      </c>
      <c r="C30" s="2090">
        <v>0.67900000000000005</v>
      </c>
      <c r="D30" s="2090">
        <v>9.6790000000000003</v>
      </c>
      <c r="E30" s="2090">
        <v>2.528</v>
      </c>
      <c r="F30" s="2090">
        <v>2.528</v>
      </c>
      <c r="G30" s="2090">
        <v>9</v>
      </c>
      <c r="H30" s="2091">
        <v>7.5444444444444453E-2</v>
      </c>
      <c r="I30" s="2091">
        <v>0.28088888888888891</v>
      </c>
      <c r="J30" s="2099">
        <v>0.35633333333333339</v>
      </c>
      <c r="K30" s="2098">
        <v>46</v>
      </c>
      <c r="L30" s="2090">
        <v>0.745</v>
      </c>
      <c r="M30" s="2090">
        <v>10.98</v>
      </c>
      <c r="N30" s="2092">
        <v>0.58499999999999996</v>
      </c>
      <c r="O30" s="2090">
        <v>0.58499999999999996</v>
      </c>
      <c r="P30" s="2090">
        <v>10.235000000000001</v>
      </c>
      <c r="Q30" s="2091">
        <v>7.2789447972642876E-2</v>
      </c>
      <c r="R30" s="2091">
        <v>5.7156814851001457E-2</v>
      </c>
      <c r="S30" s="2099">
        <v>0.12994626282364433</v>
      </c>
      <c r="T30" s="2098">
        <v>46</v>
      </c>
      <c r="U30" s="1707">
        <v>0.71199999999999997</v>
      </c>
      <c r="V30" s="1707">
        <v>10.329499999999999</v>
      </c>
      <c r="W30" s="1707">
        <v>1.5565</v>
      </c>
      <c r="X30" s="1707">
        <v>1.5565</v>
      </c>
      <c r="Y30" s="1707">
        <v>9.6174999999999997</v>
      </c>
      <c r="Z30" s="2093">
        <v>7.4116946208543671E-2</v>
      </c>
      <c r="AA30" s="2093">
        <v>0.16902285186994517</v>
      </c>
      <c r="AB30" s="2114">
        <v>0.24313979807848884</v>
      </c>
    </row>
    <row r="31" spans="2:28">
      <c r="B31" s="89">
        <v>47</v>
      </c>
      <c r="C31" s="1">
        <v>0.66200000000000003</v>
      </c>
      <c r="D31" s="1">
        <v>9.9489999999999998</v>
      </c>
      <c r="E31" s="1">
        <v>2.6040000000000001</v>
      </c>
      <c r="F31" s="1">
        <v>2.6040000000000001</v>
      </c>
      <c r="G31" s="1">
        <v>9.286999999999999</v>
      </c>
      <c r="H31" s="742">
        <v>7.1282437816302363E-2</v>
      </c>
      <c r="I31" s="742">
        <v>0.28039194573059117</v>
      </c>
      <c r="J31" s="2100">
        <v>0.35167438354689351</v>
      </c>
      <c r="K31" s="89">
        <v>47</v>
      </c>
      <c r="L31" s="1">
        <v>0.71799999999999997</v>
      </c>
      <c r="M31" s="1">
        <v>11.266</v>
      </c>
      <c r="N31" s="1427">
        <v>0.59599999999999997</v>
      </c>
      <c r="O31" s="1">
        <v>0.59599999999999997</v>
      </c>
      <c r="P31" s="1">
        <v>10.548</v>
      </c>
      <c r="Q31" s="742">
        <v>6.8069776260902534E-2</v>
      </c>
      <c r="R31" s="742">
        <v>5.6503602578687903E-2</v>
      </c>
      <c r="S31" s="2100">
        <v>0.12457337883959044</v>
      </c>
      <c r="T31" s="89">
        <v>47</v>
      </c>
      <c r="U31" s="741">
        <v>0.69</v>
      </c>
      <c r="V31" s="741">
        <v>10.6075</v>
      </c>
      <c r="W31" s="741">
        <v>1.6</v>
      </c>
      <c r="X31" s="741">
        <v>1.6</v>
      </c>
      <c r="Y31" s="741">
        <v>9.9175000000000004</v>
      </c>
      <c r="Z31" s="2088">
        <v>6.9676107038602442E-2</v>
      </c>
      <c r="AA31" s="2088">
        <v>0.16844777415463955</v>
      </c>
      <c r="AB31" s="2115">
        <v>0.23812388119324196</v>
      </c>
    </row>
    <row r="32" spans="2:28">
      <c r="B32" s="2098">
        <v>48</v>
      </c>
      <c r="C32" s="2090">
        <v>0.64300000000000002</v>
      </c>
      <c r="D32" s="2090">
        <v>10.227</v>
      </c>
      <c r="E32" s="2090">
        <v>2.6789999999999998</v>
      </c>
      <c r="F32" s="2090">
        <v>2.6789999999999998</v>
      </c>
      <c r="G32" s="2090">
        <v>9.5839999999999996</v>
      </c>
      <c r="H32" s="2091">
        <v>6.7090984974958273E-2</v>
      </c>
      <c r="I32" s="2091">
        <v>0.27952838063439062</v>
      </c>
      <c r="J32" s="2099">
        <v>0.34661936560934892</v>
      </c>
      <c r="K32" s="2098">
        <v>48</v>
      </c>
      <c r="L32" s="2090">
        <v>0.68799999999999994</v>
      </c>
      <c r="M32" s="2090">
        <v>11.561</v>
      </c>
      <c r="N32" s="2092">
        <v>0.60699999999999998</v>
      </c>
      <c r="O32" s="2090">
        <v>0.60699999999999998</v>
      </c>
      <c r="P32" s="2090">
        <v>10.872999999999999</v>
      </c>
      <c r="Q32" s="2091">
        <v>6.3276004782488737E-2</v>
      </c>
      <c r="R32" s="2091">
        <v>5.5826358870596893E-2</v>
      </c>
      <c r="S32" s="2099">
        <v>0.11910236365308563</v>
      </c>
      <c r="T32" s="2098">
        <v>48</v>
      </c>
      <c r="U32" s="1707">
        <v>0.66549999999999998</v>
      </c>
      <c r="V32" s="1707">
        <v>10.894</v>
      </c>
      <c r="W32" s="1707">
        <v>1.6429999999999998</v>
      </c>
      <c r="X32" s="1707">
        <v>1.6429999999999998</v>
      </c>
      <c r="Y32" s="1707">
        <v>10.2285</v>
      </c>
      <c r="Z32" s="2093">
        <v>6.5183494878723505E-2</v>
      </c>
      <c r="AA32" s="2093">
        <v>0.16767736975249375</v>
      </c>
      <c r="AB32" s="2114">
        <v>0.23286086463121727</v>
      </c>
    </row>
    <row r="33" spans="2:28">
      <c r="B33" s="89">
        <v>49</v>
      </c>
      <c r="C33" s="1">
        <v>0.61899999999999999</v>
      </c>
      <c r="D33" s="1">
        <v>10.513999999999999</v>
      </c>
      <c r="E33" s="1">
        <v>2.7519999999999998</v>
      </c>
      <c r="F33" s="1">
        <v>2.7519999999999998</v>
      </c>
      <c r="G33" s="1">
        <v>9.8949999999999996</v>
      </c>
      <c r="H33" s="742">
        <v>6.2556846892369886E-2</v>
      </c>
      <c r="I33" s="742">
        <v>0.27812026275896917</v>
      </c>
      <c r="J33" s="2100">
        <v>0.34067710965133907</v>
      </c>
      <c r="K33" s="89">
        <v>49</v>
      </c>
      <c r="L33" s="1">
        <v>0.65500000000000003</v>
      </c>
      <c r="M33" s="1">
        <v>11.865</v>
      </c>
      <c r="N33" s="1427">
        <v>0.61599999999999999</v>
      </c>
      <c r="O33" s="1">
        <v>0.61599999999999999</v>
      </c>
      <c r="P33" s="1">
        <v>11.21</v>
      </c>
      <c r="Q33" s="742">
        <v>5.8429973238180194E-2</v>
      </c>
      <c r="R33" s="742">
        <v>5.4950936663693127E-2</v>
      </c>
      <c r="S33" s="2100">
        <v>0.11338090990187333</v>
      </c>
      <c r="T33" s="89">
        <v>49</v>
      </c>
      <c r="U33" s="741">
        <v>0.63700000000000001</v>
      </c>
      <c r="V33" s="741">
        <v>11.189499999999999</v>
      </c>
      <c r="W33" s="741">
        <v>1.6839999999999999</v>
      </c>
      <c r="X33" s="741">
        <v>1.6839999999999999</v>
      </c>
      <c r="Y33" s="741">
        <v>10.5525</v>
      </c>
      <c r="Z33" s="2088">
        <v>6.049341006527504E-2</v>
      </c>
      <c r="AA33" s="2088">
        <v>0.16653559971133114</v>
      </c>
      <c r="AB33" s="2115">
        <v>0.2270290097766062</v>
      </c>
    </row>
    <row r="34" spans="2:28">
      <c r="B34" s="2098">
        <v>50</v>
      </c>
      <c r="C34" s="2090">
        <v>0.59099999999999997</v>
      </c>
      <c r="D34" s="2090">
        <v>10.808999999999999</v>
      </c>
      <c r="E34" s="2090">
        <v>2.8239999999999998</v>
      </c>
      <c r="F34" s="2090">
        <v>2.8239999999999998</v>
      </c>
      <c r="G34" s="2090">
        <v>10.218</v>
      </c>
      <c r="H34" s="2091">
        <v>5.7839107457428068E-2</v>
      </c>
      <c r="I34" s="2091">
        <v>0.27637502446662748</v>
      </c>
      <c r="J34" s="2099">
        <v>0.33421413192405558</v>
      </c>
      <c r="K34" s="2098">
        <v>50</v>
      </c>
      <c r="L34" s="2090">
        <v>0.61899999999999999</v>
      </c>
      <c r="M34" s="2090">
        <v>12.178000000000001</v>
      </c>
      <c r="N34" s="2092">
        <v>0.625</v>
      </c>
      <c r="O34" s="2090">
        <v>0.625</v>
      </c>
      <c r="P34" s="2090">
        <v>11.559000000000001</v>
      </c>
      <c r="Q34" s="2091">
        <v>5.3551345272082357E-2</v>
      </c>
      <c r="R34" s="2091">
        <v>5.4070421316722898E-2</v>
      </c>
      <c r="S34" s="2099">
        <v>0.10762176658880526</v>
      </c>
      <c r="T34" s="2098">
        <v>50</v>
      </c>
      <c r="U34" s="1707">
        <v>0.60499999999999998</v>
      </c>
      <c r="V34" s="1707">
        <v>11.493500000000001</v>
      </c>
      <c r="W34" s="1707">
        <v>1.7244999999999999</v>
      </c>
      <c r="X34" s="1707">
        <v>1.7244999999999999</v>
      </c>
      <c r="Y34" s="1707">
        <v>10.888500000000001</v>
      </c>
      <c r="Z34" s="2093">
        <v>5.5695226364755213E-2</v>
      </c>
      <c r="AA34" s="2093">
        <v>0.16522272289167519</v>
      </c>
      <c r="AB34" s="2114">
        <v>0.22091794925643043</v>
      </c>
    </row>
    <row r="35" spans="2:28">
      <c r="B35" s="89">
        <v>51</v>
      </c>
      <c r="C35" s="1">
        <v>0.55700000000000005</v>
      </c>
      <c r="D35" s="1">
        <v>11.115</v>
      </c>
      <c r="E35" s="1">
        <v>2.8929999999999998</v>
      </c>
      <c r="F35" s="1">
        <v>2.8929999999999998</v>
      </c>
      <c r="G35" s="1">
        <v>10.558</v>
      </c>
      <c r="H35" s="742">
        <v>5.2756203826482294E-2</v>
      </c>
      <c r="I35" s="742">
        <v>0.27401022921007767</v>
      </c>
      <c r="J35" s="2100">
        <v>0.32676643303655994</v>
      </c>
      <c r="K35" s="89">
        <v>51</v>
      </c>
      <c r="L35" s="1">
        <v>0.57699999999999996</v>
      </c>
      <c r="M35" s="1">
        <v>12.499000000000001</v>
      </c>
      <c r="N35" s="1427">
        <v>0.63200000000000001</v>
      </c>
      <c r="O35" s="1">
        <v>0.63200000000000001</v>
      </c>
      <c r="P35" s="1">
        <v>11.922000000000001</v>
      </c>
      <c r="Q35" s="742">
        <v>4.8397919812112056E-2</v>
      </c>
      <c r="R35" s="742">
        <v>5.3011239724878374E-2</v>
      </c>
      <c r="S35" s="2100">
        <v>0.10140915953699042</v>
      </c>
      <c r="T35" s="89">
        <v>51</v>
      </c>
      <c r="U35" s="741">
        <v>0.56699999999999995</v>
      </c>
      <c r="V35" s="741">
        <v>11.807</v>
      </c>
      <c r="W35" s="741">
        <v>1.7625</v>
      </c>
      <c r="X35" s="741">
        <v>1.7625</v>
      </c>
      <c r="Y35" s="741">
        <v>11.24</v>
      </c>
      <c r="Z35" s="2088">
        <v>5.0577061819297178E-2</v>
      </c>
      <c r="AA35" s="2088">
        <v>0.16351073446747802</v>
      </c>
      <c r="AB35" s="2115">
        <v>0.21408779628677518</v>
      </c>
    </row>
    <row r="36" spans="2:28">
      <c r="B36" s="2098">
        <v>52</v>
      </c>
      <c r="C36" s="2090">
        <v>0.51900000000000002</v>
      </c>
      <c r="D36" s="2090">
        <v>11.43</v>
      </c>
      <c r="E36" s="2090">
        <v>2.96</v>
      </c>
      <c r="F36" s="2090">
        <v>2.96</v>
      </c>
      <c r="G36" s="2090">
        <v>10.911</v>
      </c>
      <c r="H36" s="2091">
        <v>4.7566675831729452E-2</v>
      </c>
      <c r="I36" s="2091">
        <v>0.2712858583081294</v>
      </c>
      <c r="J36" s="2099">
        <v>0.31885253413985887</v>
      </c>
      <c r="K36" s="2098">
        <v>52</v>
      </c>
      <c r="L36" s="2090">
        <v>0.53200000000000003</v>
      </c>
      <c r="M36" s="2090">
        <v>12.829000000000001</v>
      </c>
      <c r="N36" s="2092">
        <v>0.63800000000000001</v>
      </c>
      <c r="O36" s="2090">
        <v>0.63800000000000001</v>
      </c>
      <c r="P36" s="2090">
        <v>12.297000000000001</v>
      </c>
      <c r="Q36" s="2091">
        <v>4.3262584370171588E-2</v>
      </c>
      <c r="R36" s="2091">
        <v>5.1882572985280963E-2</v>
      </c>
      <c r="S36" s="2099">
        <v>9.514515735545255E-2</v>
      </c>
      <c r="T36" s="2098">
        <v>52</v>
      </c>
      <c r="U36" s="1707">
        <v>0.52550000000000008</v>
      </c>
      <c r="V36" s="1707">
        <v>12.1295</v>
      </c>
      <c r="W36" s="1707">
        <v>1.7989999999999999</v>
      </c>
      <c r="X36" s="1707">
        <v>1.7989999999999999</v>
      </c>
      <c r="Y36" s="1707">
        <v>11.603999999999999</v>
      </c>
      <c r="Z36" s="2093">
        <v>4.5414630100950523E-2</v>
      </c>
      <c r="AA36" s="2093">
        <v>0.16158421564670519</v>
      </c>
      <c r="AB36" s="2114">
        <v>0.2069988457476557</v>
      </c>
    </row>
    <row r="37" spans="2:28">
      <c r="B37" s="89">
        <v>53</v>
      </c>
      <c r="C37" s="1">
        <v>0.47599999999999998</v>
      </c>
      <c r="D37" s="1">
        <v>11.757</v>
      </c>
      <c r="E37" s="1">
        <v>3.024</v>
      </c>
      <c r="F37" s="1">
        <v>3.024</v>
      </c>
      <c r="G37" s="1">
        <v>11.280999999999999</v>
      </c>
      <c r="H37" s="742">
        <v>4.2194840882900451E-2</v>
      </c>
      <c r="I37" s="742">
        <v>0.26806134207960292</v>
      </c>
      <c r="J37" s="2100">
        <v>0.31025618296250335</v>
      </c>
      <c r="K37" s="89">
        <v>53</v>
      </c>
      <c r="L37" s="1">
        <v>0.48199999999999998</v>
      </c>
      <c r="M37" s="1">
        <v>13.169</v>
      </c>
      <c r="N37" s="1427">
        <v>0.64300000000000002</v>
      </c>
      <c r="O37" s="1">
        <v>0.64300000000000002</v>
      </c>
      <c r="P37" s="1">
        <v>12.687000000000001</v>
      </c>
      <c r="Q37" s="742">
        <v>3.7991644990935595E-2</v>
      </c>
      <c r="R37" s="742">
        <v>5.0681800267990851E-2</v>
      </c>
      <c r="S37" s="2100">
        <v>8.8673445258926453E-2</v>
      </c>
      <c r="T37" s="89">
        <v>53</v>
      </c>
      <c r="U37" s="741">
        <v>0.47899999999999998</v>
      </c>
      <c r="V37" s="741">
        <v>12.463000000000001</v>
      </c>
      <c r="W37" s="741">
        <v>1.8334999999999999</v>
      </c>
      <c r="X37" s="741">
        <v>1.8334999999999999</v>
      </c>
      <c r="Y37" s="741">
        <v>11.984</v>
      </c>
      <c r="Z37" s="2088">
        <v>4.0093242936918023E-2</v>
      </c>
      <c r="AA37" s="2088">
        <v>0.15937157117379688</v>
      </c>
      <c r="AB37" s="2115">
        <v>0.1994648141107149</v>
      </c>
    </row>
    <row r="38" spans="2:28">
      <c r="B38" s="2098">
        <v>54</v>
      </c>
      <c r="C38" s="2090">
        <v>0.42799999999999999</v>
      </c>
      <c r="D38" s="2090">
        <v>12.093999999999999</v>
      </c>
      <c r="E38" s="2090">
        <v>3.0859999999999999</v>
      </c>
      <c r="F38" s="2090">
        <v>3.0859999999999999</v>
      </c>
      <c r="G38" s="2090">
        <v>11.665999999999999</v>
      </c>
      <c r="H38" s="2091">
        <v>3.6687810732041838E-2</v>
      </c>
      <c r="I38" s="2091">
        <v>0.26452940168009603</v>
      </c>
      <c r="J38" s="2099">
        <v>0.30121721241213789</v>
      </c>
      <c r="K38" s="2098">
        <v>54</v>
      </c>
      <c r="L38" s="2090">
        <v>0.42699999999999999</v>
      </c>
      <c r="M38" s="2090">
        <v>13.519</v>
      </c>
      <c r="N38" s="2092">
        <v>0.64700000000000002</v>
      </c>
      <c r="O38" s="2090">
        <v>0.64700000000000002</v>
      </c>
      <c r="P38" s="2090">
        <v>13.092000000000001</v>
      </c>
      <c r="Q38" s="2091">
        <v>3.2615337610754656E-2</v>
      </c>
      <c r="R38" s="2091">
        <v>4.9419492820042772E-2</v>
      </c>
      <c r="S38" s="2099">
        <v>8.2034830430797429E-2</v>
      </c>
      <c r="T38" s="2098">
        <v>54</v>
      </c>
      <c r="U38" s="1707">
        <v>0.42749999999999999</v>
      </c>
      <c r="V38" s="1707">
        <v>12.8065</v>
      </c>
      <c r="W38" s="1707">
        <v>1.8664999999999998</v>
      </c>
      <c r="X38" s="1707">
        <v>1.8664999999999998</v>
      </c>
      <c r="Y38" s="1707">
        <v>12.379</v>
      </c>
      <c r="Z38" s="2093">
        <v>3.4651574171398247E-2</v>
      </c>
      <c r="AA38" s="2093">
        <v>0.1569744472500694</v>
      </c>
      <c r="AB38" s="2114">
        <v>0.19162602142146767</v>
      </c>
    </row>
    <row r="39" spans="2:28">
      <c r="B39" s="89">
        <v>55</v>
      </c>
      <c r="C39" s="1">
        <v>0.375</v>
      </c>
      <c r="D39" s="1">
        <v>12.444000000000001</v>
      </c>
      <c r="E39" s="1">
        <v>3.1459999999999999</v>
      </c>
      <c r="F39" s="1">
        <v>3.1459999999999999</v>
      </c>
      <c r="G39" s="1">
        <v>12.069000000000001</v>
      </c>
      <c r="H39" s="742">
        <v>3.107133979617201E-2</v>
      </c>
      <c r="I39" s="742">
        <v>0.26066782666335236</v>
      </c>
      <c r="J39" s="2100">
        <v>0.29173916645952436</v>
      </c>
      <c r="K39" s="89">
        <v>55</v>
      </c>
      <c r="L39" s="1">
        <v>0.36799999999999999</v>
      </c>
      <c r="M39" s="1">
        <v>13.88</v>
      </c>
      <c r="N39" s="1427">
        <v>0.64900000000000002</v>
      </c>
      <c r="O39" s="1">
        <v>0.64900000000000002</v>
      </c>
      <c r="P39" s="1">
        <v>13.512</v>
      </c>
      <c r="Q39" s="742">
        <v>2.7235050325636469E-2</v>
      </c>
      <c r="R39" s="742">
        <v>4.8031379514505625E-2</v>
      </c>
      <c r="S39" s="2100">
        <v>7.5266429840142091E-2</v>
      </c>
      <c r="T39" s="89">
        <v>55</v>
      </c>
      <c r="U39" s="741">
        <v>0.3715</v>
      </c>
      <c r="V39" s="741">
        <v>13.162000000000001</v>
      </c>
      <c r="W39" s="741">
        <v>1.8975</v>
      </c>
      <c r="X39" s="741">
        <v>1.8975</v>
      </c>
      <c r="Y39" s="741">
        <v>12.790500000000002</v>
      </c>
      <c r="Z39" s="2088">
        <v>2.915319506090424E-2</v>
      </c>
      <c r="AA39" s="2088">
        <v>0.154349603088929</v>
      </c>
      <c r="AB39" s="2115">
        <v>0.18350279814983322</v>
      </c>
    </row>
    <row r="40" spans="2:28">
      <c r="B40" s="2098">
        <v>56</v>
      </c>
      <c r="C40" s="2090">
        <v>0.317</v>
      </c>
      <c r="D40" s="2090">
        <v>12.805999999999999</v>
      </c>
      <c r="E40" s="2090">
        <v>3.2050000000000001</v>
      </c>
      <c r="F40" s="2090">
        <v>3.2050000000000001</v>
      </c>
      <c r="G40" s="2090">
        <v>12.488999999999999</v>
      </c>
      <c r="H40" s="2091">
        <v>2.5382336456081355E-2</v>
      </c>
      <c r="I40" s="2091">
        <v>0.25662583073104334</v>
      </c>
      <c r="J40" s="2099">
        <v>0.28200816718712468</v>
      </c>
      <c r="K40" s="2098">
        <v>56</v>
      </c>
      <c r="L40" s="2090">
        <v>0.30499999999999999</v>
      </c>
      <c r="M40" s="2090">
        <v>14.252000000000001</v>
      </c>
      <c r="N40" s="2092">
        <v>0.65100000000000002</v>
      </c>
      <c r="O40" s="2090">
        <v>0.65100000000000002</v>
      </c>
      <c r="P40" s="2090">
        <v>13.947000000000001</v>
      </c>
      <c r="Q40" s="2091">
        <v>2.1868502186850217E-2</v>
      </c>
      <c r="R40" s="2091">
        <v>4.6676704667670467E-2</v>
      </c>
      <c r="S40" s="2099">
        <v>6.8545206854520688E-2</v>
      </c>
      <c r="T40" s="2098">
        <v>56</v>
      </c>
      <c r="U40" s="1707">
        <v>0.311</v>
      </c>
      <c r="V40" s="1707">
        <v>13.529</v>
      </c>
      <c r="W40" s="1707">
        <v>1.9279999999999999</v>
      </c>
      <c r="X40" s="1707">
        <v>1.9279999999999999</v>
      </c>
      <c r="Y40" s="1707">
        <v>13.218</v>
      </c>
      <c r="Z40" s="2093">
        <v>2.3625419321465786E-2</v>
      </c>
      <c r="AA40" s="2093">
        <v>0.15165126769935691</v>
      </c>
      <c r="AB40" s="2114">
        <v>0.17527668702082269</v>
      </c>
    </row>
    <row r="41" spans="2:28">
      <c r="B41" s="89">
        <v>57</v>
      </c>
      <c r="C41" s="1">
        <v>0.25600000000000001</v>
      </c>
      <c r="D41" s="1">
        <v>13.180999999999999</v>
      </c>
      <c r="E41" s="1">
        <v>3.262</v>
      </c>
      <c r="F41" s="1">
        <v>3.262</v>
      </c>
      <c r="G41" s="1">
        <v>12.924999999999999</v>
      </c>
      <c r="H41" s="742">
        <v>1.9806576402321086E-2</v>
      </c>
      <c r="I41" s="742">
        <v>0.25237911025145071</v>
      </c>
      <c r="J41" s="2100">
        <v>0.2721856866537718</v>
      </c>
      <c r="K41" s="89">
        <v>57</v>
      </c>
      <c r="L41" s="1">
        <v>0.24</v>
      </c>
      <c r="M41" s="1">
        <v>14.638</v>
      </c>
      <c r="N41" s="1427">
        <v>0.65100000000000002</v>
      </c>
      <c r="O41" s="1">
        <v>0.65100000000000002</v>
      </c>
      <c r="P41" s="1">
        <v>14.398</v>
      </c>
      <c r="Q41" s="742">
        <v>1.6668981803028199E-2</v>
      </c>
      <c r="R41" s="742">
        <v>4.521461314071399E-2</v>
      </c>
      <c r="S41" s="2100">
        <v>6.1883594943742189E-2</v>
      </c>
      <c r="T41" s="89">
        <v>57</v>
      </c>
      <c r="U41" s="741">
        <v>0.248</v>
      </c>
      <c r="V41" s="741">
        <v>13.9095</v>
      </c>
      <c r="W41" s="741">
        <v>1.9565000000000001</v>
      </c>
      <c r="X41" s="741">
        <v>1.9565000000000001</v>
      </c>
      <c r="Y41" s="741">
        <v>13.6615</v>
      </c>
      <c r="Z41" s="2088">
        <v>1.8237779102674642E-2</v>
      </c>
      <c r="AA41" s="2088">
        <v>0.14879686169608236</v>
      </c>
      <c r="AB41" s="2115">
        <v>0.16703464079875699</v>
      </c>
    </row>
    <row r="42" spans="2:28">
      <c r="B42" s="2098">
        <v>58</v>
      </c>
      <c r="C42" s="2090">
        <v>0.19500000000000001</v>
      </c>
      <c r="D42" s="2090">
        <v>13.573</v>
      </c>
      <c r="E42" s="2090">
        <v>3.3210000000000002</v>
      </c>
      <c r="F42" s="2090">
        <v>3.3210000000000002</v>
      </c>
      <c r="G42" s="2090">
        <v>13.378</v>
      </c>
      <c r="H42" s="2091">
        <v>1.457616983106593E-2</v>
      </c>
      <c r="I42" s="2091">
        <v>0.24824338466138438</v>
      </c>
      <c r="J42" s="2099">
        <v>0.26281955449245031</v>
      </c>
      <c r="K42" s="2098">
        <v>58</v>
      </c>
      <c r="L42" s="2090">
        <v>0.17699999999999999</v>
      </c>
      <c r="M42" s="2090">
        <v>15.04</v>
      </c>
      <c r="N42" s="2092">
        <v>0.65200000000000002</v>
      </c>
      <c r="O42" s="2090">
        <v>0.65200000000000002</v>
      </c>
      <c r="P42" s="2090">
        <v>14.863</v>
      </c>
      <c r="Q42" s="2091">
        <v>1.190876673619054E-2</v>
      </c>
      <c r="R42" s="2091">
        <v>4.3867321536701878E-2</v>
      </c>
      <c r="S42" s="2099">
        <v>5.5776088272892418E-2</v>
      </c>
      <c r="T42" s="2098">
        <v>58</v>
      </c>
      <c r="U42" s="1707">
        <v>0.186</v>
      </c>
      <c r="V42" s="1707">
        <v>14.3065</v>
      </c>
      <c r="W42" s="1707">
        <v>1.9865000000000002</v>
      </c>
      <c r="X42" s="1707">
        <v>1.9865000000000002</v>
      </c>
      <c r="Y42" s="1707">
        <v>14.1205</v>
      </c>
      <c r="Z42" s="2093">
        <v>1.3242468283628236E-2</v>
      </c>
      <c r="AA42" s="2093">
        <v>0.14605535309904313</v>
      </c>
      <c r="AB42" s="2114">
        <v>0.15929782138267137</v>
      </c>
    </row>
    <row r="43" spans="2:28">
      <c r="B43" s="89">
        <v>59</v>
      </c>
      <c r="C43" s="1">
        <v>0.13600000000000001</v>
      </c>
      <c r="D43" s="1">
        <v>13.983000000000001</v>
      </c>
      <c r="E43" s="1">
        <v>3.38</v>
      </c>
      <c r="F43" s="1">
        <v>3.38</v>
      </c>
      <c r="G43" s="1">
        <v>13.847000000000001</v>
      </c>
      <c r="H43" s="742">
        <v>9.8216220119881556E-3</v>
      </c>
      <c r="I43" s="742">
        <v>0.24409619412147032</v>
      </c>
      <c r="J43" s="2100">
        <v>0.25391781613345848</v>
      </c>
      <c r="K43" s="89">
        <v>59</v>
      </c>
      <c r="L43" s="1">
        <v>0.12</v>
      </c>
      <c r="M43" s="1">
        <v>15.464</v>
      </c>
      <c r="N43" s="1427">
        <v>0.65200000000000002</v>
      </c>
      <c r="O43" s="1">
        <v>0.65200000000000002</v>
      </c>
      <c r="P43" s="1">
        <v>15.344000000000001</v>
      </c>
      <c r="Q43" s="742">
        <v>7.8206465067778928E-3</v>
      </c>
      <c r="R43" s="742">
        <v>4.2492179353493219E-2</v>
      </c>
      <c r="S43" s="2100">
        <v>5.031282586027111E-2</v>
      </c>
      <c r="T43" s="89">
        <v>59</v>
      </c>
      <c r="U43" s="741">
        <v>0.128</v>
      </c>
      <c r="V43" s="741">
        <v>14.723500000000001</v>
      </c>
      <c r="W43" s="741">
        <v>2.016</v>
      </c>
      <c r="X43" s="741">
        <v>2.016</v>
      </c>
      <c r="Y43" s="741">
        <v>14.595500000000001</v>
      </c>
      <c r="Z43" s="2088">
        <v>8.8211342593830233E-3</v>
      </c>
      <c r="AA43" s="2088">
        <v>0.14329418673748176</v>
      </c>
      <c r="AB43" s="2115">
        <v>0.15211532099686481</v>
      </c>
    </row>
    <row r="44" spans="2:28">
      <c r="B44" s="2098">
        <v>60</v>
      </c>
      <c r="C44" s="2090">
        <v>8.5000000000000006E-2</v>
      </c>
      <c r="D44" s="2090">
        <v>14.414999999999999</v>
      </c>
      <c r="E44" s="2090">
        <v>3.4420000000000002</v>
      </c>
      <c r="F44" s="2090">
        <v>3.4420000000000002</v>
      </c>
      <c r="G44" s="2090">
        <v>14.329999999999998</v>
      </c>
      <c r="H44" s="2091">
        <v>5.9316120027913481E-3</v>
      </c>
      <c r="I44" s="2091">
        <v>0.24019539427773906</v>
      </c>
      <c r="J44" s="2099">
        <v>0.24612700628053041</v>
      </c>
      <c r="K44" s="2098">
        <v>60</v>
      </c>
      <c r="L44" s="2090">
        <v>7.1999999999999995E-2</v>
      </c>
      <c r="M44" s="2090">
        <v>15.912000000000001</v>
      </c>
      <c r="N44" s="2092">
        <v>0.65200000000000002</v>
      </c>
      <c r="O44" s="2090">
        <v>0.65200000000000002</v>
      </c>
      <c r="P44" s="2090">
        <v>15.840000000000002</v>
      </c>
      <c r="Q44" s="2091">
        <v>4.5454545454545444E-3</v>
      </c>
      <c r="R44" s="2091">
        <v>4.1161616161616156E-2</v>
      </c>
      <c r="S44" s="2099">
        <v>4.5707070707070703E-2</v>
      </c>
      <c r="T44" s="2098">
        <v>60</v>
      </c>
      <c r="U44" s="1707">
        <v>7.85E-2</v>
      </c>
      <c r="V44" s="1707">
        <v>15.163499999999999</v>
      </c>
      <c r="W44" s="1707">
        <v>2.0470000000000002</v>
      </c>
      <c r="X44" s="1707">
        <v>2.0470000000000002</v>
      </c>
      <c r="Y44" s="1707">
        <v>15.085000000000001</v>
      </c>
      <c r="Z44" s="2093">
        <v>5.2385332741229466E-3</v>
      </c>
      <c r="AA44" s="2093">
        <v>0.14067850521967762</v>
      </c>
      <c r="AB44" s="2114">
        <v>0.14591703849380055</v>
      </c>
    </row>
    <row r="45" spans="2:28">
      <c r="B45" s="89">
        <v>61</v>
      </c>
      <c r="C45" s="1">
        <v>4.4999999999999998E-2</v>
      </c>
      <c r="D45" s="1">
        <v>14.874000000000001</v>
      </c>
      <c r="E45" s="1">
        <v>3.5070000000000001</v>
      </c>
      <c r="F45" s="1">
        <v>3.5070000000000001</v>
      </c>
      <c r="G45" s="1">
        <v>14.829000000000001</v>
      </c>
      <c r="H45" s="742">
        <v>3.0345943758850898E-3</v>
      </c>
      <c r="I45" s="742">
        <v>0.23649605502731136</v>
      </c>
      <c r="J45" s="2100">
        <v>0.23953064940319646</v>
      </c>
      <c r="K45" s="89">
        <v>61</v>
      </c>
      <c r="L45" s="1">
        <v>3.5999999999999997E-2</v>
      </c>
      <c r="M45" s="1">
        <v>16.39</v>
      </c>
      <c r="N45" s="1427">
        <v>0.65200000000000002</v>
      </c>
      <c r="O45" s="1">
        <v>0.65200000000000002</v>
      </c>
      <c r="P45" s="1">
        <v>16.353999999999999</v>
      </c>
      <c r="Q45" s="742">
        <v>2.2012963189433775E-3</v>
      </c>
      <c r="R45" s="742">
        <v>3.9867922220863404E-2</v>
      </c>
      <c r="S45" s="2100">
        <v>4.2069218539806781E-2</v>
      </c>
      <c r="T45" s="89">
        <v>61</v>
      </c>
      <c r="U45" s="741">
        <v>4.0499999999999994E-2</v>
      </c>
      <c r="V45" s="741">
        <v>15.632000000000001</v>
      </c>
      <c r="W45" s="741">
        <v>2.0794999999999999</v>
      </c>
      <c r="X45" s="741">
        <v>2.0794999999999999</v>
      </c>
      <c r="Y45" s="741">
        <v>15.5915</v>
      </c>
      <c r="Z45" s="2088">
        <v>2.6179453474142337E-3</v>
      </c>
      <c r="AA45" s="2088">
        <v>0.13818198862408737</v>
      </c>
      <c r="AB45" s="2115">
        <v>0.14079993397150162</v>
      </c>
    </row>
    <row r="46" spans="2:28">
      <c r="B46" s="2098">
        <v>62</v>
      </c>
      <c r="C46" s="2090">
        <v>1.7999999999999999E-2</v>
      </c>
      <c r="D46" s="2090">
        <v>15.363</v>
      </c>
      <c r="E46" s="2090">
        <v>3.5579999999999998</v>
      </c>
      <c r="F46" s="2090">
        <v>3.5579999999999998</v>
      </c>
      <c r="G46" s="2090">
        <v>15.344999999999999</v>
      </c>
      <c r="H46" s="2091">
        <v>1.1730205278592375E-3</v>
      </c>
      <c r="I46" s="2091">
        <v>0.23186705767350929</v>
      </c>
      <c r="J46" s="2099">
        <v>0.23304007820136852</v>
      </c>
      <c r="K46" s="2098">
        <v>62</v>
      </c>
      <c r="L46" s="2090">
        <v>1.4E-2</v>
      </c>
      <c r="M46" s="2090">
        <v>16.899000000000001</v>
      </c>
      <c r="N46" s="2092">
        <v>0.64900000000000002</v>
      </c>
      <c r="O46" s="2090">
        <v>0.64900000000000002</v>
      </c>
      <c r="P46" s="2090">
        <v>16.885000000000002</v>
      </c>
      <c r="Q46" s="2091">
        <v>8.2913828842167596E-4</v>
      </c>
      <c r="R46" s="2091">
        <v>3.8436482084690554E-2</v>
      </c>
      <c r="S46" s="2099">
        <v>3.926562037311223E-2</v>
      </c>
      <c r="T46" s="2098">
        <v>62</v>
      </c>
      <c r="U46" s="1707">
        <v>1.6E-2</v>
      </c>
      <c r="V46" s="1707">
        <v>16.131</v>
      </c>
      <c r="W46" s="1707">
        <v>2.1034999999999999</v>
      </c>
      <c r="X46" s="1707">
        <v>2.1034999999999999</v>
      </c>
      <c r="Y46" s="1707">
        <v>16.115000000000002</v>
      </c>
      <c r="Z46" s="2093">
        <v>1.0010794081404567E-3</v>
      </c>
      <c r="AA46" s="2093">
        <v>0.13515176987909994</v>
      </c>
      <c r="AB46" s="2114">
        <v>0.13615284928724036</v>
      </c>
    </row>
    <row r="47" spans="2:28">
      <c r="B47" s="89">
        <v>63</v>
      </c>
      <c r="C47" s="1">
        <v>4.0000000000000001E-3</v>
      </c>
      <c r="D47" s="1">
        <v>15.882999999999999</v>
      </c>
      <c r="E47" s="1">
        <v>3.609</v>
      </c>
      <c r="F47" s="1">
        <v>3.609</v>
      </c>
      <c r="G47" s="1">
        <v>15.879</v>
      </c>
      <c r="H47" s="742">
        <v>2.5190503180301028E-4</v>
      </c>
      <c r="I47" s="742">
        <v>0.22728131494426601</v>
      </c>
      <c r="J47" s="2100">
        <v>0.22753321997606901</v>
      </c>
      <c r="K47" s="89">
        <v>63</v>
      </c>
      <c r="L47" s="1">
        <v>3.0000000000000001E-3</v>
      </c>
      <c r="M47" s="1">
        <v>17.439</v>
      </c>
      <c r="N47" s="1427">
        <v>0.64600000000000002</v>
      </c>
      <c r="O47" s="1">
        <v>0.64600000000000002</v>
      </c>
      <c r="P47" s="1">
        <v>17.436</v>
      </c>
      <c r="Q47" s="742">
        <v>1.7205781142463867E-4</v>
      </c>
      <c r="R47" s="742">
        <v>3.7049782060105528E-2</v>
      </c>
      <c r="S47" s="2100">
        <v>3.7221839871530167E-2</v>
      </c>
      <c r="T47" s="89">
        <v>63</v>
      </c>
      <c r="U47" s="741">
        <v>3.5000000000000001E-3</v>
      </c>
      <c r="V47" s="741">
        <v>16.661000000000001</v>
      </c>
      <c r="W47" s="741">
        <v>2.1274999999999999</v>
      </c>
      <c r="X47" s="741">
        <v>2.1274999999999999</v>
      </c>
      <c r="Y47" s="741">
        <v>16.657499999999999</v>
      </c>
      <c r="Z47" s="2088">
        <v>2.1198142161382448E-4</v>
      </c>
      <c r="AA47" s="2088">
        <v>0.13216554850218576</v>
      </c>
      <c r="AB47" s="2115">
        <v>0.13237752992379959</v>
      </c>
    </row>
    <row r="48" spans="2:28" s="34" customFormat="1">
      <c r="B48" s="2119">
        <v>64</v>
      </c>
      <c r="C48" s="2120">
        <v>0</v>
      </c>
      <c r="D48" s="2120">
        <v>16.437999999999999</v>
      </c>
      <c r="E48" s="2120">
        <v>3.6579999999999999</v>
      </c>
      <c r="F48" s="2120">
        <v>3.6579999999999999</v>
      </c>
      <c r="G48" s="2120">
        <v>16.437999999999999</v>
      </c>
      <c r="H48" s="2121">
        <v>0</v>
      </c>
      <c r="I48" s="2121">
        <v>0.22253315488502251</v>
      </c>
      <c r="J48" s="2122">
        <v>0.22253315488502251</v>
      </c>
      <c r="K48" s="2119">
        <v>64</v>
      </c>
      <c r="L48" s="2120">
        <v>0</v>
      </c>
      <c r="M48" s="2120">
        <v>18.010999999999999</v>
      </c>
      <c r="N48" s="2123">
        <v>0.64100000000000001</v>
      </c>
      <c r="O48" s="2120">
        <v>0.64100000000000001</v>
      </c>
      <c r="P48" s="2120">
        <v>18.010999999999999</v>
      </c>
      <c r="Q48" s="2121">
        <v>0</v>
      </c>
      <c r="R48" s="2121">
        <v>3.5589362056521016E-2</v>
      </c>
      <c r="S48" s="2122">
        <v>3.5589362056521016E-2</v>
      </c>
      <c r="T48" s="2119">
        <v>64</v>
      </c>
      <c r="U48" s="2124">
        <v>0</v>
      </c>
      <c r="V48" s="2124">
        <v>17.224499999999999</v>
      </c>
      <c r="W48" s="2124">
        <v>2.1494999999999997</v>
      </c>
      <c r="X48" s="2124">
        <v>2.1494999999999997</v>
      </c>
      <c r="Y48" s="2124">
        <v>17.224499999999999</v>
      </c>
      <c r="Z48" s="2125">
        <v>0</v>
      </c>
      <c r="AA48" s="2125">
        <v>0.12906125847077177</v>
      </c>
      <c r="AB48" s="2126">
        <v>0.12906125847077177</v>
      </c>
    </row>
    <row r="49" spans="2:28">
      <c r="B49" s="89">
        <v>65</v>
      </c>
      <c r="C49" s="1">
        <v>0</v>
      </c>
      <c r="D49" s="1">
        <v>16.053000000000001</v>
      </c>
      <c r="E49" s="1">
        <v>3.6680000000000001</v>
      </c>
      <c r="F49" s="1">
        <v>3.6680000000000001</v>
      </c>
      <c r="G49" s="1">
        <v>16.053000000000001</v>
      </c>
      <c r="H49" s="742">
        <v>0</v>
      </c>
      <c r="I49" s="742">
        <v>0.2284931165514234</v>
      </c>
      <c r="J49" s="2100">
        <v>0.2284931165514234</v>
      </c>
      <c r="K49" s="89">
        <v>65</v>
      </c>
      <c r="L49" s="1">
        <v>0</v>
      </c>
      <c r="M49" s="1">
        <v>17.669</v>
      </c>
      <c r="N49" s="1427">
        <v>0.64900000000000002</v>
      </c>
      <c r="O49" s="1">
        <v>0.64900000000000002</v>
      </c>
      <c r="P49" s="1">
        <v>17.669</v>
      </c>
      <c r="Q49" s="742">
        <v>0</v>
      </c>
      <c r="R49" s="742">
        <v>3.6730997792744358E-2</v>
      </c>
      <c r="S49" s="2100">
        <v>3.6730997792744358E-2</v>
      </c>
      <c r="T49" s="89">
        <v>65</v>
      </c>
      <c r="U49" s="741">
        <v>0</v>
      </c>
      <c r="V49" s="741">
        <v>16.861000000000001</v>
      </c>
      <c r="W49" s="741">
        <v>2.1585000000000001</v>
      </c>
      <c r="X49" s="741">
        <v>2.1585000000000001</v>
      </c>
      <c r="Y49" s="741">
        <v>16.861000000000001</v>
      </c>
      <c r="Z49" s="960">
        <v>0</v>
      </c>
      <c r="AA49" s="960">
        <v>0.13261205717208388</v>
      </c>
      <c r="AB49" s="961">
        <v>0.13261205717208388</v>
      </c>
    </row>
    <row r="50" spans="2:28">
      <c r="B50" s="2098">
        <v>66</v>
      </c>
      <c r="C50" s="2090"/>
      <c r="D50" s="2090">
        <v>15.661</v>
      </c>
      <c r="E50" s="2090">
        <v>3.6739999999999999</v>
      </c>
      <c r="F50" s="2090">
        <v>3.6739999999999999</v>
      </c>
      <c r="G50" s="2090">
        <v>15.661</v>
      </c>
      <c r="H50" s="2091">
        <v>0</v>
      </c>
      <c r="I50" s="2091">
        <v>0.23459549198646318</v>
      </c>
      <c r="J50" s="2099">
        <v>0.23459549198646318</v>
      </c>
      <c r="K50" s="2098">
        <v>66</v>
      </c>
      <c r="L50" s="2090">
        <v>0</v>
      </c>
      <c r="M50" s="2090">
        <v>17.274000000000001</v>
      </c>
      <c r="N50" s="2092">
        <v>0.63</v>
      </c>
      <c r="O50" s="2090">
        <v>0.63</v>
      </c>
      <c r="P50" s="2090">
        <v>17.274000000000001</v>
      </c>
      <c r="Q50" s="2091">
        <v>0</v>
      </c>
      <c r="R50" s="2091">
        <v>3.647099687391455E-2</v>
      </c>
      <c r="S50" s="2099">
        <v>3.647099687391455E-2</v>
      </c>
      <c r="T50" s="2098">
        <v>66</v>
      </c>
      <c r="U50" s="1707">
        <v>0</v>
      </c>
      <c r="V50" s="1707">
        <v>16.467500000000001</v>
      </c>
      <c r="W50" s="1707">
        <v>2.1520000000000001</v>
      </c>
      <c r="X50" s="1707">
        <v>2.1520000000000001</v>
      </c>
      <c r="Y50" s="1707">
        <v>16.467500000000001</v>
      </c>
      <c r="Z50" s="2093">
        <v>0</v>
      </c>
      <c r="AA50" s="2093">
        <v>0.13553324443018885</v>
      </c>
      <c r="AB50" s="2114">
        <v>0.13553324443018885</v>
      </c>
    </row>
    <row r="51" spans="2:28">
      <c r="B51" s="89">
        <v>67</v>
      </c>
      <c r="C51" s="1"/>
      <c r="D51" s="1">
        <v>15.260999999999999</v>
      </c>
      <c r="E51" s="1">
        <v>3.6779999999999999</v>
      </c>
      <c r="F51" s="1">
        <v>3.6779999999999999</v>
      </c>
      <c r="G51" s="1">
        <v>15.260999999999999</v>
      </c>
      <c r="H51" s="742">
        <v>0</v>
      </c>
      <c r="I51" s="742">
        <v>0.24100648712404169</v>
      </c>
      <c r="J51" s="2100">
        <v>0.24100648712404169</v>
      </c>
      <c r="K51" s="89">
        <v>67</v>
      </c>
      <c r="L51" s="1">
        <v>0</v>
      </c>
      <c r="M51" s="1">
        <v>16.867000000000001</v>
      </c>
      <c r="N51" s="1427">
        <v>0.61</v>
      </c>
      <c r="O51" s="1">
        <v>0.61</v>
      </c>
      <c r="P51" s="1">
        <v>16.867000000000001</v>
      </c>
      <c r="Q51" s="742">
        <v>0</v>
      </c>
      <c r="R51" s="742">
        <v>3.6165293176024189E-2</v>
      </c>
      <c r="S51" s="2100">
        <v>3.6165293176024189E-2</v>
      </c>
      <c r="T51" s="89">
        <v>67</v>
      </c>
      <c r="U51" s="741">
        <v>0</v>
      </c>
      <c r="V51" s="741">
        <v>16.064</v>
      </c>
      <c r="W51" s="741">
        <v>2.1440000000000001</v>
      </c>
      <c r="X51" s="741">
        <v>2.1440000000000001</v>
      </c>
      <c r="Y51" s="741">
        <v>16.064</v>
      </c>
      <c r="Z51" s="2088">
        <v>0</v>
      </c>
      <c r="AA51" s="2088">
        <v>0.13858589015003295</v>
      </c>
      <c r="AB51" s="2115">
        <v>0.13858589015003295</v>
      </c>
    </row>
    <row r="52" spans="2:28">
      <c r="B52" s="2098">
        <v>68</v>
      </c>
      <c r="C52" s="2090"/>
      <c r="D52" s="2090">
        <v>14.851000000000001</v>
      </c>
      <c r="E52" s="2090">
        <v>3.68</v>
      </c>
      <c r="F52" s="2090">
        <v>3.68</v>
      </c>
      <c r="G52" s="2090">
        <v>14.851000000000001</v>
      </c>
      <c r="H52" s="2091">
        <v>0</v>
      </c>
      <c r="I52" s="2091">
        <v>0.24779476129553565</v>
      </c>
      <c r="J52" s="2099">
        <v>0.24779476129553565</v>
      </c>
      <c r="K52" s="2098">
        <v>68</v>
      </c>
      <c r="L52" s="2090">
        <v>0</v>
      </c>
      <c r="M52" s="2090">
        <v>16.448</v>
      </c>
      <c r="N52" s="2092">
        <v>0.59099999999999997</v>
      </c>
      <c r="O52" s="2090">
        <v>0.59099999999999997</v>
      </c>
      <c r="P52" s="2090">
        <v>16.448</v>
      </c>
      <c r="Q52" s="2091">
        <v>0</v>
      </c>
      <c r="R52" s="2091">
        <v>3.5931420233463032E-2</v>
      </c>
      <c r="S52" s="2099">
        <v>3.5931420233463032E-2</v>
      </c>
      <c r="T52" s="2098">
        <v>68</v>
      </c>
      <c r="U52" s="1707">
        <v>0</v>
      </c>
      <c r="V52" s="1707">
        <v>15.6495</v>
      </c>
      <c r="W52" s="1707">
        <v>2.1355</v>
      </c>
      <c r="X52" s="1707">
        <v>2.1355</v>
      </c>
      <c r="Y52" s="1707">
        <v>15.6495</v>
      </c>
      <c r="Z52" s="2093">
        <v>0</v>
      </c>
      <c r="AA52" s="2093">
        <v>0.14186309076449935</v>
      </c>
      <c r="AB52" s="2114">
        <v>0.14186309076449935</v>
      </c>
    </row>
    <row r="53" spans="2:28">
      <c r="B53" s="89">
        <v>69</v>
      </c>
      <c r="C53" s="1"/>
      <c r="D53" s="1">
        <v>14.432</v>
      </c>
      <c r="E53" s="1">
        <v>3.681</v>
      </c>
      <c r="F53" s="1">
        <v>3.681</v>
      </c>
      <c r="G53" s="1">
        <v>14.432</v>
      </c>
      <c r="H53" s="742">
        <v>0</v>
      </c>
      <c r="I53" s="742">
        <v>0.25505820399113083</v>
      </c>
      <c r="J53" s="2100">
        <v>0.25505820399113083</v>
      </c>
      <c r="K53" s="89">
        <v>69</v>
      </c>
      <c r="L53" s="1">
        <v>0</v>
      </c>
      <c r="M53" s="1">
        <v>16.016999999999999</v>
      </c>
      <c r="N53" s="1427">
        <v>0.57199999999999995</v>
      </c>
      <c r="O53" s="1">
        <v>0.57199999999999995</v>
      </c>
      <c r="P53" s="1">
        <v>16.016999999999999</v>
      </c>
      <c r="Q53" s="742">
        <v>0</v>
      </c>
      <c r="R53" s="742">
        <v>3.5712055940563148E-2</v>
      </c>
      <c r="S53" s="2100">
        <v>3.5712055940563148E-2</v>
      </c>
      <c r="T53" s="89">
        <v>69</v>
      </c>
      <c r="U53" s="741">
        <v>0</v>
      </c>
      <c r="V53" s="741">
        <v>15.224499999999999</v>
      </c>
      <c r="W53" s="741">
        <v>2.1265000000000001</v>
      </c>
      <c r="X53" s="741">
        <v>2.1265000000000001</v>
      </c>
      <c r="Y53" s="741">
        <v>15.224499999999999</v>
      </c>
      <c r="Z53" s="2088">
        <v>0</v>
      </c>
      <c r="AA53" s="2088">
        <v>0.14538512996584699</v>
      </c>
      <c r="AB53" s="2115">
        <v>0.14538512996584699</v>
      </c>
    </row>
    <row r="54" spans="2:28">
      <c r="B54" s="2098">
        <v>70</v>
      </c>
      <c r="C54" s="2090"/>
      <c r="D54" s="2090">
        <v>14.002000000000001</v>
      </c>
      <c r="E54" s="2090">
        <v>3.6789999999999998</v>
      </c>
      <c r="F54" s="2090">
        <v>3.6789999999999998</v>
      </c>
      <c r="G54" s="2090">
        <v>14.002000000000001</v>
      </c>
      <c r="H54" s="2091">
        <v>0</v>
      </c>
      <c r="I54" s="2091">
        <v>0.26274817883159546</v>
      </c>
      <c r="J54" s="2099">
        <v>0.26274817883159546</v>
      </c>
      <c r="K54" s="2098">
        <v>70</v>
      </c>
      <c r="L54" s="2090">
        <v>0</v>
      </c>
      <c r="M54" s="2090">
        <v>15.574</v>
      </c>
      <c r="N54" s="2092">
        <v>0.55100000000000005</v>
      </c>
      <c r="O54" s="2090">
        <v>0.55100000000000005</v>
      </c>
      <c r="P54" s="2090">
        <v>15.574</v>
      </c>
      <c r="Q54" s="2091">
        <v>0</v>
      </c>
      <c r="R54" s="2091">
        <v>3.5379478618209843E-2</v>
      </c>
      <c r="S54" s="2099">
        <v>3.5379478618209843E-2</v>
      </c>
      <c r="T54" s="2098">
        <v>70</v>
      </c>
      <c r="U54" s="1707">
        <v>0</v>
      </c>
      <c r="V54" s="1707">
        <v>14.788</v>
      </c>
      <c r="W54" s="1707">
        <v>2.1149999999999998</v>
      </c>
      <c r="X54" s="1707">
        <v>2.1149999999999998</v>
      </c>
      <c r="Y54" s="1707">
        <v>14.788</v>
      </c>
      <c r="Z54" s="2093">
        <v>0</v>
      </c>
      <c r="AA54" s="2093">
        <v>0.14906382872490265</v>
      </c>
      <c r="AB54" s="2114">
        <v>0.14906382872490265</v>
      </c>
    </row>
    <row r="55" spans="2:28">
      <c r="B55" s="89">
        <v>71</v>
      </c>
      <c r="C55" s="1"/>
      <c r="D55" s="1">
        <v>13.561999999999999</v>
      </c>
      <c r="E55" s="1">
        <v>3.6749999999999998</v>
      </c>
      <c r="F55" s="1">
        <v>3.6749999999999998</v>
      </c>
      <c r="G55" s="1">
        <v>13.561999999999999</v>
      </c>
      <c r="H55" s="742">
        <v>0</v>
      </c>
      <c r="I55" s="742">
        <v>0.27097773189795016</v>
      </c>
      <c r="J55" s="2100">
        <v>0.27097773189795016</v>
      </c>
      <c r="K55" s="89">
        <v>71</v>
      </c>
      <c r="L55" s="1">
        <v>0</v>
      </c>
      <c r="M55" s="1">
        <v>15.118</v>
      </c>
      <c r="N55" s="1427">
        <v>0.53100000000000003</v>
      </c>
      <c r="O55" s="1">
        <v>0.53100000000000003</v>
      </c>
      <c r="P55" s="1">
        <v>15.118</v>
      </c>
      <c r="Q55" s="742">
        <v>0</v>
      </c>
      <c r="R55" s="742">
        <v>3.5123693610265912E-2</v>
      </c>
      <c r="S55" s="2100">
        <v>3.5123693610265912E-2</v>
      </c>
      <c r="T55" s="89">
        <v>71</v>
      </c>
      <c r="U55" s="741">
        <v>0</v>
      </c>
      <c r="V55" s="741">
        <v>14.34</v>
      </c>
      <c r="W55" s="741">
        <v>2.1029999999999998</v>
      </c>
      <c r="X55" s="741">
        <v>2.1029999999999998</v>
      </c>
      <c r="Y55" s="741">
        <v>14.34</v>
      </c>
      <c r="Z55" s="2088">
        <v>0</v>
      </c>
      <c r="AA55" s="2088">
        <v>0.15305071275410803</v>
      </c>
      <c r="AB55" s="2115">
        <v>0.15305071275410803</v>
      </c>
    </row>
    <row r="56" spans="2:28">
      <c r="B56" s="2098">
        <v>72</v>
      </c>
      <c r="C56" s="2090"/>
      <c r="D56" s="2090">
        <v>13.111000000000001</v>
      </c>
      <c r="E56" s="2090">
        <v>3.669</v>
      </c>
      <c r="F56" s="2090">
        <v>3.669</v>
      </c>
      <c r="G56" s="2090">
        <v>13.111000000000001</v>
      </c>
      <c r="H56" s="2091">
        <v>0</v>
      </c>
      <c r="I56" s="2091">
        <v>0.27984135458775072</v>
      </c>
      <c r="J56" s="2099">
        <v>0.27984135458775072</v>
      </c>
      <c r="K56" s="2098">
        <v>72</v>
      </c>
      <c r="L56" s="2090">
        <v>0</v>
      </c>
      <c r="M56" s="2090">
        <v>14.648999999999999</v>
      </c>
      <c r="N56" s="2092">
        <v>0.51</v>
      </c>
      <c r="O56" s="2090">
        <v>0.51</v>
      </c>
      <c r="P56" s="2090">
        <v>14.648999999999999</v>
      </c>
      <c r="Q56" s="2091">
        <v>0</v>
      </c>
      <c r="R56" s="2091">
        <v>3.481466311693631E-2</v>
      </c>
      <c r="S56" s="2099">
        <v>3.481466311693631E-2</v>
      </c>
      <c r="T56" s="2098">
        <v>72</v>
      </c>
      <c r="U56" s="1707">
        <v>0</v>
      </c>
      <c r="V56" s="1707">
        <v>13.879999999999999</v>
      </c>
      <c r="W56" s="1707">
        <v>2.0895000000000001</v>
      </c>
      <c r="X56" s="1707">
        <v>2.0895000000000001</v>
      </c>
      <c r="Y56" s="1707">
        <v>13.879999999999999</v>
      </c>
      <c r="Z56" s="2093">
        <v>0</v>
      </c>
      <c r="AA56" s="2093">
        <v>0.15732800885234352</v>
      </c>
      <c r="AB56" s="2114">
        <v>0.15732800885234352</v>
      </c>
    </row>
    <row r="57" spans="2:28">
      <c r="B57" s="89">
        <v>73</v>
      </c>
      <c r="C57" s="1"/>
      <c r="D57" s="1">
        <v>12.65</v>
      </c>
      <c r="E57" s="1">
        <v>3.6669999999999998</v>
      </c>
      <c r="F57" s="1">
        <v>3.6669999999999998</v>
      </c>
      <c r="G57" s="1">
        <v>12.65</v>
      </c>
      <c r="H57" s="742">
        <v>0</v>
      </c>
      <c r="I57" s="742">
        <v>0.28988142292490116</v>
      </c>
      <c r="J57" s="2100">
        <v>0.28988142292490116</v>
      </c>
      <c r="K57" s="89">
        <v>73</v>
      </c>
      <c r="L57" s="1">
        <v>0</v>
      </c>
      <c r="M57" s="1">
        <v>14.167999999999999</v>
      </c>
      <c r="N57" s="1427">
        <v>0.48899999999999999</v>
      </c>
      <c r="O57" s="1">
        <v>0.48899999999999999</v>
      </c>
      <c r="P57" s="1">
        <v>14.167999999999999</v>
      </c>
      <c r="Q57" s="742">
        <v>0</v>
      </c>
      <c r="R57" s="742">
        <v>3.4514398644833431E-2</v>
      </c>
      <c r="S57" s="2100">
        <v>3.4514398644833431E-2</v>
      </c>
      <c r="T57" s="89">
        <v>73</v>
      </c>
      <c r="U57" s="741">
        <v>0</v>
      </c>
      <c r="V57" s="741">
        <v>13.408999999999999</v>
      </c>
      <c r="W57" s="741">
        <v>2.0779999999999998</v>
      </c>
      <c r="X57" s="741">
        <v>2.0779999999999998</v>
      </c>
      <c r="Y57" s="741">
        <v>13.408999999999999</v>
      </c>
      <c r="Z57" s="2088">
        <v>0</v>
      </c>
      <c r="AA57" s="2088">
        <v>0.16219791078486728</v>
      </c>
      <c r="AB57" s="2115">
        <v>0.16219791078486728</v>
      </c>
    </row>
    <row r="58" spans="2:28">
      <c r="B58" s="2098">
        <v>74</v>
      </c>
      <c r="C58" s="2090"/>
      <c r="D58" s="2090">
        <v>12.18</v>
      </c>
      <c r="E58" s="2090">
        <v>3.6619999999999999</v>
      </c>
      <c r="F58" s="2090">
        <v>3.6619999999999999</v>
      </c>
      <c r="G58" s="2090">
        <v>12.18</v>
      </c>
      <c r="H58" s="2091">
        <v>0</v>
      </c>
      <c r="I58" s="2091">
        <v>0.30065681444991788</v>
      </c>
      <c r="J58" s="2099">
        <v>0.30065681444991788</v>
      </c>
      <c r="K58" s="2098">
        <v>74</v>
      </c>
      <c r="L58" s="2090">
        <v>0</v>
      </c>
      <c r="M58" s="2090">
        <v>13.676</v>
      </c>
      <c r="N58" s="2092">
        <v>0.46899999999999997</v>
      </c>
      <c r="O58" s="2090">
        <v>0.46899999999999997</v>
      </c>
      <c r="P58" s="2090">
        <v>13.676</v>
      </c>
      <c r="Q58" s="2091">
        <v>0</v>
      </c>
      <c r="R58" s="2091">
        <v>3.4293653114945886E-2</v>
      </c>
      <c r="S58" s="2099">
        <v>3.4293653114945886E-2</v>
      </c>
      <c r="T58" s="2098">
        <v>74</v>
      </c>
      <c r="U58" s="1707">
        <v>0</v>
      </c>
      <c r="V58" s="1707">
        <v>12.928000000000001</v>
      </c>
      <c r="W58" s="1707">
        <v>2.0655000000000001</v>
      </c>
      <c r="X58" s="1707">
        <v>2.0655000000000001</v>
      </c>
      <c r="Y58" s="1707">
        <v>12.928000000000001</v>
      </c>
      <c r="Z58" s="2093">
        <v>0</v>
      </c>
      <c r="AA58" s="2093">
        <v>0.16747523378243187</v>
      </c>
      <c r="AB58" s="2114">
        <v>0.16747523378243187</v>
      </c>
    </row>
    <row r="59" spans="2:28">
      <c r="B59" s="89">
        <v>75</v>
      </c>
      <c r="C59" s="1"/>
      <c r="D59" s="1">
        <v>11.701000000000001</v>
      </c>
      <c r="E59" s="1">
        <v>3.6549999999999998</v>
      </c>
      <c r="F59" s="1">
        <v>3.6549999999999998</v>
      </c>
      <c r="G59" s="1">
        <v>11.701000000000001</v>
      </c>
      <c r="H59" s="742">
        <v>0</v>
      </c>
      <c r="I59" s="742">
        <v>0.31236646440475169</v>
      </c>
      <c r="J59" s="2100">
        <v>0.31236646440475169</v>
      </c>
      <c r="K59" s="89">
        <v>75</v>
      </c>
      <c r="L59" s="1">
        <v>0</v>
      </c>
      <c r="M59" s="1">
        <v>13.173999999999999</v>
      </c>
      <c r="N59" s="1427">
        <v>0.44800000000000001</v>
      </c>
      <c r="O59" s="1">
        <v>0.44800000000000001</v>
      </c>
      <c r="P59" s="1">
        <v>13.173999999999999</v>
      </c>
      <c r="Q59" s="742">
        <v>0</v>
      </c>
      <c r="R59" s="742">
        <v>3.4006376195536668E-2</v>
      </c>
      <c r="S59" s="2100">
        <v>3.4006376195536668E-2</v>
      </c>
      <c r="T59" s="89">
        <v>75</v>
      </c>
      <c r="U59" s="741">
        <v>0</v>
      </c>
      <c r="V59" s="741">
        <v>12.4375</v>
      </c>
      <c r="W59" s="741">
        <v>2.0514999999999999</v>
      </c>
      <c r="X59" s="741">
        <v>2.0514999999999999</v>
      </c>
      <c r="Y59" s="741">
        <v>12.4375</v>
      </c>
      <c r="Z59" s="2088">
        <v>0</v>
      </c>
      <c r="AA59" s="2088">
        <v>0.17318642030014417</v>
      </c>
      <c r="AB59" s="2115">
        <v>0.17318642030014417</v>
      </c>
    </row>
    <row r="60" spans="2:28">
      <c r="B60" s="2098">
        <v>76</v>
      </c>
      <c r="C60" s="2090"/>
      <c r="D60" s="2090">
        <v>11.215</v>
      </c>
      <c r="E60" s="2090">
        <v>3.6429999999999998</v>
      </c>
      <c r="F60" s="2090">
        <v>3.6429999999999998</v>
      </c>
      <c r="G60" s="2090">
        <v>11.215</v>
      </c>
      <c r="H60" s="2091">
        <v>0</v>
      </c>
      <c r="I60" s="2091">
        <v>0.32483281319661167</v>
      </c>
      <c r="J60" s="2099">
        <v>0.32483281319661167</v>
      </c>
      <c r="K60" s="2098">
        <v>76</v>
      </c>
      <c r="L60" s="2090">
        <v>0</v>
      </c>
      <c r="M60" s="2090">
        <v>12.663</v>
      </c>
      <c r="N60" s="2092">
        <v>0.42699999999999999</v>
      </c>
      <c r="O60" s="2090">
        <v>0.42699999999999999</v>
      </c>
      <c r="P60" s="2090">
        <v>12.663</v>
      </c>
      <c r="Q60" s="2091">
        <v>0</v>
      </c>
      <c r="R60" s="2091">
        <v>3.3720287451630734E-2</v>
      </c>
      <c r="S60" s="2099">
        <v>3.3720287451630734E-2</v>
      </c>
      <c r="T60" s="2098">
        <v>76</v>
      </c>
      <c r="U60" s="1707">
        <v>0</v>
      </c>
      <c r="V60" s="1707">
        <v>11.939</v>
      </c>
      <c r="W60" s="1707">
        <v>2.0349999999999997</v>
      </c>
      <c r="X60" s="1707">
        <v>2.0349999999999997</v>
      </c>
      <c r="Y60" s="1707">
        <v>11.939</v>
      </c>
      <c r="Z60" s="2093">
        <v>0</v>
      </c>
      <c r="AA60" s="2093">
        <v>0.17927655032412121</v>
      </c>
      <c r="AB60" s="2114">
        <v>0.17927655032412121</v>
      </c>
    </row>
    <row r="61" spans="2:28">
      <c r="B61" s="89">
        <v>77</v>
      </c>
      <c r="C61" s="1"/>
      <c r="D61" s="1">
        <v>10.724</v>
      </c>
      <c r="E61" s="1">
        <v>3.625</v>
      </c>
      <c r="F61" s="1">
        <v>3.625</v>
      </c>
      <c r="G61" s="1">
        <v>10.724</v>
      </c>
      <c r="H61" s="742">
        <v>0</v>
      </c>
      <c r="I61" s="742">
        <v>0.33802685565087653</v>
      </c>
      <c r="J61" s="2100">
        <v>0.33802685565087653</v>
      </c>
      <c r="K61" s="89">
        <v>77</v>
      </c>
      <c r="L61" s="1">
        <v>0</v>
      </c>
      <c r="M61" s="1">
        <v>12.143000000000001</v>
      </c>
      <c r="N61" s="1427">
        <v>0.40400000000000003</v>
      </c>
      <c r="O61" s="1">
        <v>0.40400000000000003</v>
      </c>
      <c r="P61" s="1">
        <v>12.143000000000001</v>
      </c>
      <c r="Q61" s="742">
        <v>0</v>
      </c>
      <c r="R61" s="742">
        <v>3.327019682121387E-2</v>
      </c>
      <c r="S61" s="2100">
        <v>3.327019682121387E-2</v>
      </c>
      <c r="T61" s="89">
        <v>77</v>
      </c>
      <c r="U61" s="741">
        <v>0</v>
      </c>
      <c r="V61" s="741">
        <v>11.4335</v>
      </c>
      <c r="W61" s="741">
        <v>2.0145</v>
      </c>
      <c r="X61" s="741">
        <v>2.0145</v>
      </c>
      <c r="Y61" s="741">
        <v>11.4335</v>
      </c>
      <c r="Z61" s="2088">
        <v>0</v>
      </c>
      <c r="AA61" s="2088">
        <v>0.18564852623604519</v>
      </c>
      <c r="AB61" s="2115">
        <v>0.18564852623604519</v>
      </c>
    </row>
    <row r="62" spans="2:28">
      <c r="B62" s="2098">
        <v>78</v>
      </c>
      <c r="C62" s="2090"/>
      <c r="D62" s="2090">
        <v>10.228999999999999</v>
      </c>
      <c r="E62" s="2090">
        <v>3.601</v>
      </c>
      <c r="F62" s="2090">
        <v>3.601</v>
      </c>
      <c r="G62" s="2090">
        <v>10.228999999999999</v>
      </c>
      <c r="H62" s="2091">
        <v>0</v>
      </c>
      <c r="I62" s="2091">
        <v>0.35203832241665856</v>
      </c>
      <c r="J62" s="2099">
        <v>0.35203832241665856</v>
      </c>
      <c r="K62" s="2098">
        <v>78</v>
      </c>
      <c r="L62" s="2090">
        <v>0</v>
      </c>
      <c r="M62" s="2090">
        <v>11.618</v>
      </c>
      <c r="N62" s="2092">
        <v>0.38100000000000001</v>
      </c>
      <c r="O62" s="2090">
        <v>0.38100000000000001</v>
      </c>
      <c r="P62" s="2090">
        <v>11.618</v>
      </c>
      <c r="Q62" s="2091">
        <v>0</v>
      </c>
      <c r="R62" s="2091">
        <v>3.279394043725254E-2</v>
      </c>
      <c r="S62" s="2099">
        <v>3.279394043725254E-2</v>
      </c>
      <c r="T62" s="2098">
        <v>78</v>
      </c>
      <c r="U62" s="1707">
        <v>0</v>
      </c>
      <c r="V62" s="1707">
        <v>10.923500000000001</v>
      </c>
      <c r="W62" s="1707">
        <v>1.9910000000000001</v>
      </c>
      <c r="X62" s="1707">
        <v>1.9910000000000001</v>
      </c>
      <c r="Y62" s="1707">
        <v>10.923500000000001</v>
      </c>
      <c r="Z62" s="2093">
        <v>0</v>
      </c>
      <c r="AA62" s="2093">
        <v>0.19241613142695554</v>
      </c>
      <c r="AB62" s="2114">
        <v>0.19241613142695554</v>
      </c>
    </row>
    <row r="63" spans="2:28">
      <c r="B63" s="89">
        <v>79</v>
      </c>
      <c r="C63" s="1"/>
      <c r="D63" s="1">
        <v>9.7330000000000005</v>
      </c>
      <c r="E63" s="1">
        <v>3.57</v>
      </c>
      <c r="F63" s="1">
        <v>3.57</v>
      </c>
      <c r="G63" s="1">
        <v>9.7330000000000005</v>
      </c>
      <c r="H63" s="742">
        <v>0</v>
      </c>
      <c r="I63" s="742">
        <v>0.36679338333504569</v>
      </c>
      <c r="J63" s="2100">
        <v>0.36679338333504569</v>
      </c>
      <c r="K63" s="89">
        <v>79</v>
      </c>
      <c r="L63" s="1">
        <v>0</v>
      </c>
      <c r="M63" s="1">
        <v>11.087999999999999</v>
      </c>
      <c r="N63" s="1427">
        <v>0.35699999999999998</v>
      </c>
      <c r="O63" s="1">
        <v>0.35699999999999998</v>
      </c>
      <c r="P63" s="1">
        <v>11.087999999999999</v>
      </c>
      <c r="Q63" s="742">
        <v>0</v>
      </c>
      <c r="R63" s="742">
        <v>3.2196969696969696E-2</v>
      </c>
      <c r="S63" s="2100">
        <v>3.2196969696969696E-2</v>
      </c>
      <c r="T63" s="89">
        <v>79</v>
      </c>
      <c r="U63" s="741">
        <v>0</v>
      </c>
      <c r="V63" s="741">
        <v>10.410499999999999</v>
      </c>
      <c r="W63" s="741">
        <v>1.9634999999999998</v>
      </c>
      <c r="X63" s="741">
        <v>1.9634999999999998</v>
      </c>
      <c r="Y63" s="741">
        <v>10.410499999999999</v>
      </c>
      <c r="Z63" s="2088">
        <v>0</v>
      </c>
      <c r="AA63" s="2088">
        <v>0.19949517651600768</v>
      </c>
      <c r="AB63" s="2115">
        <v>0.19949517651600768</v>
      </c>
    </row>
    <row r="64" spans="2:28">
      <c r="B64" s="2098">
        <v>80</v>
      </c>
      <c r="C64" s="2090"/>
      <c r="D64" s="2090">
        <v>9.2379999999999995</v>
      </c>
      <c r="E64" s="2090">
        <v>3.5310000000000001</v>
      </c>
      <c r="F64" s="2090">
        <v>3.5310000000000001</v>
      </c>
      <c r="G64" s="2090">
        <v>9.2379999999999995</v>
      </c>
      <c r="H64" s="2091">
        <v>0</v>
      </c>
      <c r="I64" s="2091">
        <v>0.38222558995453565</v>
      </c>
      <c r="J64" s="2099">
        <v>0.38222558995453565</v>
      </c>
      <c r="K64" s="2098">
        <v>80</v>
      </c>
      <c r="L64" s="2090">
        <v>0</v>
      </c>
      <c r="M64" s="2090">
        <v>10.555</v>
      </c>
      <c r="N64" s="2092">
        <v>0.33300000000000002</v>
      </c>
      <c r="O64" s="2090">
        <v>0.33300000000000002</v>
      </c>
      <c r="P64" s="2090">
        <v>10.555</v>
      </c>
      <c r="Q64" s="2091">
        <v>0</v>
      </c>
      <c r="R64" s="2091">
        <v>3.15490288962577E-2</v>
      </c>
      <c r="S64" s="2099">
        <v>3.15490288962577E-2</v>
      </c>
      <c r="T64" s="2098">
        <v>80</v>
      </c>
      <c r="U64" s="1707">
        <v>0</v>
      </c>
      <c r="V64" s="1707">
        <v>9.8964999999999996</v>
      </c>
      <c r="W64" s="1707">
        <v>1.9320000000000002</v>
      </c>
      <c r="X64" s="1707">
        <v>1.9320000000000002</v>
      </c>
      <c r="Y64" s="1707">
        <v>9.8964999999999996</v>
      </c>
      <c r="Z64" s="2093">
        <v>0</v>
      </c>
      <c r="AA64" s="2093">
        <v>0.20688730942539668</v>
      </c>
      <c r="AB64" s="2114">
        <v>0.20688730942539668</v>
      </c>
    </row>
    <row r="65" spans="2:28">
      <c r="B65" s="89">
        <v>81</v>
      </c>
      <c r="C65" s="1"/>
      <c r="D65" s="1">
        <v>8.7469999999999999</v>
      </c>
      <c r="E65" s="1">
        <v>3.4820000000000002</v>
      </c>
      <c r="F65" s="1">
        <v>3.4820000000000002</v>
      </c>
      <c r="G65" s="1">
        <v>8.7469999999999999</v>
      </c>
      <c r="H65" s="742">
        <v>0</v>
      </c>
      <c r="I65" s="742">
        <v>0.39807934148851037</v>
      </c>
      <c r="J65" s="2100">
        <v>0.39807934148851037</v>
      </c>
      <c r="K65" s="89">
        <v>81</v>
      </c>
      <c r="L65" s="1">
        <v>0</v>
      </c>
      <c r="M65" s="1">
        <v>10.023</v>
      </c>
      <c r="N65" s="1427">
        <v>0.309</v>
      </c>
      <c r="O65" s="1">
        <v>0.309</v>
      </c>
      <c r="P65" s="1">
        <v>10.023</v>
      </c>
      <c r="Q65" s="742">
        <v>0</v>
      </c>
      <c r="R65" s="742">
        <v>3.0829093085902426E-2</v>
      </c>
      <c r="S65" s="2100">
        <v>3.0829093085902426E-2</v>
      </c>
      <c r="T65" s="89">
        <v>81</v>
      </c>
      <c r="U65" s="741">
        <v>0</v>
      </c>
      <c r="V65" s="741">
        <v>9.3849999999999998</v>
      </c>
      <c r="W65" s="741">
        <v>1.8955000000000002</v>
      </c>
      <c r="X65" s="741">
        <v>1.8955000000000002</v>
      </c>
      <c r="Y65" s="741">
        <v>9.3849999999999998</v>
      </c>
      <c r="Z65" s="2088">
        <v>0</v>
      </c>
      <c r="AA65" s="2088">
        <v>0.2144542172872064</v>
      </c>
      <c r="AB65" s="2115">
        <v>0.2144542172872064</v>
      </c>
    </row>
    <row r="66" spans="2:28">
      <c r="B66" s="2098">
        <v>82</v>
      </c>
      <c r="C66" s="2090"/>
      <c r="D66" s="2090">
        <v>8.2629999999999999</v>
      </c>
      <c r="E66" s="2090">
        <v>3.4089999999999998</v>
      </c>
      <c r="F66" s="2090">
        <v>3.4089999999999998</v>
      </c>
      <c r="G66" s="2090">
        <v>8.2629999999999999</v>
      </c>
      <c r="H66" s="2091">
        <v>0</v>
      </c>
      <c r="I66" s="2091">
        <v>0.41256202347815563</v>
      </c>
      <c r="J66" s="2099">
        <v>0.41256202347815563</v>
      </c>
      <c r="K66" s="2098">
        <v>82</v>
      </c>
      <c r="L66" s="2090">
        <v>0</v>
      </c>
      <c r="M66" s="2090">
        <v>9.4920000000000009</v>
      </c>
      <c r="N66" s="2092">
        <v>0.28499999999999998</v>
      </c>
      <c r="O66" s="2090">
        <v>0.28499999999999998</v>
      </c>
      <c r="P66" s="2090">
        <v>9.4920000000000009</v>
      </c>
      <c r="Q66" s="2091">
        <v>0</v>
      </c>
      <c r="R66" s="2091">
        <v>3.0025284450063205E-2</v>
      </c>
      <c r="S66" s="2099">
        <v>3.0025284450063205E-2</v>
      </c>
      <c r="T66" s="2098">
        <v>82</v>
      </c>
      <c r="U66" s="1707">
        <v>0</v>
      </c>
      <c r="V66" s="1707">
        <v>8.8775000000000013</v>
      </c>
      <c r="W66" s="1707">
        <v>1.847</v>
      </c>
      <c r="X66" s="1707">
        <v>1.847</v>
      </c>
      <c r="Y66" s="1707">
        <v>8.8775000000000013</v>
      </c>
      <c r="Z66" s="2093">
        <v>0</v>
      </c>
      <c r="AA66" s="2093">
        <v>0.22129365396410941</v>
      </c>
      <c r="AB66" s="2114">
        <v>0.22129365396410941</v>
      </c>
    </row>
    <row r="67" spans="2:28">
      <c r="B67" s="89">
        <v>83</v>
      </c>
      <c r="C67" s="1"/>
      <c r="D67" s="1">
        <v>7.7880000000000003</v>
      </c>
      <c r="E67" s="1">
        <v>3.3220000000000001</v>
      </c>
      <c r="F67" s="1">
        <v>3.3220000000000001</v>
      </c>
      <c r="G67" s="1">
        <v>7.7880000000000003</v>
      </c>
      <c r="H67" s="742">
        <v>0</v>
      </c>
      <c r="I67" s="742">
        <v>0.42655367231638419</v>
      </c>
      <c r="J67" s="2100">
        <v>0.42655367231638419</v>
      </c>
      <c r="K67" s="89">
        <v>83</v>
      </c>
      <c r="L67" s="1">
        <v>0</v>
      </c>
      <c r="M67" s="1">
        <v>8.9670000000000005</v>
      </c>
      <c r="N67" s="1427">
        <v>0.26100000000000001</v>
      </c>
      <c r="O67" s="1">
        <v>0.26100000000000001</v>
      </c>
      <c r="P67" s="1">
        <v>8.9670000000000005</v>
      </c>
      <c r="Q67" s="742">
        <v>0</v>
      </c>
      <c r="R67" s="742">
        <v>2.9106724657075946E-2</v>
      </c>
      <c r="S67" s="2100">
        <v>2.9106724657075946E-2</v>
      </c>
      <c r="T67" s="89">
        <v>83</v>
      </c>
      <c r="U67" s="741">
        <v>0</v>
      </c>
      <c r="V67" s="741">
        <v>8.3775000000000013</v>
      </c>
      <c r="W67" s="741">
        <v>1.7915000000000001</v>
      </c>
      <c r="X67" s="741">
        <v>1.7915000000000001</v>
      </c>
      <c r="Y67" s="741">
        <v>8.3775000000000013</v>
      </c>
      <c r="Z67" s="2088">
        <v>0</v>
      </c>
      <c r="AA67" s="2088">
        <v>0.22783019848673006</v>
      </c>
      <c r="AB67" s="2115">
        <v>0.22783019848673006</v>
      </c>
    </row>
    <row r="68" spans="2:28">
      <c r="B68" s="2098">
        <v>84</v>
      </c>
      <c r="C68" s="2090"/>
      <c r="D68" s="2090">
        <v>7.327</v>
      </c>
      <c r="E68" s="2090">
        <v>3.2229999999999999</v>
      </c>
      <c r="F68" s="2090">
        <v>3.2229999999999999</v>
      </c>
      <c r="G68" s="2090">
        <v>7.327</v>
      </c>
      <c r="H68" s="2091">
        <v>0</v>
      </c>
      <c r="I68" s="2091">
        <v>0.43987989627405483</v>
      </c>
      <c r="J68" s="2099">
        <v>0.43987989627405483</v>
      </c>
      <c r="K68" s="2098">
        <v>84</v>
      </c>
      <c r="L68" s="2090">
        <v>0</v>
      </c>
      <c r="M68" s="2090">
        <v>8.4499999999999993</v>
      </c>
      <c r="N68" s="2092">
        <v>0.23799999999999999</v>
      </c>
      <c r="O68" s="2090">
        <v>0.23799999999999999</v>
      </c>
      <c r="P68" s="2090">
        <v>8.4499999999999993</v>
      </c>
      <c r="Q68" s="2091">
        <v>0</v>
      </c>
      <c r="R68" s="2091">
        <v>2.816568047337278E-2</v>
      </c>
      <c r="S68" s="2099">
        <v>2.816568047337278E-2</v>
      </c>
      <c r="T68" s="2098">
        <v>84</v>
      </c>
      <c r="U68" s="1707">
        <v>0</v>
      </c>
      <c r="V68" s="1707">
        <v>7.8884999999999996</v>
      </c>
      <c r="W68" s="1707">
        <v>1.7304999999999999</v>
      </c>
      <c r="X68" s="1707">
        <v>1.7304999999999999</v>
      </c>
      <c r="Y68" s="1707">
        <v>7.8884999999999996</v>
      </c>
      <c r="Z68" s="2093">
        <v>0</v>
      </c>
      <c r="AA68" s="2093">
        <v>0.23402278837371379</v>
      </c>
      <c r="AB68" s="2114">
        <v>0.23402278837371379</v>
      </c>
    </row>
    <row r="69" spans="2:28">
      <c r="B69" s="89">
        <v>85</v>
      </c>
      <c r="C69" s="1"/>
      <c r="D69" s="1">
        <v>6.883</v>
      </c>
      <c r="E69" s="1">
        <v>3.1139999999999999</v>
      </c>
      <c r="F69" s="1">
        <v>3.1139999999999999</v>
      </c>
      <c r="G69" s="1">
        <v>6.883</v>
      </c>
      <c r="H69" s="742">
        <v>0</v>
      </c>
      <c r="I69" s="742">
        <v>0.45241900334156615</v>
      </c>
      <c r="J69" s="2100">
        <v>0.45241900334156615</v>
      </c>
      <c r="K69" s="89">
        <v>85</v>
      </c>
      <c r="L69" s="1">
        <v>0</v>
      </c>
      <c r="M69" s="1">
        <v>7.944</v>
      </c>
      <c r="N69" s="1427">
        <v>0.21199999999999999</v>
      </c>
      <c r="O69" s="1">
        <v>0.21199999999999999</v>
      </c>
      <c r="P69" s="1">
        <v>7.944</v>
      </c>
      <c r="Q69" s="742">
        <v>0</v>
      </c>
      <c r="R69" s="742">
        <v>2.6686807653575024E-2</v>
      </c>
      <c r="S69" s="2100">
        <v>2.6686807653575024E-2</v>
      </c>
      <c r="T69" s="89">
        <v>85</v>
      </c>
      <c r="U69" s="741">
        <v>0</v>
      </c>
      <c r="V69" s="741">
        <v>7.4135</v>
      </c>
      <c r="W69" s="741">
        <v>1.663</v>
      </c>
      <c r="X69" s="741">
        <v>1.663</v>
      </c>
      <c r="Y69" s="741">
        <v>7.4135</v>
      </c>
      <c r="Z69" s="2088">
        <v>0</v>
      </c>
      <c r="AA69" s="2088">
        <v>0.23955290549757058</v>
      </c>
      <c r="AB69" s="2115">
        <v>0.23955290549757058</v>
      </c>
    </row>
    <row r="70" spans="2:28">
      <c r="B70" s="2098">
        <v>86</v>
      </c>
      <c r="C70" s="2090"/>
      <c r="D70" s="2090">
        <v>6.4619999999999997</v>
      </c>
      <c r="E70" s="2090">
        <v>2.9969999999999999</v>
      </c>
      <c r="F70" s="2090">
        <v>2.9969999999999999</v>
      </c>
      <c r="G70" s="2090">
        <v>6.4619999999999997</v>
      </c>
      <c r="H70" s="2091">
        <v>0</v>
      </c>
      <c r="I70" s="2091">
        <v>0.46378830083565459</v>
      </c>
      <c r="J70" s="2099">
        <v>0.46378830083565459</v>
      </c>
      <c r="K70" s="2098">
        <v>86</v>
      </c>
      <c r="L70" s="2090">
        <v>0</v>
      </c>
      <c r="M70" s="2090">
        <v>7.452</v>
      </c>
      <c r="N70" s="2092">
        <v>0.186</v>
      </c>
      <c r="O70" s="2090">
        <v>0.186</v>
      </c>
      <c r="P70" s="2090">
        <v>7.452</v>
      </c>
      <c r="Q70" s="2091">
        <v>0</v>
      </c>
      <c r="R70" s="2091">
        <v>2.4959742351046699E-2</v>
      </c>
      <c r="S70" s="2099">
        <v>2.4959742351046699E-2</v>
      </c>
      <c r="T70" s="2098">
        <v>86</v>
      </c>
      <c r="U70" s="1707">
        <v>0</v>
      </c>
      <c r="V70" s="1707">
        <v>6.9569999999999999</v>
      </c>
      <c r="W70" s="1707">
        <v>1.5914999999999999</v>
      </c>
      <c r="X70" s="1707">
        <v>1.5914999999999999</v>
      </c>
      <c r="Y70" s="1707">
        <v>6.9569999999999999</v>
      </c>
      <c r="Z70" s="2093">
        <v>0</v>
      </c>
      <c r="AA70" s="2093">
        <v>0.24437402159335064</v>
      </c>
      <c r="AB70" s="2114">
        <v>0.24437402159335064</v>
      </c>
    </row>
    <row r="71" spans="2:28">
      <c r="B71" s="89">
        <v>87</v>
      </c>
      <c r="C71" s="1"/>
      <c r="D71" s="1">
        <v>6.069</v>
      </c>
      <c r="E71" s="1">
        <v>2.8730000000000002</v>
      </c>
      <c r="F71" s="1">
        <v>2.8730000000000002</v>
      </c>
      <c r="G71" s="1">
        <v>6.069</v>
      </c>
      <c r="H71" s="742">
        <v>0</v>
      </c>
      <c r="I71" s="742">
        <v>0.47338935574229696</v>
      </c>
      <c r="J71" s="2100">
        <v>0.47338935574229696</v>
      </c>
      <c r="K71" s="89">
        <v>87</v>
      </c>
      <c r="L71" s="1">
        <v>0</v>
      </c>
      <c r="M71" s="1">
        <v>6.9770000000000003</v>
      </c>
      <c r="N71" s="1427">
        <v>0.16200000000000001</v>
      </c>
      <c r="O71" s="1">
        <v>0.16200000000000001</v>
      </c>
      <c r="P71" s="1">
        <v>6.9770000000000003</v>
      </c>
      <c r="Q71" s="742">
        <v>0</v>
      </c>
      <c r="R71" s="742">
        <v>2.3219148631216855E-2</v>
      </c>
      <c r="S71" s="2100">
        <v>2.3219148631216855E-2</v>
      </c>
      <c r="T71" s="89">
        <v>87</v>
      </c>
      <c r="U71" s="741">
        <v>0</v>
      </c>
      <c r="V71" s="741">
        <v>6.5229999999999997</v>
      </c>
      <c r="W71" s="741">
        <v>1.5175000000000001</v>
      </c>
      <c r="X71" s="741">
        <v>1.5175000000000001</v>
      </c>
      <c r="Y71" s="741">
        <v>6.5229999999999997</v>
      </c>
      <c r="Z71" s="2088">
        <v>0</v>
      </c>
      <c r="AA71" s="2088">
        <v>0.24830425218675692</v>
      </c>
      <c r="AB71" s="2115">
        <v>0.24830425218675692</v>
      </c>
    </row>
    <row r="72" spans="2:28">
      <c r="B72" s="2098">
        <v>88</v>
      </c>
      <c r="C72" s="2090"/>
      <c r="D72" s="2090">
        <v>5.7119999999999997</v>
      </c>
      <c r="E72" s="2090">
        <v>2.7149999999999999</v>
      </c>
      <c r="F72" s="2090">
        <v>2.7149999999999999</v>
      </c>
      <c r="G72" s="2090">
        <v>5.7119999999999997</v>
      </c>
      <c r="H72" s="2091">
        <v>0</v>
      </c>
      <c r="I72" s="2091">
        <v>0.47531512605042014</v>
      </c>
      <c r="J72" s="2099">
        <v>0.47531512605042014</v>
      </c>
      <c r="K72" s="2098">
        <v>88</v>
      </c>
      <c r="L72" s="2090">
        <v>0</v>
      </c>
      <c r="M72" s="2090">
        <v>6.5209999999999999</v>
      </c>
      <c r="N72" s="2092">
        <v>0.14000000000000001</v>
      </c>
      <c r="O72" s="2090">
        <v>0.14000000000000001</v>
      </c>
      <c r="P72" s="2090">
        <v>6.5209999999999999</v>
      </c>
      <c r="Q72" s="2091">
        <v>0</v>
      </c>
      <c r="R72" s="2091">
        <v>2.1469099831314217E-2</v>
      </c>
      <c r="S72" s="2099">
        <v>2.1469099831314217E-2</v>
      </c>
      <c r="T72" s="2098">
        <v>88</v>
      </c>
      <c r="U72" s="1707">
        <v>0</v>
      </c>
      <c r="V72" s="1707">
        <v>6.1165000000000003</v>
      </c>
      <c r="W72" s="1707">
        <v>1.4275</v>
      </c>
      <c r="X72" s="1707">
        <v>1.4275</v>
      </c>
      <c r="Y72" s="1707">
        <v>6.1165000000000003</v>
      </c>
      <c r="Z72" s="2093">
        <v>0</v>
      </c>
      <c r="AA72" s="2093">
        <v>0.24839211294086719</v>
      </c>
      <c r="AB72" s="2114">
        <v>0.24839211294086719</v>
      </c>
    </row>
    <row r="73" spans="2:28">
      <c r="B73" s="89">
        <v>89</v>
      </c>
      <c r="C73" s="1"/>
      <c r="D73" s="1">
        <v>5.3979999999999997</v>
      </c>
      <c r="E73" s="1">
        <v>2.5489999999999999</v>
      </c>
      <c r="F73" s="1">
        <v>2.5489999999999999</v>
      </c>
      <c r="G73" s="1">
        <v>5.3979999999999997</v>
      </c>
      <c r="H73" s="742">
        <v>0</v>
      </c>
      <c r="I73" s="742">
        <v>0.4722119303445721</v>
      </c>
      <c r="J73" s="2100">
        <v>0.4722119303445721</v>
      </c>
      <c r="K73" s="89">
        <v>89</v>
      </c>
      <c r="L73" s="1">
        <v>0</v>
      </c>
      <c r="M73" s="1">
        <v>6.093</v>
      </c>
      <c r="N73" s="1427">
        <v>0.11700000000000001</v>
      </c>
      <c r="O73" s="1">
        <v>0.11700000000000001</v>
      </c>
      <c r="P73" s="1">
        <v>6.093</v>
      </c>
      <c r="Q73" s="742">
        <v>0</v>
      </c>
      <c r="R73" s="742">
        <v>1.9202363367799114E-2</v>
      </c>
      <c r="S73" s="2100">
        <v>1.9202363367799114E-2</v>
      </c>
      <c r="T73" s="89">
        <v>89</v>
      </c>
      <c r="U73" s="741">
        <v>0</v>
      </c>
      <c r="V73" s="741">
        <v>5.7454999999999998</v>
      </c>
      <c r="W73" s="741">
        <v>1.333</v>
      </c>
      <c r="X73" s="741">
        <v>1.333</v>
      </c>
      <c r="Y73" s="741">
        <v>5.7454999999999998</v>
      </c>
      <c r="Z73" s="2088">
        <v>0</v>
      </c>
      <c r="AA73" s="2088">
        <v>0.24570714685618561</v>
      </c>
      <c r="AB73" s="2115">
        <v>0.24570714685618561</v>
      </c>
    </row>
    <row r="74" spans="2:28">
      <c r="B74" s="2098">
        <v>90</v>
      </c>
      <c r="C74" s="2090"/>
      <c r="D74" s="2090">
        <v>5.1150000000000002</v>
      </c>
      <c r="E74" s="2090">
        <v>2.387</v>
      </c>
      <c r="F74" s="2090">
        <v>2.387</v>
      </c>
      <c r="G74" s="2090">
        <v>5.1150000000000002</v>
      </c>
      <c r="H74" s="2091">
        <v>0</v>
      </c>
      <c r="I74" s="2091">
        <v>0.46666666666666667</v>
      </c>
      <c r="J74" s="2099">
        <v>0.46666666666666667</v>
      </c>
      <c r="K74" s="2098">
        <v>90</v>
      </c>
      <c r="L74" s="2090">
        <v>0</v>
      </c>
      <c r="M74" s="2090">
        <v>5.694</v>
      </c>
      <c r="N74" s="2092">
        <v>9.7000000000000003E-2</v>
      </c>
      <c r="O74" s="2090">
        <v>9.7000000000000003E-2</v>
      </c>
      <c r="P74" s="2090">
        <v>5.694</v>
      </c>
      <c r="Q74" s="2091">
        <v>0</v>
      </c>
      <c r="R74" s="2091">
        <v>1.7035475939585529E-2</v>
      </c>
      <c r="S74" s="2099">
        <v>1.7035475939585529E-2</v>
      </c>
      <c r="T74" s="2098">
        <v>90</v>
      </c>
      <c r="U74" s="1707">
        <v>0</v>
      </c>
      <c r="V74" s="1707">
        <v>5.4045000000000005</v>
      </c>
      <c r="W74" s="1707">
        <v>1.242</v>
      </c>
      <c r="X74" s="1707">
        <v>1.242</v>
      </c>
      <c r="Y74" s="1707">
        <v>5.4045000000000005</v>
      </c>
      <c r="Z74" s="2093">
        <v>0</v>
      </c>
      <c r="AA74" s="2093">
        <v>0.24185107130312611</v>
      </c>
      <c r="AB74" s="2114">
        <v>0.24185107130312611</v>
      </c>
    </row>
    <row r="75" spans="2:28">
      <c r="B75" s="89">
        <v>91</v>
      </c>
      <c r="C75" s="1"/>
      <c r="D75" s="1">
        <v>4.8499999999999996</v>
      </c>
      <c r="E75" s="1">
        <v>2.2040000000000002</v>
      </c>
      <c r="F75" s="1">
        <v>2.2040000000000002</v>
      </c>
      <c r="G75" s="1">
        <v>4.8499999999999996</v>
      </c>
      <c r="H75" s="742">
        <v>0</v>
      </c>
      <c r="I75" s="742">
        <v>0.45443298969072171</v>
      </c>
      <c r="J75" s="2100">
        <v>0.45443298969072171</v>
      </c>
      <c r="K75" s="89">
        <v>91</v>
      </c>
      <c r="L75" s="1">
        <v>0</v>
      </c>
      <c r="M75" s="1">
        <v>5.3259999999999996</v>
      </c>
      <c r="N75" s="1427">
        <v>0.08</v>
      </c>
      <c r="O75" s="1">
        <v>0.08</v>
      </c>
      <c r="P75" s="1">
        <v>5.3259999999999996</v>
      </c>
      <c r="Q75" s="742">
        <v>0</v>
      </c>
      <c r="R75" s="742">
        <v>1.5020653398422833E-2</v>
      </c>
      <c r="S75" s="2100">
        <v>1.5020653398422833E-2</v>
      </c>
      <c r="T75" s="89">
        <v>91</v>
      </c>
      <c r="U75" s="741">
        <v>0</v>
      </c>
      <c r="V75" s="741">
        <v>5.0879999999999992</v>
      </c>
      <c r="W75" s="741">
        <v>1.1420000000000001</v>
      </c>
      <c r="X75" s="741">
        <v>1.1420000000000001</v>
      </c>
      <c r="Y75" s="741">
        <v>5.0879999999999992</v>
      </c>
      <c r="Z75" s="2088">
        <v>0</v>
      </c>
      <c r="AA75" s="2088">
        <v>0.23472682154457228</v>
      </c>
      <c r="AB75" s="2115">
        <v>0.23472682154457228</v>
      </c>
    </row>
    <row r="76" spans="2:28">
      <c r="B76" s="2098">
        <v>92</v>
      </c>
      <c r="C76" s="2090"/>
      <c r="D76" s="2090">
        <v>4.6040000000000001</v>
      </c>
      <c r="E76" s="2090">
        <v>2.0350000000000001</v>
      </c>
      <c r="F76" s="2090">
        <v>2.0350000000000001</v>
      </c>
      <c r="G76" s="2090">
        <v>4.6040000000000001</v>
      </c>
      <c r="H76" s="2091">
        <v>0</v>
      </c>
      <c r="I76" s="2091">
        <v>0.44200695047784538</v>
      </c>
      <c r="J76" s="2099">
        <v>0.44200695047784538</v>
      </c>
      <c r="K76" s="2098">
        <v>92</v>
      </c>
      <c r="L76" s="2090">
        <v>0</v>
      </c>
      <c r="M76" s="2090">
        <v>4.99</v>
      </c>
      <c r="N76" s="2092">
        <v>6.4000000000000001E-2</v>
      </c>
      <c r="O76" s="2090">
        <v>6.4000000000000001E-2</v>
      </c>
      <c r="P76" s="2090">
        <v>4.99</v>
      </c>
      <c r="Q76" s="2091">
        <v>0</v>
      </c>
      <c r="R76" s="2091">
        <v>1.282565130260521E-2</v>
      </c>
      <c r="S76" s="2099">
        <v>1.282565130260521E-2</v>
      </c>
      <c r="T76" s="2098">
        <v>92</v>
      </c>
      <c r="U76" s="1707">
        <v>0</v>
      </c>
      <c r="V76" s="1707">
        <v>4.7970000000000006</v>
      </c>
      <c r="W76" s="1707">
        <v>1.0495000000000001</v>
      </c>
      <c r="X76" s="1707">
        <v>1.0495000000000001</v>
      </c>
      <c r="Y76" s="1707">
        <v>4.7970000000000006</v>
      </c>
      <c r="Z76" s="2093">
        <v>0</v>
      </c>
      <c r="AA76" s="2093">
        <v>0.2274163008902253</v>
      </c>
      <c r="AB76" s="2114">
        <v>0.2274163008902253</v>
      </c>
    </row>
    <row r="77" spans="2:28">
      <c r="B77" s="89">
        <v>93</v>
      </c>
      <c r="C77" s="1"/>
      <c r="D77" s="1">
        <v>4.3760000000000003</v>
      </c>
      <c r="E77" s="1">
        <v>1.85</v>
      </c>
      <c r="F77" s="1">
        <v>1.85</v>
      </c>
      <c r="G77" s="1">
        <v>4.3760000000000003</v>
      </c>
      <c r="H77" s="742">
        <v>0</v>
      </c>
      <c r="I77" s="742">
        <v>0.42276051188299818</v>
      </c>
      <c r="J77" s="2100">
        <v>0.42276051188299818</v>
      </c>
      <c r="K77" s="89">
        <v>93</v>
      </c>
      <c r="L77" s="1">
        <v>0</v>
      </c>
      <c r="M77" s="1">
        <v>4.6840000000000002</v>
      </c>
      <c r="N77" s="1427">
        <v>5.1999999999999998E-2</v>
      </c>
      <c r="O77" s="1">
        <v>5.1999999999999998E-2</v>
      </c>
      <c r="P77" s="1">
        <v>4.6840000000000002</v>
      </c>
      <c r="Q77" s="742">
        <v>0</v>
      </c>
      <c r="R77" s="742">
        <v>1.1101622544833475E-2</v>
      </c>
      <c r="S77" s="2100">
        <v>1.1101622544833475E-2</v>
      </c>
      <c r="T77" s="89">
        <v>93</v>
      </c>
      <c r="U77" s="741">
        <v>0</v>
      </c>
      <c r="V77" s="741">
        <v>4.53</v>
      </c>
      <c r="W77" s="741">
        <v>0.95100000000000007</v>
      </c>
      <c r="X77" s="741">
        <v>0.95100000000000007</v>
      </c>
      <c r="Y77" s="741">
        <v>4.53</v>
      </c>
      <c r="Z77" s="2088">
        <v>0</v>
      </c>
      <c r="AA77" s="2088">
        <v>0.21693106721391583</v>
      </c>
      <c r="AB77" s="2115">
        <v>0.21693106721391583</v>
      </c>
    </row>
    <row r="78" spans="2:28">
      <c r="B78" s="2098">
        <v>94</v>
      </c>
      <c r="C78" s="2090"/>
      <c r="D78" s="2090">
        <v>4.1660000000000004</v>
      </c>
      <c r="E78" s="2090">
        <v>1.6830000000000001</v>
      </c>
      <c r="F78" s="2090">
        <v>1.6830000000000001</v>
      </c>
      <c r="G78" s="2090">
        <v>4.1660000000000004</v>
      </c>
      <c r="H78" s="2091">
        <v>0</v>
      </c>
      <c r="I78" s="2091">
        <v>0.4039846375420067</v>
      </c>
      <c r="J78" s="2099">
        <v>0.4039846375420067</v>
      </c>
      <c r="K78" s="2098">
        <v>94</v>
      </c>
      <c r="L78" s="2090">
        <v>0</v>
      </c>
      <c r="M78" s="2090">
        <v>4.4039999999999999</v>
      </c>
      <c r="N78" s="2092">
        <v>4.2000000000000003E-2</v>
      </c>
      <c r="O78" s="2090">
        <v>4.2000000000000003E-2</v>
      </c>
      <c r="P78" s="2090">
        <v>4.4039999999999999</v>
      </c>
      <c r="Q78" s="2091">
        <v>0</v>
      </c>
      <c r="R78" s="2091">
        <v>9.5367847411444145E-3</v>
      </c>
      <c r="S78" s="2099">
        <v>9.5367847411444145E-3</v>
      </c>
      <c r="T78" s="2098">
        <v>94</v>
      </c>
      <c r="U78" s="1707">
        <v>0</v>
      </c>
      <c r="V78" s="1707">
        <v>4.2850000000000001</v>
      </c>
      <c r="W78" s="1707">
        <v>0.86250000000000004</v>
      </c>
      <c r="X78" s="1707">
        <v>0.86250000000000004</v>
      </c>
      <c r="Y78" s="1707">
        <v>4.2850000000000001</v>
      </c>
      <c r="Z78" s="2093">
        <v>0</v>
      </c>
      <c r="AA78" s="2093">
        <v>0.20676071114157554</v>
      </c>
      <c r="AB78" s="2114">
        <v>0.20676071114157554</v>
      </c>
    </row>
    <row r="79" spans="2:28">
      <c r="B79" s="89">
        <v>95</v>
      </c>
      <c r="C79" s="1"/>
      <c r="D79" s="1">
        <v>3.9740000000000002</v>
      </c>
      <c r="E79" s="1">
        <v>1.5349999999999999</v>
      </c>
      <c r="F79" s="1">
        <v>1.5349999999999999</v>
      </c>
      <c r="G79" s="1">
        <v>3.9740000000000002</v>
      </c>
      <c r="H79" s="742">
        <v>0</v>
      </c>
      <c r="I79" s="742">
        <v>0.38626069451434319</v>
      </c>
      <c r="J79" s="2100">
        <v>0.38626069451434319</v>
      </c>
      <c r="K79" s="89">
        <v>95</v>
      </c>
      <c r="L79" s="1">
        <v>0</v>
      </c>
      <c r="M79" s="1">
        <v>4.149</v>
      </c>
      <c r="N79" s="1427">
        <v>3.4000000000000002E-2</v>
      </c>
      <c r="O79" s="1">
        <v>3.4000000000000002E-2</v>
      </c>
      <c r="P79" s="1">
        <v>4.149</v>
      </c>
      <c r="Q79" s="742">
        <v>0</v>
      </c>
      <c r="R79" s="742">
        <v>8.1947457218606891E-3</v>
      </c>
      <c r="S79" s="2100">
        <v>8.1947457218606891E-3</v>
      </c>
      <c r="T79" s="89">
        <v>95</v>
      </c>
      <c r="U79" s="741">
        <v>0</v>
      </c>
      <c r="V79" s="741">
        <v>4.0615000000000006</v>
      </c>
      <c r="W79" s="741">
        <v>0.78449999999999998</v>
      </c>
      <c r="X79" s="741">
        <v>0.78449999999999998</v>
      </c>
      <c r="Y79" s="741">
        <v>4.0615000000000006</v>
      </c>
      <c r="Z79" s="2088">
        <v>0</v>
      </c>
      <c r="AA79" s="2088">
        <v>0.19722772011810194</v>
      </c>
      <c r="AB79" s="2115">
        <v>0.19722772011810194</v>
      </c>
    </row>
    <row r="80" spans="2:28">
      <c r="B80" s="2098">
        <v>96</v>
      </c>
      <c r="C80" s="2090"/>
      <c r="D80" s="2090">
        <v>3.798</v>
      </c>
      <c r="E80" s="2090">
        <v>1.371</v>
      </c>
      <c r="F80" s="2090">
        <v>1.371</v>
      </c>
      <c r="G80" s="2090">
        <v>3.798</v>
      </c>
      <c r="H80" s="2091">
        <v>0</v>
      </c>
      <c r="I80" s="2091">
        <v>0.36097946287519744</v>
      </c>
      <c r="J80" s="2099">
        <v>0.36097946287519744</v>
      </c>
      <c r="K80" s="2098">
        <v>96</v>
      </c>
      <c r="L80" s="2090">
        <v>0</v>
      </c>
      <c r="M80" s="2090">
        <v>3.919</v>
      </c>
      <c r="N80" s="2092">
        <v>2.7E-2</v>
      </c>
      <c r="O80" s="2090">
        <v>2.7E-2</v>
      </c>
      <c r="P80" s="2090">
        <v>3.919</v>
      </c>
      <c r="Q80" s="2091">
        <v>0</v>
      </c>
      <c r="R80" s="2091">
        <v>6.8895126307731563E-3</v>
      </c>
      <c r="S80" s="2099">
        <v>6.8895126307731563E-3</v>
      </c>
      <c r="T80" s="2098">
        <v>96</v>
      </c>
      <c r="U80" s="1707">
        <v>0</v>
      </c>
      <c r="V80" s="1707">
        <v>3.8585000000000003</v>
      </c>
      <c r="W80" s="1707">
        <v>0.69899999999999995</v>
      </c>
      <c r="X80" s="1707">
        <v>0.69899999999999995</v>
      </c>
      <c r="Y80" s="1707">
        <v>3.8585000000000003</v>
      </c>
      <c r="Z80" s="2093">
        <v>0</v>
      </c>
      <c r="AA80" s="2093">
        <v>0.18393448775298529</v>
      </c>
      <c r="AB80" s="2114">
        <v>0.18393448775298529</v>
      </c>
    </row>
    <row r="81" spans="2:28">
      <c r="B81" s="89">
        <v>97</v>
      </c>
      <c r="C81" s="1"/>
      <c r="D81" s="1">
        <v>3.6389999999999998</v>
      </c>
      <c r="E81" s="1">
        <v>1.216</v>
      </c>
      <c r="F81" s="1">
        <v>1.216</v>
      </c>
      <c r="G81" s="1">
        <v>3.6389999999999998</v>
      </c>
      <c r="H81" s="742">
        <v>0</v>
      </c>
      <c r="I81" s="742">
        <v>0.33415773564165979</v>
      </c>
      <c r="J81" s="2100">
        <v>0.33415773564165979</v>
      </c>
      <c r="K81" s="89">
        <v>97</v>
      </c>
      <c r="L81" s="1">
        <v>0</v>
      </c>
      <c r="M81" s="1">
        <v>3.7130000000000001</v>
      </c>
      <c r="N81" s="1427">
        <v>2.1000000000000001E-2</v>
      </c>
      <c r="O81" s="1">
        <v>2.1000000000000001E-2</v>
      </c>
      <c r="P81" s="1">
        <v>3.7130000000000001</v>
      </c>
      <c r="Q81" s="742">
        <v>0</v>
      </c>
      <c r="R81" s="742">
        <v>5.655803932130353E-3</v>
      </c>
      <c r="S81" s="2100">
        <v>5.655803932130353E-3</v>
      </c>
      <c r="T81" s="89">
        <v>97</v>
      </c>
      <c r="U81" s="741">
        <v>0</v>
      </c>
      <c r="V81" s="741">
        <v>3.6760000000000002</v>
      </c>
      <c r="W81" s="741">
        <v>0.61849999999999994</v>
      </c>
      <c r="X81" s="741">
        <v>0.61849999999999994</v>
      </c>
      <c r="Y81" s="741">
        <v>3.6760000000000002</v>
      </c>
      <c r="Z81" s="2088">
        <v>0</v>
      </c>
      <c r="AA81" s="2088">
        <v>0.16990676978689506</v>
      </c>
      <c r="AB81" s="2115">
        <v>0.16990676978689506</v>
      </c>
    </row>
    <row r="82" spans="2:28">
      <c r="B82" s="2098">
        <v>98</v>
      </c>
      <c r="C82" s="2090"/>
      <c r="D82" s="2090">
        <v>3.4950000000000001</v>
      </c>
      <c r="E82" s="2090">
        <v>1.0409999999999999</v>
      </c>
      <c r="F82" s="2090">
        <v>1.0409999999999999</v>
      </c>
      <c r="G82" s="2090">
        <v>3.4950000000000001</v>
      </c>
      <c r="H82" s="2091">
        <v>0</v>
      </c>
      <c r="I82" s="2091">
        <v>0.29785407725321883</v>
      </c>
      <c r="J82" s="2099">
        <v>0.29785407725321883</v>
      </c>
      <c r="K82" s="2098">
        <v>98</v>
      </c>
      <c r="L82" s="2090">
        <v>0</v>
      </c>
      <c r="M82" s="2090">
        <v>3.53</v>
      </c>
      <c r="N82" s="2092">
        <v>1.6E-2</v>
      </c>
      <c r="O82" s="2090">
        <v>1.6E-2</v>
      </c>
      <c r="P82" s="2090">
        <v>3.53</v>
      </c>
      <c r="Q82" s="2091">
        <v>0</v>
      </c>
      <c r="R82" s="2091">
        <v>4.5325779036827201E-3</v>
      </c>
      <c r="S82" s="2099">
        <v>4.5325779036827201E-3</v>
      </c>
      <c r="T82" s="2098">
        <v>98</v>
      </c>
      <c r="U82" s="1707">
        <v>0</v>
      </c>
      <c r="V82" s="1707">
        <v>3.5125000000000002</v>
      </c>
      <c r="W82" s="1707">
        <v>0.52849999999999997</v>
      </c>
      <c r="X82" s="1707">
        <v>0.52849999999999997</v>
      </c>
      <c r="Y82" s="1707">
        <v>3.5125000000000002</v>
      </c>
      <c r="Z82" s="2093">
        <v>0</v>
      </c>
      <c r="AA82" s="2093">
        <v>0.15119332757845078</v>
      </c>
      <c r="AB82" s="2114">
        <v>0.15119332757845078</v>
      </c>
    </row>
    <row r="83" spans="2:28">
      <c r="B83" s="89">
        <v>99</v>
      </c>
      <c r="C83" s="1"/>
      <c r="D83" s="1">
        <v>3.3639999999999999</v>
      </c>
      <c r="E83" s="1">
        <v>0.84799999999999998</v>
      </c>
      <c r="F83" s="1">
        <v>0.84799999999999998</v>
      </c>
      <c r="G83" s="1">
        <v>3.3639999999999999</v>
      </c>
      <c r="H83" s="742">
        <v>0</v>
      </c>
      <c r="I83" s="742">
        <v>0.25208085612366232</v>
      </c>
      <c r="J83" s="2100">
        <v>0.25208085612366232</v>
      </c>
      <c r="K83" s="89">
        <v>99</v>
      </c>
      <c r="L83" s="1">
        <v>0</v>
      </c>
      <c r="M83" s="1">
        <v>3.3690000000000002</v>
      </c>
      <c r="N83" s="1427">
        <v>1.2999999999999999E-2</v>
      </c>
      <c r="O83" s="1">
        <v>1.2999999999999999E-2</v>
      </c>
      <c r="P83" s="1">
        <v>3.3690000000000002</v>
      </c>
      <c r="Q83" s="742">
        <v>0</v>
      </c>
      <c r="R83" s="742">
        <v>3.8587117839121395E-3</v>
      </c>
      <c r="S83" s="2100">
        <v>3.8587117839121395E-3</v>
      </c>
      <c r="T83" s="89">
        <v>99</v>
      </c>
      <c r="U83" s="741">
        <v>0</v>
      </c>
      <c r="V83" s="741">
        <v>3.3665000000000003</v>
      </c>
      <c r="W83" s="741">
        <v>0.43049999999999999</v>
      </c>
      <c r="X83" s="741">
        <v>0.43049999999999999</v>
      </c>
      <c r="Y83" s="741">
        <v>3.3665000000000003</v>
      </c>
      <c r="Z83" s="2088">
        <v>0</v>
      </c>
      <c r="AA83" s="2088">
        <v>0.12796978395378722</v>
      </c>
      <c r="AB83" s="2115">
        <v>0.12796978395378722</v>
      </c>
    </row>
    <row r="84" spans="2:28" ht="15" thickBot="1">
      <c r="B84" s="2101">
        <v>100</v>
      </c>
      <c r="C84" s="2102"/>
      <c r="D84" s="2102">
        <v>3.2450000000000001</v>
      </c>
      <c r="E84" s="2102">
        <v>0.67200000000000004</v>
      </c>
      <c r="F84" s="2102">
        <v>0.67200000000000004</v>
      </c>
      <c r="G84" s="2102">
        <v>3.2450000000000001</v>
      </c>
      <c r="H84" s="2103">
        <v>0</v>
      </c>
      <c r="I84" s="2103">
        <v>0.20708782742681048</v>
      </c>
      <c r="J84" s="2104">
        <v>0.20708782742681048</v>
      </c>
      <c r="K84" s="2101">
        <v>100</v>
      </c>
      <c r="L84" s="2102">
        <v>0</v>
      </c>
      <c r="M84" s="2102">
        <v>3.2309999999999999</v>
      </c>
      <c r="N84" s="2109">
        <v>0.01</v>
      </c>
      <c r="O84" s="2102">
        <v>0.01</v>
      </c>
      <c r="P84" s="2102">
        <v>3.2309999999999999</v>
      </c>
      <c r="Q84" s="2103">
        <v>0</v>
      </c>
      <c r="R84" s="2103">
        <v>3.0950170225936243E-3</v>
      </c>
      <c r="S84" s="2104">
        <v>3.0950170225936243E-3</v>
      </c>
      <c r="T84" s="2101">
        <v>100</v>
      </c>
      <c r="U84" s="2116">
        <v>0</v>
      </c>
      <c r="V84" s="2116">
        <v>3.238</v>
      </c>
      <c r="W84" s="2116">
        <v>0.34100000000000003</v>
      </c>
      <c r="X84" s="2116">
        <v>0.34100000000000003</v>
      </c>
      <c r="Y84" s="2116">
        <v>3.238</v>
      </c>
      <c r="Z84" s="2117">
        <v>0</v>
      </c>
      <c r="AA84" s="2117">
        <v>0.10509142222470205</v>
      </c>
      <c r="AB84" s="2118">
        <v>0.10509142222470205</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69" activePane="bottomRight" state="frozen"/>
      <selection pane="topRight" activeCell="B1" sqref="B1"/>
      <selection pane="bottomLeft" activeCell="A2" sqref="A2"/>
      <selection pane="bottomRight" activeCell="AY77" sqref="AY77"/>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04" t="s">
        <v>927</v>
      </c>
      <c r="B1" s="905">
        <v>1900</v>
      </c>
      <c r="C1" s="905">
        <v>1901</v>
      </c>
      <c r="D1" s="905">
        <v>1902</v>
      </c>
      <c r="E1" s="905">
        <v>1903</v>
      </c>
      <c r="F1" s="905">
        <v>1904</v>
      </c>
      <c r="G1" s="905">
        <v>1905</v>
      </c>
      <c r="H1" s="905">
        <v>1906</v>
      </c>
      <c r="I1" s="905">
        <v>1907</v>
      </c>
      <c r="J1" s="905">
        <v>1908</v>
      </c>
      <c r="K1" s="905">
        <v>1909</v>
      </c>
      <c r="L1" s="905">
        <v>1910</v>
      </c>
      <c r="M1" s="905">
        <v>1911</v>
      </c>
      <c r="N1" s="905">
        <v>1912</v>
      </c>
      <c r="O1" s="905">
        <v>1913</v>
      </c>
      <c r="P1" s="905">
        <v>1914</v>
      </c>
      <c r="Q1" s="905">
        <v>1915</v>
      </c>
      <c r="R1" s="905">
        <v>1916</v>
      </c>
      <c r="S1" s="905">
        <v>1917</v>
      </c>
      <c r="T1" s="905">
        <v>1918</v>
      </c>
      <c r="U1" s="905">
        <v>1919</v>
      </c>
      <c r="V1" s="905">
        <v>1920</v>
      </c>
      <c r="W1" s="905">
        <v>1921</v>
      </c>
      <c r="X1" s="905">
        <v>1922</v>
      </c>
      <c r="Y1" s="905">
        <v>1923</v>
      </c>
      <c r="Z1" s="905">
        <v>1924</v>
      </c>
      <c r="AA1" s="905">
        <v>1925</v>
      </c>
      <c r="AB1" s="905">
        <v>1926</v>
      </c>
      <c r="AC1" s="905">
        <v>1927</v>
      </c>
      <c r="AD1" s="905">
        <v>1928</v>
      </c>
      <c r="AE1" s="905">
        <v>1929</v>
      </c>
      <c r="AF1" s="905">
        <v>1930</v>
      </c>
      <c r="AG1" s="905">
        <v>1931</v>
      </c>
      <c r="AH1" s="905">
        <v>1932</v>
      </c>
      <c r="AI1" s="905">
        <v>1933</v>
      </c>
      <c r="AJ1" s="905">
        <v>1934</v>
      </c>
      <c r="AK1" s="905">
        <v>1935</v>
      </c>
      <c r="AL1" s="905">
        <v>1936</v>
      </c>
      <c r="AM1" s="905">
        <v>1937</v>
      </c>
      <c r="AN1" s="905">
        <v>1938</v>
      </c>
      <c r="AO1" s="905">
        <v>1939</v>
      </c>
      <c r="AP1" s="905">
        <v>1940</v>
      </c>
      <c r="AQ1" s="905">
        <v>1941</v>
      </c>
      <c r="AR1" s="905">
        <v>1942</v>
      </c>
      <c r="AS1" s="905">
        <v>1943</v>
      </c>
      <c r="AT1" s="905">
        <v>1944</v>
      </c>
      <c r="AU1" s="905">
        <v>1945</v>
      </c>
      <c r="AV1" s="905">
        <v>1946</v>
      </c>
      <c r="AW1" s="905">
        <v>1947</v>
      </c>
      <c r="AX1" s="905">
        <v>1948</v>
      </c>
      <c r="AY1" s="905">
        <v>1949</v>
      </c>
      <c r="AZ1" s="905">
        <v>1950</v>
      </c>
      <c r="BA1" s="905">
        <v>1951</v>
      </c>
      <c r="BB1" s="905">
        <v>1952</v>
      </c>
      <c r="BC1" s="905">
        <v>1953</v>
      </c>
      <c r="BD1" s="905">
        <v>1954</v>
      </c>
      <c r="BE1" s="905">
        <v>1955</v>
      </c>
      <c r="BF1" s="905">
        <v>1956</v>
      </c>
      <c r="BG1" s="905">
        <v>1957</v>
      </c>
      <c r="BH1" s="905">
        <v>1958</v>
      </c>
      <c r="BI1" s="905">
        <v>1959</v>
      </c>
      <c r="BJ1" s="905">
        <v>1960</v>
      </c>
      <c r="BK1" s="905">
        <v>1961</v>
      </c>
      <c r="BL1" s="905">
        <v>1962</v>
      </c>
      <c r="BM1" s="905">
        <v>1963</v>
      </c>
      <c r="BN1" s="905">
        <v>1964</v>
      </c>
      <c r="BO1" s="905">
        <v>1965</v>
      </c>
      <c r="BP1" s="905">
        <v>1966</v>
      </c>
      <c r="BQ1" s="905">
        <v>1967</v>
      </c>
      <c r="BR1" s="905">
        <v>1968</v>
      </c>
      <c r="BS1" s="905">
        <v>1969</v>
      </c>
      <c r="BT1" s="905">
        <v>1970</v>
      </c>
      <c r="BU1" s="905">
        <v>1971</v>
      </c>
      <c r="BV1" s="905">
        <v>1972</v>
      </c>
      <c r="BW1" s="905">
        <v>1973</v>
      </c>
      <c r="BX1" s="905">
        <v>1974</v>
      </c>
      <c r="BY1" s="905">
        <v>1975</v>
      </c>
      <c r="BZ1" s="905">
        <v>1976</v>
      </c>
      <c r="CA1" s="905">
        <v>1977</v>
      </c>
      <c r="CB1" s="905">
        <v>1978</v>
      </c>
      <c r="CC1" s="905">
        <v>1979</v>
      </c>
      <c r="CD1" s="905">
        <v>1980</v>
      </c>
      <c r="CE1" s="905">
        <v>1981</v>
      </c>
      <c r="CF1" s="905">
        <v>1982</v>
      </c>
      <c r="CG1" s="905">
        <v>1983</v>
      </c>
      <c r="CH1" s="905">
        <v>1984</v>
      </c>
      <c r="CI1" s="905">
        <v>1985</v>
      </c>
      <c r="CJ1" s="905">
        <v>1986</v>
      </c>
      <c r="CK1" s="905">
        <v>1987</v>
      </c>
      <c r="CL1" s="905">
        <v>1988</v>
      </c>
      <c r="CM1" s="905">
        <v>1989</v>
      </c>
      <c r="CN1" s="905">
        <v>1990</v>
      </c>
      <c r="CO1" s="905">
        <v>1991</v>
      </c>
      <c r="CP1" s="905">
        <v>1992</v>
      </c>
      <c r="CQ1" s="905">
        <v>1993</v>
      </c>
      <c r="CR1" s="905">
        <v>1994</v>
      </c>
      <c r="CS1" s="905">
        <v>1995</v>
      </c>
      <c r="CT1" s="905">
        <v>1996</v>
      </c>
      <c r="CU1" s="905">
        <v>1997</v>
      </c>
      <c r="CV1" s="905">
        <v>1998</v>
      </c>
      <c r="CW1" s="905">
        <v>1999</v>
      </c>
      <c r="CX1" s="905">
        <v>2000</v>
      </c>
      <c r="CY1" s="905">
        <v>2001</v>
      </c>
      <c r="CZ1" s="905">
        <v>2002</v>
      </c>
      <c r="DA1" s="905">
        <v>2003</v>
      </c>
      <c r="DB1" s="905">
        <v>2004</v>
      </c>
      <c r="DC1" s="905">
        <v>2005</v>
      </c>
      <c r="DD1" s="905">
        <v>2006</v>
      </c>
      <c r="DE1" s="905">
        <v>2007</v>
      </c>
      <c r="DF1" s="905">
        <v>2008</v>
      </c>
      <c r="DG1" s="905">
        <v>2009</v>
      </c>
      <c r="DH1" s="905">
        <v>2010</v>
      </c>
      <c r="DI1" s="905">
        <v>2011</v>
      </c>
      <c r="DJ1" s="905">
        <v>2012</v>
      </c>
      <c r="DK1" s="905">
        <v>2013</v>
      </c>
      <c r="DL1" s="905">
        <v>2014</v>
      </c>
      <c r="DM1" s="905">
        <v>2015</v>
      </c>
      <c r="DN1" s="905">
        <v>2016</v>
      </c>
      <c r="DO1" s="905">
        <v>2017</v>
      </c>
      <c r="DP1" s="905">
        <v>2018</v>
      </c>
      <c r="DQ1" s="905">
        <v>2019</v>
      </c>
      <c r="DR1" s="905">
        <v>2020</v>
      </c>
    </row>
    <row r="2" spans="1:122">
      <c r="A2" s="906">
        <v>0</v>
      </c>
      <c r="B2" s="92"/>
      <c r="C2" s="92"/>
      <c r="D2" s="92"/>
      <c r="E2" s="92"/>
      <c r="F2" s="92"/>
      <c r="G2" s="92"/>
      <c r="H2" s="92"/>
      <c r="I2" s="92"/>
      <c r="J2" s="92"/>
      <c r="K2" s="92"/>
      <c r="L2" s="92"/>
      <c r="M2" s="92"/>
      <c r="N2" s="92"/>
      <c r="O2" s="92"/>
      <c r="P2" s="92"/>
      <c r="Q2" s="92"/>
      <c r="R2" s="92"/>
      <c r="S2" s="92"/>
      <c r="T2" s="92"/>
      <c r="U2" s="92"/>
      <c r="V2" s="740"/>
      <c r="W2" s="740">
        <v>57.84</v>
      </c>
      <c r="X2" s="740">
        <v>58.59</v>
      </c>
      <c r="Y2" s="740">
        <v>58.73</v>
      </c>
      <c r="Z2" s="740">
        <v>60.62</v>
      </c>
      <c r="AA2" s="740">
        <v>61.01</v>
      </c>
      <c r="AB2" s="740">
        <v>61.62</v>
      </c>
      <c r="AC2" s="740">
        <v>62.22</v>
      </c>
      <c r="AD2" s="740">
        <v>62.92</v>
      </c>
      <c r="AE2" s="740">
        <v>62.92</v>
      </c>
      <c r="AF2" s="740">
        <v>64.08</v>
      </c>
      <c r="AG2" s="740">
        <v>64.59</v>
      </c>
      <c r="AH2" s="740">
        <v>65.16</v>
      </c>
      <c r="AI2" s="740">
        <v>65.56</v>
      </c>
      <c r="AJ2" s="740">
        <v>66.77</v>
      </c>
      <c r="AK2" s="740">
        <v>66.94</v>
      </c>
      <c r="AL2" s="740">
        <v>67.459999999999994</v>
      </c>
      <c r="AM2" s="740">
        <v>67.97</v>
      </c>
      <c r="AN2" s="740">
        <v>68.510000000000005</v>
      </c>
      <c r="AO2" s="740">
        <v>68.59</v>
      </c>
      <c r="AP2" s="740">
        <v>68.849999999999994</v>
      </c>
      <c r="AQ2" s="740">
        <v>69.06</v>
      </c>
      <c r="AR2" s="740">
        <v>69.349999999999994</v>
      </c>
      <c r="AS2" s="740">
        <v>68.91</v>
      </c>
      <c r="AT2" s="740">
        <v>68.36</v>
      </c>
      <c r="AU2" s="740">
        <v>67.33</v>
      </c>
      <c r="AV2" s="740">
        <v>67.84</v>
      </c>
      <c r="AW2" s="740">
        <v>68.400000000000006</v>
      </c>
      <c r="AX2" s="740">
        <v>70.38</v>
      </c>
      <c r="AY2" s="740">
        <v>72.03</v>
      </c>
      <c r="AZ2" s="740">
        <v>72.09</v>
      </c>
      <c r="BA2" s="740">
        <v>72.2</v>
      </c>
      <c r="BB2" s="740">
        <v>72.930000000000007</v>
      </c>
      <c r="BC2" s="740">
        <v>73.23</v>
      </c>
      <c r="BD2" s="740">
        <v>73.77</v>
      </c>
      <c r="BE2" s="740">
        <v>74.010000000000005</v>
      </c>
      <c r="BF2" s="740">
        <v>74.52</v>
      </c>
      <c r="BG2" s="740">
        <v>74.7</v>
      </c>
      <c r="BH2" s="740">
        <v>75.25</v>
      </c>
      <c r="BI2" s="740">
        <v>75.64</v>
      </c>
      <c r="BJ2" s="740">
        <v>75.98</v>
      </c>
      <c r="BK2" s="740">
        <v>76.47</v>
      </c>
      <c r="BL2" s="740">
        <v>76.989999999999995</v>
      </c>
      <c r="BM2" s="740">
        <v>77.489999999999995</v>
      </c>
      <c r="BN2" s="740">
        <v>77.95</v>
      </c>
      <c r="BO2" s="740">
        <v>78.37</v>
      </c>
      <c r="BP2" s="740">
        <v>78.66</v>
      </c>
      <c r="BQ2" s="740">
        <v>78.959999999999994</v>
      </c>
      <c r="BR2" s="740">
        <v>79.239999999999995</v>
      </c>
      <c r="BS2" s="740">
        <v>79.400000000000006</v>
      </c>
      <c r="BT2" s="852">
        <v>79.67</v>
      </c>
      <c r="BU2" s="740">
        <v>79.89</v>
      </c>
      <c r="BV2" s="740">
        <v>80.17</v>
      </c>
      <c r="BW2" s="740">
        <v>80.39</v>
      </c>
      <c r="BX2" s="740">
        <v>80.7</v>
      </c>
      <c r="BY2" s="740">
        <v>81.03</v>
      </c>
      <c r="BZ2" s="740">
        <v>81.459999999999994</v>
      </c>
      <c r="CA2" s="740">
        <v>81.78</v>
      </c>
      <c r="CB2" s="740">
        <v>82</v>
      </c>
      <c r="CC2" s="740">
        <v>82.33</v>
      </c>
      <c r="CD2" s="740">
        <v>82.61</v>
      </c>
      <c r="CE2" s="740">
        <v>82.85</v>
      </c>
      <c r="CF2" s="740">
        <v>83.18</v>
      </c>
      <c r="CG2" s="740">
        <v>83.44</v>
      </c>
      <c r="CH2" s="740">
        <v>83.69</v>
      </c>
      <c r="CI2" s="740">
        <v>83.98</v>
      </c>
      <c r="CJ2" s="740">
        <v>84.18</v>
      </c>
      <c r="CK2" s="740">
        <v>84.39</v>
      </c>
      <c r="CL2" s="740">
        <v>84.67</v>
      </c>
      <c r="CM2" s="740">
        <v>84.87</v>
      </c>
      <c r="CN2" s="740">
        <v>85.11</v>
      </c>
      <c r="CO2" s="740">
        <v>85.36</v>
      </c>
      <c r="CP2" s="740">
        <v>85.57</v>
      </c>
      <c r="CQ2" s="740">
        <v>85.8</v>
      </c>
      <c r="CR2" s="740">
        <v>85.97</v>
      </c>
      <c r="CS2" s="740">
        <v>86.19</v>
      </c>
      <c r="CT2" s="740">
        <v>86.37</v>
      </c>
      <c r="CU2" s="740">
        <v>86.55</v>
      </c>
      <c r="CV2" s="740">
        <v>86.73</v>
      </c>
      <c r="CW2" s="740">
        <v>86.89</v>
      </c>
      <c r="CX2" s="740">
        <v>87.1</v>
      </c>
      <c r="CY2" s="740">
        <v>87.25</v>
      </c>
      <c r="CZ2" s="740">
        <v>87.43</v>
      </c>
      <c r="DA2" s="740">
        <v>87.57</v>
      </c>
      <c r="DB2" s="740">
        <v>87.76</v>
      </c>
      <c r="DC2" s="740">
        <v>87.91</v>
      </c>
      <c r="DD2" s="740">
        <v>88.07</v>
      </c>
      <c r="DE2" s="740">
        <v>88.21</v>
      </c>
      <c r="DF2" s="740">
        <v>88.39</v>
      </c>
      <c r="DG2" s="740">
        <v>88.54</v>
      </c>
      <c r="DH2" s="740">
        <v>88.69</v>
      </c>
      <c r="DI2" s="740">
        <v>88.84</v>
      </c>
      <c r="DJ2" s="740">
        <v>89.02</v>
      </c>
      <c r="DK2" s="740">
        <v>89.16</v>
      </c>
      <c r="DL2" s="740">
        <v>89.29</v>
      </c>
      <c r="DM2" s="740">
        <v>89.44</v>
      </c>
      <c r="DN2" s="740">
        <v>89.56</v>
      </c>
      <c r="DO2" s="740">
        <v>89.71</v>
      </c>
      <c r="DP2" s="740">
        <v>89.85</v>
      </c>
      <c r="DQ2" s="740">
        <v>90</v>
      </c>
      <c r="DR2" s="740">
        <v>90.15</v>
      </c>
    </row>
    <row r="3" spans="1:122">
      <c r="A3" s="906">
        <v>1</v>
      </c>
      <c r="B3" s="92"/>
      <c r="C3" s="92"/>
      <c r="D3" s="92"/>
      <c r="E3" s="92"/>
      <c r="F3" s="92"/>
      <c r="G3" s="92"/>
      <c r="H3" s="92"/>
      <c r="I3" s="92"/>
      <c r="J3" s="92"/>
      <c r="K3" s="92"/>
      <c r="L3" s="92"/>
      <c r="M3" s="92"/>
      <c r="N3" s="92"/>
      <c r="O3" s="92"/>
      <c r="P3" s="92"/>
      <c r="Q3" s="92"/>
      <c r="R3" s="92"/>
      <c r="S3" s="92"/>
      <c r="T3" s="92"/>
      <c r="U3" s="92"/>
      <c r="V3" s="740"/>
      <c r="W3" s="740">
        <v>66.709999999999994</v>
      </c>
      <c r="X3" s="740">
        <v>67.239999999999995</v>
      </c>
      <c r="Y3" s="740">
        <v>67.569999999999993</v>
      </c>
      <c r="Z3" s="740">
        <v>67.77</v>
      </c>
      <c r="AA3" s="740">
        <v>67.989999999999995</v>
      </c>
      <c r="AB3" s="740">
        <v>68.36</v>
      </c>
      <c r="AC3" s="740">
        <v>68.64</v>
      </c>
      <c r="AD3" s="740">
        <v>68.81</v>
      </c>
      <c r="AE3" s="740">
        <v>69.31</v>
      </c>
      <c r="AF3" s="740">
        <v>69.650000000000006</v>
      </c>
      <c r="AG3" s="740">
        <v>70</v>
      </c>
      <c r="AH3" s="740">
        <v>70.34</v>
      </c>
      <c r="AI3" s="740">
        <v>70.63</v>
      </c>
      <c r="AJ3" s="740">
        <v>71.09</v>
      </c>
      <c r="AK3" s="740">
        <v>71.45</v>
      </c>
      <c r="AL3" s="740">
        <v>71.84</v>
      </c>
      <c r="AM3" s="740">
        <v>72.23</v>
      </c>
      <c r="AN3" s="740">
        <v>72.510000000000005</v>
      </c>
      <c r="AO3" s="740">
        <v>72.709999999999994</v>
      </c>
      <c r="AP3" s="740">
        <v>72.989999999999995</v>
      </c>
      <c r="AQ3" s="740">
        <v>73.22</v>
      </c>
      <c r="AR3" s="740">
        <v>73.53</v>
      </c>
      <c r="AS3" s="740">
        <v>73.62</v>
      </c>
      <c r="AT3" s="740">
        <v>73.86</v>
      </c>
      <c r="AU3" s="740">
        <v>74.17</v>
      </c>
      <c r="AV3" s="740">
        <v>74.489999999999995</v>
      </c>
      <c r="AW3" s="740">
        <v>75.11</v>
      </c>
      <c r="AX3" s="740">
        <v>75.63</v>
      </c>
      <c r="AY3" s="740">
        <v>75.760000000000005</v>
      </c>
      <c r="AZ3" s="740">
        <v>75.83</v>
      </c>
      <c r="BA3" s="740">
        <v>75.95</v>
      </c>
      <c r="BB3" s="740">
        <v>76.14</v>
      </c>
      <c r="BC3" s="740">
        <v>76.31</v>
      </c>
      <c r="BD3" s="740">
        <v>76.5</v>
      </c>
      <c r="BE3" s="740">
        <v>76.709999999999994</v>
      </c>
      <c r="BF3" s="740">
        <v>76.959999999999994</v>
      </c>
      <c r="BG3" s="740">
        <v>77.14</v>
      </c>
      <c r="BH3" s="740">
        <v>77.48</v>
      </c>
      <c r="BI3" s="740">
        <v>77.739999999999995</v>
      </c>
      <c r="BJ3" s="740">
        <v>78.03</v>
      </c>
      <c r="BK3" s="740">
        <v>78.290000000000006</v>
      </c>
      <c r="BL3" s="740">
        <v>78.61</v>
      </c>
      <c r="BM3" s="740">
        <v>78.95</v>
      </c>
      <c r="BN3" s="740">
        <v>79.209999999999994</v>
      </c>
      <c r="BO3" s="740">
        <v>79.510000000000005</v>
      </c>
      <c r="BP3" s="740">
        <v>79.760000000000005</v>
      </c>
      <c r="BQ3" s="740">
        <v>80.02</v>
      </c>
      <c r="BR3" s="740">
        <v>80.25</v>
      </c>
      <c r="BS3" s="740">
        <v>80.48</v>
      </c>
      <c r="BT3" s="852">
        <v>80.73</v>
      </c>
      <c r="BU3" s="740">
        <v>80.91</v>
      </c>
      <c r="BV3" s="740">
        <v>81.150000000000006</v>
      </c>
      <c r="BW3" s="740">
        <v>81.36</v>
      </c>
      <c r="BX3" s="740">
        <v>81.58</v>
      </c>
      <c r="BY3" s="740">
        <v>81.78</v>
      </c>
      <c r="BZ3" s="740">
        <v>81.98</v>
      </c>
      <c r="CA3" s="740">
        <v>82.17</v>
      </c>
      <c r="CB3" s="740">
        <v>82.35</v>
      </c>
      <c r="CC3" s="740">
        <v>82.57</v>
      </c>
      <c r="CD3" s="740">
        <v>82.79</v>
      </c>
      <c r="CE3" s="740">
        <v>82.98</v>
      </c>
      <c r="CF3" s="740">
        <v>83.2</v>
      </c>
      <c r="CG3" s="740">
        <v>83.42</v>
      </c>
      <c r="CH3" s="740">
        <v>83.6</v>
      </c>
      <c r="CI3" s="740">
        <v>83.84</v>
      </c>
      <c r="CJ3" s="740">
        <v>84.01</v>
      </c>
      <c r="CK3" s="740">
        <v>84.2</v>
      </c>
      <c r="CL3" s="740">
        <v>84.42</v>
      </c>
      <c r="CM3" s="740">
        <v>84.6</v>
      </c>
      <c r="CN3" s="740">
        <v>84.8</v>
      </c>
      <c r="CO3" s="740">
        <v>84.98</v>
      </c>
      <c r="CP3" s="740">
        <v>85.15</v>
      </c>
      <c r="CQ3" s="740">
        <v>85.34</v>
      </c>
      <c r="CR3" s="740">
        <v>85.5</v>
      </c>
      <c r="CS3" s="740">
        <v>85.69</v>
      </c>
      <c r="CT3" s="740">
        <v>85.85</v>
      </c>
      <c r="CU3" s="740">
        <v>86.02</v>
      </c>
      <c r="CV3" s="740">
        <v>86.17</v>
      </c>
      <c r="CW3" s="740">
        <v>86.33</v>
      </c>
      <c r="CX3" s="740">
        <v>86.51</v>
      </c>
      <c r="CY3" s="740">
        <v>86.67</v>
      </c>
      <c r="CZ3" s="740">
        <v>86.82</v>
      </c>
      <c r="DA3" s="740">
        <v>86.98</v>
      </c>
      <c r="DB3" s="740">
        <v>87.15</v>
      </c>
      <c r="DC3" s="740">
        <v>87.28</v>
      </c>
      <c r="DD3" s="740">
        <v>87.44</v>
      </c>
      <c r="DE3" s="740">
        <v>87.59</v>
      </c>
      <c r="DF3" s="740">
        <v>87.74</v>
      </c>
      <c r="DG3" s="740">
        <v>87.89</v>
      </c>
      <c r="DH3" s="740">
        <v>88.03</v>
      </c>
      <c r="DI3" s="740">
        <v>88.18</v>
      </c>
      <c r="DJ3" s="740">
        <v>88.33</v>
      </c>
      <c r="DK3" s="740">
        <v>88.47</v>
      </c>
      <c r="DL3" s="740">
        <v>88.6</v>
      </c>
      <c r="DM3" s="740">
        <v>88.75</v>
      </c>
      <c r="DN3" s="740">
        <v>88.89</v>
      </c>
      <c r="DO3" s="740">
        <v>89.02</v>
      </c>
      <c r="DP3" s="740">
        <v>89.16</v>
      </c>
      <c r="DQ3" s="740">
        <v>89.3</v>
      </c>
      <c r="DR3" s="740">
        <v>89.43</v>
      </c>
    </row>
    <row r="4" spans="1:122">
      <c r="A4" s="906">
        <v>2</v>
      </c>
      <c r="B4" s="92"/>
      <c r="C4" s="92"/>
      <c r="D4" s="92"/>
      <c r="E4" s="92"/>
      <c r="F4" s="92"/>
      <c r="G4" s="92"/>
      <c r="H4" s="92"/>
      <c r="I4" s="92"/>
      <c r="J4" s="92"/>
      <c r="K4" s="92"/>
      <c r="L4" s="92"/>
      <c r="M4" s="92"/>
      <c r="N4" s="92"/>
      <c r="O4" s="92"/>
      <c r="P4" s="92"/>
      <c r="Q4" s="92"/>
      <c r="R4" s="92"/>
      <c r="S4" s="92"/>
      <c r="T4" s="92"/>
      <c r="U4" s="92"/>
      <c r="V4" s="740"/>
      <c r="W4" s="740">
        <v>67.06</v>
      </c>
      <c r="X4" s="740">
        <v>67.61</v>
      </c>
      <c r="Y4" s="740">
        <v>67.67</v>
      </c>
      <c r="Z4" s="740">
        <v>67.88</v>
      </c>
      <c r="AA4" s="740">
        <v>68.099999999999994</v>
      </c>
      <c r="AB4" s="740">
        <v>68.400000000000006</v>
      </c>
      <c r="AC4" s="740">
        <v>68.489999999999995</v>
      </c>
      <c r="AD4" s="740">
        <v>68.72</v>
      </c>
      <c r="AE4" s="740">
        <v>69.010000000000005</v>
      </c>
      <c r="AF4" s="740">
        <v>69.34</v>
      </c>
      <c r="AG4" s="740">
        <v>69.650000000000006</v>
      </c>
      <c r="AH4" s="740">
        <v>70</v>
      </c>
      <c r="AI4" s="740">
        <v>70.28</v>
      </c>
      <c r="AJ4" s="740">
        <v>70.680000000000007</v>
      </c>
      <c r="AK4" s="740">
        <v>71.02</v>
      </c>
      <c r="AL4" s="740">
        <v>71.400000000000006</v>
      </c>
      <c r="AM4" s="740">
        <v>71.77</v>
      </c>
      <c r="AN4" s="740">
        <v>72.06</v>
      </c>
      <c r="AO4" s="740">
        <v>72.260000000000005</v>
      </c>
      <c r="AP4" s="740">
        <v>72.55</v>
      </c>
      <c r="AQ4" s="740">
        <v>72.77</v>
      </c>
      <c r="AR4" s="740">
        <v>73.14</v>
      </c>
      <c r="AS4" s="740">
        <v>73.319999999999993</v>
      </c>
      <c r="AT4" s="740">
        <v>73.7</v>
      </c>
      <c r="AU4" s="740">
        <v>73.930000000000007</v>
      </c>
      <c r="AV4" s="740">
        <v>74.260000000000005</v>
      </c>
      <c r="AW4" s="740">
        <v>74.73</v>
      </c>
      <c r="AX4" s="740">
        <v>74.94</v>
      </c>
      <c r="AY4" s="740">
        <v>75.069999999999993</v>
      </c>
      <c r="AZ4" s="740">
        <v>75.14</v>
      </c>
      <c r="BA4" s="740">
        <v>75.239999999999995</v>
      </c>
      <c r="BB4" s="740">
        <v>75.42</v>
      </c>
      <c r="BC4" s="740">
        <v>75.56</v>
      </c>
      <c r="BD4" s="740">
        <v>75.75</v>
      </c>
      <c r="BE4" s="740">
        <v>75.959999999999994</v>
      </c>
      <c r="BF4" s="740">
        <v>76.209999999999994</v>
      </c>
      <c r="BG4" s="740">
        <v>76.37</v>
      </c>
      <c r="BH4" s="740">
        <v>76.709999999999994</v>
      </c>
      <c r="BI4" s="740">
        <v>76.94</v>
      </c>
      <c r="BJ4" s="740">
        <v>77.22</v>
      </c>
      <c r="BK4" s="740">
        <v>77.48</v>
      </c>
      <c r="BL4" s="740">
        <v>77.790000000000006</v>
      </c>
      <c r="BM4" s="740">
        <v>78.099999999999994</v>
      </c>
      <c r="BN4" s="740">
        <v>78.37</v>
      </c>
      <c r="BO4" s="740">
        <v>78.66</v>
      </c>
      <c r="BP4" s="740">
        <v>78.91</v>
      </c>
      <c r="BQ4" s="740">
        <v>79.150000000000006</v>
      </c>
      <c r="BR4" s="740">
        <v>79.41</v>
      </c>
      <c r="BS4" s="740">
        <v>79.62</v>
      </c>
      <c r="BT4" s="852">
        <v>79.849999999999994</v>
      </c>
      <c r="BU4" s="740">
        <v>80.02</v>
      </c>
      <c r="BV4" s="740">
        <v>80.25</v>
      </c>
      <c r="BW4" s="740">
        <v>80.47</v>
      </c>
      <c r="BX4" s="740">
        <v>80.680000000000007</v>
      </c>
      <c r="BY4" s="740">
        <v>80.87</v>
      </c>
      <c r="BZ4" s="740">
        <v>81.069999999999993</v>
      </c>
      <c r="CA4" s="740">
        <v>81.260000000000005</v>
      </c>
      <c r="CB4" s="740">
        <v>81.44</v>
      </c>
      <c r="CC4" s="740">
        <v>81.64</v>
      </c>
      <c r="CD4" s="740">
        <v>81.87</v>
      </c>
      <c r="CE4" s="740">
        <v>82.06</v>
      </c>
      <c r="CF4" s="740">
        <v>82.28</v>
      </c>
      <c r="CG4" s="740">
        <v>82.49</v>
      </c>
      <c r="CH4" s="740">
        <v>82.67</v>
      </c>
      <c r="CI4" s="740">
        <v>82.9</v>
      </c>
      <c r="CJ4" s="740">
        <v>83.08</v>
      </c>
      <c r="CK4" s="740">
        <v>83.26</v>
      </c>
      <c r="CL4" s="740">
        <v>83.47</v>
      </c>
      <c r="CM4" s="740">
        <v>83.66</v>
      </c>
      <c r="CN4" s="740">
        <v>83.85</v>
      </c>
      <c r="CO4" s="740">
        <v>84.03</v>
      </c>
      <c r="CP4" s="740">
        <v>84.2</v>
      </c>
      <c r="CQ4" s="740">
        <v>84.39</v>
      </c>
      <c r="CR4" s="740">
        <v>84.55</v>
      </c>
      <c r="CS4" s="740">
        <v>84.73</v>
      </c>
      <c r="CT4" s="740">
        <v>84.89</v>
      </c>
      <c r="CU4" s="740">
        <v>85.06</v>
      </c>
      <c r="CV4" s="740">
        <v>85.21</v>
      </c>
      <c r="CW4" s="740">
        <v>85.37</v>
      </c>
      <c r="CX4" s="740">
        <v>85.55</v>
      </c>
      <c r="CY4" s="740">
        <v>85.7</v>
      </c>
      <c r="CZ4" s="740">
        <v>85.86</v>
      </c>
      <c r="DA4" s="740">
        <v>86.01</v>
      </c>
      <c r="DB4" s="740">
        <v>86.17</v>
      </c>
      <c r="DC4" s="740">
        <v>86.32</v>
      </c>
      <c r="DD4" s="740">
        <v>86.47</v>
      </c>
      <c r="DE4" s="740">
        <v>86.62</v>
      </c>
      <c r="DF4" s="740">
        <v>86.77</v>
      </c>
      <c r="DG4" s="740">
        <v>86.92</v>
      </c>
      <c r="DH4" s="740">
        <v>87.06</v>
      </c>
      <c r="DI4" s="740">
        <v>87.21</v>
      </c>
      <c r="DJ4" s="740">
        <v>87.35</v>
      </c>
      <c r="DK4" s="740">
        <v>87.5</v>
      </c>
      <c r="DL4" s="740">
        <v>87.63</v>
      </c>
      <c r="DM4" s="740">
        <v>87.77</v>
      </c>
      <c r="DN4" s="740">
        <v>87.91</v>
      </c>
      <c r="DO4" s="740">
        <v>88.05</v>
      </c>
      <c r="DP4" s="740">
        <v>88.18</v>
      </c>
      <c r="DQ4" s="740">
        <v>88.32</v>
      </c>
      <c r="DR4" s="740">
        <v>88.45</v>
      </c>
    </row>
    <row r="5" spans="1:122">
      <c r="A5" s="906">
        <v>3</v>
      </c>
      <c r="B5" s="92"/>
      <c r="C5" s="92"/>
      <c r="D5" s="92"/>
      <c r="E5" s="92"/>
      <c r="F5" s="92"/>
      <c r="G5" s="92"/>
      <c r="H5" s="92"/>
      <c r="I5" s="92"/>
      <c r="J5" s="92"/>
      <c r="K5" s="92"/>
      <c r="L5" s="92"/>
      <c r="M5" s="92"/>
      <c r="N5" s="92"/>
      <c r="O5" s="92"/>
      <c r="P5" s="92"/>
      <c r="Q5" s="92"/>
      <c r="R5" s="92"/>
      <c r="S5" s="92"/>
      <c r="T5" s="92"/>
      <c r="U5" s="92"/>
      <c r="V5" s="740"/>
      <c r="W5" s="740">
        <v>66.819999999999993</v>
      </c>
      <c r="X5" s="740">
        <v>67.040000000000006</v>
      </c>
      <c r="Y5" s="740">
        <v>67.099999999999994</v>
      </c>
      <c r="Z5" s="740">
        <v>67.31</v>
      </c>
      <c r="AA5" s="740">
        <v>67.56</v>
      </c>
      <c r="AB5" s="740">
        <v>67.8</v>
      </c>
      <c r="AC5" s="740">
        <v>67.97</v>
      </c>
      <c r="AD5" s="740">
        <v>68.11</v>
      </c>
      <c r="AE5" s="740">
        <v>68.349999999999994</v>
      </c>
      <c r="AF5" s="740">
        <v>68.650000000000006</v>
      </c>
      <c r="AG5" s="740">
        <v>68.959999999999994</v>
      </c>
      <c r="AH5" s="740">
        <v>69.31</v>
      </c>
      <c r="AI5" s="740">
        <v>69.650000000000006</v>
      </c>
      <c r="AJ5" s="740">
        <v>70.06</v>
      </c>
      <c r="AK5" s="740">
        <v>70.38</v>
      </c>
      <c r="AL5" s="740">
        <v>70.73</v>
      </c>
      <c r="AM5" s="740">
        <v>71.13</v>
      </c>
      <c r="AN5" s="740">
        <v>71.42</v>
      </c>
      <c r="AO5" s="740">
        <v>71.63</v>
      </c>
      <c r="AP5" s="740">
        <v>71.91</v>
      </c>
      <c r="AQ5" s="740">
        <v>72.180000000000007</v>
      </c>
      <c r="AR5" s="740">
        <v>72.61</v>
      </c>
      <c r="AS5" s="740">
        <v>72.88</v>
      </c>
      <c r="AT5" s="740">
        <v>73.13</v>
      </c>
      <c r="AU5" s="740">
        <v>73.36</v>
      </c>
      <c r="AV5" s="740">
        <v>73.53</v>
      </c>
      <c r="AW5" s="740">
        <v>73.91</v>
      </c>
      <c r="AX5" s="740">
        <v>74.12</v>
      </c>
      <c r="AY5" s="740">
        <v>74.25</v>
      </c>
      <c r="AZ5" s="740">
        <v>74.3</v>
      </c>
      <c r="BA5" s="740">
        <v>74.38</v>
      </c>
      <c r="BB5" s="740">
        <v>74.55</v>
      </c>
      <c r="BC5" s="740">
        <v>74.69</v>
      </c>
      <c r="BD5" s="740">
        <v>74.87</v>
      </c>
      <c r="BE5" s="740">
        <v>75.09</v>
      </c>
      <c r="BF5" s="740">
        <v>75.319999999999993</v>
      </c>
      <c r="BG5" s="740">
        <v>75.489999999999995</v>
      </c>
      <c r="BH5" s="740">
        <v>75.819999999999993</v>
      </c>
      <c r="BI5" s="740">
        <v>76.040000000000006</v>
      </c>
      <c r="BJ5" s="740">
        <v>76.33</v>
      </c>
      <c r="BK5" s="740">
        <v>76.58</v>
      </c>
      <c r="BL5" s="740">
        <v>76.88</v>
      </c>
      <c r="BM5" s="740">
        <v>77.19</v>
      </c>
      <c r="BN5" s="740">
        <v>77.45</v>
      </c>
      <c r="BO5" s="740">
        <v>77.73</v>
      </c>
      <c r="BP5" s="740">
        <v>77.989999999999995</v>
      </c>
      <c r="BQ5" s="740">
        <v>78.23</v>
      </c>
      <c r="BR5" s="740">
        <v>78.48</v>
      </c>
      <c r="BS5" s="740">
        <v>78.7</v>
      </c>
      <c r="BT5" s="852">
        <v>78.92</v>
      </c>
      <c r="BU5" s="740">
        <v>79.09</v>
      </c>
      <c r="BV5" s="740">
        <v>79.319999999999993</v>
      </c>
      <c r="BW5" s="740">
        <v>79.53</v>
      </c>
      <c r="BX5" s="740">
        <v>79.75</v>
      </c>
      <c r="BY5" s="740">
        <v>79.930000000000007</v>
      </c>
      <c r="BZ5" s="740">
        <v>80.13</v>
      </c>
      <c r="CA5" s="740">
        <v>80.319999999999993</v>
      </c>
      <c r="CB5" s="740">
        <v>80.489999999999995</v>
      </c>
      <c r="CC5" s="740">
        <v>80.69</v>
      </c>
      <c r="CD5" s="740">
        <v>80.92</v>
      </c>
      <c r="CE5" s="740">
        <v>81.11</v>
      </c>
      <c r="CF5" s="740">
        <v>81.319999999999993</v>
      </c>
      <c r="CG5" s="740">
        <v>81.53</v>
      </c>
      <c r="CH5" s="740">
        <v>81.709999999999994</v>
      </c>
      <c r="CI5" s="740">
        <v>81.94</v>
      </c>
      <c r="CJ5" s="740">
        <v>82.12</v>
      </c>
      <c r="CK5" s="740">
        <v>82.3</v>
      </c>
      <c r="CL5" s="740">
        <v>82.51</v>
      </c>
      <c r="CM5" s="740">
        <v>82.7</v>
      </c>
      <c r="CN5" s="740">
        <v>82.88</v>
      </c>
      <c r="CO5" s="740">
        <v>83.06</v>
      </c>
      <c r="CP5" s="740">
        <v>83.23</v>
      </c>
      <c r="CQ5" s="740">
        <v>83.42</v>
      </c>
      <c r="CR5" s="740">
        <v>83.57</v>
      </c>
      <c r="CS5" s="740">
        <v>83.75</v>
      </c>
      <c r="CT5" s="740">
        <v>83.92</v>
      </c>
      <c r="CU5" s="740">
        <v>84.08</v>
      </c>
      <c r="CV5" s="740">
        <v>84.23</v>
      </c>
      <c r="CW5" s="740">
        <v>84.39</v>
      </c>
      <c r="CX5" s="740">
        <v>84.56</v>
      </c>
      <c r="CY5" s="740">
        <v>84.72</v>
      </c>
      <c r="CZ5" s="740">
        <v>84.88</v>
      </c>
      <c r="DA5" s="740">
        <v>85.03</v>
      </c>
      <c r="DB5" s="740">
        <v>85.19</v>
      </c>
      <c r="DC5" s="740">
        <v>85.33</v>
      </c>
      <c r="DD5" s="740">
        <v>85.49</v>
      </c>
      <c r="DE5" s="740">
        <v>85.64</v>
      </c>
      <c r="DF5" s="740">
        <v>85.78</v>
      </c>
      <c r="DG5" s="740">
        <v>85.93</v>
      </c>
      <c r="DH5" s="740">
        <v>86.07</v>
      </c>
      <c r="DI5" s="740">
        <v>86.21</v>
      </c>
      <c r="DJ5" s="740">
        <v>86.36</v>
      </c>
      <c r="DK5" s="740">
        <v>86.51</v>
      </c>
      <c r="DL5" s="740">
        <v>86.65</v>
      </c>
      <c r="DM5" s="740">
        <v>86.79</v>
      </c>
      <c r="DN5" s="740">
        <v>86.92</v>
      </c>
      <c r="DO5" s="740">
        <v>87.06</v>
      </c>
      <c r="DP5" s="740">
        <v>87.2</v>
      </c>
      <c r="DQ5" s="740">
        <v>87.33</v>
      </c>
      <c r="DR5" s="740">
        <v>87.47</v>
      </c>
    </row>
    <row r="6" spans="1:122">
      <c r="A6" s="906">
        <v>4</v>
      </c>
      <c r="B6" s="92"/>
      <c r="C6" s="92"/>
      <c r="D6" s="92"/>
      <c r="E6" s="92"/>
      <c r="F6" s="92"/>
      <c r="G6" s="92"/>
      <c r="H6" s="92"/>
      <c r="I6" s="92"/>
      <c r="J6" s="92"/>
      <c r="K6" s="92"/>
      <c r="L6" s="92"/>
      <c r="M6" s="92"/>
      <c r="N6" s="92"/>
      <c r="O6" s="92"/>
      <c r="P6" s="92"/>
      <c r="Q6" s="92"/>
      <c r="R6" s="92"/>
      <c r="S6" s="92"/>
      <c r="T6" s="92"/>
      <c r="U6" s="92"/>
      <c r="V6" s="740"/>
      <c r="W6" s="740">
        <v>66.09</v>
      </c>
      <c r="X6" s="740">
        <v>66.31</v>
      </c>
      <c r="Y6" s="740">
        <v>66.37</v>
      </c>
      <c r="Z6" s="740">
        <v>66.599999999999994</v>
      </c>
      <c r="AA6" s="740">
        <v>66.84</v>
      </c>
      <c r="AB6" s="740">
        <v>67.12</v>
      </c>
      <c r="AC6" s="740">
        <v>67.260000000000005</v>
      </c>
      <c r="AD6" s="740">
        <v>67.36</v>
      </c>
      <c r="AE6" s="740">
        <v>67.58</v>
      </c>
      <c r="AF6" s="740">
        <v>67.88</v>
      </c>
      <c r="AG6" s="740">
        <v>68.2</v>
      </c>
      <c r="AH6" s="740">
        <v>68.59</v>
      </c>
      <c r="AI6" s="740">
        <v>68.94</v>
      </c>
      <c r="AJ6" s="740">
        <v>69.33</v>
      </c>
      <c r="AK6" s="740">
        <v>69.63</v>
      </c>
      <c r="AL6" s="740">
        <v>70.010000000000005</v>
      </c>
      <c r="AM6" s="740">
        <v>70.41</v>
      </c>
      <c r="AN6" s="740">
        <v>70.7</v>
      </c>
      <c r="AO6" s="740">
        <v>70.91</v>
      </c>
      <c r="AP6" s="740">
        <v>71.22</v>
      </c>
      <c r="AQ6" s="740">
        <v>71.53</v>
      </c>
      <c r="AR6" s="740">
        <v>72.03</v>
      </c>
      <c r="AS6" s="740">
        <v>72.180000000000007</v>
      </c>
      <c r="AT6" s="740">
        <v>72.44</v>
      </c>
      <c r="AU6" s="740">
        <v>72.56</v>
      </c>
      <c r="AV6" s="740">
        <v>72.680000000000007</v>
      </c>
      <c r="AW6" s="740">
        <v>73.06</v>
      </c>
      <c r="AX6" s="740">
        <v>73.27</v>
      </c>
      <c r="AY6" s="740">
        <v>73.36</v>
      </c>
      <c r="AZ6" s="740">
        <v>73.41</v>
      </c>
      <c r="BA6" s="740">
        <v>73.48</v>
      </c>
      <c r="BB6" s="740">
        <v>73.650000000000006</v>
      </c>
      <c r="BC6" s="740">
        <v>73.790000000000006</v>
      </c>
      <c r="BD6" s="740">
        <v>73.959999999999994</v>
      </c>
      <c r="BE6" s="740">
        <v>74.17</v>
      </c>
      <c r="BF6" s="740">
        <v>74.400000000000006</v>
      </c>
      <c r="BG6" s="740">
        <v>74.569999999999993</v>
      </c>
      <c r="BH6" s="740">
        <v>74.900000000000006</v>
      </c>
      <c r="BI6" s="740">
        <v>75.12</v>
      </c>
      <c r="BJ6" s="740">
        <v>75.400000000000006</v>
      </c>
      <c r="BK6" s="740">
        <v>75.650000000000006</v>
      </c>
      <c r="BL6" s="740">
        <v>75.95</v>
      </c>
      <c r="BM6" s="740">
        <v>76.260000000000005</v>
      </c>
      <c r="BN6" s="740">
        <v>76.52</v>
      </c>
      <c r="BO6" s="740">
        <v>76.8</v>
      </c>
      <c r="BP6" s="740">
        <v>77.05</v>
      </c>
      <c r="BQ6" s="740">
        <v>77.3</v>
      </c>
      <c r="BR6" s="740">
        <v>77.55</v>
      </c>
      <c r="BS6" s="740">
        <v>77.760000000000005</v>
      </c>
      <c r="BT6" s="852">
        <v>77.98</v>
      </c>
      <c r="BU6" s="740">
        <v>78.150000000000006</v>
      </c>
      <c r="BV6" s="740">
        <v>78.37</v>
      </c>
      <c r="BW6" s="740">
        <v>78.58</v>
      </c>
      <c r="BX6" s="740">
        <v>78.790000000000006</v>
      </c>
      <c r="BY6" s="740">
        <v>78.98</v>
      </c>
      <c r="BZ6" s="740">
        <v>79.180000000000007</v>
      </c>
      <c r="CA6" s="740">
        <v>79.36</v>
      </c>
      <c r="CB6" s="740">
        <v>79.53</v>
      </c>
      <c r="CC6" s="740">
        <v>79.739999999999995</v>
      </c>
      <c r="CD6" s="740">
        <v>79.95</v>
      </c>
      <c r="CE6" s="740">
        <v>80.14</v>
      </c>
      <c r="CF6" s="740">
        <v>80.349999999999994</v>
      </c>
      <c r="CG6" s="740">
        <v>80.56</v>
      </c>
      <c r="CH6" s="740">
        <v>80.739999999999995</v>
      </c>
      <c r="CI6" s="740">
        <v>80.97</v>
      </c>
      <c r="CJ6" s="740">
        <v>81.150000000000006</v>
      </c>
      <c r="CK6" s="740">
        <v>81.33</v>
      </c>
      <c r="CL6" s="740">
        <v>81.540000000000006</v>
      </c>
      <c r="CM6" s="740">
        <v>81.72</v>
      </c>
      <c r="CN6" s="740">
        <v>81.91</v>
      </c>
      <c r="CO6" s="740">
        <v>82.08</v>
      </c>
      <c r="CP6" s="740">
        <v>82.26</v>
      </c>
      <c r="CQ6" s="740">
        <v>82.44</v>
      </c>
      <c r="CR6" s="740">
        <v>82.59</v>
      </c>
      <c r="CS6" s="740">
        <v>82.77</v>
      </c>
      <c r="CT6" s="740">
        <v>82.94</v>
      </c>
      <c r="CU6" s="740">
        <v>83.1</v>
      </c>
      <c r="CV6" s="740">
        <v>83.25</v>
      </c>
      <c r="CW6" s="740">
        <v>83.41</v>
      </c>
      <c r="CX6" s="740">
        <v>83.58</v>
      </c>
      <c r="CY6" s="740">
        <v>83.74</v>
      </c>
      <c r="CZ6" s="740">
        <v>83.89</v>
      </c>
      <c r="DA6" s="740">
        <v>84.04</v>
      </c>
      <c r="DB6" s="740">
        <v>84.2</v>
      </c>
      <c r="DC6" s="740">
        <v>84.35</v>
      </c>
      <c r="DD6" s="740">
        <v>84.5</v>
      </c>
      <c r="DE6" s="740">
        <v>84.65</v>
      </c>
      <c r="DF6" s="740">
        <v>84.79</v>
      </c>
      <c r="DG6" s="740">
        <v>84.94</v>
      </c>
      <c r="DH6" s="740">
        <v>85.08</v>
      </c>
      <c r="DI6" s="740">
        <v>85.23</v>
      </c>
      <c r="DJ6" s="740">
        <v>85.37</v>
      </c>
      <c r="DK6" s="740">
        <v>85.52</v>
      </c>
      <c r="DL6" s="740">
        <v>85.66</v>
      </c>
      <c r="DM6" s="740">
        <v>85.8</v>
      </c>
      <c r="DN6" s="740">
        <v>85.94</v>
      </c>
      <c r="DO6" s="740">
        <v>86.07</v>
      </c>
      <c r="DP6" s="740">
        <v>86.21</v>
      </c>
      <c r="DQ6" s="740">
        <v>86.34</v>
      </c>
      <c r="DR6" s="740">
        <v>86.48</v>
      </c>
    </row>
    <row r="7" spans="1:122">
      <c r="A7" s="906">
        <v>5</v>
      </c>
      <c r="B7" s="92"/>
      <c r="C7" s="92"/>
      <c r="D7" s="92"/>
      <c r="E7" s="92"/>
      <c r="F7" s="92"/>
      <c r="G7" s="92"/>
      <c r="H7" s="92"/>
      <c r="I7" s="92"/>
      <c r="J7" s="92"/>
      <c r="K7" s="92"/>
      <c r="L7" s="92"/>
      <c r="M7" s="92"/>
      <c r="N7" s="92"/>
      <c r="O7" s="92"/>
      <c r="P7" s="92"/>
      <c r="Q7" s="92"/>
      <c r="R7" s="92"/>
      <c r="S7" s="92"/>
      <c r="T7" s="92"/>
      <c r="U7" s="92"/>
      <c r="V7" s="740"/>
      <c r="W7" s="740">
        <v>65.3</v>
      </c>
      <c r="X7" s="740">
        <v>65.52</v>
      </c>
      <c r="Y7" s="740">
        <v>65.59</v>
      </c>
      <c r="Z7" s="740">
        <v>65.81</v>
      </c>
      <c r="AA7" s="740">
        <v>66.09</v>
      </c>
      <c r="AB7" s="740">
        <v>66.349999999999994</v>
      </c>
      <c r="AC7" s="740">
        <v>66.459999999999994</v>
      </c>
      <c r="AD7" s="740">
        <v>66.540000000000006</v>
      </c>
      <c r="AE7" s="740">
        <v>66.77</v>
      </c>
      <c r="AF7" s="740">
        <v>67.069999999999993</v>
      </c>
      <c r="AG7" s="740">
        <v>67.42</v>
      </c>
      <c r="AH7" s="740">
        <v>67.81</v>
      </c>
      <c r="AI7" s="740">
        <v>68.150000000000006</v>
      </c>
      <c r="AJ7" s="740">
        <v>68.52</v>
      </c>
      <c r="AK7" s="740">
        <v>68.84</v>
      </c>
      <c r="AL7" s="740">
        <v>69.23</v>
      </c>
      <c r="AM7" s="740">
        <v>69.63</v>
      </c>
      <c r="AN7" s="740">
        <v>69.92</v>
      </c>
      <c r="AO7" s="740">
        <v>70.150000000000006</v>
      </c>
      <c r="AP7" s="740">
        <v>70.5</v>
      </c>
      <c r="AQ7" s="740">
        <v>70.86</v>
      </c>
      <c r="AR7" s="740">
        <v>71.239999999999995</v>
      </c>
      <c r="AS7" s="740">
        <v>71.39</v>
      </c>
      <c r="AT7" s="740">
        <v>71.569999999999993</v>
      </c>
      <c r="AU7" s="740">
        <v>71.67</v>
      </c>
      <c r="AV7" s="740">
        <v>71.790000000000006</v>
      </c>
      <c r="AW7" s="740">
        <v>72.17</v>
      </c>
      <c r="AX7" s="740">
        <v>72.36</v>
      </c>
      <c r="AY7" s="740">
        <v>72.45</v>
      </c>
      <c r="AZ7" s="740">
        <v>72.48</v>
      </c>
      <c r="BA7" s="740">
        <v>72.55</v>
      </c>
      <c r="BB7" s="740">
        <v>72.72</v>
      </c>
      <c r="BC7" s="740">
        <v>72.849999999999994</v>
      </c>
      <c r="BD7" s="740">
        <v>73.040000000000006</v>
      </c>
      <c r="BE7" s="740">
        <v>73.23</v>
      </c>
      <c r="BF7" s="740">
        <v>73.47</v>
      </c>
      <c r="BG7" s="740">
        <v>73.64</v>
      </c>
      <c r="BH7" s="740">
        <v>73.959999999999994</v>
      </c>
      <c r="BI7" s="740">
        <v>74.180000000000007</v>
      </c>
      <c r="BJ7" s="740">
        <v>74.459999999999994</v>
      </c>
      <c r="BK7" s="740">
        <v>74.709999999999994</v>
      </c>
      <c r="BL7" s="740">
        <v>75.010000000000005</v>
      </c>
      <c r="BM7" s="740">
        <v>75.319999999999993</v>
      </c>
      <c r="BN7" s="740">
        <v>75.58</v>
      </c>
      <c r="BO7" s="740">
        <v>75.86</v>
      </c>
      <c r="BP7" s="740">
        <v>76.11</v>
      </c>
      <c r="BQ7" s="740">
        <v>76.349999999999994</v>
      </c>
      <c r="BR7" s="740">
        <v>76.599999999999994</v>
      </c>
      <c r="BS7" s="740">
        <v>76.81</v>
      </c>
      <c r="BT7" s="852">
        <v>77.02</v>
      </c>
      <c r="BU7" s="740">
        <v>77.2</v>
      </c>
      <c r="BV7" s="740">
        <v>77.42</v>
      </c>
      <c r="BW7" s="740">
        <v>77.63</v>
      </c>
      <c r="BX7" s="740">
        <v>77.83</v>
      </c>
      <c r="BY7" s="740">
        <v>78.02</v>
      </c>
      <c r="BZ7" s="740">
        <v>78.209999999999994</v>
      </c>
      <c r="CA7" s="740">
        <v>78.39</v>
      </c>
      <c r="CB7" s="740">
        <v>78.56</v>
      </c>
      <c r="CC7" s="740">
        <v>78.77</v>
      </c>
      <c r="CD7" s="740">
        <v>78.98</v>
      </c>
      <c r="CE7" s="740">
        <v>79.17</v>
      </c>
      <c r="CF7" s="740">
        <v>79.37</v>
      </c>
      <c r="CG7" s="740">
        <v>79.59</v>
      </c>
      <c r="CH7" s="740">
        <v>79.77</v>
      </c>
      <c r="CI7" s="740">
        <v>79.989999999999995</v>
      </c>
      <c r="CJ7" s="740">
        <v>80.17</v>
      </c>
      <c r="CK7" s="740">
        <v>80.349999999999994</v>
      </c>
      <c r="CL7" s="740">
        <v>80.56</v>
      </c>
      <c r="CM7" s="740">
        <v>80.739999999999995</v>
      </c>
      <c r="CN7" s="740">
        <v>80.92</v>
      </c>
      <c r="CO7" s="740">
        <v>81.099999999999994</v>
      </c>
      <c r="CP7" s="740">
        <v>81.27</v>
      </c>
      <c r="CQ7" s="740">
        <v>81.45</v>
      </c>
      <c r="CR7" s="740">
        <v>81.61</v>
      </c>
      <c r="CS7" s="740">
        <v>81.78</v>
      </c>
      <c r="CT7" s="740">
        <v>81.95</v>
      </c>
      <c r="CU7" s="740">
        <v>82.11</v>
      </c>
      <c r="CV7" s="740">
        <v>82.26</v>
      </c>
      <c r="CW7" s="740">
        <v>82.42</v>
      </c>
      <c r="CX7" s="740">
        <v>82.59</v>
      </c>
      <c r="CY7" s="740">
        <v>82.75</v>
      </c>
      <c r="CZ7" s="740">
        <v>82.9</v>
      </c>
      <c r="DA7" s="740">
        <v>83.06</v>
      </c>
      <c r="DB7" s="740">
        <v>83.21</v>
      </c>
      <c r="DC7" s="740">
        <v>83.36</v>
      </c>
      <c r="DD7" s="740">
        <v>83.51</v>
      </c>
      <c r="DE7" s="740">
        <v>83.66</v>
      </c>
      <c r="DF7" s="740">
        <v>83.8</v>
      </c>
      <c r="DG7" s="740">
        <v>83.95</v>
      </c>
      <c r="DH7" s="740">
        <v>84.09</v>
      </c>
      <c r="DI7" s="740">
        <v>84.24</v>
      </c>
      <c r="DJ7" s="740">
        <v>84.38</v>
      </c>
      <c r="DK7" s="740">
        <v>84.53</v>
      </c>
      <c r="DL7" s="740">
        <v>84.67</v>
      </c>
      <c r="DM7" s="740">
        <v>84.81</v>
      </c>
      <c r="DN7" s="740">
        <v>84.94</v>
      </c>
      <c r="DO7" s="740">
        <v>85.08</v>
      </c>
      <c r="DP7" s="740">
        <v>85.22</v>
      </c>
      <c r="DQ7" s="740">
        <v>85.35</v>
      </c>
      <c r="DR7" s="740">
        <v>85.48</v>
      </c>
    </row>
    <row r="8" spans="1:122">
      <c r="A8" s="906">
        <v>6</v>
      </c>
      <c r="B8" s="92"/>
      <c r="C8" s="92"/>
      <c r="D8" s="92"/>
      <c r="E8" s="92"/>
      <c r="F8" s="92"/>
      <c r="G8" s="92"/>
      <c r="H8" s="92"/>
      <c r="I8" s="92"/>
      <c r="J8" s="92"/>
      <c r="K8" s="92"/>
      <c r="L8" s="92"/>
      <c r="M8" s="92"/>
      <c r="N8" s="92"/>
      <c r="O8" s="92"/>
      <c r="P8" s="92"/>
      <c r="Q8" s="92"/>
      <c r="R8" s="92"/>
      <c r="S8" s="92"/>
      <c r="T8" s="92"/>
      <c r="U8" s="92"/>
      <c r="V8" s="740"/>
      <c r="W8" s="740">
        <v>64.459999999999994</v>
      </c>
      <c r="X8" s="740">
        <v>64.69</v>
      </c>
      <c r="Y8" s="740">
        <v>64.760000000000005</v>
      </c>
      <c r="Z8" s="740">
        <v>65.010000000000005</v>
      </c>
      <c r="AA8" s="740">
        <v>65.28</v>
      </c>
      <c r="AB8" s="740">
        <v>65.52</v>
      </c>
      <c r="AC8" s="740">
        <v>65.61</v>
      </c>
      <c r="AD8" s="740">
        <v>65.7</v>
      </c>
      <c r="AE8" s="740">
        <v>65.92</v>
      </c>
      <c r="AF8" s="740">
        <v>66.25</v>
      </c>
      <c r="AG8" s="740">
        <v>66.599999999999994</v>
      </c>
      <c r="AH8" s="740">
        <v>66.989999999999995</v>
      </c>
      <c r="AI8" s="740">
        <v>67.31</v>
      </c>
      <c r="AJ8" s="740">
        <v>67.7</v>
      </c>
      <c r="AK8" s="740">
        <v>68.02</v>
      </c>
      <c r="AL8" s="740">
        <v>68.41</v>
      </c>
      <c r="AM8" s="740">
        <v>68.81</v>
      </c>
      <c r="AN8" s="740">
        <v>69.12</v>
      </c>
      <c r="AO8" s="740">
        <v>69.38</v>
      </c>
      <c r="AP8" s="740">
        <v>69.77</v>
      </c>
      <c r="AQ8" s="740">
        <v>70.02</v>
      </c>
      <c r="AR8" s="740">
        <v>70.400000000000006</v>
      </c>
      <c r="AS8" s="740">
        <v>70.5</v>
      </c>
      <c r="AT8" s="740">
        <v>70.66</v>
      </c>
      <c r="AU8" s="740">
        <v>70.760000000000005</v>
      </c>
      <c r="AV8" s="740">
        <v>70.87</v>
      </c>
      <c r="AW8" s="740">
        <v>71.239999999999995</v>
      </c>
      <c r="AX8" s="740">
        <v>71.42</v>
      </c>
      <c r="AY8" s="740">
        <v>71.52</v>
      </c>
      <c r="AZ8" s="740">
        <v>71.55</v>
      </c>
      <c r="BA8" s="740">
        <v>71.61</v>
      </c>
      <c r="BB8" s="740">
        <v>71.78</v>
      </c>
      <c r="BC8" s="740">
        <v>71.91</v>
      </c>
      <c r="BD8" s="740">
        <v>72.09</v>
      </c>
      <c r="BE8" s="740">
        <v>72.290000000000006</v>
      </c>
      <c r="BF8" s="740">
        <v>72.52</v>
      </c>
      <c r="BG8" s="740">
        <v>72.69</v>
      </c>
      <c r="BH8" s="740">
        <v>73.010000000000005</v>
      </c>
      <c r="BI8" s="740">
        <v>73.22</v>
      </c>
      <c r="BJ8" s="740">
        <v>73.510000000000005</v>
      </c>
      <c r="BK8" s="740">
        <v>73.760000000000005</v>
      </c>
      <c r="BL8" s="740">
        <v>74.069999999999993</v>
      </c>
      <c r="BM8" s="740">
        <v>74.37</v>
      </c>
      <c r="BN8" s="740">
        <v>74.64</v>
      </c>
      <c r="BO8" s="740">
        <v>74.91</v>
      </c>
      <c r="BP8" s="740">
        <v>75.17</v>
      </c>
      <c r="BQ8" s="740">
        <v>75.400000000000006</v>
      </c>
      <c r="BR8" s="740">
        <v>75.650000000000006</v>
      </c>
      <c r="BS8" s="740">
        <v>75.86</v>
      </c>
      <c r="BT8" s="852">
        <v>76.06</v>
      </c>
      <c r="BU8" s="740">
        <v>76.239999999999995</v>
      </c>
      <c r="BV8" s="740">
        <v>76.45</v>
      </c>
      <c r="BW8" s="740">
        <v>76.66</v>
      </c>
      <c r="BX8" s="740">
        <v>76.87</v>
      </c>
      <c r="BY8" s="740">
        <v>77.06</v>
      </c>
      <c r="BZ8" s="740">
        <v>77.239999999999995</v>
      </c>
      <c r="CA8" s="740">
        <v>77.430000000000007</v>
      </c>
      <c r="CB8" s="740">
        <v>77.59</v>
      </c>
      <c r="CC8" s="740">
        <v>77.790000000000006</v>
      </c>
      <c r="CD8" s="740">
        <v>78</v>
      </c>
      <c r="CE8" s="740">
        <v>78.19</v>
      </c>
      <c r="CF8" s="740">
        <v>78.400000000000006</v>
      </c>
      <c r="CG8" s="740">
        <v>78.61</v>
      </c>
      <c r="CH8" s="740">
        <v>78.790000000000006</v>
      </c>
      <c r="CI8" s="740">
        <v>79.02</v>
      </c>
      <c r="CJ8" s="740">
        <v>79.2</v>
      </c>
      <c r="CK8" s="740">
        <v>79.37</v>
      </c>
      <c r="CL8" s="740">
        <v>79.569999999999993</v>
      </c>
      <c r="CM8" s="740">
        <v>79.760000000000005</v>
      </c>
      <c r="CN8" s="740">
        <v>79.94</v>
      </c>
      <c r="CO8" s="740">
        <v>80.11</v>
      </c>
      <c r="CP8" s="740">
        <v>80.290000000000006</v>
      </c>
      <c r="CQ8" s="740">
        <v>80.459999999999994</v>
      </c>
      <c r="CR8" s="740">
        <v>80.62</v>
      </c>
      <c r="CS8" s="740">
        <v>80.790000000000006</v>
      </c>
      <c r="CT8" s="740">
        <v>80.959999999999994</v>
      </c>
      <c r="CU8" s="740">
        <v>81.12</v>
      </c>
      <c r="CV8" s="740">
        <v>81.27</v>
      </c>
      <c r="CW8" s="740">
        <v>81.44</v>
      </c>
      <c r="CX8" s="740">
        <v>81.599999999999994</v>
      </c>
      <c r="CY8" s="740">
        <v>81.760000000000005</v>
      </c>
      <c r="CZ8" s="740">
        <v>81.91</v>
      </c>
      <c r="DA8" s="740">
        <v>82.06</v>
      </c>
      <c r="DB8" s="740">
        <v>82.22</v>
      </c>
      <c r="DC8" s="740">
        <v>82.37</v>
      </c>
      <c r="DD8" s="740">
        <v>82.52</v>
      </c>
      <c r="DE8" s="740">
        <v>82.67</v>
      </c>
      <c r="DF8" s="740">
        <v>82.81</v>
      </c>
      <c r="DG8" s="740">
        <v>82.96</v>
      </c>
      <c r="DH8" s="740">
        <v>83.1</v>
      </c>
      <c r="DI8" s="740">
        <v>83.25</v>
      </c>
      <c r="DJ8" s="740">
        <v>83.39</v>
      </c>
      <c r="DK8" s="740">
        <v>83.53</v>
      </c>
      <c r="DL8" s="740">
        <v>83.67</v>
      </c>
      <c r="DM8" s="740">
        <v>83.81</v>
      </c>
      <c r="DN8" s="740">
        <v>83.95</v>
      </c>
      <c r="DO8" s="740">
        <v>84.09</v>
      </c>
      <c r="DP8" s="740">
        <v>84.22</v>
      </c>
      <c r="DQ8" s="740">
        <v>84.36</v>
      </c>
      <c r="DR8" s="740">
        <v>84.49</v>
      </c>
    </row>
    <row r="9" spans="1:122">
      <c r="A9" s="906">
        <v>7</v>
      </c>
      <c r="B9" s="92"/>
      <c r="C9" s="92"/>
      <c r="D9" s="92"/>
      <c r="E9" s="92"/>
      <c r="F9" s="92"/>
      <c r="G9" s="92"/>
      <c r="H9" s="92"/>
      <c r="I9" s="92"/>
      <c r="J9" s="92"/>
      <c r="K9" s="92"/>
      <c r="L9" s="92"/>
      <c r="M9" s="92"/>
      <c r="N9" s="92"/>
      <c r="O9" s="92"/>
      <c r="P9" s="92"/>
      <c r="Q9" s="92"/>
      <c r="R9" s="92"/>
      <c r="S9" s="92"/>
      <c r="T9" s="92"/>
      <c r="U9" s="92"/>
      <c r="V9" s="740"/>
      <c r="W9" s="740">
        <v>63.59</v>
      </c>
      <c r="X9" s="740">
        <v>63.84</v>
      </c>
      <c r="Y9" s="740">
        <v>63.93</v>
      </c>
      <c r="Z9" s="740">
        <v>64.19</v>
      </c>
      <c r="AA9" s="740">
        <v>64.430000000000007</v>
      </c>
      <c r="AB9" s="740">
        <v>64.66</v>
      </c>
      <c r="AC9" s="740">
        <v>64.75</v>
      </c>
      <c r="AD9" s="740">
        <v>64.84</v>
      </c>
      <c r="AE9" s="740">
        <v>65.09</v>
      </c>
      <c r="AF9" s="740">
        <v>65.42</v>
      </c>
      <c r="AG9" s="740">
        <v>65.760000000000005</v>
      </c>
      <c r="AH9" s="740">
        <v>66.14</v>
      </c>
      <c r="AI9" s="740">
        <v>66.47</v>
      </c>
      <c r="AJ9" s="740">
        <v>66.86</v>
      </c>
      <c r="AK9" s="740">
        <v>67.19</v>
      </c>
      <c r="AL9" s="740">
        <v>67.569999999999993</v>
      </c>
      <c r="AM9" s="740">
        <v>67.989999999999995</v>
      </c>
      <c r="AN9" s="740">
        <v>68.319999999999993</v>
      </c>
      <c r="AO9" s="740">
        <v>68.63</v>
      </c>
      <c r="AP9" s="740">
        <v>68.900000000000006</v>
      </c>
      <c r="AQ9" s="740">
        <v>69.150000000000006</v>
      </c>
      <c r="AR9" s="740">
        <v>69.489999999999995</v>
      </c>
      <c r="AS9" s="740">
        <v>69.569999999999993</v>
      </c>
      <c r="AT9" s="740">
        <v>69.73</v>
      </c>
      <c r="AU9" s="740">
        <v>69.83</v>
      </c>
      <c r="AV9" s="740">
        <v>69.930000000000007</v>
      </c>
      <c r="AW9" s="740">
        <v>70.290000000000006</v>
      </c>
      <c r="AX9" s="740">
        <v>70.48</v>
      </c>
      <c r="AY9" s="740">
        <v>70.58</v>
      </c>
      <c r="AZ9" s="740">
        <v>70.61</v>
      </c>
      <c r="BA9" s="740">
        <v>70.67</v>
      </c>
      <c r="BB9" s="740">
        <v>70.83</v>
      </c>
      <c r="BC9" s="740">
        <v>70.95</v>
      </c>
      <c r="BD9" s="740">
        <v>71.150000000000006</v>
      </c>
      <c r="BE9" s="740">
        <v>71.34</v>
      </c>
      <c r="BF9" s="740">
        <v>71.569999999999993</v>
      </c>
      <c r="BG9" s="740">
        <v>71.73</v>
      </c>
      <c r="BH9" s="740">
        <v>72.06</v>
      </c>
      <c r="BI9" s="740">
        <v>72.27</v>
      </c>
      <c r="BJ9" s="740">
        <v>72.56</v>
      </c>
      <c r="BK9" s="740">
        <v>72.81</v>
      </c>
      <c r="BL9" s="740">
        <v>73.12</v>
      </c>
      <c r="BM9" s="740">
        <v>73.42</v>
      </c>
      <c r="BN9" s="740">
        <v>73.69</v>
      </c>
      <c r="BO9" s="740">
        <v>73.959999999999994</v>
      </c>
      <c r="BP9" s="740">
        <v>74.209999999999994</v>
      </c>
      <c r="BQ9" s="740">
        <v>74.44</v>
      </c>
      <c r="BR9" s="740">
        <v>74.69</v>
      </c>
      <c r="BS9" s="740">
        <v>74.900000000000006</v>
      </c>
      <c r="BT9" s="852">
        <v>75.099999999999994</v>
      </c>
      <c r="BU9" s="740">
        <v>75.27</v>
      </c>
      <c r="BV9" s="740">
        <v>75.489999999999995</v>
      </c>
      <c r="BW9" s="740">
        <v>75.69</v>
      </c>
      <c r="BX9" s="740">
        <v>75.900000000000006</v>
      </c>
      <c r="BY9" s="740">
        <v>76.09</v>
      </c>
      <c r="BZ9" s="740">
        <v>76.27</v>
      </c>
      <c r="CA9" s="740">
        <v>76.45</v>
      </c>
      <c r="CB9" s="740">
        <v>76.61</v>
      </c>
      <c r="CC9" s="740">
        <v>76.819999999999993</v>
      </c>
      <c r="CD9" s="740">
        <v>77.02</v>
      </c>
      <c r="CE9" s="740">
        <v>77.22</v>
      </c>
      <c r="CF9" s="740">
        <v>77.42</v>
      </c>
      <c r="CG9" s="740">
        <v>77.62</v>
      </c>
      <c r="CH9" s="740">
        <v>77.81</v>
      </c>
      <c r="CI9" s="740">
        <v>78.03</v>
      </c>
      <c r="CJ9" s="740">
        <v>78.209999999999994</v>
      </c>
      <c r="CK9" s="740">
        <v>78.39</v>
      </c>
      <c r="CL9" s="740">
        <v>78.58</v>
      </c>
      <c r="CM9" s="740">
        <v>78.78</v>
      </c>
      <c r="CN9" s="740">
        <v>78.95</v>
      </c>
      <c r="CO9" s="740">
        <v>79.12</v>
      </c>
      <c r="CP9" s="740">
        <v>79.3</v>
      </c>
      <c r="CQ9" s="740">
        <v>79.47</v>
      </c>
      <c r="CR9" s="740">
        <v>79.63</v>
      </c>
      <c r="CS9" s="740">
        <v>79.8</v>
      </c>
      <c r="CT9" s="740">
        <v>79.98</v>
      </c>
      <c r="CU9" s="740">
        <v>80.13</v>
      </c>
      <c r="CV9" s="740">
        <v>80.28</v>
      </c>
      <c r="CW9" s="740">
        <v>80.44</v>
      </c>
      <c r="CX9" s="740">
        <v>80.599999999999994</v>
      </c>
      <c r="CY9" s="740">
        <v>80.77</v>
      </c>
      <c r="CZ9" s="740">
        <v>80.92</v>
      </c>
      <c r="DA9" s="740">
        <v>81.069999999999993</v>
      </c>
      <c r="DB9" s="740">
        <v>81.23</v>
      </c>
      <c r="DC9" s="740">
        <v>81.37</v>
      </c>
      <c r="DD9" s="740">
        <v>81.53</v>
      </c>
      <c r="DE9" s="740">
        <v>81.680000000000007</v>
      </c>
      <c r="DF9" s="740">
        <v>81.819999999999993</v>
      </c>
      <c r="DG9" s="740">
        <v>81.97</v>
      </c>
      <c r="DH9" s="740">
        <v>82.11</v>
      </c>
      <c r="DI9" s="740">
        <v>82.25</v>
      </c>
      <c r="DJ9" s="740">
        <v>82.4</v>
      </c>
      <c r="DK9" s="740">
        <v>82.54</v>
      </c>
      <c r="DL9" s="740">
        <v>82.68</v>
      </c>
      <c r="DM9" s="740">
        <v>82.82</v>
      </c>
      <c r="DN9" s="740">
        <v>82.96</v>
      </c>
      <c r="DO9" s="740">
        <v>83.09</v>
      </c>
      <c r="DP9" s="740">
        <v>83.23</v>
      </c>
      <c r="DQ9" s="740">
        <v>83.36</v>
      </c>
      <c r="DR9" s="740">
        <v>83.5</v>
      </c>
    </row>
    <row r="10" spans="1:122">
      <c r="A10" s="906">
        <v>8</v>
      </c>
      <c r="B10" s="92"/>
      <c r="C10" s="92"/>
      <c r="D10" s="92"/>
      <c r="E10" s="92"/>
      <c r="F10" s="92"/>
      <c r="G10" s="92"/>
      <c r="H10" s="92"/>
      <c r="I10" s="92"/>
      <c r="J10" s="92"/>
      <c r="K10" s="92"/>
      <c r="L10" s="92"/>
      <c r="M10" s="92"/>
      <c r="N10" s="92"/>
      <c r="O10" s="92"/>
      <c r="P10" s="92"/>
      <c r="Q10" s="92"/>
      <c r="R10" s="92"/>
      <c r="S10" s="92"/>
      <c r="T10" s="92"/>
      <c r="U10" s="92"/>
      <c r="V10" s="740"/>
      <c r="W10" s="740">
        <v>62.72</v>
      </c>
      <c r="X10" s="740">
        <v>62.98</v>
      </c>
      <c r="Y10" s="740">
        <v>63.07</v>
      </c>
      <c r="Z10" s="740">
        <v>63.3</v>
      </c>
      <c r="AA10" s="740">
        <v>63.56</v>
      </c>
      <c r="AB10" s="740">
        <v>63.79</v>
      </c>
      <c r="AC10" s="740">
        <v>63.88</v>
      </c>
      <c r="AD10" s="740">
        <v>63.98</v>
      </c>
      <c r="AE10" s="740">
        <v>64.23</v>
      </c>
      <c r="AF10" s="740">
        <v>64.55</v>
      </c>
      <c r="AG10" s="740">
        <v>64.89</v>
      </c>
      <c r="AH10" s="740">
        <v>65.27</v>
      </c>
      <c r="AI10" s="740">
        <v>65.61</v>
      </c>
      <c r="AJ10" s="740">
        <v>66</v>
      </c>
      <c r="AK10" s="740">
        <v>66.33</v>
      </c>
      <c r="AL10" s="740">
        <v>66.72</v>
      </c>
      <c r="AM10" s="740">
        <v>67.17</v>
      </c>
      <c r="AN10" s="740">
        <v>67.540000000000006</v>
      </c>
      <c r="AO10" s="740">
        <v>67.739999999999995</v>
      </c>
      <c r="AP10" s="740">
        <v>68.02</v>
      </c>
      <c r="AQ10" s="740">
        <v>68.239999999999995</v>
      </c>
      <c r="AR10" s="740">
        <v>68.55</v>
      </c>
      <c r="AS10" s="740">
        <v>68.63</v>
      </c>
      <c r="AT10" s="740">
        <v>68.8</v>
      </c>
      <c r="AU10" s="740">
        <v>68.88</v>
      </c>
      <c r="AV10" s="740">
        <v>68.989999999999995</v>
      </c>
      <c r="AW10" s="740">
        <v>69.34</v>
      </c>
      <c r="AX10" s="740">
        <v>69.53</v>
      </c>
      <c r="AY10" s="740">
        <v>69.63</v>
      </c>
      <c r="AZ10" s="740">
        <v>69.66</v>
      </c>
      <c r="BA10" s="740">
        <v>69.709999999999994</v>
      </c>
      <c r="BB10" s="740">
        <v>69.88</v>
      </c>
      <c r="BC10" s="740">
        <v>69.989999999999995</v>
      </c>
      <c r="BD10" s="740">
        <v>70.19</v>
      </c>
      <c r="BE10" s="740">
        <v>70.38</v>
      </c>
      <c r="BF10" s="740">
        <v>70.62</v>
      </c>
      <c r="BG10" s="740">
        <v>70.77</v>
      </c>
      <c r="BH10" s="740">
        <v>71.099999999999994</v>
      </c>
      <c r="BI10" s="740">
        <v>71.31</v>
      </c>
      <c r="BJ10" s="740">
        <v>71.61</v>
      </c>
      <c r="BK10" s="740">
        <v>71.849999999999994</v>
      </c>
      <c r="BL10" s="740">
        <v>72.16</v>
      </c>
      <c r="BM10" s="740">
        <v>72.459999999999994</v>
      </c>
      <c r="BN10" s="740">
        <v>72.73</v>
      </c>
      <c r="BO10" s="740">
        <v>73.010000000000005</v>
      </c>
      <c r="BP10" s="740">
        <v>73.25</v>
      </c>
      <c r="BQ10" s="740">
        <v>73.48</v>
      </c>
      <c r="BR10" s="740">
        <v>73.72</v>
      </c>
      <c r="BS10" s="740">
        <v>73.930000000000007</v>
      </c>
      <c r="BT10" s="852">
        <v>74.14</v>
      </c>
      <c r="BU10" s="740">
        <v>74.31</v>
      </c>
      <c r="BV10" s="740">
        <v>74.52</v>
      </c>
      <c r="BW10" s="740">
        <v>74.72</v>
      </c>
      <c r="BX10" s="740">
        <v>74.930000000000007</v>
      </c>
      <c r="BY10" s="740">
        <v>75.11</v>
      </c>
      <c r="BZ10" s="740">
        <v>75.290000000000006</v>
      </c>
      <c r="CA10" s="740">
        <v>75.47</v>
      </c>
      <c r="CB10" s="740">
        <v>75.64</v>
      </c>
      <c r="CC10" s="740">
        <v>75.83</v>
      </c>
      <c r="CD10" s="740">
        <v>76.040000000000006</v>
      </c>
      <c r="CE10" s="740">
        <v>76.239999999999995</v>
      </c>
      <c r="CF10" s="740">
        <v>76.44</v>
      </c>
      <c r="CG10" s="740">
        <v>76.650000000000006</v>
      </c>
      <c r="CH10" s="740">
        <v>76.819999999999993</v>
      </c>
      <c r="CI10" s="740">
        <v>77.05</v>
      </c>
      <c r="CJ10" s="740">
        <v>77.23</v>
      </c>
      <c r="CK10" s="740">
        <v>77.400000000000006</v>
      </c>
      <c r="CL10" s="740">
        <v>77.599999999999994</v>
      </c>
      <c r="CM10" s="740">
        <v>77.78</v>
      </c>
      <c r="CN10" s="740">
        <v>77.97</v>
      </c>
      <c r="CO10" s="740">
        <v>78.13</v>
      </c>
      <c r="CP10" s="740">
        <v>78.31</v>
      </c>
      <c r="CQ10" s="740">
        <v>78.48</v>
      </c>
      <c r="CR10" s="740">
        <v>78.64</v>
      </c>
      <c r="CS10" s="740">
        <v>78.81</v>
      </c>
      <c r="CT10" s="740">
        <v>78.989999999999995</v>
      </c>
      <c r="CU10" s="740">
        <v>79.13</v>
      </c>
      <c r="CV10" s="740">
        <v>79.290000000000006</v>
      </c>
      <c r="CW10" s="740">
        <v>79.45</v>
      </c>
      <c r="CX10" s="740">
        <v>79.61</v>
      </c>
      <c r="CY10" s="740">
        <v>79.78</v>
      </c>
      <c r="CZ10" s="740">
        <v>79.930000000000007</v>
      </c>
      <c r="DA10" s="740">
        <v>80.08</v>
      </c>
      <c r="DB10" s="740">
        <v>80.239999999999995</v>
      </c>
      <c r="DC10" s="740">
        <v>80.38</v>
      </c>
      <c r="DD10" s="740">
        <v>80.53</v>
      </c>
      <c r="DE10" s="740">
        <v>80.680000000000007</v>
      </c>
      <c r="DF10" s="740">
        <v>80.819999999999993</v>
      </c>
      <c r="DG10" s="740">
        <v>80.97</v>
      </c>
      <c r="DH10" s="740">
        <v>81.12</v>
      </c>
      <c r="DI10" s="740">
        <v>81.260000000000005</v>
      </c>
      <c r="DJ10" s="740">
        <v>81.41</v>
      </c>
      <c r="DK10" s="740">
        <v>81.55</v>
      </c>
      <c r="DL10" s="740">
        <v>81.69</v>
      </c>
      <c r="DM10" s="740">
        <v>81.83</v>
      </c>
      <c r="DN10" s="740">
        <v>81.96</v>
      </c>
      <c r="DO10" s="740">
        <v>82.1</v>
      </c>
      <c r="DP10" s="740">
        <v>82.23</v>
      </c>
      <c r="DQ10" s="740">
        <v>82.37</v>
      </c>
      <c r="DR10" s="740">
        <v>82.5</v>
      </c>
    </row>
    <row r="11" spans="1:122">
      <c r="A11" s="906">
        <v>9</v>
      </c>
      <c r="B11" s="92"/>
      <c r="C11" s="92"/>
      <c r="D11" s="92"/>
      <c r="E11" s="92"/>
      <c r="F11" s="92"/>
      <c r="G11" s="92"/>
      <c r="H11" s="92"/>
      <c r="I11" s="92"/>
      <c r="J11" s="92"/>
      <c r="K11" s="92"/>
      <c r="L11" s="92"/>
      <c r="M11" s="92"/>
      <c r="N11" s="92"/>
      <c r="O11" s="92"/>
      <c r="P11" s="92"/>
      <c r="Q11" s="92"/>
      <c r="R11" s="92"/>
      <c r="S11" s="92"/>
      <c r="T11" s="92"/>
      <c r="U11" s="92"/>
      <c r="V11" s="740"/>
      <c r="W11" s="740">
        <v>61.84</v>
      </c>
      <c r="X11" s="740">
        <v>62.09</v>
      </c>
      <c r="Y11" s="740">
        <v>62.17</v>
      </c>
      <c r="Z11" s="740">
        <v>62.41</v>
      </c>
      <c r="AA11" s="740">
        <v>62.67</v>
      </c>
      <c r="AB11" s="740">
        <v>62.9</v>
      </c>
      <c r="AC11" s="740">
        <v>63.01</v>
      </c>
      <c r="AD11" s="740">
        <v>63.11</v>
      </c>
      <c r="AE11" s="740">
        <v>63.34</v>
      </c>
      <c r="AF11" s="740">
        <v>63.66</v>
      </c>
      <c r="AG11" s="740">
        <v>64.010000000000005</v>
      </c>
      <c r="AH11" s="740">
        <v>64.39</v>
      </c>
      <c r="AI11" s="740">
        <v>64.73</v>
      </c>
      <c r="AJ11" s="740">
        <v>65.13</v>
      </c>
      <c r="AK11" s="740">
        <v>65.459999999999994</v>
      </c>
      <c r="AL11" s="740">
        <v>65.88</v>
      </c>
      <c r="AM11" s="740">
        <v>66.349999999999994</v>
      </c>
      <c r="AN11" s="740">
        <v>66.64</v>
      </c>
      <c r="AO11" s="740">
        <v>66.84</v>
      </c>
      <c r="AP11" s="740">
        <v>67.099999999999994</v>
      </c>
      <c r="AQ11" s="740">
        <v>67.290000000000006</v>
      </c>
      <c r="AR11" s="740">
        <v>67.61</v>
      </c>
      <c r="AS11" s="740">
        <v>67.69</v>
      </c>
      <c r="AT11" s="740">
        <v>67.84</v>
      </c>
      <c r="AU11" s="740">
        <v>67.930000000000007</v>
      </c>
      <c r="AV11" s="740">
        <v>68.03</v>
      </c>
      <c r="AW11" s="740">
        <v>68.38</v>
      </c>
      <c r="AX11" s="740">
        <v>68.569999999999993</v>
      </c>
      <c r="AY11" s="740">
        <v>68.67</v>
      </c>
      <c r="AZ11" s="740">
        <v>68.7</v>
      </c>
      <c r="BA11" s="740">
        <v>68.75</v>
      </c>
      <c r="BB11" s="740">
        <v>68.92</v>
      </c>
      <c r="BC11" s="740">
        <v>69.040000000000006</v>
      </c>
      <c r="BD11" s="740">
        <v>69.23</v>
      </c>
      <c r="BE11" s="740">
        <v>69.42</v>
      </c>
      <c r="BF11" s="740">
        <v>69.66</v>
      </c>
      <c r="BG11" s="740">
        <v>69.819999999999993</v>
      </c>
      <c r="BH11" s="740">
        <v>70.150000000000006</v>
      </c>
      <c r="BI11" s="740">
        <v>70.36</v>
      </c>
      <c r="BJ11" s="740">
        <v>70.650000000000006</v>
      </c>
      <c r="BK11" s="740">
        <v>70.89</v>
      </c>
      <c r="BL11" s="740">
        <v>71.2</v>
      </c>
      <c r="BM11" s="740">
        <v>71.5</v>
      </c>
      <c r="BN11" s="740">
        <v>71.77</v>
      </c>
      <c r="BO11" s="740">
        <v>72.040000000000006</v>
      </c>
      <c r="BP11" s="740">
        <v>72.28</v>
      </c>
      <c r="BQ11" s="740">
        <v>72.510000000000005</v>
      </c>
      <c r="BR11" s="740">
        <v>72.75</v>
      </c>
      <c r="BS11" s="740">
        <v>72.959999999999994</v>
      </c>
      <c r="BT11" s="852">
        <v>73.17</v>
      </c>
      <c r="BU11" s="740">
        <v>73.33</v>
      </c>
      <c r="BV11" s="740">
        <v>73.55</v>
      </c>
      <c r="BW11" s="740">
        <v>73.75</v>
      </c>
      <c r="BX11" s="740">
        <v>73.95</v>
      </c>
      <c r="BY11" s="740">
        <v>74.13</v>
      </c>
      <c r="BZ11" s="740">
        <v>74.31</v>
      </c>
      <c r="CA11" s="740">
        <v>74.489999999999995</v>
      </c>
      <c r="CB11" s="740">
        <v>74.66</v>
      </c>
      <c r="CC11" s="740">
        <v>74.849999999999994</v>
      </c>
      <c r="CD11" s="740">
        <v>75.06</v>
      </c>
      <c r="CE11" s="740">
        <v>75.260000000000005</v>
      </c>
      <c r="CF11" s="740">
        <v>75.459999999999994</v>
      </c>
      <c r="CG11" s="740">
        <v>75.66</v>
      </c>
      <c r="CH11" s="740">
        <v>75.83</v>
      </c>
      <c r="CI11" s="740">
        <v>76.06</v>
      </c>
      <c r="CJ11" s="740">
        <v>76.239999999999995</v>
      </c>
      <c r="CK11" s="740">
        <v>76.41</v>
      </c>
      <c r="CL11" s="740">
        <v>76.61</v>
      </c>
      <c r="CM11" s="740">
        <v>76.8</v>
      </c>
      <c r="CN11" s="740">
        <v>76.98</v>
      </c>
      <c r="CO11" s="740">
        <v>77.150000000000006</v>
      </c>
      <c r="CP11" s="740">
        <v>77.319999999999993</v>
      </c>
      <c r="CQ11" s="740">
        <v>77.489999999999995</v>
      </c>
      <c r="CR11" s="740">
        <v>77.650000000000006</v>
      </c>
      <c r="CS11" s="740">
        <v>77.83</v>
      </c>
      <c r="CT11" s="740">
        <v>77.989999999999995</v>
      </c>
      <c r="CU11" s="740">
        <v>78.14</v>
      </c>
      <c r="CV11" s="740">
        <v>78.3</v>
      </c>
      <c r="CW11" s="740">
        <v>78.459999999999994</v>
      </c>
      <c r="CX11" s="740">
        <v>78.62</v>
      </c>
      <c r="CY11" s="740">
        <v>78.78</v>
      </c>
      <c r="CZ11" s="740">
        <v>78.94</v>
      </c>
      <c r="DA11" s="740">
        <v>79.08</v>
      </c>
      <c r="DB11" s="740">
        <v>79.239999999999995</v>
      </c>
      <c r="DC11" s="740">
        <v>79.39</v>
      </c>
      <c r="DD11" s="740">
        <v>79.540000000000006</v>
      </c>
      <c r="DE11" s="740">
        <v>79.69</v>
      </c>
      <c r="DF11" s="740">
        <v>79.83</v>
      </c>
      <c r="DG11" s="740">
        <v>79.98</v>
      </c>
      <c r="DH11" s="740">
        <v>80.12</v>
      </c>
      <c r="DI11" s="740">
        <v>80.27</v>
      </c>
      <c r="DJ11" s="740">
        <v>80.41</v>
      </c>
      <c r="DK11" s="740">
        <v>80.55</v>
      </c>
      <c r="DL11" s="740">
        <v>80.69</v>
      </c>
      <c r="DM11" s="740">
        <v>80.83</v>
      </c>
      <c r="DN11" s="740">
        <v>80.97</v>
      </c>
      <c r="DO11" s="740">
        <v>81.099999999999994</v>
      </c>
      <c r="DP11" s="740">
        <v>81.239999999999995</v>
      </c>
      <c r="DQ11" s="740">
        <v>81.37</v>
      </c>
      <c r="DR11" s="740">
        <v>81.5</v>
      </c>
    </row>
    <row r="12" spans="1:122">
      <c r="A12" s="906">
        <v>10</v>
      </c>
      <c r="B12" s="92"/>
      <c r="C12" s="92"/>
      <c r="D12" s="92"/>
      <c r="E12" s="92"/>
      <c r="F12" s="92"/>
      <c r="G12" s="92"/>
      <c r="H12" s="92"/>
      <c r="I12" s="92"/>
      <c r="J12" s="92"/>
      <c r="K12" s="92"/>
      <c r="L12" s="92"/>
      <c r="M12" s="92"/>
      <c r="N12" s="92"/>
      <c r="O12" s="92"/>
      <c r="P12" s="92"/>
      <c r="Q12" s="92"/>
      <c r="R12" s="92"/>
      <c r="S12" s="92"/>
      <c r="T12" s="92"/>
      <c r="U12" s="92"/>
      <c r="V12" s="740"/>
      <c r="W12" s="740">
        <v>60.94</v>
      </c>
      <c r="X12" s="740">
        <v>61.18</v>
      </c>
      <c r="Y12" s="740">
        <v>61.26</v>
      </c>
      <c r="Z12" s="740">
        <v>61.5</v>
      </c>
      <c r="AA12" s="740">
        <v>61.76</v>
      </c>
      <c r="AB12" s="740">
        <v>62.01</v>
      </c>
      <c r="AC12" s="740">
        <v>62.11</v>
      </c>
      <c r="AD12" s="740">
        <v>62.2</v>
      </c>
      <c r="AE12" s="740">
        <v>62.44</v>
      </c>
      <c r="AF12" s="740">
        <v>62.77</v>
      </c>
      <c r="AG12" s="740">
        <v>63.11</v>
      </c>
      <c r="AH12" s="740">
        <v>63.5</v>
      </c>
      <c r="AI12" s="740">
        <v>63.84</v>
      </c>
      <c r="AJ12" s="740">
        <v>64.239999999999995</v>
      </c>
      <c r="AK12" s="740">
        <v>64.59</v>
      </c>
      <c r="AL12" s="740">
        <v>65.040000000000006</v>
      </c>
      <c r="AM12" s="740">
        <v>65.45</v>
      </c>
      <c r="AN12" s="740">
        <v>65.739999999999995</v>
      </c>
      <c r="AO12" s="740">
        <v>65.92</v>
      </c>
      <c r="AP12" s="740">
        <v>66.150000000000006</v>
      </c>
      <c r="AQ12" s="740">
        <v>66.34</v>
      </c>
      <c r="AR12" s="740">
        <v>66.66</v>
      </c>
      <c r="AS12" s="740">
        <v>66.73</v>
      </c>
      <c r="AT12" s="740">
        <v>66.88</v>
      </c>
      <c r="AU12" s="740">
        <v>66.97</v>
      </c>
      <c r="AV12" s="740">
        <v>67.069999999999993</v>
      </c>
      <c r="AW12" s="740">
        <v>67.42</v>
      </c>
      <c r="AX12" s="740">
        <v>67.61</v>
      </c>
      <c r="AY12" s="740">
        <v>67.709999999999994</v>
      </c>
      <c r="AZ12" s="740">
        <v>67.739999999999995</v>
      </c>
      <c r="BA12" s="740">
        <v>67.790000000000006</v>
      </c>
      <c r="BB12" s="740">
        <v>67.95</v>
      </c>
      <c r="BC12" s="740">
        <v>68.069999999999993</v>
      </c>
      <c r="BD12" s="740">
        <v>68.260000000000005</v>
      </c>
      <c r="BE12" s="740">
        <v>68.459999999999994</v>
      </c>
      <c r="BF12" s="740">
        <v>68.69</v>
      </c>
      <c r="BG12" s="740">
        <v>68.849999999999994</v>
      </c>
      <c r="BH12" s="740">
        <v>69.180000000000007</v>
      </c>
      <c r="BI12" s="740">
        <v>69.39</v>
      </c>
      <c r="BJ12" s="740">
        <v>69.680000000000007</v>
      </c>
      <c r="BK12" s="740">
        <v>69.92</v>
      </c>
      <c r="BL12" s="740">
        <v>70.23</v>
      </c>
      <c r="BM12" s="740">
        <v>70.53</v>
      </c>
      <c r="BN12" s="740">
        <v>70.8</v>
      </c>
      <c r="BO12" s="740">
        <v>71.06</v>
      </c>
      <c r="BP12" s="740">
        <v>71.31</v>
      </c>
      <c r="BQ12" s="740">
        <v>71.540000000000006</v>
      </c>
      <c r="BR12" s="740">
        <v>71.78</v>
      </c>
      <c r="BS12" s="740">
        <v>71.98</v>
      </c>
      <c r="BT12" s="852">
        <v>72.19</v>
      </c>
      <c r="BU12" s="740">
        <v>72.36</v>
      </c>
      <c r="BV12" s="740">
        <v>72.569999999999993</v>
      </c>
      <c r="BW12" s="740">
        <v>72.77</v>
      </c>
      <c r="BX12" s="740">
        <v>72.98</v>
      </c>
      <c r="BY12" s="740">
        <v>73.150000000000006</v>
      </c>
      <c r="BZ12" s="740">
        <v>73.319999999999993</v>
      </c>
      <c r="CA12" s="740">
        <v>73.510000000000005</v>
      </c>
      <c r="CB12" s="740">
        <v>73.67</v>
      </c>
      <c r="CC12" s="740">
        <v>73.87</v>
      </c>
      <c r="CD12" s="740">
        <v>74.069999999999993</v>
      </c>
      <c r="CE12" s="740">
        <v>74.27</v>
      </c>
      <c r="CF12" s="740">
        <v>74.47</v>
      </c>
      <c r="CG12" s="740">
        <v>74.67</v>
      </c>
      <c r="CH12" s="740">
        <v>74.849999999999994</v>
      </c>
      <c r="CI12" s="740">
        <v>75.069999999999993</v>
      </c>
      <c r="CJ12" s="740">
        <v>75.25</v>
      </c>
      <c r="CK12" s="740">
        <v>75.42</v>
      </c>
      <c r="CL12" s="740">
        <v>75.62</v>
      </c>
      <c r="CM12" s="740">
        <v>75.8</v>
      </c>
      <c r="CN12" s="740">
        <v>75.989999999999995</v>
      </c>
      <c r="CO12" s="740">
        <v>76.16</v>
      </c>
      <c r="CP12" s="740">
        <v>76.319999999999993</v>
      </c>
      <c r="CQ12" s="740">
        <v>76.5</v>
      </c>
      <c r="CR12" s="740">
        <v>76.66</v>
      </c>
      <c r="CS12" s="740">
        <v>76.83</v>
      </c>
      <c r="CT12" s="740">
        <v>77</v>
      </c>
      <c r="CU12" s="740">
        <v>77.150000000000006</v>
      </c>
      <c r="CV12" s="740">
        <v>77.31</v>
      </c>
      <c r="CW12" s="740">
        <v>77.47</v>
      </c>
      <c r="CX12" s="740">
        <v>77.63</v>
      </c>
      <c r="CY12" s="740">
        <v>77.790000000000006</v>
      </c>
      <c r="CZ12" s="740">
        <v>77.94</v>
      </c>
      <c r="DA12" s="740">
        <v>78.09</v>
      </c>
      <c r="DB12" s="740">
        <v>78.25</v>
      </c>
      <c r="DC12" s="740">
        <v>78.400000000000006</v>
      </c>
      <c r="DD12" s="740">
        <v>78.540000000000006</v>
      </c>
      <c r="DE12" s="740">
        <v>78.69</v>
      </c>
      <c r="DF12" s="740">
        <v>78.84</v>
      </c>
      <c r="DG12" s="740">
        <v>78.989999999999995</v>
      </c>
      <c r="DH12" s="740">
        <v>79.13</v>
      </c>
      <c r="DI12" s="740">
        <v>79.27</v>
      </c>
      <c r="DJ12" s="740">
        <v>79.42</v>
      </c>
      <c r="DK12" s="740">
        <v>79.56</v>
      </c>
      <c r="DL12" s="740">
        <v>79.7</v>
      </c>
      <c r="DM12" s="740">
        <v>79.84</v>
      </c>
      <c r="DN12" s="740">
        <v>79.97</v>
      </c>
      <c r="DO12" s="740">
        <v>80.11</v>
      </c>
      <c r="DP12" s="740">
        <v>80.239999999999995</v>
      </c>
      <c r="DQ12" s="740">
        <v>80.38</v>
      </c>
      <c r="DR12" s="740">
        <v>80.510000000000005</v>
      </c>
    </row>
    <row r="13" spans="1:122">
      <c r="A13" s="906">
        <v>11</v>
      </c>
      <c r="B13" s="92"/>
      <c r="C13" s="92"/>
      <c r="D13" s="92"/>
      <c r="E13" s="92"/>
      <c r="F13" s="92"/>
      <c r="G13" s="92"/>
      <c r="H13" s="92"/>
      <c r="I13" s="92"/>
      <c r="J13" s="92"/>
      <c r="K13" s="92"/>
      <c r="L13" s="92"/>
      <c r="M13" s="92"/>
      <c r="N13" s="92"/>
      <c r="O13" s="92"/>
      <c r="P13" s="92"/>
      <c r="Q13" s="92"/>
      <c r="R13" s="92"/>
      <c r="S13" s="92"/>
      <c r="T13" s="92"/>
      <c r="U13" s="92"/>
      <c r="V13" s="740"/>
      <c r="W13" s="740">
        <v>60.01</v>
      </c>
      <c r="X13" s="740">
        <v>60.26</v>
      </c>
      <c r="Y13" s="740">
        <v>60.34</v>
      </c>
      <c r="Z13" s="740">
        <v>60.58</v>
      </c>
      <c r="AA13" s="740">
        <v>60.86</v>
      </c>
      <c r="AB13" s="740">
        <v>61.1</v>
      </c>
      <c r="AC13" s="740">
        <v>61.2</v>
      </c>
      <c r="AD13" s="740">
        <v>61.29</v>
      </c>
      <c r="AE13" s="740">
        <v>61.53</v>
      </c>
      <c r="AF13" s="740">
        <v>61.85</v>
      </c>
      <c r="AG13" s="740">
        <v>62.2</v>
      </c>
      <c r="AH13" s="740">
        <v>62.59</v>
      </c>
      <c r="AI13" s="740">
        <v>62.94</v>
      </c>
      <c r="AJ13" s="740">
        <v>63.35</v>
      </c>
      <c r="AK13" s="740">
        <v>63.73</v>
      </c>
      <c r="AL13" s="740">
        <v>64.13</v>
      </c>
      <c r="AM13" s="740">
        <v>64.540000000000006</v>
      </c>
      <c r="AN13" s="740">
        <v>64.81</v>
      </c>
      <c r="AO13" s="740">
        <v>64.959999999999994</v>
      </c>
      <c r="AP13" s="740">
        <v>65.19</v>
      </c>
      <c r="AQ13" s="740">
        <v>65.39</v>
      </c>
      <c r="AR13" s="740">
        <v>65.7</v>
      </c>
      <c r="AS13" s="740">
        <v>65.760000000000005</v>
      </c>
      <c r="AT13" s="740">
        <v>65.92</v>
      </c>
      <c r="AU13" s="740">
        <v>66</v>
      </c>
      <c r="AV13" s="740">
        <v>66.11</v>
      </c>
      <c r="AW13" s="740">
        <v>66.459999999999994</v>
      </c>
      <c r="AX13" s="740">
        <v>66.64</v>
      </c>
      <c r="AY13" s="740">
        <v>66.75</v>
      </c>
      <c r="AZ13" s="740">
        <v>66.77</v>
      </c>
      <c r="BA13" s="740">
        <v>66.819999999999993</v>
      </c>
      <c r="BB13" s="740">
        <v>66.989999999999995</v>
      </c>
      <c r="BC13" s="740">
        <v>67.099999999999994</v>
      </c>
      <c r="BD13" s="740">
        <v>67.3</v>
      </c>
      <c r="BE13" s="740">
        <v>67.489999999999995</v>
      </c>
      <c r="BF13" s="740">
        <v>67.72</v>
      </c>
      <c r="BG13" s="740">
        <v>67.88</v>
      </c>
      <c r="BH13" s="740">
        <v>68.209999999999994</v>
      </c>
      <c r="BI13" s="740">
        <v>68.430000000000007</v>
      </c>
      <c r="BJ13" s="740">
        <v>68.709999999999994</v>
      </c>
      <c r="BK13" s="740">
        <v>68.95</v>
      </c>
      <c r="BL13" s="740">
        <v>69.260000000000005</v>
      </c>
      <c r="BM13" s="740">
        <v>69.56</v>
      </c>
      <c r="BN13" s="740">
        <v>69.819999999999993</v>
      </c>
      <c r="BO13" s="740">
        <v>70.09</v>
      </c>
      <c r="BP13" s="740">
        <v>70.33</v>
      </c>
      <c r="BQ13" s="740">
        <v>70.56</v>
      </c>
      <c r="BR13" s="740">
        <v>70.8</v>
      </c>
      <c r="BS13" s="740">
        <v>71.010000000000005</v>
      </c>
      <c r="BT13" s="852">
        <v>71.22</v>
      </c>
      <c r="BU13" s="740">
        <v>71.37</v>
      </c>
      <c r="BV13" s="740">
        <v>71.59</v>
      </c>
      <c r="BW13" s="740">
        <v>71.790000000000006</v>
      </c>
      <c r="BX13" s="740">
        <v>71.989999999999995</v>
      </c>
      <c r="BY13" s="740">
        <v>72.16</v>
      </c>
      <c r="BZ13" s="740">
        <v>72.34</v>
      </c>
      <c r="CA13" s="740">
        <v>72.52</v>
      </c>
      <c r="CB13" s="740">
        <v>72.69</v>
      </c>
      <c r="CC13" s="740">
        <v>72.89</v>
      </c>
      <c r="CD13" s="740">
        <v>73.09</v>
      </c>
      <c r="CE13" s="740">
        <v>73.290000000000006</v>
      </c>
      <c r="CF13" s="740">
        <v>73.48</v>
      </c>
      <c r="CG13" s="740">
        <v>73.69</v>
      </c>
      <c r="CH13" s="740">
        <v>73.86</v>
      </c>
      <c r="CI13" s="740">
        <v>74.08</v>
      </c>
      <c r="CJ13" s="740">
        <v>74.260000000000005</v>
      </c>
      <c r="CK13" s="740">
        <v>74.430000000000007</v>
      </c>
      <c r="CL13" s="740">
        <v>74.63</v>
      </c>
      <c r="CM13" s="740">
        <v>74.81</v>
      </c>
      <c r="CN13" s="740">
        <v>74.989999999999995</v>
      </c>
      <c r="CO13" s="740">
        <v>75.16</v>
      </c>
      <c r="CP13" s="740">
        <v>75.33</v>
      </c>
      <c r="CQ13" s="740">
        <v>75.5</v>
      </c>
      <c r="CR13" s="740">
        <v>75.66</v>
      </c>
      <c r="CS13" s="740">
        <v>75.84</v>
      </c>
      <c r="CT13" s="740">
        <v>76.010000000000005</v>
      </c>
      <c r="CU13" s="740">
        <v>76.16</v>
      </c>
      <c r="CV13" s="740">
        <v>76.31</v>
      </c>
      <c r="CW13" s="740">
        <v>76.48</v>
      </c>
      <c r="CX13" s="740">
        <v>76.63</v>
      </c>
      <c r="CY13" s="740">
        <v>76.8</v>
      </c>
      <c r="CZ13" s="740">
        <v>76.95</v>
      </c>
      <c r="DA13" s="740">
        <v>77.099999999999994</v>
      </c>
      <c r="DB13" s="740">
        <v>77.260000000000005</v>
      </c>
      <c r="DC13" s="740">
        <v>77.400000000000006</v>
      </c>
      <c r="DD13" s="740">
        <v>77.55</v>
      </c>
      <c r="DE13" s="740">
        <v>77.7</v>
      </c>
      <c r="DF13" s="740">
        <v>77.849999999999994</v>
      </c>
      <c r="DG13" s="740">
        <v>77.989999999999995</v>
      </c>
      <c r="DH13" s="740">
        <v>78.14</v>
      </c>
      <c r="DI13" s="740">
        <v>78.28</v>
      </c>
      <c r="DJ13" s="740">
        <v>78.42</v>
      </c>
      <c r="DK13" s="740">
        <v>78.56</v>
      </c>
      <c r="DL13" s="740">
        <v>78.7</v>
      </c>
      <c r="DM13" s="740">
        <v>78.84</v>
      </c>
      <c r="DN13" s="740">
        <v>78.98</v>
      </c>
      <c r="DO13" s="740">
        <v>79.11</v>
      </c>
      <c r="DP13" s="740">
        <v>79.25</v>
      </c>
      <c r="DQ13" s="740">
        <v>79.38</v>
      </c>
      <c r="DR13" s="740">
        <v>79.510000000000005</v>
      </c>
    </row>
    <row r="14" spans="1:122">
      <c r="A14" s="906">
        <v>12</v>
      </c>
      <c r="B14" s="92"/>
      <c r="C14" s="92"/>
      <c r="D14" s="92"/>
      <c r="E14" s="92"/>
      <c r="F14" s="92"/>
      <c r="G14" s="92"/>
      <c r="H14" s="92"/>
      <c r="I14" s="92"/>
      <c r="J14" s="92"/>
      <c r="K14" s="92"/>
      <c r="L14" s="92"/>
      <c r="M14" s="92"/>
      <c r="N14" s="92"/>
      <c r="O14" s="92"/>
      <c r="P14" s="92"/>
      <c r="Q14" s="92"/>
      <c r="R14" s="92"/>
      <c r="S14" s="92"/>
      <c r="T14" s="92"/>
      <c r="U14" s="92"/>
      <c r="V14" s="740"/>
      <c r="W14" s="740">
        <v>59.09</v>
      </c>
      <c r="X14" s="740">
        <v>59.33</v>
      </c>
      <c r="Y14" s="740">
        <v>59.41</v>
      </c>
      <c r="Z14" s="740">
        <v>59.67</v>
      </c>
      <c r="AA14" s="740">
        <v>59.94</v>
      </c>
      <c r="AB14" s="740">
        <v>60.17</v>
      </c>
      <c r="AC14" s="740">
        <v>60.27</v>
      </c>
      <c r="AD14" s="740">
        <v>60.37</v>
      </c>
      <c r="AE14" s="740">
        <v>60.61</v>
      </c>
      <c r="AF14" s="740">
        <v>60.93</v>
      </c>
      <c r="AG14" s="740">
        <v>61.28</v>
      </c>
      <c r="AH14" s="740">
        <v>61.68</v>
      </c>
      <c r="AI14" s="740">
        <v>62.04</v>
      </c>
      <c r="AJ14" s="740">
        <v>62.48</v>
      </c>
      <c r="AK14" s="740">
        <v>62.82</v>
      </c>
      <c r="AL14" s="740">
        <v>63.22</v>
      </c>
      <c r="AM14" s="740">
        <v>63.61</v>
      </c>
      <c r="AN14" s="740">
        <v>63.85</v>
      </c>
      <c r="AO14" s="740">
        <v>64.010000000000005</v>
      </c>
      <c r="AP14" s="740">
        <v>64.239999999999995</v>
      </c>
      <c r="AQ14" s="740">
        <v>64.430000000000007</v>
      </c>
      <c r="AR14" s="740">
        <v>64.73</v>
      </c>
      <c r="AS14" s="740">
        <v>64.8</v>
      </c>
      <c r="AT14" s="740">
        <v>64.95</v>
      </c>
      <c r="AU14" s="740">
        <v>65.040000000000006</v>
      </c>
      <c r="AV14" s="740">
        <v>65.14</v>
      </c>
      <c r="AW14" s="740">
        <v>65.489999999999995</v>
      </c>
      <c r="AX14" s="740">
        <v>65.67</v>
      </c>
      <c r="AY14" s="740">
        <v>65.78</v>
      </c>
      <c r="AZ14" s="740">
        <v>65.8</v>
      </c>
      <c r="BA14" s="740">
        <v>65.84</v>
      </c>
      <c r="BB14" s="740">
        <v>66.010000000000005</v>
      </c>
      <c r="BC14" s="740">
        <v>66.13</v>
      </c>
      <c r="BD14" s="740">
        <v>66.33</v>
      </c>
      <c r="BE14" s="740">
        <v>66.52</v>
      </c>
      <c r="BF14" s="740">
        <v>66.75</v>
      </c>
      <c r="BG14" s="740">
        <v>66.91</v>
      </c>
      <c r="BH14" s="740">
        <v>67.239999999999995</v>
      </c>
      <c r="BI14" s="740">
        <v>67.45</v>
      </c>
      <c r="BJ14" s="740">
        <v>67.739999999999995</v>
      </c>
      <c r="BK14" s="740">
        <v>67.98</v>
      </c>
      <c r="BL14" s="740">
        <v>68.290000000000006</v>
      </c>
      <c r="BM14" s="740">
        <v>68.59</v>
      </c>
      <c r="BN14" s="740">
        <v>68.849999999999994</v>
      </c>
      <c r="BO14" s="740">
        <v>69.11</v>
      </c>
      <c r="BP14" s="740">
        <v>69.36</v>
      </c>
      <c r="BQ14" s="740">
        <v>69.58</v>
      </c>
      <c r="BR14" s="740">
        <v>69.819999999999993</v>
      </c>
      <c r="BS14" s="740">
        <v>70.03</v>
      </c>
      <c r="BT14" s="852">
        <v>70.239999999999995</v>
      </c>
      <c r="BU14" s="740">
        <v>70.39</v>
      </c>
      <c r="BV14" s="740">
        <v>70.61</v>
      </c>
      <c r="BW14" s="740">
        <v>70.8</v>
      </c>
      <c r="BX14" s="740">
        <v>71.010000000000005</v>
      </c>
      <c r="BY14" s="740">
        <v>71.180000000000007</v>
      </c>
      <c r="BZ14" s="740">
        <v>71.36</v>
      </c>
      <c r="CA14" s="740">
        <v>71.540000000000006</v>
      </c>
      <c r="CB14" s="740">
        <v>71.7</v>
      </c>
      <c r="CC14" s="740">
        <v>71.900000000000006</v>
      </c>
      <c r="CD14" s="740">
        <v>72.099999999999994</v>
      </c>
      <c r="CE14" s="740">
        <v>72.3</v>
      </c>
      <c r="CF14" s="740">
        <v>72.5</v>
      </c>
      <c r="CG14" s="740">
        <v>72.7</v>
      </c>
      <c r="CH14" s="740">
        <v>72.87</v>
      </c>
      <c r="CI14" s="740">
        <v>73.09</v>
      </c>
      <c r="CJ14" s="740">
        <v>73.27</v>
      </c>
      <c r="CK14" s="740">
        <v>73.44</v>
      </c>
      <c r="CL14" s="740">
        <v>73.64</v>
      </c>
      <c r="CM14" s="740">
        <v>73.819999999999993</v>
      </c>
      <c r="CN14" s="740">
        <v>74.010000000000005</v>
      </c>
      <c r="CO14" s="740">
        <v>74.17</v>
      </c>
      <c r="CP14" s="740">
        <v>74.34</v>
      </c>
      <c r="CQ14" s="740">
        <v>74.510000000000005</v>
      </c>
      <c r="CR14" s="740">
        <v>74.67</v>
      </c>
      <c r="CS14" s="740">
        <v>74.849999999999994</v>
      </c>
      <c r="CT14" s="740">
        <v>75.02</v>
      </c>
      <c r="CU14" s="740">
        <v>75.17</v>
      </c>
      <c r="CV14" s="740">
        <v>75.319999999999993</v>
      </c>
      <c r="CW14" s="740">
        <v>75.48</v>
      </c>
      <c r="CX14" s="740">
        <v>75.64</v>
      </c>
      <c r="CY14" s="740">
        <v>75.8</v>
      </c>
      <c r="CZ14" s="740">
        <v>75.95</v>
      </c>
      <c r="DA14" s="740">
        <v>76.11</v>
      </c>
      <c r="DB14" s="740">
        <v>76.260000000000005</v>
      </c>
      <c r="DC14" s="740">
        <v>76.41</v>
      </c>
      <c r="DD14" s="740">
        <v>76.56</v>
      </c>
      <c r="DE14" s="740">
        <v>76.709999999999994</v>
      </c>
      <c r="DF14" s="740">
        <v>76.849999999999994</v>
      </c>
      <c r="DG14" s="740">
        <v>77</v>
      </c>
      <c r="DH14" s="740">
        <v>77.14</v>
      </c>
      <c r="DI14" s="740">
        <v>77.290000000000006</v>
      </c>
      <c r="DJ14" s="740">
        <v>77.430000000000007</v>
      </c>
      <c r="DK14" s="740">
        <v>77.569999999999993</v>
      </c>
      <c r="DL14" s="740">
        <v>77.709999999999994</v>
      </c>
      <c r="DM14" s="740">
        <v>77.849999999999994</v>
      </c>
      <c r="DN14" s="740">
        <v>77.98</v>
      </c>
      <c r="DO14" s="740">
        <v>78.12</v>
      </c>
      <c r="DP14" s="740">
        <v>78.25</v>
      </c>
      <c r="DQ14" s="740">
        <v>78.39</v>
      </c>
      <c r="DR14" s="740">
        <v>78.52</v>
      </c>
    </row>
    <row r="15" spans="1:122">
      <c r="A15" s="906">
        <v>13</v>
      </c>
      <c r="B15" s="92"/>
      <c r="C15" s="92"/>
      <c r="D15" s="92"/>
      <c r="E15" s="92"/>
      <c r="F15" s="92"/>
      <c r="G15" s="92"/>
      <c r="H15" s="92"/>
      <c r="I15" s="92"/>
      <c r="J15" s="92"/>
      <c r="K15" s="92"/>
      <c r="L15" s="92"/>
      <c r="M15" s="92"/>
      <c r="N15" s="92"/>
      <c r="O15" s="92"/>
      <c r="P15" s="92"/>
      <c r="Q15" s="92"/>
      <c r="R15" s="92"/>
      <c r="S15" s="92"/>
      <c r="T15" s="92"/>
      <c r="U15" s="92"/>
      <c r="V15" s="740"/>
      <c r="W15" s="740">
        <v>58.16</v>
      </c>
      <c r="X15" s="740">
        <v>58.4</v>
      </c>
      <c r="Y15" s="740">
        <v>58.5</v>
      </c>
      <c r="Z15" s="740">
        <v>58.76</v>
      </c>
      <c r="AA15" s="740">
        <v>59.02</v>
      </c>
      <c r="AB15" s="740">
        <v>59.25</v>
      </c>
      <c r="AC15" s="740">
        <v>59.36</v>
      </c>
      <c r="AD15" s="740">
        <v>59.45</v>
      </c>
      <c r="AE15" s="740">
        <v>59.69</v>
      </c>
      <c r="AF15" s="740">
        <v>60.02</v>
      </c>
      <c r="AG15" s="740">
        <v>60.38</v>
      </c>
      <c r="AH15" s="740">
        <v>60.78</v>
      </c>
      <c r="AI15" s="740">
        <v>61.17</v>
      </c>
      <c r="AJ15" s="740">
        <v>61.56</v>
      </c>
      <c r="AK15" s="740">
        <v>61.9</v>
      </c>
      <c r="AL15" s="740">
        <v>62.28</v>
      </c>
      <c r="AM15" s="740">
        <v>62.66</v>
      </c>
      <c r="AN15" s="740">
        <v>62.9</v>
      </c>
      <c r="AO15" s="740">
        <v>63.05</v>
      </c>
      <c r="AP15" s="740">
        <v>63.27</v>
      </c>
      <c r="AQ15" s="740">
        <v>63.47</v>
      </c>
      <c r="AR15" s="740">
        <v>63.76</v>
      </c>
      <c r="AS15" s="740">
        <v>63.83</v>
      </c>
      <c r="AT15" s="740">
        <v>63.99</v>
      </c>
      <c r="AU15" s="740">
        <v>64.069999999999993</v>
      </c>
      <c r="AV15" s="740">
        <v>64.17</v>
      </c>
      <c r="AW15" s="740">
        <v>64.52</v>
      </c>
      <c r="AX15" s="740">
        <v>64.69</v>
      </c>
      <c r="AY15" s="740">
        <v>64.8</v>
      </c>
      <c r="AZ15" s="740">
        <v>64.83</v>
      </c>
      <c r="BA15" s="740">
        <v>64.88</v>
      </c>
      <c r="BB15" s="740">
        <v>65.040000000000006</v>
      </c>
      <c r="BC15" s="740">
        <v>65.16</v>
      </c>
      <c r="BD15" s="740">
        <v>65.36</v>
      </c>
      <c r="BE15" s="740">
        <v>65.55</v>
      </c>
      <c r="BF15" s="740">
        <v>65.78</v>
      </c>
      <c r="BG15" s="740">
        <v>65.94</v>
      </c>
      <c r="BH15" s="740">
        <v>66.28</v>
      </c>
      <c r="BI15" s="740">
        <v>66.48</v>
      </c>
      <c r="BJ15" s="740">
        <v>66.77</v>
      </c>
      <c r="BK15" s="740">
        <v>67.010000000000005</v>
      </c>
      <c r="BL15" s="740">
        <v>67.319999999999993</v>
      </c>
      <c r="BM15" s="740">
        <v>67.61</v>
      </c>
      <c r="BN15" s="740">
        <v>67.87</v>
      </c>
      <c r="BO15" s="740">
        <v>68.14</v>
      </c>
      <c r="BP15" s="740">
        <v>68.38</v>
      </c>
      <c r="BQ15" s="740">
        <v>68.599999999999994</v>
      </c>
      <c r="BR15" s="740">
        <v>68.84</v>
      </c>
      <c r="BS15" s="740">
        <v>69.040000000000006</v>
      </c>
      <c r="BT15" s="852">
        <v>69.260000000000005</v>
      </c>
      <c r="BU15" s="740">
        <v>69.41</v>
      </c>
      <c r="BV15" s="740">
        <v>69.62</v>
      </c>
      <c r="BW15" s="740">
        <v>69.819999999999993</v>
      </c>
      <c r="BX15" s="740">
        <v>70.02</v>
      </c>
      <c r="BY15" s="740">
        <v>70.19</v>
      </c>
      <c r="BZ15" s="740">
        <v>70.38</v>
      </c>
      <c r="CA15" s="740">
        <v>70.55</v>
      </c>
      <c r="CB15" s="740">
        <v>70.72</v>
      </c>
      <c r="CC15" s="740">
        <v>70.92</v>
      </c>
      <c r="CD15" s="740">
        <v>71.11</v>
      </c>
      <c r="CE15" s="740">
        <v>71.31</v>
      </c>
      <c r="CF15" s="740">
        <v>71.510000000000005</v>
      </c>
      <c r="CG15" s="740">
        <v>71.709999999999994</v>
      </c>
      <c r="CH15" s="740">
        <v>71.88</v>
      </c>
      <c r="CI15" s="740">
        <v>72.099999999999994</v>
      </c>
      <c r="CJ15" s="740">
        <v>72.28</v>
      </c>
      <c r="CK15" s="740">
        <v>72.459999999999994</v>
      </c>
      <c r="CL15" s="740">
        <v>72.650000000000006</v>
      </c>
      <c r="CM15" s="740">
        <v>72.84</v>
      </c>
      <c r="CN15" s="740">
        <v>73.010000000000005</v>
      </c>
      <c r="CO15" s="740">
        <v>73.180000000000007</v>
      </c>
      <c r="CP15" s="740">
        <v>73.349999999999994</v>
      </c>
      <c r="CQ15" s="740">
        <v>73.52</v>
      </c>
      <c r="CR15" s="740">
        <v>73.680000000000007</v>
      </c>
      <c r="CS15" s="740">
        <v>73.849999999999994</v>
      </c>
      <c r="CT15" s="740">
        <v>74.02</v>
      </c>
      <c r="CU15" s="740">
        <v>74.17</v>
      </c>
      <c r="CV15" s="740">
        <v>74.33</v>
      </c>
      <c r="CW15" s="740">
        <v>74.489999999999995</v>
      </c>
      <c r="CX15" s="740">
        <v>74.650000000000006</v>
      </c>
      <c r="CY15" s="740">
        <v>74.81</v>
      </c>
      <c r="CZ15" s="740">
        <v>74.959999999999994</v>
      </c>
      <c r="DA15" s="740">
        <v>75.11</v>
      </c>
      <c r="DB15" s="740">
        <v>75.27</v>
      </c>
      <c r="DC15" s="740">
        <v>75.41</v>
      </c>
      <c r="DD15" s="740">
        <v>75.56</v>
      </c>
      <c r="DE15" s="740">
        <v>75.709999999999994</v>
      </c>
      <c r="DF15" s="740">
        <v>75.86</v>
      </c>
      <c r="DG15" s="740">
        <v>76.010000000000005</v>
      </c>
      <c r="DH15" s="740">
        <v>76.150000000000006</v>
      </c>
      <c r="DI15" s="740">
        <v>76.290000000000006</v>
      </c>
      <c r="DJ15" s="740">
        <v>76.44</v>
      </c>
      <c r="DK15" s="740">
        <v>76.58</v>
      </c>
      <c r="DL15" s="740">
        <v>76.72</v>
      </c>
      <c r="DM15" s="740">
        <v>76.849999999999994</v>
      </c>
      <c r="DN15" s="740">
        <v>76.989999999999995</v>
      </c>
      <c r="DO15" s="740">
        <v>77.13</v>
      </c>
      <c r="DP15" s="740">
        <v>77.260000000000005</v>
      </c>
      <c r="DQ15" s="740">
        <v>77.39</v>
      </c>
      <c r="DR15" s="740">
        <v>77.52</v>
      </c>
    </row>
    <row r="16" spans="1:122">
      <c r="A16" s="906">
        <v>14</v>
      </c>
      <c r="B16" s="92"/>
      <c r="C16" s="92"/>
      <c r="D16" s="92"/>
      <c r="E16" s="92"/>
      <c r="F16" s="92"/>
      <c r="G16" s="92"/>
      <c r="H16" s="92"/>
      <c r="I16" s="92"/>
      <c r="J16" s="92"/>
      <c r="K16" s="92"/>
      <c r="L16" s="92"/>
      <c r="M16" s="92"/>
      <c r="N16" s="92"/>
      <c r="O16" s="92"/>
      <c r="P16" s="92"/>
      <c r="Q16" s="92"/>
      <c r="R16" s="92"/>
      <c r="S16" s="92"/>
      <c r="T16" s="92"/>
      <c r="U16" s="92"/>
      <c r="V16" s="740"/>
      <c r="W16" s="740">
        <v>57.22</v>
      </c>
      <c r="X16" s="740">
        <v>57.5</v>
      </c>
      <c r="Y16" s="740">
        <v>57.6</v>
      </c>
      <c r="Z16" s="740">
        <v>57.84</v>
      </c>
      <c r="AA16" s="740">
        <v>58.1</v>
      </c>
      <c r="AB16" s="740">
        <v>58.34</v>
      </c>
      <c r="AC16" s="740">
        <v>58.44</v>
      </c>
      <c r="AD16" s="740">
        <v>58.53</v>
      </c>
      <c r="AE16" s="740">
        <v>58.78</v>
      </c>
      <c r="AF16" s="740">
        <v>59.11</v>
      </c>
      <c r="AG16" s="740">
        <v>59.48</v>
      </c>
      <c r="AH16" s="740">
        <v>59.91</v>
      </c>
      <c r="AI16" s="740">
        <v>60.25</v>
      </c>
      <c r="AJ16" s="740">
        <v>60.64</v>
      </c>
      <c r="AK16" s="740">
        <v>60.96</v>
      </c>
      <c r="AL16" s="740">
        <v>61.33</v>
      </c>
      <c r="AM16" s="740">
        <v>61.7</v>
      </c>
      <c r="AN16" s="740">
        <v>61.95</v>
      </c>
      <c r="AO16" s="740">
        <v>62.09</v>
      </c>
      <c r="AP16" s="740">
        <v>62.31</v>
      </c>
      <c r="AQ16" s="740">
        <v>62.5</v>
      </c>
      <c r="AR16" s="740">
        <v>62.8</v>
      </c>
      <c r="AS16" s="740">
        <v>62.87</v>
      </c>
      <c r="AT16" s="740">
        <v>63.02</v>
      </c>
      <c r="AU16" s="740">
        <v>63.1</v>
      </c>
      <c r="AV16" s="740">
        <v>63.2</v>
      </c>
      <c r="AW16" s="740">
        <v>63.55</v>
      </c>
      <c r="AX16" s="740">
        <v>63.73</v>
      </c>
      <c r="AY16" s="740">
        <v>63.83</v>
      </c>
      <c r="AZ16" s="740">
        <v>63.86</v>
      </c>
      <c r="BA16" s="740">
        <v>63.91</v>
      </c>
      <c r="BB16" s="740">
        <v>64.069999999999993</v>
      </c>
      <c r="BC16" s="740">
        <v>64.2</v>
      </c>
      <c r="BD16" s="740">
        <v>64.39</v>
      </c>
      <c r="BE16" s="740">
        <v>64.58</v>
      </c>
      <c r="BF16" s="740">
        <v>64.81</v>
      </c>
      <c r="BG16" s="740">
        <v>64.98</v>
      </c>
      <c r="BH16" s="740">
        <v>65.31</v>
      </c>
      <c r="BI16" s="740">
        <v>65.510000000000005</v>
      </c>
      <c r="BJ16" s="740">
        <v>65.8</v>
      </c>
      <c r="BK16" s="740">
        <v>66.03</v>
      </c>
      <c r="BL16" s="740">
        <v>66.34</v>
      </c>
      <c r="BM16" s="740">
        <v>66.64</v>
      </c>
      <c r="BN16" s="740">
        <v>66.900000000000006</v>
      </c>
      <c r="BO16" s="740">
        <v>67.16</v>
      </c>
      <c r="BP16" s="740">
        <v>67.400000000000006</v>
      </c>
      <c r="BQ16" s="740">
        <v>67.63</v>
      </c>
      <c r="BR16" s="740">
        <v>67.86</v>
      </c>
      <c r="BS16" s="740">
        <v>68.069999999999993</v>
      </c>
      <c r="BT16" s="852">
        <v>68.28</v>
      </c>
      <c r="BU16" s="740">
        <v>68.430000000000007</v>
      </c>
      <c r="BV16" s="740">
        <v>68.64</v>
      </c>
      <c r="BW16" s="740">
        <v>68.84</v>
      </c>
      <c r="BX16" s="740">
        <v>69.040000000000006</v>
      </c>
      <c r="BY16" s="740">
        <v>69.209999999999994</v>
      </c>
      <c r="BZ16" s="740">
        <v>69.39</v>
      </c>
      <c r="CA16" s="740">
        <v>69.569999999999993</v>
      </c>
      <c r="CB16" s="740">
        <v>69.73</v>
      </c>
      <c r="CC16" s="740">
        <v>69.930000000000007</v>
      </c>
      <c r="CD16" s="740">
        <v>70.13</v>
      </c>
      <c r="CE16" s="740">
        <v>70.33</v>
      </c>
      <c r="CF16" s="740">
        <v>70.52</v>
      </c>
      <c r="CG16" s="740">
        <v>70.72</v>
      </c>
      <c r="CH16" s="740">
        <v>70.900000000000006</v>
      </c>
      <c r="CI16" s="740">
        <v>71.11</v>
      </c>
      <c r="CJ16" s="740">
        <v>71.290000000000006</v>
      </c>
      <c r="CK16" s="740">
        <v>71.47</v>
      </c>
      <c r="CL16" s="740">
        <v>71.66</v>
      </c>
      <c r="CM16" s="740">
        <v>71.849999999999994</v>
      </c>
      <c r="CN16" s="740">
        <v>72.02</v>
      </c>
      <c r="CO16" s="740">
        <v>72.19</v>
      </c>
      <c r="CP16" s="740">
        <v>72.37</v>
      </c>
      <c r="CQ16" s="740">
        <v>72.53</v>
      </c>
      <c r="CR16" s="740">
        <v>72.680000000000007</v>
      </c>
      <c r="CS16" s="740">
        <v>72.86</v>
      </c>
      <c r="CT16" s="740">
        <v>73.03</v>
      </c>
      <c r="CU16" s="740">
        <v>73.180000000000007</v>
      </c>
      <c r="CV16" s="740">
        <v>73.34</v>
      </c>
      <c r="CW16" s="740">
        <v>73.5</v>
      </c>
      <c r="CX16" s="740">
        <v>73.650000000000006</v>
      </c>
      <c r="CY16" s="740">
        <v>73.81</v>
      </c>
      <c r="CZ16" s="740">
        <v>73.97</v>
      </c>
      <c r="DA16" s="740">
        <v>74.12</v>
      </c>
      <c r="DB16" s="740">
        <v>74.27</v>
      </c>
      <c r="DC16" s="740">
        <v>74.42</v>
      </c>
      <c r="DD16" s="740">
        <v>74.569999999999993</v>
      </c>
      <c r="DE16" s="740">
        <v>74.72</v>
      </c>
      <c r="DF16" s="740">
        <v>74.87</v>
      </c>
      <c r="DG16" s="740">
        <v>75.010000000000005</v>
      </c>
      <c r="DH16" s="740">
        <v>75.16</v>
      </c>
      <c r="DI16" s="740">
        <v>75.3</v>
      </c>
      <c r="DJ16" s="740">
        <v>75.44</v>
      </c>
      <c r="DK16" s="740">
        <v>75.58</v>
      </c>
      <c r="DL16" s="740">
        <v>75.72</v>
      </c>
      <c r="DM16" s="740">
        <v>75.86</v>
      </c>
      <c r="DN16" s="740">
        <v>76</v>
      </c>
      <c r="DO16" s="740">
        <v>76.13</v>
      </c>
      <c r="DP16" s="740">
        <v>76.260000000000005</v>
      </c>
      <c r="DQ16" s="740">
        <v>76.400000000000006</v>
      </c>
      <c r="DR16" s="740">
        <v>76.53</v>
      </c>
    </row>
    <row r="17" spans="1:122">
      <c r="A17" s="906">
        <v>15</v>
      </c>
      <c r="B17" s="92"/>
      <c r="C17" s="92"/>
      <c r="D17" s="92"/>
      <c r="E17" s="92"/>
      <c r="F17" s="92"/>
      <c r="G17" s="92"/>
      <c r="H17" s="92"/>
      <c r="I17" s="92"/>
      <c r="J17" s="92"/>
      <c r="K17" s="92"/>
      <c r="L17" s="92"/>
      <c r="M17" s="92"/>
      <c r="N17" s="92"/>
      <c r="O17" s="92"/>
      <c r="P17" s="92"/>
      <c r="Q17" s="92"/>
      <c r="R17" s="92"/>
      <c r="S17" s="92"/>
      <c r="T17" s="92"/>
      <c r="U17" s="92"/>
      <c r="V17" s="740"/>
      <c r="W17" s="740">
        <v>56.33</v>
      </c>
      <c r="X17" s="740">
        <v>56.6</v>
      </c>
      <c r="Y17" s="740">
        <v>56.69</v>
      </c>
      <c r="Z17" s="740">
        <v>56.93</v>
      </c>
      <c r="AA17" s="740">
        <v>57.19</v>
      </c>
      <c r="AB17" s="740">
        <v>57.43</v>
      </c>
      <c r="AC17" s="740">
        <v>57.53</v>
      </c>
      <c r="AD17" s="740">
        <v>57.63</v>
      </c>
      <c r="AE17" s="740">
        <v>57.88</v>
      </c>
      <c r="AF17" s="740">
        <v>58.23</v>
      </c>
      <c r="AG17" s="740">
        <v>58.62</v>
      </c>
      <c r="AH17" s="740">
        <v>59</v>
      </c>
      <c r="AI17" s="740">
        <v>59.34</v>
      </c>
      <c r="AJ17" s="740">
        <v>59.71</v>
      </c>
      <c r="AK17" s="740">
        <v>60.02</v>
      </c>
      <c r="AL17" s="740">
        <v>60.38</v>
      </c>
      <c r="AM17" s="740">
        <v>60.76</v>
      </c>
      <c r="AN17" s="740">
        <v>60.99</v>
      </c>
      <c r="AO17" s="740">
        <v>61.13</v>
      </c>
      <c r="AP17" s="740">
        <v>61.35</v>
      </c>
      <c r="AQ17" s="740">
        <v>61.54</v>
      </c>
      <c r="AR17" s="740">
        <v>61.84</v>
      </c>
      <c r="AS17" s="740">
        <v>61.91</v>
      </c>
      <c r="AT17" s="740">
        <v>62.06</v>
      </c>
      <c r="AU17" s="740">
        <v>62.14</v>
      </c>
      <c r="AV17" s="740">
        <v>62.24</v>
      </c>
      <c r="AW17" s="740">
        <v>62.58</v>
      </c>
      <c r="AX17" s="740">
        <v>62.77</v>
      </c>
      <c r="AY17" s="740">
        <v>62.87</v>
      </c>
      <c r="AZ17" s="740">
        <v>62.9</v>
      </c>
      <c r="BA17" s="740">
        <v>62.94</v>
      </c>
      <c r="BB17" s="740">
        <v>63.11</v>
      </c>
      <c r="BC17" s="740">
        <v>63.24</v>
      </c>
      <c r="BD17" s="740">
        <v>63.42</v>
      </c>
      <c r="BE17" s="740">
        <v>63.62</v>
      </c>
      <c r="BF17" s="740">
        <v>63.85</v>
      </c>
      <c r="BG17" s="740">
        <v>64.010000000000005</v>
      </c>
      <c r="BH17" s="740">
        <v>64.34</v>
      </c>
      <c r="BI17" s="740">
        <v>64.540000000000006</v>
      </c>
      <c r="BJ17" s="740">
        <v>64.83</v>
      </c>
      <c r="BK17" s="740">
        <v>65.069999999999993</v>
      </c>
      <c r="BL17" s="740">
        <v>65.37</v>
      </c>
      <c r="BM17" s="740">
        <v>65.67</v>
      </c>
      <c r="BN17" s="740">
        <v>65.930000000000007</v>
      </c>
      <c r="BO17" s="740">
        <v>66.19</v>
      </c>
      <c r="BP17" s="740">
        <v>66.430000000000007</v>
      </c>
      <c r="BQ17" s="740">
        <v>66.650000000000006</v>
      </c>
      <c r="BR17" s="740">
        <v>66.89</v>
      </c>
      <c r="BS17" s="740">
        <v>67.09</v>
      </c>
      <c r="BT17" s="852">
        <v>67.3</v>
      </c>
      <c r="BU17" s="740">
        <v>67.45</v>
      </c>
      <c r="BV17" s="740">
        <v>67.66</v>
      </c>
      <c r="BW17" s="740">
        <v>67.86</v>
      </c>
      <c r="BX17" s="740">
        <v>68.06</v>
      </c>
      <c r="BY17" s="740">
        <v>68.23</v>
      </c>
      <c r="BZ17" s="740">
        <v>68.41</v>
      </c>
      <c r="CA17" s="740">
        <v>68.58</v>
      </c>
      <c r="CB17" s="740">
        <v>68.75</v>
      </c>
      <c r="CC17" s="740">
        <v>68.95</v>
      </c>
      <c r="CD17" s="740">
        <v>69.14</v>
      </c>
      <c r="CE17" s="740">
        <v>69.34</v>
      </c>
      <c r="CF17" s="740">
        <v>69.540000000000006</v>
      </c>
      <c r="CG17" s="740">
        <v>69.739999999999995</v>
      </c>
      <c r="CH17" s="740">
        <v>69.91</v>
      </c>
      <c r="CI17" s="740">
        <v>70.13</v>
      </c>
      <c r="CJ17" s="740">
        <v>70.3</v>
      </c>
      <c r="CK17" s="740">
        <v>70.48</v>
      </c>
      <c r="CL17" s="740">
        <v>70.67</v>
      </c>
      <c r="CM17" s="740">
        <v>70.86</v>
      </c>
      <c r="CN17" s="740">
        <v>71.03</v>
      </c>
      <c r="CO17" s="740">
        <v>71.2</v>
      </c>
      <c r="CP17" s="740">
        <v>71.38</v>
      </c>
      <c r="CQ17" s="740">
        <v>71.540000000000006</v>
      </c>
      <c r="CR17" s="740">
        <v>71.7</v>
      </c>
      <c r="CS17" s="740">
        <v>71.87</v>
      </c>
      <c r="CT17" s="740">
        <v>72.040000000000006</v>
      </c>
      <c r="CU17" s="740">
        <v>72.19</v>
      </c>
      <c r="CV17" s="740">
        <v>72.349999999999994</v>
      </c>
      <c r="CW17" s="740">
        <v>72.5</v>
      </c>
      <c r="CX17" s="740">
        <v>72.66</v>
      </c>
      <c r="CY17" s="740">
        <v>72.819999999999993</v>
      </c>
      <c r="CZ17" s="740">
        <v>72.98</v>
      </c>
      <c r="DA17" s="740">
        <v>73.13</v>
      </c>
      <c r="DB17" s="740">
        <v>73.28</v>
      </c>
      <c r="DC17" s="740">
        <v>73.430000000000007</v>
      </c>
      <c r="DD17" s="740">
        <v>73.58</v>
      </c>
      <c r="DE17" s="740">
        <v>73.73</v>
      </c>
      <c r="DF17" s="740">
        <v>73.88</v>
      </c>
      <c r="DG17" s="740">
        <v>74.02</v>
      </c>
      <c r="DH17" s="740">
        <v>74.17</v>
      </c>
      <c r="DI17" s="740">
        <v>74.31</v>
      </c>
      <c r="DJ17" s="740">
        <v>74.45</v>
      </c>
      <c r="DK17" s="740">
        <v>74.59</v>
      </c>
      <c r="DL17" s="740">
        <v>74.73</v>
      </c>
      <c r="DM17" s="740">
        <v>74.87</v>
      </c>
      <c r="DN17" s="740">
        <v>75</v>
      </c>
      <c r="DO17" s="740">
        <v>75.14</v>
      </c>
      <c r="DP17" s="740">
        <v>75.27</v>
      </c>
      <c r="DQ17" s="740">
        <v>75.400000000000006</v>
      </c>
      <c r="DR17" s="740">
        <v>75.53</v>
      </c>
    </row>
    <row r="18" spans="1:122">
      <c r="A18" s="906">
        <v>16</v>
      </c>
      <c r="B18" s="92"/>
      <c r="C18" s="92"/>
      <c r="D18" s="92"/>
      <c r="E18" s="92"/>
      <c r="F18" s="92"/>
      <c r="G18" s="92"/>
      <c r="H18" s="92"/>
      <c r="I18" s="92"/>
      <c r="J18" s="92"/>
      <c r="K18" s="92"/>
      <c r="L18" s="92"/>
      <c r="M18" s="92"/>
      <c r="N18" s="92"/>
      <c r="O18" s="92"/>
      <c r="P18" s="92"/>
      <c r="Q18" s="92"/>
      <c r="R18" s="92"/>
      <c r="S18" s="92"/>
      <c r="T18" s="92"/>
      <c r="U18" s="92"/>
      <c r="V18" s="740"/>
      <c r="W18" s="740">
        <v>55.43</v>
      </c>
      <c r="X18" s="740">
        <v>55.7</v>
      </c>
      <c r="Y18" s="740">
        <v>55.79</v>
      </c>
      <c r="Z18" s="740">
        <v>56.03</v>
      </c>
      <c r="AA18" s="740">
        <v>56.3</v>
      </c>
      <c r="AB18" s="740">
        <v>56.53</v>
      </c>
      <c r="AC18" s="740">
        <v>56.64</v>
      </c>
      <c r="AD18" s="740">
        <v>56.75</v>
      </c>
      <c r="AE18" s="740">
        <v>57.01</v>
      </c>
      <c r="AF18" s="740">
        <v>57.39</v>
      </c>
      <c r="AG18" s="740">
        <v>57.73</v>
      </c>
      <c r="AH18" s="740">
        <v>58.1</v>
      </c>
      <c r="AI18" s="740">
        <v>58.42</v>
      </c>
      <c r="AJ18" s="740">
        <v>58.77</v>
      </c>
      <c r="AK18" s="740">
        <v>59.08</v>
      </c>
      <c r="AL18" s="740">
        <v>59.45</v>
      </c>
      <c r="AM18" s="740">
        <v>59.81</v>
      </c>
      <c r="AN18" s="740">
        <v>60.04</v>
      </c>
      <c r="AO18" s="740">
        <v>60.18</v>
      </c>
      <c r="AP18" s="740">
        <v>60.4</v>
      </c>
      <c r="AQ18" s="740">
        <v>60.59</v>
      </c>
      <c r="AR18" s="740">
        <v>60.89</v>
      </c>
      <c r="AS18" s="740">
        <v>60.96</v>
      </c>
      <c r="AT18" s="740">
        <v>61.1</v>
      </c>
      <c r="AU18" s="740">
        <v>61.18</v>
      </c>
      <c r="AV18" s="740">
        <v>61.28</v>
      </c>
      <c r="AW18" s="740">
        <v>61.63</v>
      </c>
      <c r="AX18" s="740">
        <v>61.81</v>
      </c>
      <c r="AY18" s="740">
        <v>61.91</v>
      </c>
      <c r="AZ18" s="740">
        <v>61.94</v>
      </c>
      <c r="BA18" s="740">
        <v>61.98</v>
      </c>
      <c r="BB18" s="740">
        <v>62.15</v>
      </c>
      <c r="BC18" s="740">
        <v>62.28</v>
      </c>
      <c r="BD18" s="740">
        <v>62.47</v>
      </c>
      <c r="BE18" s="740">
        <v>62.67</v>
      </c>
      <c r="BF18" s="740">
        <v>62.89</v>
      </c>
      <c r="BG18" s="740">
        <v>63.06</v>
      </c>
      <c r="BH18" s="740">
        <v>63.38</v>
      </c>
      <c r="BI18" s="740">
        <v>63.59</v>
      </c>
      <c r="BJ18" s="740">
        <v>63.87</v>
      </c>
      <c r="BK18" s="740">
        <v>64.11</v>
      </c>
      <c r="BL18" s="740">
        <v>64.41</v>
      </c>
      <c r="BM18" s="740">
        <v>64.709999999999994</v>
      </c>
      <c r="BN18" s="740">
        <v>64.959999999999994</v>
      </c>
      <c r="BO18" s="740">
        <v>65.22</v>
      </c>
      <c r="BP18" s="740">
        <v>65.47</v>
      </c>
      <c r="BQ18" s="740">
        <v>65.680000000000007</v>
      </c>
      <c r="BR18" s="740">
        <v>65.92</v>
      </c>
      <c r="BS18" s="740">
        <v>66.11</v>
      </c>
      <c r="BT18" s="852">
        <v>66.33</v>
      </c>
      <c r="BU18" s="740">
        <v>66.48</v>
      </c>
      <c r="BV18" s="740">
        <v>66.69</v>
      </c>
      <c r="BW18" s="740">
        <v>66.89</v>
      </c>
      <c r="BX18" s="740">
        <v>67.08</v>
      </c>
      <c r="BY18" s="740">
        <v>67.260000000000005</v>
      </c>
      <c r="BZ18" s="740">
        <v>67.44</v>
      </c>
      <c r="CA18" s="740">
        <v>67.61</v>
      </c>
      <c r="CB18" s="740">
        <v>67.78</v>
      </c>
      <c r="CC18" s="740">
        <v>67.97</v>
      </c>
      <c r="CD18" s="740">
        <v>68.17</v>
      </c>
      <c r="CE18" s="740">
        <v>68.36</v>
      </c>
      <c r="CF18" s="740">
        <v>68.55</v>
      </c>
      <c r="CG18" s="740">
        <v>68.760000000000005</v>
      </c>
      <c r="CH18" s="740">
        <v>68.930000000000007</v>
      </c>
      <c r="CI18" s="740">
        <v>69.14</v>
      </c>
      <c r="CJ18" s="740">
        <v>69.319999999999993</v>
      </c>
      <c r="CK18" s="740">
        <v>69.5</v>
      </c>
      <c r="CL18" s="740">
        <v>69.69</v>
      </c>
      <c r="CM18" s="740">
        <v>69.87</v>
      </c>
      <c r="CN18" s="740">
        <v>70.05</v>
      </c>
      <c r="CO18" s="740">
        <v>70.209999999999994</v>
      </c>
      <c r="CP18" s="740">
        <v>70.39</v>
      </c>
      <c r="CQ18" s="740">
        <v>70.56</v>
      </c>
      <c r="CR18" s="740">
        <v>70.709999999999994</v>
      </c>
      <c r="CS18" s="740">
        <v>70.88</v>
      </c>
      <c r="CT18" s="740">
        <v>71.05</v>
      </c>
      <c r="CU18" s="740">
        <v>71.2</v>
      </c>
      <c r="CV18" s="740">
        <v>71.36</v>
      </c>
      <c r="CW18" s="740">
        <v>71.510000000000005</v>
      </c>
      <c r="CX18" s="740">
        <v>71.67</v>
      </c>
      <c r="CY18" s="740">
        <v>71.83</v>
      </c>
      <c r="CZ18" s="740">
        <v>71.989999999999995</v>
      </c>
      <c r="DA18" s="740">
        <v>72.14</v>
      </c>
      <c r="DB18" s="740">
        <v>72.290000000000006</v>
      </c>
      <c r="DC18" s="740">
        <v>72.44</v>
      </c>
      <c r="DD18" s="740">
        <v>72.59</v>
      </c>
      <c r="DE18" s="740">
        <v>72.739999999999995</v>
      </c>
      <c r="DF18" s="740">
        <v>72.89</v>
      </c>
      <c r="DG18" s="740">
        <v>73.03</v>
      </c>
      <c r="DH18" s="740">
        <v>73.180000000000007</v>
      </c>
      <c r="DI18" s="740">
        <v>73.319999999999993</v>
      </c>
      <c r="DJ18" s="740">
        <v>73.459999999999994</v>
      </c>
      <c r="DK18" s="740">
        <v>73.599999999999994</v>
      </c>
      <c r="DL18" s="740">
        <v>73.739999999999995</v>
      </c>
      <c r="DM18" s="740">
        <v>73.88</v>
      </c>
      <c r="DN18" s="740">
        <v>74.010000000000005</v>
      </c>
      <c r="DO18" s="740">
        <v>74.150000000000006</v>
      </c>
      <c r="DP18" s="740">
        <v>74.28</v>
      </c>
      <c r="DQ18" s="740">
        <v>74.41</v>
      </c>
      <c r="DR18" s="740">
        <v>74.540000000000006</v>
      </c>
    </row>
    <row r="19" spans="1:122">
      <c r="A19" s="906">
        <v>17</v>
      </c>
      <c r="B19" s="92"/>
      <c r="C19" s="92"/>
      <c r="D19" s="92"/>
      <c r="E19" s="92"/>
      <c r="F19" s="92"/>
      <c r="G19" s="92"/>
      <c r="H19" s="92"/>
      <c r="I19" s="92"/>
      <c r="J19" s="92"/>
      <c r="K19" s="92"/>
      <c r="L19" s="92"/>
      <c r="M19" s="92"/>
      <c r="N19" s="92"/>
      <c r="O19" s="92"/>
      <c r="P19" s="92"/>
      <c r="Q19" s="92"/>
      <c r="R19" s="92"/>
      <c r="S19" s="92"/>
      <c r="T19" s="92"/>
      <c r="U19" s="92"/>
      <c r="V19" s="740"/>
      <c r="W19" s="740">
        <v>54.56</v>
      </c>
      <c r="X19" s="740">
        <v>54.82</v>
      </c>
      <c r="Y19" s="740">
        <v>54.91</v>
      </c>
      <c r="Z19" s="740">
        <v>55.16</v>
      </c>
      <c r="AA19" s="740">
        <v>55.43</v>
      </c>
      <c r="AB19" s="740">
        <v>55.66</v>
      </c>
      <c r="AC19" s="740">
        <v>55.78</v>
      </c>
      <c r="AD19" s="740">
        <v>55.91</v>
      </c>
      <c r="AE19" s="740">
        <v>56.21</v>
      </c>
      <c r="AF19" s="740">
        <v>56.51</v>
      </c>
      <c r="AG19" s="740">
        <v>56.85</v>
      </c>
      <c r="AH19" s="740">
        <v>57.2</v>
      </c>
      <c r="AI19" s="740">
        <v>57.49</v>
      </c>
      <c r="AJ19" s="740">
        <v>57.84</v>
      </c>
      <c r="AK19" s="740">
        <v>58.15</v>
      </c>
      <c r="AL19" s="740">
        <v>58.51</v>
      </c>
      <c r="AM19" s="740">
        <v>58.87</v>
      </c>
      <c r="AN19" s="740">
        <v>59.1</v>
      </c>
      <c r="AO19" s="740">
        <v>59.23</v>
      </c>
      <c r="AP19" s="740">
        <v>59.46</v>
      </c>
      <c r="AQ19" s="740">
        <v>59.65</v>
      </c>
      <c r="AR19" s="740">
        <v>59.94</v>
      </c>
      <c r="AS19" s="740">
        <v>60.02</v>
      </c>
      <c r="AT19" s="740">
        <v>60.16</v>
      </c>
      <c r="AU19" s="740">
        <v>60.23</v>
      </c>
      <c r="AV19" s="740">
        <v>60.34</v>
      </c>
      <c r="AW19" s="740">
        <v>60.68</v>
      </c>
      <c r="AX19" s="740">
        <v>60.88</v>
      </c>
      <c r="AY19" s="740">
        <v>60.97</v>
      </c>
      <c r="AZ19" s="740">
        <v>61.01</v>
      </c>
      <c r="BA19" s="740">
        <v>61.05</v>
      </c>
      <c r="BB19" s="740">
        <v>61.22</v>
      </c>
      <c r="BC19" s="740">
        <v>61.35</v>
      </c>
      <c r="BD19" s="740">
        <v>61.54</v>
      </c>
      <c r="BE19" s="740">
        <v>61.74</v>
      </c>
      <c r="BF19" s="740">
        <v>61.96</v>
      </c>
      <c r="BG19" s="740">
        <v>62.13</v>
      </c>
      <c r="BH19" s="740">
        <v>62.46</v>
      </c>
      <c r="BI19" s="740">
        <v>62.66</v>
      </c>
      <c r="BJ19" s="740">
        <v>62.94</v>
      </c>
      <c r="BK19" s="740">
        <v>63.18</v>
      </c>
      <c r="BL19" s="740">
        <v>63.47</v>
      </c>
      <c r="BM19" s="740">
        <v>63.77</v>
      </c>
      <c r="BN19" s="740">
        <v>64.02</v>
      </c>
      <c r="BO19" s="740">
        <v>64.28</v>
      </c>
      <c r="BP19" s="740">
        <v>64.52</v>
      </c>
      <c r="BQ19" s="740">
        <v>64.739999999999995</v>
      </c>
      <c r="BR19" s="740">
        <v>64.97</v>
      </c>
      <c r="BS19" s="740">
        <v>65.150000000000006</v>
      </c>
      <c r="BT19" s="852">
        <v>65.37</v>
      </c>
      <c r="BU19" s="740">
        <v>65.52</v>
      </c>
      <c r="BV19" s="740">
        <v>65.73</v>
      </c>
      <c r="BW19" s="740">
        <v>65.92</v>
      </c>
      <c r="BX19" s="740">
        <v>66.12</v>
      </c>
      <c r="BY19" s="740">
        <v>66.3</v>
      </c>
      <c r="BZ19" s="740">
        <v>66.47</v>
      </c>
      <c r="CA19" s="740">
        <v>66.64</v>
      </c>
      <c r="CB19" s="740">
        <v>66.81</v>
      </c>
      <c r="CC19" s="740">
        <v>67.010000000000005</v>
      </c>
      <c r="CD19" s="740">
        <v>67.2</v>
      </c>
      <c r="CE19" s="740">
        <v>67.39</v>
      </c>
      <c r="CF19" s="740">
        <v>67.58</v>
      </c>
      <c r="CG19" s="740">
        <v>67.790000000000006</v>
      </c>
      <c r="CH19" s="740">
        <v>67.959999999999994</v>
      </c>
      <c r="CI19" s="740">
        <v>68.17</v>
      </c>
      <c r="CJ19" s="740">
        <v>68.349999999999994</v>
      </c>
      <c r="CK19" s="740">
        <v>68.52</v>
      </c>
      <c r="CL19" s="740">
        <v>68.709999999999994</v>
      </c>
      <c r="CM19" s="740">
        <v>68.900000000000006</v>
      </c>
      <c r="CN19" s="740">
        <v>69.069999999999993</v>
      </c>
      <c r="CO19" s="740">
        <v>69.239999999999995</v>
      </c>
      <c r="CP19" s="740">
        <v>69.41</v>
      </c>
      <c r="CQ19" s="740">
        <v>69.58</v>
      </c>
      <c r="CR19" s="740">
        <v>69.73</v>
      </c>
      <c r="CS19" s="740">
        <v>69.900000000000006</v>
      </c>
      <c r="CT19" s="740">
        <v>70.069999999999993</v>
      </c>
      <c r="CU19" s="740">
        <v>70.22</v>
      </c>
      <c r="CV19" s="740">
        <v>70.38</v>
      </c>
      <c r="CW19" s="740">
        <v>70.53</v>
      </c>
      <c r="CX19" s="740">
        <v>70.69</v>
      </c>
      <c r="CY19" s="740">
        <v>70.849999999999994</v>
      </c>
      <c r="CZ19" s="740">
        <v>71</v>
      </c>
      <c r="DA19" s="740">
        <v>71.16</v>
      </c>
      <c r="DB19" s="740">
        <v>71.31</v>
      </c>
      <c r="DC19" s="740">
        <v>71.459999999999994</v>
      </c>
      <c r="DD19" s="740">
        <v>71.61</v>
      </c>
      <c r="DE19" s="740">
        <v>71.760000000000005</v>
      </c>
      <c r="DF19" s="740">
        <v>71.900000000000006</v>
      </c>
      <c r="DG19" s="740">
        <v>72.05</v>
      </c>
      <c r="DH19" s="740">
        <v>72.19</v>
      </c>
      <c r="DI19" s="740">
        <v>72.33</v>
      </c>
      <c r="DJ19" s="740">
        <v>72.47</v>
      </c>
      <c r="DK19" s="740">
        <v>72.61</v>
      </c>
      <c r="DL19" s="740">
        <v>72.75</v>
      </c>
      <c r="DM19" s="740">
        <v>72.89</v>
      </c>
      <c r="DN19" s="740">
        <v>73.02</v>
      </c>
      <c r="DO19" s="740">
        <v>73.16</v>
      </c>
      <c r="DP19" s="740">
        <v>73.290000000000006</v>
      </c>
      <c r="DQ19" s="740">
        <v>73.42</v>
      </c>
      <c r="DR19" s="740">
        <v>73.55</v>
      </c>
    </row>
    <row r="20" spans="1:122">
      <c r="A20" s="906">
        <v>18</v>
      </c>
      <c r="B20" s="92"/>
      <c r="C20" s="92"/>
      <c r="D20" s="92"/>
      <c r="E20" s="92"/>
      <c r="F20" s="92"/>
      <c r="G20" s="92"/>
      <c r="H20" s="92"/>
      <c r="I20" s="92"/>
      <c r="J20" s="92"/>
      <c r="K20" s="92"/>
      <c r="L20" s="92"/>
      <c r="M20" s="92"/>
      <c r="N20" s="92"/>
      <c r="O20" s="92"/>
      <c r="P20" s="92"/>
      <c r="Q20" s="92"/>
      <c r="R20" s="92"/>
      <c r="S20" s="92"/>
      <c r="T20" s="92"/>
      <c r="U20" s="92"/>
      <c r="V20" s="740"/>
      <c r="W20" s="740">
        <v>53.68</v>
      </c>
      <c r="X20" s="740">
        <v>53.94</v>
      </c>
      <c r="Y20" s="740">
        <v>54.04</v>
      </c>
      <c r="Z20" s="740">
        <v>54.29</v>
      </c>
      <c r="AA20" s="740">
        <v>54.55</v>
      </c>
      <c r="AB20" s="740">
        <v>54.8</v>
      </c>
      <c r="AC20" s="740">
        <v>54.94</v>
      </c>
      <c r="AD20" s="740">
        <v>55.14</v>
      </c>
      <c r="AE20" s="740">
        <v>55.35</v>
      </c>
      <c r="AF20" s="740">
        <v>55.65</v>
      </c>
      <c r="AG20" s="740">
        <v>55.96</v>
      </c>
      <c r="AH20" s="740">
        <v>56.27</v>
      </c>
      <c r="AI20" s="740">
        <v>56.56</v>
      </c>
      <c r="AJ20" s="740">
        <v>56.92</v>
      </c>
      <c r="AK20" s="740">
        <v>57.22</v>
      </c>
      <c r="AL20" s="740">
        <v>57.58</v>
      </c>
      <c r="AM20" s="740">
        <v>57.93</v>
      </c>
      <c r="AN20" s="740">
        <v>58.16</v>
      </c>
      <c r="AO20" s="740">
        <v>58.3</v>
      </c>
      <c r="AP20" s="740">
        <v>58.52</v>
      </c>
      <c r="AQ20" s="740">
        <v>58.72</v>
      </c>
      <c r="AR20" s="740">
        <v>59.01</v>
      </c>
      <c r="AS20" s="740">
        <v>59.09</v>
      </c>
      <c r="AT20" s="740">
        <v>59.23</v>
      </c>
      <c r="AU20" s="740">
        <v>59.3</v>
      </c>
      <c r="AV20" s="740">
        <v>59.42</v>
      </c>
      <c r="AW20" s="740">
        <v>59.75</v>
      </c>
      <c r="AX20" s="740">
        <v>59.95</v>
      </c>
      <c r="AY20" s="740">
        <v>60.05</v>
      </c>
      <c r="AZ20" s="740">
        <v>60.08</v>
      </c>
      <c r="BA20" s="740">
        <v>60.14</v>
      </c>
      <c r="BB20" s="740">
        <v>60.3</v>
      </c>
      <c r="BC20" s="740">
        <v>60.44</v>
      </c>
      <c r="BD20" s="740">
        <v>60.63</v>
      </c>
      <c r="BE20" s="740">
        <v>60.82</v>
      </c>
      <c r="BF20" s="740">
        <v>61.04</v>
      </c>
      <c r="BG20" s="740">
        <v>61.21</v>
      </c>
      <c r="BH20" s="740">
        <v>61.54</v>
      </c>
      <c r="BI20" s="740">
        <v>61.74</v>
      </c>
      <c r="BJ20" s="740">
        <v>62.02</v>
      </c>
      <c r="BK20" s="740">
        <v>62.25</v>
      </c>
      <c r="BL20" s="740">
        <v>62.55</v>
      </c>
      <c r="BM20" s="740">
        <v>62.85</v>
      </c>
      <c r="BN20" s="740">
        <v>63.09</v>
      </c>
      <c r="BO20" s="740">
        <v>63.34</v>
      </c>
      <c r="BP20" s="740">
        <v>63.58</v>
      </c>
      <c r="BQ20" s="740">
        <v>63.79</v>
      </c>
      <c r="BR20" s="740">
        <v>64.02</v>
      </c>
      <c r="BS20" s="740">
        <v>64.2</v>
      </c>
      <c r="BT20" s="852">
        <v>64.42</v>
      </c>
      <c r="BU20" s="740">
        <v>64.56</v>
      </c>
      <c r="BV20" s="740">
        <v>64.78</v>
      </c>
      <c r="BW20" s="740">
        <v>64.97</v>
      </c>
      <c r="BX20" s="740">
        <v>65.17</v>
      </c>
      <c r="BY20" s="740">
        <v>65.34</v>
      </c>
      <c r="BZ20" s="740">
        <v>65.510000000000005</v>
      </c>
      <c r="CA20" s="740">
        <v>65.69</v>
      </c>
      <c r="CB20" s="740">
        <v>65.86</v>
      </c>
      <c r="CC20" s="740">
        <v>66.05</v>
      </c>
      <c r="CD20" s="740">
        <v>66.239999999999995</v>
      </c>
      <c r="CE20" s="740">
        <v>66.44</v>
      </c>
      <c r="CF20" s="740">
        <v>66.62</v>
      </c>
      <c r="CG20" s="740">
        <v>66.819999999999993</v>
      </c>
      <c r="CH20" s="740">
        <v>66.989999999999995</v>
      </c>
      <c r="CI20" s="740">
        <v>67.209999999999994</v>
      </c>
      <c r="CJ20" s="740">
        <v>67.38</v>
      </c>
      <c r="CK20" s="740">
        <v>67.55</v>
      </c>
      <c r="CL20" s="740">
        <v>67.739999999999995</v>
      </c>
      <c r="CM20" s="740">
        <v>67.92</v>
      </c>
      <c r="CN20" s="740">
        <v>68.09</v>
      </c>
      <c r="CO20" s="740">
        <v>68.260000000000005</v>
      </c>
      <c r="CP20" s="740">
        <v>68.430000000000007</v>
      </c>
      <c r="CQ20" s="740">
        <v>68.599999999999994</v>
      </c>
      <c r="CR20" s="740">
        <v>68.760000000000005</v>
      </c>
      <c r="CS20" s="740">
        <v>68.92</v>
      </c>
      <c r="CT20" s="740">
        <v>69.09</v>
      </c>
      <c r="CU20" s="740">
        <v>69.239999999999995</v>
      </c>
      <c r="CV20" s="740">
        <v>69.400000000000006</v>
      </c>
      <c r="CW20" s="740">
        <v>69.55</v>
      </c>
      <c r="CX20" s="740">
        <v>69.709999999999994</v>
      </c>
      <c r="CY20" s="740">
        <v>69.87</v>
      </c>
      <c r="CZ20" s="740">
        <v>70.02</v>
      </c>
      <c r="DA20" s="740">
        <v>70.180000000000007</v>
      </c>
      <c r="DB20" s="740">
        <v>70.33</v>
      </c>
      <c r="DC20" s="740">
        <v>70.48</v>
      </c>
      <c r="DD20" s="740">
        <v>70.62</v>
      </c>
      <c r="DE20" s="740">
        <v>70.77</v>
      </c>
      <c r="DF20" s="740">
        <v>70.92</v>
      </c>
      <c r="DG20" s="740">
        <v>71.06</v>
      </c>
      <c r="DH20" s="740">
        <v>71.2</v>
      </c>
      <c r="DI20" s="740">
        <v>71.34</v>
      </c>
      <c r="DJ20" s="740">
        <v>71.48</v>
      </c>
      <c r="DK20" s="740">
        <v>71.62</v>
      </c>
      <c r="DL20" s="740">
        <v>71.760000000000005</v>
      </c>
      <c r="DM20" s="740">
        <v>71.900000000000006</v>
      </c>
      <c r="DN20" s="740">
        <v>72.03</v>
      </c>
      <c r="DO20" s="740">
        <v>72.17</v>
      </c>
      <c r="DP20" s="740">
        <v>72.3</v>
      </c>
      <c r="DQ20" s="740">
        <v>72.430000000000007</v>
      </c>
      <c r="DR20" s="740">
        <v>72.56</v>
      </c>
    </row>
    <row r="21" spans="1:122">
      <c r="A21" s="906">
        <v>19</v>
      </c>
      <c r="B21" s="92"/>
      <c r="C21" s="92"/>
      <c r="D21" s="92"/>
      <c r="E21" s="92"/>
      <c r="F21" s="92"/>
      <c r="G21" s="92"/>
      <c r="H21" s="92"/>
      <c r="I21" s="92"/>
      <c r="J21" s="92"/>
      <c r="K21" s="92"/>
      <c r="L21" s="92"/>
      <c r="M21" s="92"/>
      <c r="N21" s="92"/>
      <c r="O21" s="92"/>
      <c r="P21" s="92"/>
      <c r="Q21" s="92"/>
      <c r="R21" s="92"/>
      <c r="S21" s="92"/>
      <c r="T21" s="92"/>
      <c r="U21" s="92"/>
      <c r="V21" s="740"/>
      <c r="W21" s="740">
        <v>52.81</v>
      </c>
      <c r="X21" s="740">
        <v>53.08</v>
      </c>
      <c r="Y21" s="740">
        <v>53.18</v>
      </c>
      <c r="Z21" s="740">
        <v>53.42</v>
      </c>
      <c r="AA21" s="740">
        <v>53.71</v>
      </c>
      <c r="AB21" s="740">
        <v>53.98</v>
      </c>
      <c r="AC21" s="740">
        <v>54.19</v>
      </c>
      <c r="AD21" s="740">
        <v>54.3</v>
      </c>
      <c r="AE21" s="740">
        <v>54.51</v>
      </c>
      <c r="AF21" s="740">
        <v>54.78</v>
      </c>
      <c r="AG21" s="740">
        <v>55.04</v>
      </c>
      <c r="AH21" s="740">
        <v>55.36</v>
      </c>
      <c r="AI21" s="740">
        <v>55.65</v>
      </c>
      <c r="AJ21" s="740">
        <v>56</v>
      </c>
      <c r="AK21" s="740">
        <v>56.3</v>
      </c>
      <c r="AL21" s="740">
        <v>56.66</v>
      </c>
      <c r="AM21" s="740">
        <v>57.01</v>
      </c>
      <c r="AN21" s="740">
        <v>57.25</v>
      </c>
      <c r="AO21" s="740">
        <v>57.39</v>
      </c>
      <c r="AP21" s="740">
        <v>57.61</v>
      </c>
      <c r="AQ21" s="740">
        <v>57.81</v>
      </c>
      <c r="AR21" s="740">
        <v>58.09</v>
      </c>
      <c r="AS21" s="740">
        <v>58.18</v>
      </c>
      <c r="AT21" s="740">
        <v>58.32</v>
      </c>
      <c r="AU21" s="740">
        <v>58.38</v>
      </c>
      <c r="AV21" s="740">
        <v>58.51</v>
      </c>
      <c r="AW21" s="740">
        <v>58.84</v>
      </c>
      <c r="AX21" s="740">
        <v>59.05</v>
      </c>
      <c r="AY21" s="740">
        <v>59.14</v>
      </c>
      <c r="AZ21" s="740">
        <v>59.17</v>
      </c>
      <c r="BA21" s="740">
        <v>59.25</v>
      </c>
      <c r="BB21" s="740">
        <v>59.41</v>
      </c>
      <c r="BC21" s="740">
        <v>59.55</v>
      </c>
      <c r="BD21" s="740">
        <v>59.74</v>
      </c>
      <c r="BE21" s="740">
        <v>59.93</v>
      </c>
      <c r="BF21" s="740">
        <v>60.15</v>
      </c>
      <c r="BG21" s="740">
        <v>60.32</v>
      </c>
      <c r="BH21" s="740">
        <v>60.65</v>
      </c>
      <c r="BI21" s="740">
        <v>60.85</v>
      </c>
      <c r="BJ21" s="740">
        <v>61.13</v>
      </c>
      <c r="BK21" s="740">
        <v>61.35</v>
      </c>
      <c r="BL21" s="740">
        <v>61.64</v>
      </c>
      <c r="BM21" s="740">
        <v>61.93</v>
      </c>
      <c r="BN21" s="740">
        <v>62.18</v>
      </c>
      <c r="BO21" s="740">
        <v>62.43</v>
      </c>
      <c r="BP21" s="740">
        <v>62.65</v>
      </c>
      <c r="BQ21" s="740">
        <v>62.86</v>
      </c>
      <c r="BR21" s="740">
        <v>63.08</v>
      </c>
      <c r="BS21" s="740">
        <v>63.27</v>
      </c>
      <c r="BT21" s="852">
        <v>63.48</v>
      </c>
      <c r="BU21" s="740">
        <v>63.63</v>
      </c>
      <c r="BV21" s="740">
        <v>63.85</v>
      </c>
      <c r="BW21" s="740">
        <v>64.040000000000006</v>
      </c>
      <c r="BX21" s="740">
        <v>64.239999999999995</v>
      </c>
      <c r="BY21" s="740">
        <v>64.41</v>
      </c>
      <c r="BZ21" s="740">
        <v>64.58</v>
      </c>
      <c r="CA21" s="740">
        <v>64.760000000000005</v>
      </c>
      <c r="CB21" s="740">
        <v>64.930000000000007</v>
      </c>
      <c r="CC21" s="740">
        <v>65.12</v>
      </c>
      <c r="CD21" s="740">
        <v>65.31</v>
      </c>
      <c r="CE21" s="740">
        <v>65.5</v>
      </c>
      <c r="CF21" s="740">
        <v>65.680000000000007</v>
      </c>
      <c r="CG21" s="740">
        <v>65.88</v>
      </c>
      <c r="CH21" s="740">
        <v>66.05</v>
      </c>
      <c r="CI21" s="740">
        <v>66.260000000000005</v>
      </c>
      <c r="CJ21" s="740">
        <v>66.430000000000007</v>
      </c>
      <c r="CK21" s="740">
        <v>66.599999999999994</v>
      </c>
      <c r="CL21" s="740">
        <v>66.78</v>
      </c>
      <c r="CM21" s="740">
        <v>66.959999999999994</v>
      </c>
      <c r="CN21" s="740">
        <v>67.13</v>
      </c>
      <c r="CO21" s="740">
        <v>67.290000000000006</v>
      </c>
      <c r="CP21" s="740">
        <v>67.47</v>
      </c>
      <c r="CQ21" s="740">
        <v>67.63</v>
      </c>
      <c r="CR21" s="740">
        <v>67.790000000000006</v>
      </c>
      <c r="CS21" s="740">
        <v>67.95</v>
      </c>
      <c r="CT21" s="740">
        <v>68.11</v>
      </c>
      <c r="CU21" s="740">
        <v>68.27</v>
      </c>
      <c r="CV21" s="740">
        <v>68.42</v>
      </c>
      <c r="CW21" s="740">
        <v>68.58</v>
      </c>
      <c r="CX21" s="740">
        <v>68.739999999999995</v>
      </c>
      <c r="CY21" s="740">
        <v>68.89</v>
      </c>
      <c r="CZ21" s="740">
        <v>69.040000000000006</v>
      </c>
      <c r="DA21" s="740">
        <v>69.2</v>
      </c>
      <c r="DB21" s="740">
        <v>69.349999999999994</v>
      </c>
      <c r="DC21" s="740">
        <v>69.5</v>
      </c>
      <c r="DD21" s="740">
        <v>69.64</v>
      </c>
      <c r="DE21" s="740">
        <v>69.790000000000006</v>
      </c>
      <c r="DF21" s="740">
        <v>69.930000000000007</v>
      </c>
      <c r="DG21" s="740">
        <v>70.08</v>
      </c>
      <c r="DH21" s="740">
        <v>70.22</v>
      </c>
      <c r="DI21" s="740">
        <v>70.36</v>
      </c>
      <c r="DJ21" s="740">
        <v>70.5</v>
      </c>
      <c r="DK21" s="740">
        <v>70.64</v>
      </c>
      <c r="DL21" s="740">
        <v>70.78</v>
      </c>
      <c r="DM21" s="740">
        <v>70.91</v>
      </c>
      <c r="DN21" s="740">
        <v>71.05</v>
      </c>
      <c r="DO21" s="740">
        <v>71.180000000000007</v>
      </c>
      <c r="DP21" s="740">
        <v>71.31</v>
      </c>
      <c r="DQ21" s="740">
        <v>71.44</v>
      </c>
      <c r="DR21" s="740">
        <v>71.569999999999993</v>
      </c>
    </row>
    <row r="22" spans="1:122">
      <c r="A22" s="906">
        <v>20</v>
      </c>
      <c r="B22" s="92"/>
      <c r="C22" s="92"/>
      <c r="D22" s="92"/>
      <c r="E22" s="92"/>
      <c r="F22" s="92"/>
      <c r="G22" s="92"/>
      <c r="H22" s="92"/>
      <c r="I22" s="92"/>
      <c r="J22" s="92"/>
      <c r="K22" s="92"/>
      <c r="L22" s="92"/>
      <c r="M22" s="92"/>
      <c r="N22" s="92"/>
      <c r="O22" s="92"/>
      <c r="P22" s="92"/>
      <c r="Q22" s="92"/>
      <c r="R22" s="92"/>
      <c r="S22" s="92"/>
      <c r="T22" s="92"/>
      <c r="U22" s="92"/>
      <c r="V22" s="740"/>
      <c r="W22" s="740">
        <v>51.96</v>
      </c>
      <c r="X22" s="740">
        <v>52.23</v>
      </c>
      <c r="Y22" s="740">
        <v>52.32</v>
      </c>
      <c r="Z22" s="740">
        <v>52.59</v>
      </c>
      <c r="AA22" s="740">
        <v>52.89</v>
      </c>
      <c r="AB22" s="740">
        <v>53.25</v>
      </c>
      <c r="AC22" s="740">
        <v>53.39</v>
      </c>
      <c r="AD22" s="740">
        <v>53.5</v>
      </c>
      <c r="AE22" s="740">
        <v>53.66</v>
      </c>
      <c r="AF22" s="740">
        <v>53.87</v>
      </c>
      <c r="AG22" s="740">
        <v>54.14</v>
      </c>
      <c r="AH22" s="740">
        <v>54.45</v>
      </c>
      <c r="AI22" s="740">
        <v>54.75</v>
      </c>
      <c r="AJ22" s="740">
        <v>55.09</v>
      </c>
      <c r="AK22" s="740">
        <v>55.38</v>
      </c>
      <c r="AL22" s="740">
        <v>55.75</v>
      </c>
      <c r="AM22" s="740">
        <v>56.11</v>
      </c>
      <c r="AN22" s="740">
        <v>56.35</v>
      </c>
      <c r="AO22" s="740">
        <v>56.49</v>
      </c>
      <c r="AP22" s="740">
        <v>56.71</v>
      </c>
      <c r="AQ22" s="740">
        <v>56.92</v>
      </c>
      <c r="AR22" s="740">
        <v>57.19</v>
      </c>
      <c r="AS22" s="740">
        <v>57.27</v>
      </c>
      <c r="AT22" s="740">
        <v>57.42</v>
      </c>
      <c r="AU22" s="740">
        <v>57.49</v>
      </c>
      <c r="AV22" s="740">
        <v>57.62</v>
      </c>
      <c r="AW22" s="740">
        <v>57.94</v>
      </c>
      <c r="AX22" s="740">
        <v>58.14</v>
      </c>
      <c r="AY22" s="740">
        <v>58.24</v>
      </c>
      <c r="AZ22" s="740">
        <v>58.28</v>
      </c>
      <c r="BA22" s="740">
        <v>58.36</v>
      </c>
      <c r="BB22" s="740">
        <v>58.52</v>
      </c>
      <c r="BC22" s="740">
        <v>58.67</v>
      </c>
      <c r="BD22" s="740">
        <v>58.84</v>
      </c>
      <c r="BE22" s="740">
        <v>59.04</v>
      </c>
      <c r="BF22" s="740">
        <v>59.26</v>
      </c>
      <c r="BG22" s="740">
        <v>59.43</v>
      </c>
      <c r="BH22" s="740">
        <v>59.76</v>
      </c>
      <c r="BI22" s="740">
        <v>59.96</v>
      </c>
      <c r="BJ22" s="740">
        <v>60.23</v>
      </c>
      <c r="BK22" s="740">
        <v>60.45</v>
      </c>
      <c r="BL22" s="740">
        <v>60.74</v>
      </c>
      <c r="BM22" s="740">
        <v>61.02</v>
      </c>
      <c r="BN22" s="740">
        <v>61.27</v>
      </c>
      <c r="BO22" s="740">
        <v>61.5</v>
      </c>
      <c r="BP22" s="740">
        <v>61.72</v>
      </c>
      <c r="BQ22" s="740">
        <v>61.94</v>
      </c>
      <c r="BR22" s="740">
        <v>62.15</v>
      </c>
      <c r="BS22" s="740">
        <v>62.33</v>
      </c>
      <c r="BT22" s="852">
        <v>62.55</v>
      </c>
      <c r="BU22" s="740">
        <v>62.71</v>
      </c>
      <c r="BV22" s="740">
        <v>62.92</v>
      </c>
      <c r="BW22" s="740">
        <v>63.11</v>
      </c>
      <c r="BX22" s="740">
        <v>63.31</v>
      </c>
      <c r="BY22" s="740">
        <v>63.48</v>
      </c>
      <c r="BZ22" s="740">
        <v>63.65</v>
      </c>
      <c r="CA22" s="740">
        <v>63.84</v>
      </c>
      <c r="CB22" s="740">
        <v>64</v>
      </c>
      <c r="CC22" s="740">
        <v>64.180000000000007</v>
      </c>
      <c r="CD22" s="740">
        <v>64.37</v>
      </c>
      <c r="CE22" s="740">
        <v>64.56</v>
      </c>
      <c r="CF22" s="740">
        <v>64.739999999999995</v>
      </c>
      <c r="CG22" s="740">
        <v>64.930000000000007</v>
      </c>
      <c r="CH22" s="740">
        <v>65.099999999999994</v>
      </c>
      <c r="CI22" s="740">
        <v>65.3</v>
      </c>
      <c r="CJ22" s="740">
        <v>65.459999999999994</v>
      </c>
      <c r="CK22" s="740">
        <v>65.64</v>
      </c>
      <c r="CL22" s="740">
        <v>65.819999999999993</v>
      </c>
      <c r="CM22" s="740">
        <v>65.989999999999995</v>
      </c>
      <c r="CN22" s="740">
        <v>66.16</v>
      </c>
      <c r="CO22" s="740">
        <v>66.33</v>
      </c>
      <c r="CP22" s="740">
        <v>66.5</v>
      </c>
      <c r="CQ22" s="740">
        <v>66.66</v>
      </c>
      <c r="CR22" s="740">
        <v>66.81</v>
      </c>
      <c r="CS22" s="740">
        <v>66.98</v>
      </c>
      <c r="CT22" s="740">
        <v>67.14</v>
      </c>
      <c r="CU22" s="740">
        <v>67.290000000000006</v>
      </c>
      <c r="CV22" s="740">
        <v>67.45</v>
      </c>
      <c r="CW22" s="740">
        <v>67.61</v>
      </c>
      <c r="CX22" s="740">
        <v>67.760000000000005</v>
      </c>
      <c r="CY22" s="740">
        <v>67.92</v>
      </c>
      <c r="CZ22" s="740">
        <v>68.069999999999993</v>
      </c>
      <c r="DA22" s="740">
        <v>68.22</v>
      </c>
      <c r="DB22" s="740">
        <v>68.37</v>
      </c>
      <c r="DC22" s="740">
        <v>68.52</v>
      </c>
      <c r="DD22" s="740">
        <v>68.66</v>
      </c>
      <c r="DE22" s="740">
        <v>68.81</v>
      </c>
      <c r="DF22" s="740">
        <v>68.95</v>
      </c>
      <c r="DG22" s="740">
        <v>69.099999999999994</v>
      </c>
      <c r="DH22" s="740">
        <v>69.239999999999995</v>
      </c>
      <c r="DI22" s="740">
        <v>69.38</v>
      </c>
      <c r="DJ22" s="740">
        <v>69.52</v>
      </c>
      <c r="DK22" s="740">
        <v>69.66</v>
      </c>
      <c r="DL22" s="740">
        <v>69.790000000000006</v>
      </c>
      <c r="DM22" s="740">
        <v>69.930000000000007</v>
      </c>
      <c r="DN22" s="740">
        <v>70.06</v>
      </c>
      <c r="DO22" s="740">
        <v>70.19</v>
      </c>
      <c r="DP22" s="740">
        <v>70.33</v>
      </c>
      <c r="DQ22" s="740">
        <v>70.459999999999994</v>
      </c>
      <c r="DR22" s="740">
        <v>70.59</v>
      </c>
    </row>
    <row r="23" spans="1:122">
      <c r="A23" s="906">
        <v>21</v>
      </c>
      <c r="B23" s="92"/>
      <c r="C23" s="92"/>
      <c r="D23" s="92"/>
      <c r="E23" s="92"/>
      <c r="F23" s="92"/>
      <c r="G23" s="92"/>
      <c r="H23" s="92"/>
      <c r="I23" s="92"/>
      <c r="J23" s="92"/>
      <c r="K23" s="92"/>
      <c r="L23" s="92"/>
      <c r="M23" s="92"/>
      <c r="N23" s="92"/>
      <c r="O23" s="92"/>
      <c r="P23" s="92"/>
      <c r="Q23" s="92"/>
      <c r="R23" s="92"/>
      <c r="S23" s="92"/>
      <c r="T23" s="92"/>
      <c r="U23" s="92"/>
      <c r="V23" s="740"/>
      <c r="W23" s="740">
        <v>51.11</v>
      </c>
      <c r="X23" s="740">
        <v>51.38</v>
      </c>
      <c r="Y23" s="740">
        <v>51.49</v>
      </c>
      <c r="Z23" s="740">
        <v>51.78</v>
      </c>
      <c r="AA23" s="740">
        <v>52.17</v>
      </c>
      <c r="AB23" s="740">
        <v>52.48</v>
      </c>
      <c r="AC23" s="740">
        <v>52.62</v>
      </c>
      <c r="AD23" s="740">
        <v>52.68</v>
      </c>
      <c r="AE23" s="740">
        <v>52.76</v>
      </c>
      <c r="AF23" s="740">
        <v>52.97</v>
      </c>
      <c r="AG23" s="740">
        <v>53.24</v>
      </c>
      <c r="AH23" s="740">
        <v>53.55</v>
      </c>
      <c r="AI23" s="740">
        <v>53.84</v>
      </c>
      <c r="AJ23" s="740">
        <v>54.19</v>
      </c>
      <c r="AK23" s="740">
        <v>54.48</v>
      </c>
      <c r="AL23" s="740">
        <v>54.86</v>
      </c>
      <c r="AM23" s="740">
        <v>55.22</v>
      </c>
      <c r="AN23" s="740">
        <v>55.46</v>
      </c>
      <c r="AO23" s="740">
        <v>55.59</v>
      </c>
      <c r="AP23" s="740">
        <v>55.81</v>
      </c>
      <c r="AQ23" s="740">
        <v>56.02</v>
      </c>
      <c r="AR23" s="740">
        <v>56.29</v>
      </c>
      <c r="AS23" s="740">
        <v>56.37</v>
      </c>
      <c r="AT23" s="740">
        <v>56.51</v>
      </c>
      <c r="AU23" s="740">
        <v>56.59</v>
      </c>
      <c r="AV23" s="740">
        <v>56.72</v>
      </c>
      <c r="AW23" s="740">
        <v>57.03</v>
      </c>
      <c r="AX23" s="740">
        <v>57.22</v>
      </c>
      <c r="AY23" s="740">
        <v>57.34</v>
      </c>
      <c r="AZ23" s="740">
        <v>57.38</v>
      </c>
      <c r="BA23" s="740">
        <v>57.48</v>
      </c>
      <c r="BB23" s="740">
        <v>57.63</v>
      </c>
      <c r="BC23" s="740">
        <v>57.76</v>
      </c>
      <c r="BD23" s="740">
        <v>57.94</v>
      </c>
      <c r="BE23" s="740">
        <v>58.14</v>
      </c>
      <c r="BF23" s="740">
        <v>58.37</v>
      </c>
      <c r="BG23" s="740">
        <v>58.54</v>
      </c>
      <c r="BH23" s="740">
        <v>58.86</v>
      </c>
      <c r="BI23" s="740">
        <v>59.05</v>
      </c>
      <c r="BJ23" s="740">
        <v>59.32</v>
      </c>
      <c r="BK23" s="740">
        <v>59.54</v>
      </c>
      <c r="BL23" s="740">
        <v>59.83</v>
      </c>
      <c r="BM23" s="740">
        <v>60.1</v>
      </c>
      <c r="BN23" s="740">
        <v>60.34</v>
      </c>
      <c r="BO23" s="740">
        <v>60.57</v>
      </c>
      <c r="BP23" s="740">
        <v>60.79</v>
      </c>
      <c r="BQ23" s="740">
        <v>61.01</v>
      </c>
      <c r="BR23" s="740">
        <v>61.21</v>
      </c>
      <c r="BS23" s="740">
        <v>61.4</v>
      </c>
      <c r="BT23" s="852">
        <v>61.62</v>
      </c>
      <c r="BU23" s="740">
        <v>61.77</v>
      </c>
      <c r="BV23" s="740">
        <v>61.99</v>
      </c>
      <c r="BW23" s="740">
        <v>62.18</v>
      </c>
      <c r="BX23" s="740">
        <v>62.38</v>
      </c>
      <c r="BY23" s="740">
        <v>62.55</v>
      </c>
      <c r="BZ23" s="740">
        <v>62.72</v>
      </c>
      <c r="CA23" s="740">
        <v>62.9</v>
      </c>
      <c r="CB23" s="740">
        <v>63.06</v>
      </c>
      <c r="CC23" s="740">
        <v>63.24</v>
      </c>
      <c r="CD23" s="740">
        <v>63.43</v>
      </c>
      <c r="CE23" s="740">
        <v>63.62</v>
      </c>
      <c r="CF23" s="740">
        <v>63.79</v>
      </c>
      <c r="CG23" s="740">
        <v>63.98</v>
      </c>
      <c r="CH23" s="740">
        <v>64.14</v>
      </c>
      <c r="CI23" s="740">
        <v>64.34</v>
      </c>
      <c r="CJ23" s="740">
        <v>64.510000000000005</v>
      </c>
      <c r="CK23" s="740">
        <v>64.680000000000007</v>
      </c>
      <c r="CL23" s="740">
        <v>64.849999999999994</v>
      </c>
      <c r="CM23" s="740">
        <v>65.02</v>
      </c>
      <c r="CN23" s="740">
        <v>65.19</v>
      </c>
      <c r="CO23" s="740">
        <v>65.37</v>
      </c>
      <c r="CP23" s="740">
        <v>65.53</v>
      </c>
      <c r="CQ23" s="740">
        <v>65.69</v>
      </c>
      <c r="CR23" s="740">
        <v>65.849999999999994</v>
      </c>
      <c r="CS23" s="740">
        <v>66.010000000000005</v>
      </c>
      <c r="CT23" s="740">
        <v>66.17</v>
      </c>
      <c r="CU23" s="740">
        <v>66.319999999999993</v>
      </c>
      <c r="CV23" s="740">
        <v>66.48</v>
      </c>
      <c r="CW23" s="740">
        <v>66.63</v>
      </c>
      <c r="CX23" s="740">
        <v>66.790000000000006</v>
      </c>
      <c r="CY23" s="740">
        <v>66.94</v>
      </c>
      <c r="CZ23" s="740">
        <v>67.09</v>
      </c>
      <c r="DA23" s="740">
        <v>67.239999999999995</v>
      </c>
      <c r="DB23" s="740">
        <v>67.39</v>
      </c>
      <c r="DC23" s="740">
        <v>67.540000000000006</v>
      </c>
      <c r="DD23" s="740">
        <v>67.69</v>
      </c>
      <c r="DE23" s="740">
        <v>67.83</v>
      </c>
      <c r="DF23" s="740">
        <v>67.97</v>
      </c>
      <c r="DG23" s="740">
        <v>68.12</v>
      </c>
      <c r="DH23" s="740">
        <v>68.260000000000005</v>
      </c>
      <c r="DI23" s="740">
        <v>68.400000000000006</v>
      </c>
      <c r="DJ23" s="740">
        <v>68.540000000000006</v>
      </c>
      <c r="DK23" s="740">
        <v>68.67</v>
      </c>
      <c r="DL23" s="740">
        <v>68.81</v>
      </c>
      <c r="DM23" s="740">
        <v>68.94</v>
      </c>
      <c r="DN23" s="740">
        <v>69.08</v>
      </c>
      <c r="DO23" s="740">
        <v>69.209999999999994</v>
      </c>
      <c r="DP23" s="740">
        <v>69.34</v>
      </c>
      <c r="DQ23" s="740">
        <v>69.47</v>
      </c>
      <c r="DR23" s="740">
        <v>69.599999999999994</v>
      </c>
    </row>
    <row r="24" spans="1:122">
      <c r="A24" s="906">
        <v>22</v>
      </c>
      <c r="B24" s="92"/>
      <c r="C24" s="92"/>
      <c r="D24" s="92"/>
      <c r="E24" s="92"/>
      <c r="F24" s="92"/>
      <c r="G24" s="92"/>
      <c r="H24" s="92"/>
      <c r="I24" s="92"/>
      <c r="J24" s="92"/>
      <c r="K24" s="92"/>
      <c r="L24" s="92"/>
      <c r="M24" s="92"/>
      <c r="N24" s="92"/>
      <c r="O24" s="92"/>
      <c r="P24" s="92"/>
      <c r="Q24" s="92"/>
      <c r="R24" s="92"/>
      <c r="S24" s="92"/>
      <c r="T24" s="92"/>
      <c r="U24" s="92"/>
      <c r="V24" s="740"/>
      <c r="W24" s="740">
        <v>50.27</v>
      </c>
      <c r="X24" s="740">
        <v>50.56</v>
      </c>
      <c r="Y24" s="740">
        <v>50.69</v>
      </c>
      <c r="Z24" s="740">
        <v>51.07</v>
      </c>
      <c r="AA24" s="740">
        <v>51.42</v>
      </c>
      <c r="AB24" s="740">
        <v>51.73</v>
      </c>
      <c r="AC24" s="740">
        <v>51.81</v>
      </c>
      <c r="AD24" s="740">
        <v>51.78</v>
      </c>
      <c r="AE24" s="740">
        <v>51.87</v>
      </c>
      <c r="AF24" s="740">
        <v>52.08</v>
      </c>
      <c r="AG24" s="740">
        <v>52.34</v>
      </c>
      <c r="AH24" s="740">
        <v>52.65</v>
      </c>
      <c r="AI24" s="740">
        <v>52.94</v>
      </c>
      <c r="AJ24" s="740">
        <v>53.29</v>
      </c>
      <c r="AK24" s="740">
        <v>53.59</v>
      </c>
      <c r="AL24" s="740">
        <v>53.97</v>
      </c>
      <c r="AM24" s="740">
        <v>54.32</v>
      </c>
      <c r="AN24" s="740">
        <v>54.55</v>
      </c>
      <c r="AO24" s="740">
        <v>54.69</v>
      </c>
      <c r="AP24" s="740">
        <v>54.92</v>
      </c>
      <c r="AQ24" s="740">
        <v>55.12</v>
      </c>
      <c r="AR24" s="740">
        <v>55.39</v>
      </c>
      <c r="AS24" s="740">
        <v>55.47</v>
      </c>
      <c r="AT24" s="740">
        <v>55.6</v>
      </c>
      <c r="AU24" s="740">
        <v>55.68</v>
      </c>
      <c r="AV24" s="740">
        <v>55.81</v>
      </c>
      <c r="AW24" s="740">
        <v>56.12</v>
      </c>
      <c r="AX24" s="740">
        <v>56.32</v>
      </c>
      <c r="AY24" s="740">
        <v>56.44</v>
      </c>
      <c r="AZ24" s="740">
        <v>56.49</v>
      </c>
      <c r="BA24" s="740">
        <v>56.58</v>
      </c>
      <c r="BB24" s="740">
        <v>56.72</v>
      </c>
      <c r="BC24" s="740">
        <v>56.86</v>
      </c>
      <c r="BD24" s="740">
        <v>57.04</v>
      </c>
      <c r="BE24" s="740">
        <v>57.24</v>
      </c>
      <c r="BF24" s="740">
        <v>57.46</v>
      </c>
      <c r="BG24" s="740">
        <v>57.64</v>
      </c>
      <c r="BH24" s="740">
        <v>57.95</v>
      </c>
      <c r="BI24" s="740">
        <v>58.14</v>
      </c>
      <c r="BJ24" s="740">
        <v>58.41</v>
      </c>
      <c r="BK24" s="740">
        <v>58.63</v>
      </c>
      <c r="BL24" s="740">
        <v>58.91</v>
      </c>
      <c r="BM24" s="740">
        <v>59.17</v>
      </c>
      <c r="BN24" s="740">
        <v>59.41</v>
      </c>
      <c r="BO24" s="740">
        <v>59.63</v>
      </c>
      <c r="BP24" s="740">
        <v>59.85</v>
      </c>
      <c r="BQ24" s="740">
        <v>60.07</v>
      </c>
      <c r="BR24" s="740">
        <v>60.28</v>
      </c>
      <c r="BS24" s="740">
        <v>60.47</v>
      </c>
      <c r="BT24" s="852">
        <v>60.69</v>
      </c>
      <c r="BU24" s="740">
        <v>60.85</v>
      </c>
      <c r="BV24" s="740">
        <v>61.06</v>
      </c>
      <c r="BW24" s="740">
        <v>61.24</v>
      </c>
      <c r="BX24" s="740">
        <v>61.44</v>
      </c>
      <c r="BY24" s="740">
        <v>61.6</v>
      </c>
      <c r="BZ24" s="740">
        <v>61.78</v>
      </c>
      <c r="CA24" s="740">
        <v>61.96</v>
      </c>
      <c r="CB24" s="740">
        <v>62.12</v>
      </c>
      <c r="CC24" s="740">
        <v>62.3</v>
      </c>
      <c r="CD24" s="740">
        <v>62.48</v>
      </c>
      <c r="CE24" s="740">
        <v>62.67</v>
      </c>
      <c r="CF24" s="740">
        <v>62.84</v>
      </c>
      <c r="CG24" s="740">
        <v>63.02</v>
      </c>
      <c r="CH24" s="740">
        <v>63.18</v>
      </c>
      <c r="CI24" s="740">
        <v>63.38</v>
      </c>
      <c r="CJ24" s="740">
        <v>63.55</v>
      </c>
      <c r="CK24" s="740">
        <v>63.71</v>
      </c>
      <c r="CL24" s="740">
        <v>63.89</v>
      </c>
      <c r="CM24" s="740">
        <v>64.06</v>
      </c>
      <c r="CN24" s="740">
        <v>64.23</v>
      </c>
      <c r="CO24" s="740">
        <v>64.39</v>
      </c>
      <c r="CP24" s="740">
        <v>64.56</v>
      </c>
      <c r="CQ24" s="740">
        <v>64.72</v>
      </c>
      <c r="CR24" s="740">
        <v>64.87</v>
      </c>
      <c r="CS24" s="740">
        <v>65.040000000000006</v>
      </c>
      <c r="CT24" s="740">
        <v>65.2</v>
      </c>
      <c r="CU24" s="740">
        <v>65.349999999999994</v>
      </c>
      <c r="CV24" s="740">
        <v>65.510000000000005</v>
      </c>
      <c r="CW24" s="740">
        <v>65.66</v>
      </c>
      <c r="CX24" s="740">
        <v>65.81</v>
      </c>
      <c r="CY24" s="740">
        <v>65.97</v>
      </c>
      <c r="CZ24" s="740">
        <v>66.12</v>
      </c>
      <c r="DA24" s="740">
        <v>66.27</v>
      </c>
      <c r="DB24" s="740">
        <v>66.42</v>
      </c>
      <c r="DC24" s="740">
        <v>66.56</v>
      </c>
      <c r="DD24" s="740">
        <v>66.709999999999994</v>
      </c>
      <c r="DE24" s="740">
        <v>66.849999999999994</v>
      </c>
      <c r="DF24" s="740">
        <v>66.989999999999995</v>
      </c>
      <c r="DG24" s="740">
        <v>67.14</v>
      </c>
      <c r="DH24" s="740">
        <v>67.28</v>
      </c>
      <c r="DI24" s="740">
        <v>67.42</v>
      </c>
      <c r="DJ24" s="740">
        <v>67.55</v>
      </c>
      <c r="DK24" s="740">
        <v>67.69</v>
      </c>
      <c r="DL24" s="740">
        <v>67.83</v>
      </c>
      <c r="DM24" s="740">
        <v>67.959999999999994</v>
      </c>
      <c r="DN24" s="740">
        <v>68.09</v>
      </c>
      <c r="DO24" s="740">
        <v>68.23</v>
      </c>
      <c r="DP24" s="740">
        <v>68.36</v>
      </c>
      <c r="DQ24" s="740">
        <v>68.489999999999995</v>
      </c>
      <c r="DR24" s="740">
        <v>68.62</v>
      </c>
    </row>
    <row r="25" spans="1:122">
      <c r="A25" s="906">
        <v>23</v>
      </c>
      <c r="B25" s="92"/>
      <c r="C25" s="92"/>
      <c r="D25" s="92"/>
      <c r="E25" s="92"/>
      <c r="F25" s="92"/>
      <c r="G25" s="92"/>
      <c r="H25" s="92"/>
      <c r="I25" s="92"/>
      <c r="J25" s="92"/>
      <c r="K25" s="92"/>
      <c r="L25" s="92"/>
      <c r="M25" s="92"/>
      <c r="N25" s="92"/>
      <c r="O25" s="92"/>
      <c r="P25" s="92"/>
      <c r="Q25" s="92"/>
      <c r="R25" s="92"/>
      <c r="S25" s="92"/>
      <c r="T25" s="92"/>
      <c r="U25" s="92"/>
      <c r="V25" s="740"/>
      <c r="W25" s="740">
        <v>49.43</v>
      </c>
      <c r="X25" s="740">
        <v>49.74</v>
      </c>
      <c r="Y25" s="740">
        <v>49.96</v>
      </c>
      <c r="Z25" s="740">
        <v>50.32</v>
      </c>
      <c r="AA25" s="740">
        <v>50.68</v>
      </c>
      <c r="AB25" s="740">
        <v>50.9</v>
      </c>
      <c r="AC25" s="740">
        <v>50.92</v>
      </c>
      <c r="AD25" s="740">
        <v>50.89</v>
      </c>
      <c r="AE25" s="740">
        <v>50.97</v>
      </c>
      <c r="AF25" s="740">
        <v>51.18</v>
      </c>
      <c r="AG25" s="740">
        <v>51.44</v>
      </c>
      <c r="AH25" s="740">
        <v>51.75</v>
      </c>
      <c r="AI25" s="740">
        <v>52.04</v>
      </c>
      <c r="AJ25" s="740">
        <v>52.39</v>
      </c>
      <c r="AK25" s="740">
        <v>52.69</v>
      </c>
      <c r="AL25" s="740">
        <v>53.07</v>
      </c>
      <c r="AM25" s="740">
        <v>53.42</v>
      </c>
      <c r="AN25" s="740">
        <v>53.65</v>
      </c>
      <c r="AO25" s="740">
        <v>53.79</v>
      </c>
      <c r="AP25" s="740">
        <v>54.01</v>
      </c>
      <c r="AQ25" s="740">
        <v>54.21</v>
      </c>
      <c r="AR25" s="740">
        <v>54.48</v>
      </c>
      <c r="AS25" s="740">
        <v>54.55</v>
      </c>
      <c r="AT25" s="740">
        <v>54.69</v>
      </c>
      <c r="AU25" s="740">
        <v>54.78</v>
      </c>
      <c r="AV25" s="740">
        <v>54.9</v>
      </c>
      <c r="AW25" s="740">
        <v>55.21</v>
      </c>
      <c r="AX25" s="740">
        <v>55.42</v>
      </c>
      <c r="AY25" s="740">
        <v>55.53</v>
      </c>
      <c r="AZ25" s="740">
        <v>55.59</v>
      </c>
      <c r="BA25" s="740">
        <v>55.67</v>
      </c>
      <c r="BB25" s="740">
        <v>55.8</v>
      </c>
      <c r="BC25" s="740">
        <v>55.95</v>
      </c>
      <c r="BD25" s="740">
        <v>56.13</v>
      </c>
      <c r="BE25" s="740">
        <v>56.33</v>
      </c>
      <c r="BF25" s="740">
        <v>56.56</v>
      </c>
      <c r="BG25" s="740">
        <v>56.73</v>
      </c>
      <c r="BH25" s="740">
        <v>57.02</v>
      </c>
      <c r="BI25" s="740">
        <v>57.21</v>
      </c>
      <c r="BJ25" s="740">
        <v>57.49</v>
      </c>
      <c r="BK25" s="740">
        <v>57.7</v>
      </c>
      <c r="BL25" s="740">
        <v>57.98</v>
      </c>
      <c r="BM25" s="740">
        <v>58.24</v>
      </c>
      <c r="BN25" s="740">
        <v>58.47</v>
      </c>
      <c r="BO25" s="740">
        <v>58.69</v>
      </c>
      <c r="BP25" s="740">
        <v>58.91</v>
      </c>
      <c r="BQ25" s="740">
        <v>59.13</v>
      </c>
      <c r="BR25" s="740">
        <v>59.34</v>
      </c>
      <c r="BS25" s="740">
        <v>59.54</v>
      </c>
      <c r="BT25" s="852">
        <v>59.75</v>
      </c>
      <c r="BU25" s="740">
        <v>59.91</v>
      </c>
      <c r="BV25" s="740">
        <v>60.12</v>
      </c>
      <c r="BW25" s="740">
        <v>60.3</v>
      </c>
      <c r="BX25" s="740">
        <v>60.5</v>
      </c>
      <c r="BY25" s="740">
        <v>60.65</v>
      </c>
      <c r="BZ25" s="740">
        <v>60.84</v>
      </c>
      <c r="CA25" s="740">
        <v>61.02</v>
      </c>
      <c r="CB25" s="740">
        <v>61.17</v>
      </c>
      <c r="CC25" s="740">
        <v>61.35</v>
      </c>
      <c r="CD25" s="740">
        <v>61.53</v>
      </c>
      <c r="CE25" s="740">
        <v>61.72</v>
      </c>
      <c r="CF25" s="740">
        <v>61.88</v>
      </c>
      <c r="CG25" s="740">
        <v>62.06</v>
      </c>
      <c r="CH25" s="740">
        <v>62.23</v>
      </c>
      <c r="CI25" s="740">
        <v>62.41</v>
      </c>
      <c r="CJ25" s="740">
        <v>62.58</v>
      </c>
      <c r="CK25" s="740">
        <v>62.75</v>
      </c>
      <c r="CL25" s="740">
        <v>62.92</v>
      </c>
      <c r="CM25" s="740">
        <v>63.1</v>
      </c>
      <c r="CN25" s="740">
        <v>63.26</v>
      </c>
      <c r="CO25" s="740">
        <v>63.42</v>
      </c>
      <c r="CP25" s="740">
        <v>63.59</v>
      </c>
      <c r="CQ25" s="740">
        <v>63.75</v>
      </c>
      <c r="CR25" s="740">
        <v>63.9</v>
      </c>
      <c r="CS25" s="740">
        <v>64.069999999999993</v>
      </c>
      <c r="CT25" s="740">
        <v>64.22</v>
      </c>
      <c r="CU25" s="740">
        <v>64.38</v>
      </c>
      <c r="CV25" s="740">
        <v>64.53</v>
      </c>
      <c r="CW25" s="740">
        <v>64.69</v>
      </c>
      <c r="CX25" s="740">
        <v>64.84</v>
      </c>
      <c r="CY25" s="740">
        <v>64.989999999999995</v>
      </c>
      <c r="CZ25" s="740">
        <v>65.14</v>
      </c>
      <c r="DA25" s="740">
        <v>65.290000000000006</v>
      </c>
      <c r="DB25" s="740">
        <v>65.44</v>
      </c>
      <c r="DC25" s="740">
        <v>65.58</v>
      </c>
      <c r="DD25" s="740">
        <v>65.73</v>
      </c>
      <c r="DE25" s="740">
        <v>65.87</v>
      </c>
      <c r="DF25" s="740">
        <v>66.02</v>
      </c>
      <c r="DG25" s="740">
        <v>66.16</v>
      </c>
      <c r="DH25" s="740">
        <v>66.3</v>
      </c>
      <c r="DI25" s="740">
        <v>66.44</v>
      </c>
      <c r="DJ25" s="740">
        <v>66.569999999999993</v>
      </c>
      <c r="DK25" s="740">
        <v>66.709999999999994</v>
      </c>
      <c r="DL25" s="740">
        <v>66.84</v>
      </c>
      <c r="DM25" s="740">
        <v>66.98</v>
      </c>
      <c r="DN25" s="740">
        <v>67.11</v>
      </c>
      <c r="DO25" s="740">
        <v>67.239999999999995</v>
      </c>
      <c r="DP25" s="740">
        <v>67.37</v>
      </c>
      <c r="DQ25" s="740">
        <v>67.5</v>
      </c>
      <c r="DR25" s="740">
        <v>67.63</v>
      </c>
    </row>
    <row r="26" spans="1:122">
      <c r="A26" s="906">
        <v>24</v>
      </c>
      <c r="B26" s="92"/>
      <c r="C26" s="92"/>
      <c r="D26" s="92"/>
      <c r="E26" s="92"/>
      <c r="F26" s="92"/>
      <c r="G26" s="92"/>
      <c r="H26" s="92"/>
      <c r="I26" s="92"/>
      <c r="J26" s="92"/>
      <c r="K26" s="92"/>
      <c r="L26" s="92"/>
      <c r="M26" s="92"/>
      <c r="N26" s="92"/>
      <c r="O26" s="92"/>
      <c r="P26" s="92"/>
      <c r="Q26" s="92"/>
      <c r="R26" s="92"/>
      <c r="S26" s="92"/>
      <c r="T26" s="92"/>
      <c r="U26" s="92"/>
      <c r="V26" s="740"/>
      <c r="W26" s="740">
        <v>48.62</v>
      </c>
      <c r="X26" s="740">
        <v>49.01</v>
      </c>
      <c r="Y26" s="740">
        <v>49.2</v>
      </c>
      <c r="Z26" s="740">
        <v>49.56</v>
      </c>
      <c r="AA26" s="740">
        <v>49.83</v>
      </c>
      <c r="AB26" s="740">
        <v>50</v>
      </c>
      <c r="AC26" s="740">
        <v>50.03</v>
      </c>
      <c r="AD26" s="740">
        <v>49.99</v>
      </c>
      <c r="AE26" s="740">
        <v>50.07</v>
      </c>
      <c r="AF26" s="740">
        <v>50.29</v>
      </c>
      <c r="AG26" s="740">
        <v>50.54</v>
      </c>
      <c r="AH26" s="740">
        <v>50.85</v>
      </c>
      <c r="AI26" s="740">
        <v>51.14</v>
      </c>
      <c r="AJ26" s="740">
        <v>51.48</v>
      </c>
      <c r="AK26" s="740">
        <v>51.78</v>
      </c>
      <c r="AL26" s="740">
        <v>52.16</v>
      </c>
      <c r="AM26" s="740">
        <v>52.51</v>
      </c>
      <c r="AN26" s="740">
        <v>52.74</v>
      </c>
      <c r="AO26" s="740">
        <v>52.88</v>
      </c>
      <c r="AP26" s="740">
        <v>53.1</v>
      </c>
      <c r="AQ26" s="740">
        <v>53.3</v>
      </c>
      <c r="AR26" s="740">
        <v>53.57</v>
      </c>
      <c r="AS26" s="740">
        <v>53.64</v>
      </c>
      <c r="AT26" s="740">
        <v>53.77</v>
      </c>
      <c r="AU26" s="740">
        <v>53.86</v>
      </c>
      <c r="AV26" s="740">
        <v>53.99</v>
      </c>
      <c r="AW26" s="740">
        <v>54.3</v>
      </c>
      <c r="AX26" s="740">
        <v>54.51</v>
      </c>
      <c r="AY26" s="740">
        <v>54.61</v>
      </c>
      <c r="AZ26" s="740">
        <v>54.67</v>
      </c>
      <c r="BA26" s="740">
        <v>54.74</v>
      </c>
      <c r="BB26" s="740">
        <v>54.88</v>
      </c>
      <c r="BC26" s="740">
        <v>55.03</v>
      </c>
      <c r="BD26" s="740">
        <v>55.21</v>
      </c>
      <c r="BE26" s="740">
        <v>55.41</v>
      </c>
      <c r="BF26" s="740">
        <v>55.64</v>
      </c>
      <c r="BG26" s="740">
        <v>55.81</v>
      </c>
      <c r="BH26" s="740">
        <v>56.1</v>
      </c>
      <c r="BI26" s="740">
        <v>56.29</v>
      </c>
      <c r="BJ26" s="740">
        <v>56.56</v>
      </c>
      <c r="BK26" s="740">
        <v>56.76</v>
      </c>
      <c r="BL26" s="740">
        <v>57.04</v>
      </c>
      <c r="BM26" s="740">
        <v>57.29</v>
      </c>
      <c r="BN26" s="740">
        <v>57.53</v>
      </c>
      <c r="BO26" s="740">
        <v>57.75</v>
      </c>
      <c r="BP26" s="740">
        <v>57.97</v>
      </c>
      <c r="BQ26" s="740">
        <v>58.2</v>
      </c>
      <c r="BR26" s="740">
        <v>58.41</v>
      </c>
      <c r="BS26" s="740">
        <v>58.6</v>
      </c>
      <c r="BT26" s="852">
        <v>58.81</v>
      </c>
      <c r="BU26" s="740">
        <v>58.96</v>
      </c>
      <c r="BV26" s="740">
        <v>59.18</v>
      </c>
      <c r="BW26" s="740">
        <v>59.37</v>
      </c>
      <c r="BX26" s="740">
        <v>59.56</v>
      </c>
      <c r="BY26" s="740">
        <v>59.71</v>
      </c>
      <c r="BZ26" s="740">
        <v>59.9</v>
      </c>
      <c r="CA26" s="740">
        <v>60.07</v>
      </c>
      <c r="CB26" s="740">
        <v>60.22</v>
      </c>
      <c r="CC26" s="740">
        <v>60.4</v>
      </c>
      <c r="CD26" s="740">
        <v>60.57</v>
      </c>
      <c r="CE26" s="740">
        <v>60.76</v>
      </c>
      <c r="CF26" s="740">
        <v>60.92</v>
      </c>
      <c r="CG26" s="740">
        <v>61.1</v>
      </c>
      <c r="CH26" s="740">
        <v>61.26</v>
      </c>
      <c r="CI26" s="740">
        <v>61.45</v>
      </c>
      <c r="CJ26" s="740">
        <v>61.61</v>
      </c>
      <c r="CK26" s="740">
        <v>61.78</v>
      </c>
      <c r="CL26" s="740">
        <v>61.96</v>
      </c>
      <c r="CM26" s="740">
        <v>62.13</v>
      </c>
      <c r="CN26" s="740">
        <v>62.29</v>
      </c>
      <c r="CO26" s="740">
        <v>62.45</v>
      </c>
      <c r="CP26" s="740">
        <v>62.61</v>
      </c>
      <c r="CQ26" s="740">
        <v>62.78</v>
      </c>
      <c r="CR26" s="740">
        <v>62.93</v>
      </c>
      <c r="CS26" s="740">
        <v>63.09</v>
      </c>
      <c r="CT26" s="740">
        <v>63.25</v>
      </c>
      <c r="CU26" s="740">
        <v>63.41</v>
      </c>
      <c r="CV26" s="740">
        <v>63.56</v>
      </c>
      <c r="CW26" s="740">
        <v>63.71</v>
      </c>
      <c r="CX26" s="740">
        <v>63.87</v>
      </c>
      <c r="CY26" s="740">
        <v>64.02</v>
      </c>
      <c r="CZ26" s="740">
        <v>64.17</v>
      </c>
      <c r="DA26" s="740">
        <v>64.31</v>
      </c>
      <c r="DB26" s="740">
        <v>64.459999999999994</v>
      </c>
      <c r="DC26" s="740">
        <v>64.61</v>
      </c>
      <c r="DD26" s="740">
        <v>64.75</v>
      </c>
      <c r="DE26" s="740">
        <v>64.89</v>
      </c>
      <c r="DF26" s="740">
        <v>65.03</v>
      </c>
      <c r="DG26" s="740">
        <v>65.180000000000007</v>
      </c>
      <c r="DH26" s="740">
        <v>65.31</v>
      </c>
      <c r="DI26" s="740">
        <v>65.45</v>
      </c>
      <c r="DJ26" s="740">
        <v>65.59</v>
      </c>
      <c r="DK26" s="740">
        <v>65.73</v>
      </c>
      <c r="DL26" s="740">
        <v>65.86</v>
      </c>
      <c r="DM26" s="740">
        <v>65.989999999999995</v>
      </c>
      <c r="DN26" s="740">
        <v>66.13</v>
      </c>
      <c r="DO26" s="740">
        <v>66.260000000000005</v>
      </c>
      <c r="DP26" s="740">
        <v>66.39</v>
      </c>
      <c r="DQ26" s="740">
        <v>66.52</v>
      </c>
      <c r="DR26" s="740">
        <v>66.64</v>
      </c>
    </row>
    <row r="27" spans="1:122">
      <c r="A27" s="906">
        <v>25</v>
      </c>
      <c r="B27" s="92"/>
      <c r="C27" s="92"/>
      <c r="D27" s="92"/>
      <c r="E27" s="92"/>
      <c r="F27" s="92"/>
      <c r="G27" s="92"/>
      <c r="H27" s="92"/>
      <c r="I27" s="92"/>
      <c r="J27" s="92"/>
      <c r="K27" s="92"/>
      <c r="L27" s="92"/>
      <c r="M27" s="92"/>
      <c r="N27" s="92"/>
      <c r="O27" s="92"/>
      <c r="P27" s="92"/>
      <c r="Q27" s="92"/>
      <c r="R27" s="92"/>
      <c r="S27" s="92"/>
      <c r="T27" s="92"/>
      <c r="U27" s="92"/>
      <c r="V27" s="740"/>
      <c r="W27" s="740">
        <v>47.87</v>
      </c>
      <c r="X27" s="740">
        <v>48.24</v>
      </c>
      <c r="Y27" s="740">
        <v>48.43</v>
      </c>
      <c r="Z27" s="740">
        <v>48.71</v>
      </c>
      <c r="AA27" s="740">
        <v>48.94</v>
      </c>
      <c r="AB27" s="740">
        <v>49.11</v>
      </c>
      <c r="AC27" s="740">
        <v>49.14</v>
      </c>
      <c r="AD27" s="740">
        <v>49.08</v>
      </c>
      <c r="AE27" s="740">
        <v>49.17</v>
      </c>
      <c r="AF27" s="740">
        <v>49.38</v>
      </c>
      <c r="AG27" s="740">
        <v>49.63</v>
      </c>
      <c r="AH27" s="740">
        <v>49.95</v>
      </c>
      <c r="AI27" s="740">
        <v>50.23</v>
      </c>
      <c r="AJ27" s="740">
        <v>50.57</v>
      </c>
      <c r="AK27" s="740">
        <v>50.87</v>
      </c>
      <c r="AL27" s="740">
        <v>51.24</v>
      </c>
      <c r="AM27" s="740">
        <v>51.59</v>
      </c>
      <c r="AN27" s="740">
        <v>51.82</v>
      </c>
      <c r="AO27" s="740">
        <v>51.97</v>
      </c>
      <c r="AP27" s="740">
        <v>52.19</v>
      </c>
      <c r="AQ27" s="740">
        <v>52.38</v>
      </c>
      <c r="AR27" s="740">
        <v>52.66</v>
      </c>
      <c r="AS27" s="740">
        <v>52.71</v>
      </c>
      <c r="AT27" s="740">
        <v>52.85</v>
      </c>
      <c r="AU27" s="740">
        <v>52.95</v>
      </c>
      <c r="AV27" s="740">
        <v>53.08</v>
      </c>
      <c r="AW27" s="740">
        <v>53.39</v>
      </c>
      <c r="AX27" s="740">
        <v>53.59</v>
      </c>
      <c r="AY27" s="740">
        <v>53.69</v>
      </c>
      <c r="AZ27" s="740">
        <v>53.74</v>
      </c>
      <c r="BA27" s="740">
        <v>53.82</v>
      </c>
      <c r="BB27" s="740">
        <v>53.96</v>
      </c>
      <c r="BC27" s="740">
        <v>54.11</v>
      </c>
      <c r="BD27" s="740">
        <v>54.28</v>
      </c>
      <c r="BE27" s="740">
        <v>54.49</v>
      </c>
      <c r="BF27" s="740">
        <v>54.71</v>
      </c>
      <c r="BG27" s="740">
        <v>54.88</v>
      </c>
      <c r="BH27" s="740">
        <v>55.17</v>
      </c>
      <c r="BI27" s="740">
        <v>55.35</v>
      </c>
      <c r="BJ27" s="740">
        <v>55.62</v>
      </c>
      <c r="BK27" s="740">
        <v>55.82</v>
      </c>
      <c r="BL27" s="740">
        <v>56.1</v>
      </c>
      <c r="BM27" s="740">
        <v>56.35</v>
      </c>
      <c r="BN27" s="740">
        <v>56.59</v>
      </c>
      <c r="BO27" s="740">
        <v>56.81</v>
      </c>
      <c r="BP27" s="740">
        <v>57.03</v>
      </c>
      <c r="BQ27" s="740">
        <v>57.25</v>
      </c>
      <c r="BR27" s="740">
        <v>57.47</v>
      </c>
      <c r="BS27" s="740">
        <v>57.66</v>
      </c>
      <c r="BT27" s="852">
        <v>57.87</v>
      </c>
      <c r="BU27" s="740">
        <v>58.02</v>
      </c>
      <c r="BV27" s="740">
        <v>58.23</v>
      </c>
      <c r="BW27" s="740">
        <v>58.42</v>
      </c>
      <c r="BX27" s="740">
        <v>58.61</v>
      </c>
      <c r="BY27" s="740">
        <v>58.76</v>
      </c>
      <c r="BZ27" s="740">
        <v>58.94</v>
      </c>
      <c r="CA27" s="740">
        <v>59.11</v>
      </c>
      <c r="CB27" s="740">
        <v>59.26</v>
      </c>
      <c r="CC27" s="740">
        <v>59.45</v>
      </c>
      <c r="CD27" s="740">
        <v>59.61</v>
      </c>
      <c r="CE27" s="740">
        <v>59.79</v>
      </c>
      <c r="CF27" s="740">
        <v>59.95</v>
      </c>
      <c r="CG27" s="740">
        <v>60.13</v>
      </c>
      <c r="CH27" s="740">
        <v>60.3</v>
      </c>
      <c r="CI27" s="740">
        <v>60.48</v>
      </c>
      <c r="CJ27" s="740">
        <v>60.65</v>
      </c>
      <c r="CK27" s="740">
        <v>60.82</v>
      </c>
      <c r="CL27" s="740">
        <v>60.99</v>
      </c>
      <c r="CM27" s="740">
        <v>61.16</v>
      </c>
      <c r="CN27" s="740">
        <v>61.32</v>
      </c>
      <c r="CO27" s="740">
        <v>61.48</v>
      </c>
      <c r="CP27" s="740">
        <v>61.64</v>
      </c>
      <c r="CQ27" s="740">
        <v>61.8</v>
      </c>
      <c r="CR27" s="740">
        <v>61.96</v>
      </c>
      <c r="CS27" s="740">
        <v>62.12</v>
      </c>
      <c r="CT27" s="740">
        <v>62.28</v>
      </c>
      <c r="CU27" s="740">
        <v>62.43</v>
      </c>
      <c r="CV27" s="740">
        <v>62.58</v>
      </c>
      <c r="CW27" s="740">
        <v>62.74</v>
      </c>
      <c r="CX27" s="740">
        <v>62.89</v>
      </c>
      <c r="CY27" s="740">
        <v>63.04</v>
      </c>
      <c r="CZ27" s="740">
        <v>63.19</v>
      </c>
      <c r="DA27" s="740">
        <v>63.33</v>
      </c>
      <c r="DB27" s="740">
        <v>63.48</v>
      </c>
      <c r="DC27" s="740">
        <v>63.63</v>
      </c>
      <c r="DD27" s="740">
        <v>63.77</v>
      </c>
      <c r="DE27" s="740">
        <v>63.91</v>
      </c>
      <c r="DF27" s="740">
        <v>64.05</v>
      </c>
      <c r="DG27" s="740">
        <v>64.19</v>
      </c>
      <c r="DH27" s="740">
        <v>64.33</v>
      </c>
      <c r="DI27" s="740">
        <v>64.47</v>
      </c>
      <c r="DJ27" s="740">
        <v>64.61</v>
      </c>
      <c r="DK27" s="740">
        <v>64.739999999999995</v>
      </c>
      <c r="DL27" s="740">
        <v>64.88</v>
      </c>
      <c r="DM27" s="740">
        <v>65.010000000000005</v>
      </c>
      <c r="DN27" s="740">
        <v>65.14</v>
      </c>
      <c r="DO27" s="740">
        <v>65.27</v>
      </c>
      <c r="DP27" s="740">
        <v>65.400000000000006</v>
      </c>
      <c r="DQ27" s="740">
        <v>65.53</v>
      </c>
      <c r="DR27" s="740">
        <v>65.66</v>
      </c>
    </row>
    <row r="28" spans="1:122">
      <c r="A28" s="906">
        <v>26</v>
      </c>
      <c r="B28" s="92"/>
      <c r="C28" s="92"/>
      <c r="D28" s="92"/>
      <c r="E28" s="92"/>
      <c r="F28" s="92"/>
      <c r="G28" s="92"/>
      <c r="H28" s="92"/>
      <c r="I28" s="92"/>
      <c r="J28" s="92"/>
      <c r="K28" s="92"/>
      <c r="L28" s="92"/>
      <c r="M28" s="92"/>
      <c r="N28" s="92"/>
      <c r="O28" s="92"/>
      <c r="P28" s="92"/>
      <c r="Q28" s="92"/>
      <c r="R28" s="92"/>
      <c r="S28" s="92"/>
      <c r="T28" s="92"/>
      <c r="U28" s="92"/>
      <c r="V28" s="740"/>
      <c r="W28" s="740">
        <v>47.09</v>
      </c>
      <c r="X28" s="740">
        <v>47.45</v>
      </c>
      <c r="Y28" s="740">
        <v>47.57</v>
      </c>
      <c r="Z28" s="740">
        <v>47.82</v>
      </c>
      <c r="AA28" s="740">
        <v>48.05</v>
      </c>
      <c r="AB28" s="740">
        <v>48.22</v>
      </c>
      <c r="AC28" s="740">
        <v>48.23</v>
      </c>
      <c r="AD28" s="740">
        <v>48.17</v>
      </c>
      <c r="AE28" s="740">
        <v>48.25</v>
      </c>
      <c r="AF28" s="740">
        <v>48.47</v>
      </c>
      <c r="AG28" s="740">
        <v>48.72</v>
      </c>
      <c r="AH28" s="740">
        <v>49.03</v>
      </c>
      <c r="AI28" s="740">
        <v>49.32</v>
      </c>
      <c r="AJ28" s="740">
        <v>49.65</v>
      </c>
      <c r="AK28" s="740">
        <v>49.95</v>
      </c>
      <c r="AL28" s="740">
        <v>50.33</v>
      </c>
      <c r="AM28" s="740">
        <v>50.67</v>
      </c>
      <c r="AN28" s="740">
        <v>50.9</v>
      </c>
      <c r="AO28" s="740">
        <v>51.05</v>
      </c>
      <c r="AP28" s="740">
        <v>51.27</v>
      </c>
      <c r="AQ28" s="740">
        <v>51.46</v>
      </c>
      <c r="AR28" s="740">
        <v>51.74</v>
      </c>
      <c r="AS28" s="740">
        <v>51.79</v>
      </c>
      <c r="AT28" s="740">
        <v>51.92</v>
      </c>
      <c r="AU28" s="740">
        <v>52.03</v>
      </c>
      <c r="AV28" s="740">
        <v>52.16</v>
      </c>
      <c r="AW28" s="740">
        <v>52.48</v>
      </c>
      <c r="AX28" s="740">
        <v>52.66</v>
      </c>
      <c r="AY28" s="740">
        <v>52.76</v>
      </c>
      <c r="AZ28" s="740">
        <v>52.8</v>
      </c>
      <c r="BA28" s="740">
        <v>52.9</v>
      </c>
      <c r="BB28" s="740">
        <v>53.03</v>
      </c>
      <c r="BC28" s="740">
        <v>53.19</v>
      </c>
      <c r="BD28" s="740">
        <v>53.36</v>
      </c>
      <c r="BE28" s="740">
        <v>53.56</v>
      </c>
      <c r="BF28" s="740">
        <v>53.78</v>
      </c>
      <c r="BG28" s="740">
        <v>53.95</v>
      </c>
      <c r="BH28" s="740">
        <v>54.23</v>
      </c>
      <c r="BI28" s="740">
        <v>54.41</v>
      </c>
      <c r="BJ28" s="740">
        <v>54.68</v>
      </c>
      <c r="BK28" s="740">
        <v>54.88</v>
      </c>
      <c r="BL28" s="740">
        <v>55.16</v>
      </c>
      <c r="BM28" s="740">
        <v>55.41</v>
      </c>
      <c r="BN28" s="740">
        <v>55.65</v>
      </c>
      <c r="BO28" s="740">
        <v>55.87</v>
      </c>
      <c r="BP28" s="740">
        <v>56.1</v>
      </c>
      <c r="BQ28" s="740">
        <v>56.32</v>
      </c>
      <c r="BR28" s="740">
        <v>56.53</v>
      </c>
      <c r="BS28" s="740">
        <v>56.72</v>
      </c>
      <c r="BT28" s="852">
        <v>56.92</v>
      </c>
      <c r="BU28" s="740">
        <v>57.07</v>
      </c>
      <c r="BV28" s="740">
        <v>57.28</v>
      </c>
      <c r="BW28" s="740">
        <v>57.47</v>
      </c>
      <c r="BX28" s="740">
        <v>57.66</v>
      </c>
      <c r="BY28" s="740">
        <v>57.81</v>
      </c>
      <c r="BZ28" s="740">
        <v>57.99</v>
      </c>
      <c r="CA28" s="740">
        <v>58.16</v>
      </c>
      <c r="CB28" s="740">
        <v>58.31</v>
      </c>
      <c r="CC28" s="740">
        <v>58.48</v>
      </c>
      <c r="CD28" s="740">
        <v>58.65</v>
      </c>
      <c r="CE28" s="740">
        <v>58.83</v>
      </c>
      <c r="CF28" s="740">
        <v>58.99</v>
      </c>
      <c r="CG28" s="740">
        <v>59.16</v>
      </c>
      <c r="CH28" s="740">
        <v>59.33</v>
      </c>
      <c r="CI28" s="740">
        <v>59.51</v>
      </c>
      <c r="CJ28" s="740">
        <v>59.68</v>
      </c>
      <c r="CK28" s="740">
        <v>59.85</v>
      </c>
      <c r="CL28" s="740">
        <v>60.02</v>
      </c>
      <c r="CM28" s="740">
        <v>60.19</v>
      </c>
      <c r="CN28" s="740">
        <v>60.35</v>
      </c>
      <c r="CO28" s="740">
        <v>60.51</v>
      </c>
      <c r="CP28" s="740">
        <v>60.67</v>
      </c>
      <c r="CQ28" s="740">
        <v>60.83</v>
      </c>
      <c r="CR28" s="740">
        <v>60.99</v>
      </c>
      <c r="CS28" s="740">
        <v>61.14</v>
      </c>
      <c r="CT28" s="740">
        <v>61.3</v>
      </c>
      <c r="CU28" s="740">
        <v>61.45</v>
      </c>
      <c r="CV28" s="740">
        <v>61.61</v>
      </c>
      <c r="CW28" s="740">
        <v>61.76</v>
      </c>
      <c r="CX28" s="740">
        <v>61.91</v>
      </c>
      <c r="CY28" s="740">
        <v>62.06</v>
      </c>
      <c r="CZ28" s="740">
        <v>62.21</v>
      </c>
      <c r="DA28" s="740">
        <v>62.35</v>
      </c>
      <c r="DB28" s="740">
        <v>62.5</v>
      </c>
      <c r="DC28" s="740">
        <v>62.64</v>
      </c>
      <c r="DD28" s="740">
        <v>62.79</v>
      </c>
      <c r="DE28" s="740">
        <v>62.93</v>
      </c>
      <c r="DF28" s="740">
        <v>63.07</v>
      </c>
      <c r="DG28" s="740">
        <v>63.21</v>
      </c>
      <c r="DH28" s="740">
        <v>63.35</v>
      </c>
      <c r="DI28" s="740">
        <v>63.49</v>
      </c>
      <c r="DJ28" s="740">
        <v>63.62</v>
      </c>
      <c r="DK28" s="740">
        <v>63.76</v>
      </c>
      <c r="DL28" s="740">
        <v>63.89</v>
      </c>
      <c r="DM28" s="740">
        <v>64.02</v>
      </c>
      <c r="DN28" s="740">
        <v>64.16</v>
      </c>
      <c r="DO28" s="740">
        <v>64.290000000000006</v>
      </c>
      <c r="DP28" s="740">
        <v>64.42</v>
      </c>
      <c r="DQ28" s="740">
        <v>64.540000000000006</v>
      </c>
      <c r="DR28" s="740">
        <v>64.67</v>
      </c>
    </row>
    <row r="29" spans="1:122">
      <c r="A29" s="906">
        <v>27</v>
      </c>
      <c r="B29" s="92"/>
      <c r="C29" s="92"/>
      <c r="D29" s="92"/>
      <c r="E29" s="92"/>
      <c r="F29" s="92"/>
      <c r="G29" s="92"/>
      <c r="H29" s="92"/>
      <c r="I29" s="92"/>
      <c r="J29" s="92"/>
      <c r="K29" s="92"/>
      <c r="L29" s="92"/>
      <c r="M29" s="92"/>
      <c r="N29" s="92"/>
      <c r="O29" s="92"/>
      <c r="P29" s="92"/>
      <c r="Q29" s="92"/>
      <c r="R29" s="92"/>
      <c r="S29" s="92"/>
      <c r="T29" s="92"/>
      <c r="U29" s="92"/>
      <c r="V29" s="740"/>
      <c r="W29" s="740">
        <v>46.29</v>
      </c>
      <c r="X29" s="740">
        <v>46.59</v>
      </c>
      <c r="Y29" s="740">
        <v>46.68</v>
      </c>
      <c r="Z29" s="740">
        <v>46.92</v>
      </c>
      <c r="AA29" s="740">
        <v>47.16</v>
      </c>
      <c r="AB29" s="740">
        <v>47.31</v>
      </c>
      <c r="AC29" s="740">
        <v>47.32</v>
      </c>
      <c r="AD29" s="740">
        <v>47.26</v>
      </c>
      <c r="AE29" s="740">
        <v>47.34</v>
      </c>
      <c r="AF29" s="740">
        <v>47.56</v>
      </c>
      <c r="AG29" s="740">
        <v>47.81</v>
      </c>
      <c r="AH29" s="740">
        <v>48.11</v>
      </c>
      <c r="AI29" s="740">
        <v>48.4</v>
      </c>
      <c r="AJ29" s="740">
        <v>48.73</v>
      </c>
      <c r="AK29" s="740">
        <v>49.03</v>
      </c>
      <c r="AL29" s="740">
        <v>49.4</v>
      </c>
      <c r="AM29" s="740">
        <v>49.75</v>
      </c>
      <c r="AN29" s="740">
        <v>49.98</v>
      </c>
      <c r="AO29" s="740">
        <v>50.13</v>
      </c>
      <c r="AP29" s="740">
        <v>50.35</v>
      </c>
      <c r="AQ29" s="740">
        <v>50.53</v>
      </c>
      <c r="AR29" s="740">
        <v>50.81</v>
      </c>
      <c r="AS29" s="740">
        <v>50.87</v>
      </c>
      <c r="AT29" s="740">
        <v>51</v>
      </c>
      <c r="AU29" s="740">
        <v>51.12</v>
      </c>
      <c r="AV29" s="740">
        <v>51.24</v>
      </c>
      <c r="AW29" s="740">
        <v>51.54</v>
      </c>
      <c r="AX29" s="740">
        <v>51.73</v>
      </c>
      <c r="AY29" s="740">
        <v>51.82</v>
      </c>
      <c r="AZ29" s="740">
        <v>51.88</v>
      </c>
      <c r="BA29" s="740">
        <v>51.97</v>
      </c>
      <c r="BB29" s="740">
        <v>52.1</v>
      </c>
      <c r="BC29" s="740">
        <v>52.25</v>
      </c>
      <c r="BD29" s="740">
        <v>52.43</v>
      </c>
      <c r="BE29" s="740">
        <v>52.62</v>
      </c>
      <c r="BF29" s="740">
        <v>52.85</v>
      </c>
      <c r="BG29" s="740">
        <v>53</v>
      </c>
      <c r="BH29" s="740">
        <v>53.29</v>
      </c>
      <c r="BI29" s="740">
        <v>53.47</v>
      </c>
      <c r="BJ29" s="740">
        <v>53.74</v>
      </c>
      <c r="BK29" s="740">
        <v>53.94</v>
      </c>
      <c r="BL29" s="740">
        <v>54.21</v>
      </c>
      <c r="BM29" s="740">
        <v>54.46</v>
      </c>
      <c r="BN29" s="740">
        <v>54.71</v>
      </c>
      <c r="BO29" s="740">
        <v>54.93</v>
      </c>
      <c r="BP29" s="740">
        <v>55.15</v>
      </c>
      <c r="BQ29" s="740">
        <v>55.37</v>
      </c>
      <c r="BR29" s="740">
        <v>55.58</v>
      </c>
      <c r="BS29" s="740">
        <v>55.77</v>
      </c>
      <c r="BT29" s="852">
        <v>55.97</v>
      </c>
      <c r="BU29" s="740">
        <v>56.12</v>
      </c>
      <c r="BV29" s="740">
        <v>56.33</v>
      </c>
      <c r="BW29" s="740">
        <v>56.51</v>
      </c>
      <c r="BX29" s="740">
        <v>56.7</v>
      </c>
      <c r="BY29" s="740">
        <v>56.85</v>
      </c>
      <c r="BZ29" s="740">
        <v>57.03</v>
      </c>
      <c r="CA29" s="740">
        <v>57.2</v>
      </c>
      <c r="CB29" s="740">
        <v>57.35</v>
      </c>
      <c r="CC29" s="740">
        <v>57.52</v>
      </c>
      <c r="CD29" s="740">
        <v>57.69</v>
      </c>
      <c r="CE29" s="740">
        <v>57.87</v>
      </c>
      <c r="CF29" s="740">
        <v>58.02</v>
      </c>
      <c r="CG29" s="740">
        <v>58.2</v>
      </c>
      <c r="CH29" s="740">
        <v>58.36</v>
      </c>
      <c r="CI29" s="740">
        <v>58.55</v>
      </c>
      <c r="CJ29" s="740">
        <v>58.71</v>
      </c>
      <c r="CK29" s="740">
        <v>58.88</v>
      </c>
      <c r="CL29" s="740">
        <v>59.05</v>
      </c>
      <c r="CM29" s="740">
        <v>59.21</v>
      </c>
      <c r="CN29" s="740">
        <v>59.37</v>
      </c>
      <c r="CO29" s="740">
        <v>59.54</v>
      </c>
      <c r="CP29" s="740">
        <v>59.7</v>
      </c>
      <c r="CQ29" s="740">
        <v>59.85</v>
      </c>
      <c r="CR29" s="740">
        <v>60.01</v>
      </c>
      <c r="CS29" s="740">
        <v>60.17</v>
      </c>
      <c r="CT29" s="740">
        <v>60.32</v>
      </c>
      <c r="CU29" s="740">
        <v>60.48</v>
      </c>
      <c r="CV29" s="740">
        <v>60.63</v>
      </c>
      <c r="CW29" s="740">
        <v>60.78</v>
      </c>
      <c r="CX29" s="740">
        <v>60.93</v>
      </c>
      <c r="CY29" s="740">
        <v>61.08</v>
      </c>
      <c r="CZ29" s="740">
        <v>61.23</v>
      </c>
      <c r="DA29" s="740">
        <v>61.37</v>
      </c>
      <c r="DB29" s="740">
        <v>61.52</v>
      </c>
      <c r="DC29" s="740">
        <v>61.66</v>
      </c>
      <c r="DD29" s="740">
        <v>61.81</v>
      </c>
      <c r="DE29" s="740">
        <v>61.95</v>
      </c>
      <c r="DF29" s="740">
        <v>62.09</v>
      </c>
      <c r="DG29" s="740">
        <v>62.23</v>
      </c>
      <c r="DH29" s="740">
        <v>62.37</v>
      </c>
      <c r="DI29" s="740">
        <v>62.5</v>
      </c>
      <c r="DJ29" s="740">
        <v>62.64</v>
      </c>
      <c r="DK29" s="740">
        <v>62.77</v>
      </c>
      <c r="DL29" s="740">
        <v>62.91</v>
      </c>
      <c r="DM29" s="740">
        <v>63.04</v>
      </c>
      <c r="DN29" s="740">
        <v>63.17</v>
      </c>
      <c r="DO29" s="740">
        <v>63.3</v>
      </c>
      <c r="DP29" s="740">
        <v>63.43</v>
      </c>
      <c r="DQ29" s="740">
        <v>63.56</v>
      </c>
      <c r="DR29" s="740">
        <v>63.68</v>
      </c>
    </row>
    <row r="30" spans="1:122">
      <c r="A30" s="906">
        <v>28</v>
      </c>
      <c r="B30" s="92"/>
      <c r="C30" s="92"/>
      <c r="D30" s="92"/>
      <c r="E30" s="92"/>
      <c r="F30" s="92"/>
      <c r="G30" s="92"/>
      <c r="H30" s="92"/>
      <c r="I30" s="92"/>
      <c r="J30" s="92"/>
      <c r="K30" s="92"/>
      <c r="L30" s="92"/>
      <c r="M30" s="92"/>
      <c r="N30" s="92"/>
      <c r="O30" s="92"/>
      <c r="P30" s="92"/>
      <c r="Q30" s="92"/>
      <c r="R30" s="92"/>
      <c r="S30" s="92"/>
      <c r="T30" s="92"/>
      <c r="U30" s="92"/>
      <c r="V30" s="740"/>
      <c r="W30" s="740">
        <v>45.44</v>
      </c>
      <c r="X30" s="740">
        <v>45.69</v>
      </c>
      <c r="Y30" s="740">
        <v>45.78</v>
      </c>
      <c r="Z30" s="740">
        <v>46.03</v>
      </c>
      <c r="AA30" s="740">
        <v>46.24</v>
      </c>
      <c r="AB30" s="740">
        <v>46.39</v>
      </c>
      <c r="AC30" s="740">
        <v>46.4</v>
      </c>
      <c r="AD30" s="740">
        <v>46.34</v>
      </c>
      <c r="AE30" s="740">
        <v>46.43</v>
      </c>
      <c r="AF30" s="740">
        <v>46.64</v>
      </c>
      <c r="AG30" s="740">
        <v>46.89</v>
      </c>
      <c r="AH30" s="740">
        <v>47.2</v>
      </c>
      <c r="AI30" s="740">
        <v>47.48</v>
      </c>
      <c r="AJ30" s="740">
        <v>47.81</v>
      </c>
      <c r="AK30" s="740">
        <v>48.11</v>
      </c>
      <c r="AL30" s="740">
        <v>48.48</v>
      </c>
      <c r="AM30" s="740">
        <v>48.83</v>
      </c>
      <c r="AN30" s="740">
        <v>49.05</v>
      </c>
      <c r="AO30" s="740">
        <v>49.21</v>
      </c>
      <c r="AP30" s="740">
        <v>49.42</v>
      </c>
      <c r="AQ30" s="740">
        <v>49.61</v>
      </c>
      <c r="AR30" s="740">
        <v>49.89</v>
      </c>
      <c r="AS30" s="740">
        <v>49.95</v>
      </c>
      <c r="AT30" s="740">
        <v>50.08</v>
      </c>
      <c r="AU30" s="740">
        <v>50.19</v>
      </c>
      <c r="AV30" s="740">
        <v>50.31</v>
      </c>
      <c r="AW30" s="740">
        <v>50.61</v>
      </c>
      <c r="AX30" s="740">
        <v>50.79</v>
      </c>
      <c r="AY30" s="740">
        <v>50.89</v>
      </c>
      <c r="AZ30" s="740">
        <v>50.95</v>
      </c>
      <c r="BA30" s="740">
        <v>51.04</v>
      </c>
      <c r="BB30" s="740">
        <v>51.17</v>
      </c>
      <c r="BC30" s="740">
        <v>51.31</v>
      </c>
      <c r="BD30" s="740">
        <v>51.49</v>
      </c>
      <c r="BE30" s="740">
        <v>51.69</v>
      </c>
      <c r="BF30" s="740">
        <v>51.91</v>
      </c>
      <c r="BG30" s="740">
        <v>52.06</v>
      </c>
      <c r="BH30" s="740">
        <v>52.34</v>
      </c>
      <c r="BI30" s="740">
        <v>52.53</v>
      </c>
      <c r="BJ30" s="740">
        <v>52.79</v>
      </c>
      <c r="BK30" s="740">
        <v>52.99</v>
      </c>
      <c r="BL30" s="740">
        <v>53.27</v>
      </c>
      <c r="BM30" s="740">
        <v>53.53</v>
      </c>
      <c r="BN30" s="740">
        <v>53.77</v>
      </c>
      <c r="BO30" s="740">
        <v>53.99</v>
      </c>
      <c r="BP30" s="740">
        <v>54.21</v>
      </c>
      <c r="BQ30" s="740">
        <v>54.42</v>
      </c>
      <c r="BR30" s="740">
        <v>54.63</v>
      </c>
      <c r="BS30" s="740">
        <v>54.82</v>
      </c>
      <c r="BT30" s="852">
        <v>55.02</v>
      </c>
      <c r="BU30" s="740">
        <v>55.16</v>
      </c>
      <c r="BV30" s="740">
        <v>55.38</v>
      </c>
      <c r="BW30" s="740">
        <v>55.56</v>
      </c>
      <c r="BX30" s="740">
        <v>55.74</v>
      </c>
      <c r="BY30" s="740">
        <v>55.89</v>
      </c>
      <c r="BZ30" s="740">
        <v>56.07</v>
      </c>
      <c r="CA30" s="740">
        <v>56.24</v>
      </c>
      <c r="CB30" s="740">
        <v>56.38</v>
      </c>
      <c r="CC30" s="740">
        <v>56.55</v>
      </c>
      <c r="CD30" s="740">
        <v>56.72</v>
      </c>
      <c r="CE30" s="740">
        <v>56.9</v>
      </c>
      <c r="CF30" s="740">
        <v>57.06</v>
      </c>
      <c r="CG30" s="740">
        <v>57.24</v>
      </c>
      <c r="CH30" s="740">
        <v>57.4</v>
      </c>
      <c r="CI30" s="740">
        <v>57.57</v>
      </c>
      <c r="CJ30" s="740">
        <v>57.74</v>
      </c>
      <c r="CK30" s="740">
        <v>57.91</v>
      </c>
      <c r="CL30" s="740">
        <v>58.08</v>
      </c>
      <c r="CM30" s="740">
        <v>58.24</v>
      </c>
      <c r="CN30" s="740">
        <v>58.4</v>
      </c>
      <c r="CO30" s="740">
        <v>58.56</v>
      </c>
      <c r="CP30" s="740">
        <v>58.72</v>
      </c>
      <c r="CQ30" s="740">
        <v>58.88</v>
      </c>
      <c r="CR30" s="740">
        <v>59.04</v>
      </c>
      <c r="CS30" s="740">
        <v>59.19</v>
      </c>
      <c r="CT30" s="740">
        <v>59.35</v>
      </c>
      <c r="CU30" s="740">
        <v>59.5</v>
      </c>
      <c r="CV30" s="740">
        <v>59.65</v>
      </c>
      <c r="CW30" s="740">
        <v>59.8</v>
      </c>
      <c r="CX30" s="740">
        <v>59.95</v>
      </c>
      <c r="CY30" s="740">
        <v>60.1</v>
      </c>
      <c r="CZ30" s="740">
        <v>60.25</v>
      </c>
      <c r="DA30" s="740">
        <v>60.39</v>
      </c>
      <c r="DB30" s="740">
        <v>60.54</v>
      </c>
      <c r="DC30" s="740">
        <v>60.68</v>
      </c>
      <c r="DD30" s="740">
        <v>60.82</v>
      </c>
      <c r="DE30" s="740">
        <v>60.97</v>
      </c>
      <c r="DF30" s="740">
        <v>61.11</v>
      </c>
      <c r="DG30" s="740">
        <v>61.24</v>
      </c>
      <c r="DH30" s="740">
        <v>61.38</v>
      </c>
      <c r="DI30" s="740">
        <v>61.52</v>
      </c>
      <c r="DJ30" s="740">
        <v>61.65</v>
      </c>
      <c r="DK30" s="740">
        <v>61.79</v>
      </c>
      <c r="DL30" s="740">
        <v>61.92</v>
      </c>
      <c r="DM30" s="740">
        <v>62.05</v>
      </c>
      <c r="DN30" s="740">
        <v>62.18</v>
      </c>
      <c r="DO30" s="740">
        <v>62.31</v>
      </c>
      <c r="DP30" s="740">
        <v>62.44</v>
      </c>
      <c r="DQ30" s="740">
        <v>62.57</v>
      </c>
      <c r="DR30" s="740">
        <v>62.7</v>
      </c>
    </row>
    <row r="31" spans="1:122">
      <c r="A31" s="906">
        <v>29</v>
      </c>
      <c r="B31" s="92"/>
      <c r="C31" s="92"/>
      <c r="D31" s="92"/>
      <c r="E31" s="92"/>
      <c r="F31" s="92"/>
      <c r="G31" s="92"/>
      <c r="H31" s="92"/>
      <c r="I31" s="92"/>
      <c r="J31" s="92"/>
      <c r="K31" s="92"/>
      <c r="L31" s="92"/>
      <c r="M31" s="92"/>
      <c r="N31" s="92"/>
      <c r="O31" s="92"/>
      <c r="P31" s="92"/>
      <c r="Q31" s="92"/>
      <c r="R31" s="92"/>
      <c r="S31" s="92"/>
      <c r="T31" s="92"/>
      <c r="U31" s="92"/>
      <c r="V31" s="740"/>
      <c r="W31" s="740">
        <v>44.54</v>
      </c>
      <c r="X31" s="740">
        <v>44.79</v>
      </c>
      <c r="Y31" s="740">
        <v>44.88</v>
      </c>
      <c r="Z31" s="740">
        <v>45.11</v>
      </c>
      <c r="AA31" s="740">
        <v>45.32</v>
      </c>
      <c r="AB31" s="740">
        <v>45.47</v>
      </c>
      <c r="AC31" s="740">
        <v>45.48</v>
      </c>
      <c r="AD31" s="740">
        <v>45.42</v>
      </c>
      <c r="AE31" s="740">
        <v>45.51</v>
      </c>
      <c r="AF31" s="740">
        <v>45.72</v>
      </c>
      <c r="AG31" s="740">
        <v>45.97</v>
      </c>
      <c r="AH31" s="740">
        <v>46.28</v>
      </c>
      <c r="AI31" s="740">
        <v>46.56</v>
      </c>
      <c r="AJ31" s="740">
        <v>46.88</v>
      </c>
      <c r="AK31" s="740">
        <v>47.18</v>
      </c>
      <c r="AL31" s="740">
        <v>47.55</v>
      </c>
      <c r="AM31" s="740">
        <v>47.9</v>
      </c>
      <c r="AN31" s="740">
        <v>48.13</v>
      </c>
      <c r="AO31" s="740">
        <v>48.29</v>
      </c>
      <c r="AP31" s="740">
        <v>48.49</v>
      </c>
      <c r="AQ31" s="740">
        <v>48.68</v>
      </c>
      <c r="AR31" s="740">
        <v>48.97</v>
      </c>
      <c r="AS31" s="740">
        <v>49.02</v>
      </c>
      <c r="AT31" s="740">
        <v>49.15</v>
      </c>
      <c r="AU31" s="740">
        <v>49.27</v>
      </c>
      <c r="AV31" s="740">
        <v>49.38</v>
      </c>
      <c r="AW31" s="740">
        <v>49.68</v>
      </c>
      <c r="AX31" s="740">
        <v>49.86</v>
      </c>
      <c r="AY31" s="740">
        <v>49.96</v>
      </c>
      <c r="AZ31" s="740">
        <v>50.02</v>
      </c>
      <c r="BA31" s="740">
        <v>50.11</v>
      </c>
      <c r="BB31" s="740">
        <v>50.24</v>
      </c>
      <c r="BC31" s="740">
        <v>50.38</v>
      </c>
      <c r="BD31" s="740">
        <v>50.56</v>
      </c>
      <c r="BE31" s="740">
        <v>50.75</v>
      </c>
      <c r="BF31" s="740">
        <v>50.97</v>
      </c>
      <c r="BG31" s="740">
        <v>51.12</v>
      </c>
      <c r="BH31" s="740">
        <v>51.4</v>
      </c>
      <c r="BI31" s="740">
        <v>51.58</v>
      </c>
      <c r="BJ31" s="740">
        <v>51.85</v>
      </c>
      <c r="BK31" s="740">
        <v>52.05</v>
      </c>
      <c r="BL31" s="740">
        <v>52.33</v>
      </c>
      <c r="BM31" s="740">
        <v>52.59</v>
      </c>
      <c r="BN31" s="740">
        <v>52.83</v>
      </c>
      <c r="BO31" s="740">
        <v>53.04</v>
      </c>
      <c r="BP31" s="740">
        <v>53.27</v>
      </c>
      <c r="BQ31" s="740">
        <v>53.48</v>
      </c>
      <c r="BR31" s="740">
        <v>53.69</v>
      </c>
      <c r="BS31" s="740">
        <v>53.87</v>
      </c>
      <c r="BT31" s="852">
        <v>54.07</v>
      </c>
      <c r="BU31" s="740">
        <v>54.21</v>
      </c>
      <c r="BV31" s="740">
        <v>54.42</v>
      </c>
      <c r="BW31" s="740">
        <v>54.6</v>
      </c>
      <c r="BX31" s="740">
        <v>54.78</v>
      </c>
      <c r="BY31" s="740">
        <v>54.94</v>
      </c>
      <c r="BZ31" s="740">
        <v>55.11</v>
      </c>
      <c r="CA31" s="740">
        <v>55.27</v>
      </c>
      <c r="CB31" s="740">
        <v>55.42</v>
      </c>
      <c r="CC31" s="740">
        <v>55.59</v>
      </c>
      <c r="CD31" s="740">
        <v>55.76</v>
      </c>
      <c r="CE31" s="740">
        <v>55.94</v>
      </c>
      <c r="CF31" s="740">
        <v>56.1</v>
      </c>
      <c r="CG31" s="740">
        <v>56.27</v>
      </c>
      <c r="CH31" s="740">
        <v>56.43</v>
      </c>
      <c r="CI31" s="740">
        <v>56.61</v>
      </c>
      <c r="CJ31" s="740">
        <v>56.77</v>
      </c>
      <c r="CK31" s="740">
        <v>56.94</v>
      </c>
      <c r="CL31" s="740">
        <v>57.1</v>
      </c>
      <c r="CM31" s="740">
        <v>57.27</v>
      </c>
      <c r="CN31" s="740">
        <v>57.43</v>
      </c>
      <c r="CO31" s="740">
        <v>57.59</v>
      </c>
      <c r="CP31" s="740">
        <v>57.75</v>
      </c>
      <c r="CQ31" s="740">
        <v>57.9</v>
      </c>
      <c r="CR31" s="740">
        <v>58.06</v>
      </c>
      <c r="CS31" s="740">
        <v>58.22</v>
      </c>
      <c r="CT31" s="740">
        <v>58.37</v>
      </c>
      <c r="CU31" s="740">
        <v>58.52</v>
      </c>
      <c r="CV31" s="740">
        <v>58.67</v>
      </c>
      <c r="CW31" s="740">
        <v>58.82</v>
      </c>
      <c r="CX31" s="740">
        <v>58.97</v>
      </c>
      <c r="CY31" s="740">
        <v>59.12</v>
      </c>
      <c r="CZ31" s="740">
        <v>59.27</v>
      </c>
      <c r="DA31" s="740">
        <v>59.41</v>
      </c>
      <c r="DB31" s="740">
        <v>59.56</v>
      </c>
      <c r="DC31" s="740">
        <v>59.7</v>
      </c>
      <c r="DD31" s="740">
        <v>59.84</v>
      </c>
      <c r="DE31" s="740">
        <v>59.98</v>
      </c>
      <c r="DF31" s="740">
        <v>60.12</v>
      </c>
      <c r="DG31" s="740">
        <v>60.26</v>
      </c>
      <c r="DH31" s="740">
        <v>60.4</v>
      </c>
      <c r="DI31" s="740">
        <v>60.53</v>
      </c>
      <c r="DJ31" s="740">
        <v>60.67</v>
      </c>
      <c r="DK31" s="740">
        <v>60.8</v>
      </c>
      <c r="DL31" s="740">
        <v>60.94</v>
      </c>
      <c r="DM31" s="740">
        <v>61.07</v>
      </c>
      <c r="DN31" s="740">
        <v>61.2</v>
      </c>
      <c r="DO31" s="740">
        <v>61.33</v>
      </c>
      <c r="DP31" s="740">
        <v>61.46</v>
      </c>
      <c r="DQ31" s="740">
        <v>61.58</v>
      </c>
      <c r="DR31" s="740">
        <v>61.71</v>
      </c>
    </row>
    <row r="32" spans="1:122">
      <c r="A32" s="906">
        <v>30</v>
      </c>
      <c r="B32" s="92"/>
      <c r="C32" s="92"/>
      <c r="D32" s="92"/>
      <c r="E32" s="92"/>
      <c r="F32" s="92"/>
      <c r="G32" s="92"/>
      <c r="H32" s="92"/>
      <c r="I32" s="92"/>
      <c r="J32" s="92"/>
      <c r="K32" s="92"/>
      <c r="L32" s="92"/>
      <c r="M32" s="92"/>
      <c r="N32" s="92"/>
      <c r="O32" s="92"/>
      <c r="P32" s="92"/>
      <c r="Q32" s="92"/>
      <c r="R32" s="92"/>
      <c r="S32" s="92"/>
      <c r="T32" s="92"/>
      <c r="U32" s="92"/>
      <c r="V32" s="740"/>
      <c r="W32" s="740">
        <v>43.64</v>
      </c>
      <c r="X32" s="740">
        <v>43.89</v>
      </c>
      <c r="Y32" s="740">
        <v>43.96</v>
      </c>
      <c r="Z32" s="740">
        <v>44.19</v>
      </c>
      <c r="AA32" s="740">
        <v>44.4</v>
      </c>
      <c r="AB32" s="740">
        <v>44.56</v>
      </c>
      <c r="AC32" s="740">
        <v>44.56</v>
      </c>
      <c r="AD32" s="740">
        <v>44.5</v>
      </c>
      <c r="AE32" s="740">
        <v>44.58</v>
      </c>
      <c r="AF32" s="740">
        <v>44.79</v>
      </c>
      <c r="AG32" s="740">
        <v>45.05</v>
      </c>
      <c r="AH32" s="740">
        <v>45.36</v>
      </c>
      <c r="AI32" s="740">
        <v>45.63</v>
      </c>
      <c r="AJ32" s="740">
        <v>45.95</v>
      </c>
      <c r="AK32" s="740">
        <v>46.25</v>
      </c>
      <c r="AL32" s="740">
        <v>46.62</v>
      </c>
      <c r="AM32" s="740">
        <v>46.97</v>
      </c>
      <c r="AN32" s="740">
        <v>47.21</v>
      </c>
      <c r="AO32" s="740">
        <v>47.36</v>
      </c>
      <c r="AP32" s="740">
        <v>47.57</v>
      </c>
      <c r="AQ32" s="740">
        <v>47.76</v>
      </c>
      <c r="AR32" s="740">
        <v>48.05</v>
      </c>
      <c r="AS32" s="740">
        <v>48.09</v>
      </c>
      <c r="AT32" s="740">
        <v>48.22</v>
      </c>
      <c r="AU32" s="740">
        <v>48.34</v>
      </c>
      <c r="AV32" s="740">
        <v>48.45</v>
      </c>
      <c r="AW32" s="740">
        <v>48.74</v>
      </c>
      <c r="AX32" s="740">
        <v>48.93</v>
      </c>
      <c r="AY32" s="740">
        <v>49.03</v>
      </c>
      <c r="AZ32" s="740">
        <v>49.09</v>
      </c>
      <c r="BA32" s="740">
        <v>49.18</v>
      </c>
      <c r="BB32" s="740">
        <v>49.3</v>
      </c>
      <c r="BC32" s="740">
        <v>49.45</v>
      </c>
      <c r="BD32" s="740">
        <v>49.62</v>
      </c>
      <c r="BE32" s="740">
        <v>49.81</v>
      </c>
      <c r="BF32" s="740">
        <v>50.03</v>
      </c>
      <c r="BG32" s="740">
        <v>50.18</v>
      </c>
      <c r="BH32" s="740">
        <v>50.46</v>
      </c>
      <c r="BI32" s="740">
        <v>50.64</v>
      </c>
      <c r="BJ32" s="740">
        <v>50.91</v>
      </c>
      <c r="BK32" s="740">
        <v>51.12</v>
      </c>
      <c r="BL32" s="740">
        <v>51.39</v>
      </c>
      <c r="BM32" s="740">
        <v>51.65</v>
      </c>
      <c r="BN32" s="740">
        <v>51.89</v>
      </c>
      <c r="BO32" s="740">
        <v>52.1</v>
      </c>
      <c r="BP32" s="740">
        <v>52.32</v>
      </c>
      <c r="BQ32" s="740">
        <v>52.53</v>
      </c>
      <c r="BR32" s="740">
        <v>52.74</v>
      </c>
      <c r="BS32" s="740">
        <v>52.91</v>
      </c>
      <c r="BT32" s="852">
        <v>53.11</v>
      </c>
      <c r="BU32" s="740">
        <v>53.25</v>
      </c>
      <c r="BV32" s="740">
        <v>53.46</v>
      </c>
      <c r="BW32" s="740">
        <v>53.64</v>
      </c>
      <c r="BX32" s="740">
        <v>53.82</v>
      </c>
      <c r="BY32" s="740">
        <v>53.97</v>
      </c>
      <c r="BZ32" s="740">
        <v>54.14</v>
      </c>
      <c r="CA32" s="740">
        <v>54.3</v>
      </c>
      <c r="CB32" s="740">
        <v>54.46</v>
      </c>
      <c r="CC32" s="740">
        <v>54.62</v>
      </c>
      <c r="CD32" s="740">
        <v>54.8</v>
      </c>
      <c r="CE32" s="740">
        <v>54.97</v>
      </c>
      <c r="CF32" s="740">
        <v>55.13</v>
      </c>
      <c r="CG32" s="740">
        <v>55.3</v>
      </c>
      <c r="CH32" s="740">
        <v>55.46</v>
      </c>
      <c r="CI32" s="740">
        <v>55.64</v>
      </c>
      <c r="CJ32" s="740">
        <v>55.81</v>
      </c>
      <c r="CK32" s="740">
        <v>55.97</v>
      </c>
      <c r="CL32" s="740">
        <v>56.13</v>
      </c>
      <c r="CM32" s="740">
        <v>56.3</v>
      </c>
      <c r="CN32" s="740">
        <v>56.46</v>
      </c>
      <c r="CO32" s="740">
        <v>56.61</v>
      </c>
      <c r="CP32" s="740">
        <v>56.77</v>
      </c>
      <c r="CQ32" s="740">
        <v>56.93</v>
      </c>
      <c r="CR32" s="740">
        <v>57.09</v>
      </c>
      <c r="CS32" s="740">
        <v>57.24</v>
      </c>
      <c r="CT32" s="740">
        <v>57.39</v>
      </c>
      <c r="CU32" s="740">
        <v>57.55</v>
      </c>
      <c r="CV32" s="740">
        <v>57.7</v>
      </c>
      <c r="CW32" s="740">
        <v>57.85</v>
      </c>
      <c r="CX32" s="740">
        <v>57.99</v>
      </c>
      <c r="CY32" s="740">
        <v>58.14</v>
      </c>
      <c r="CZ32" s="740">
        <v>58.29</v>
      </c>
      <c r="DA32" s="740">
        <v>58.43</v>
      </c>
      <c r="DB32" s="740">
        <v>58.58</v>
      </c>
      <c r="DC32" s="740">
        <v>58.72</v>
      </c>
      <c r="DD32" s="740">
        <v>58.86</v>
      </c>
      <c r="DE32" s="740">
        <v>59</v>
      </c>
      <c r="DF32" s="740">
        <v>59.14</v>
      </c>
      <c r="DG32" s="740">
        <v>59.28</v>
      </c>
      <c r="DH32" s="740">
        <v>59.41</v>
      </c>
      <c r="DI32" s="740">
        <v>59.55</v>
      </c>
      <c r="DJ32" s="740">
        <v>59.68</v>
      </c>
      <c r="DK32" s="740">
        <v>59.82</v>
      </c>
      <c r="DL32" s="740">
        <v>59.95</v>
      </c>
      <c r="DM32" s="740">
        <v>60.08</v>
      </c>
      <c r="DN32" s="740">
        <v>60.21</v>
      </c>
      <c r="DO32" s="740">
        <v>60.34</v>
      </c>
      <c r="DP32" s="740">
        <v>60.47</v>
      </c>
      <c r="DQ32" s="740">
        <v>60.6</v>
      </c>
      <c r="DR32" s="740">
        <v>60.72</v>
      </c>
    </row>
    <row r="33" spans="1:122">
      <c r="A33" s="906">
        <v>31</v>
      </c>
      <c r="B33" s="92"/>
      <c r="C33" s="92"/>
      <c r="D33" s="92"/>
      <c r="E33" s="92"/>
      <c r="F33" s="92"/>
      <c r="G33" s="92"/>
      <c r="H33" s="92"/>
      <c r="I33" s="92"/>
      <c r="J33" s="92"/>
      <c r="K33" s="92"/>
      <c r="L33" s="92"/>
      <c r="M33" s="92"/>
      <c r="N33" s="92"/>
      <c r="O33" s="92"/>
      <c r="P33" s="92"/>
      <c r="Q33" s="92"/>
      <c r="R33" s="92"/>
      <c r="S33" s="92"/>
      <c r="T33" s="92"/>
      <c r="U33" s="92"/>
      <c r="V33" s="740"/>
      <c r="W33" s="740">
        <v>42.74</v>
      </c>
      <c r="X33" s="740">
        <v>42.97</v>
      </c>
      <c r="Y33" s="740">
        <v>43.04</v>
      </c>
      <c r="Z33" s="740">
        <v>43.27</v>
      </c>
      <c r="AA33" s="740">
        <v>43.47</v>
      </c>
      <c r="AB33" s="740">
        <v>43.64</v>
      </c>
      <c r="AC33" s="740">
        <v>43.64</v>
      </c>
      <c r="AD33" s="740">
        <v>43.58</v>
      </c>
      <c r="AE33" s="740">
        <v>43.66</v>
      </c>
      <c r="AF33" s="740">
        <v>43.87</v>
      </c>
      <c r="AG33" s="740">
        <v>44.13</v>
      </c>
      <c r="AH33" s="740">
        <v>44.43</v>
      </c>
      <c r="AI33" s="740">
        <v>44.71</v>
      </c>
      <c r="AJ33" s="740">
        <v>45.02</v>
      </c>
      <c r="AK33" s="740">
        <v>45.33</v>
      </c>
      <c r="AL33" s="740">
        <v>45.69</v>
      </c>
      <c r="AM33" s="740">
        <v>46.05</v>
      </c>
      <c r="AN33" s="740">
        <v>46.28</v>
      </c>
      <c r="AO33" s="740">
        <v>46.44</v>
      </c>
      <c r="AP33" s="740">
        <v>46.65</v>
      </c>
      <c r="AQ33" s="740">
        <v>46.84</v>
      </c>
      <c r="AR33" s="740">
        <v>47.12</v>
      </c>
      <c r="AS33" s="740">
        <v>47.16</v>
      </c>
      <c r="AT33" s="740">
        <v>47.29</v>
      </c>
      <c r="AU33" s="740">
        <v>47.41</v>
      </c>
      <c r="AV33" s="740">
        <v>47.52</v>
      </c>
      <c r="AW33" s="740">
        <v>47.82</v>
      </c>
      <c r="AX33" s="740">
        <v>47.99</v>
      </c>
      <c r="AY33" s="740">
        <v>48.09</v>
      </c>
      <c r="AZ33" s="740">
        <v>48.15</v>
      </c>
      <c r="BA33" s="740">
        <v>48.24</v>
      </c>
      <c r="BB33" s="740">
        <v>48.37</v>
      </c>
      <c r="BC33" s="740">
        <v>48.51</v>
      </c>
      <c r="BD33" s="740">
        <v>48.68</v>
      </c>
      <c r="BE33" s="740">
        <v>48.87</v>
      </c>
      <c r="BF33" s="740">
        <v>49.09</v>
      </c>
      <c r="BG33" s="740">
        <v>49.24</v>
      </c>
      <c r="BH33" s="740">
        <v>49.52</v>
      </c>
      <c r="BI33" s="740">
        <v>49.71</v>
      </c>
      <c r="BJ33" s="740">
        <v>49.98</v>
      </c>
      <c r="BK33" s="740">
        <v>50.19</v>
      </c>
      <c r="BL33" s="740">
        <v>50.46</v>
      </c>
      <c r="BM33" s="740">
        <v>50.71</v>
      </c>
      <c r="BN33" s="740">
        <v>50.95</v>
      </c>
      <c r="BO33" s="740">
        <v>51.16</v>
      </c>
      <c r="BP33" s="740">
        <v>51.38</v>
      </c>
      <c r="BQ33" s="740">
        <v>51.58</v>
      </c>
      <c r="BR33" s="740">
        <v>51.78</v>
      </c>
      <c r="BS33" s="740">
        <v>51.96</v>
      </c>
      <c r="BT33" s="852">
        <v>52.16</v>
      </c>
      <c r="BU33" s="740">
        <v>52.3</v>
      </c>
      <c r="BV33" s="740">
        <v>52.5</v>
      </c>
      <c r="BW33" s="740">
        <v>52.67</v>
      </c>
      <c r="BX33" s="740">
        <v>52.85</v>
      </c>
      <c r="BY33" s="740">
        <v>53.01</v>
      </c>
      <c r="BZ33" s="740">
        <v>53.18</v>
      </c>
      <c r="CA33" s="740">
        <v>53.34</v>
      </c>
      <c r="CB33" s="740">
        <v>53.49</v>
      </c>
      <c r="CC33" s="740">
        <v>53.66</v>
      </c>
      <c r="CD33" s="740">
        <v>53.83</v>
      </c>
      <c r="CE33" s="740">
        <v>54.01</v>
      </c>
      <c r="CF33" s="740">
        <v>54.17</v>
      </c>
      <c r="CG33" s="740">
        <v>54.33</v>
      </c>
      <c r="CH33" s="740">
        <v>54.5</v>
      </c>
      <c r="CI33" s="740">
        <v>54.67</v>
      </c>
      <c r="CJ33" s="740">
        <v>54.84</v>
      </c>
      <c r="CK33" s="740">
        <v>55</v>
      </c>
      <c r="CL33" s="740">
        <v>55.16</v>
      </c>
      <c r="CM33" s="740">
        <v>55.32</v>
      </c>
      <c r="CN33" s="740">
        <v>55.48</v>
      </c>
      <c r="CO33" s="740">
        <v>55.64</v>
      </c>
      <c r="CP33" s="740">
        <v>55.8</v>
      </c>
      <c r="CQ33" s="740">
        <v>55.96</v>
      </c>
      <c r="CR33" s="740">
        <v>56.11</v>
      </c>
      <c r="CS33" s="740">
        <v>56.26</v>
      </c>
      <c r="CT33" s="740">
        <v>56.42</v>
      </c>
      <c r="CU33" s="740">
        <v>56.57</v>
      </c>
      <c r="CV33" s="740">
        <v>56.72</v>
      </c>
      <c r="CW33" s="740">
        <v>56.87</v>
      </c>
      <c r="CX33" s="740">
        <v>57.02</v>
      </c>
      <c r="CY33" s="740">
        <v>57.16</v>
      </c>
      <c r="CZ33" s="740">
        <v>57.31</v>
      </c>
      <c r="DA33" s="740">
        <v>57.45</v>
      </c>
      <c r="DB33" s="740">
        <v>57.6</v>
      </c>
      <c r="DC33" s="740">
        <v>57.74</v>
      </c>
      <c r="DD33" s="740">
        <v>57.88</v>
      </c>
      <c r="DE33" s="740">
        <v>58.02</v>
      </c>
      <c r="DF33" s="740">
        <v>58.16</v>
      </c>
      <c r="DG33" s="740">
        <v>58.3</v>
      </c>
      <c r="DH33" s="740">
        <v>58.43</v>
      </c>
      <c r="DI33" s="740">
        <v>58.57</v>
      </c>
      <c r="DJ33" s="740">
        <v>58.7</v>
      </c>
      <c r="DK33" s="740">
        <v>58.83</v>
      </c>
      <c r="DL33" s="740">
        <v>58.97</v>
      </c>
      <c r="DM33" s="740">
        <v>59.1</v>
      </c>
      <c r="DN33" s="740">
        <v>59.23</v>
      </c>
      <c r="DO33" s="740">
        <v>59.36</v>
      </c>
      <c r="DP33" s="740">
        <v>59.48</v>
      </c>
      <c r="DQ33" s="740">
        <v>59.61</v>
      </c>
      <c r="DR33" s="740">
        <v>59.73</v>
      </c>
    </row>
    <row r="34" spans="1:122">
      <c r="A34" s="906">
        <v>32</v>
      </c>
      <c r="B34" s="92"/>
      <c r="C34" s="92"/>
      <c r="D34" s="92"/>
      <c r="E34" s="92"/>
      <c r="F34" s="92"/>
      <c r="G34" s="92"/>
      <c r="H34" s="92"/>
      <c r="I34" s="92"/>
      <c r="J34" s="92"/>
      <c r="K34" s="92"/>
      <c r="L34" s="92"/>
      <c r="M34" s="92"/>
      <c r="N34" s="92"/>
      <c r="O34" s="92"/>
      <c r="P34" s="92"/>
      <c r="Q34" s="92"/>
      <c r="R34" s="92"/>
      <c r="S34" s="92"/>
      <c r="T34" s="92"/>
      <c r="U34" s="92"/>
      <c r="V34" s="740"/>
      <c r="W34" s="740">
        <v>41.82</v>
      </c>
      <c r="X34" s="740">
        <v>42.05</v>
      </c>
      <c r="Y34" s="740">
        <v>42.12</v>
      </c>
      <c r="Z34" s="740">
        <v>42.35</v>
      </c>
      <c r="AA34" s="740">
        <v>42.55</v>
      </c>
      <c r="AB34" s="740">
        <v>42.72</v>
      </c>
      <c r="AC34" s="740">
        <v>42.72</v>
      </c>
      <c r="AD34" s="740">
        <v>42.66</v>
      </c>
      <c r="AE34" s="740">
        <v>42.74</v>
      </c>
      <c r="AF34" s="740">
        <v>42.94</v>
      </c>
      <c r="AG34" s="740">
        <v>43.21</v>
      </c>
      <c r="AH34" s="740">
        <v>43.51</v>
      </c>
      <c r="AI34" s="740">
        <v>43.78</v>
      </c>
      <c r="AJ34" s="740">
        <v>44.1</v>
      </c>
      <c r="AK34" s="740">
        <v>44.4</v>
      </c>
      <c r="AL34" s="740">
        <v>44.77</v>
      </c>
      <c r="AM34" s="740">
        <v>45.12</v>
      </c>
      <c r="AN34" s="740">
        <v>45.35</v>
      </c>
      <c r="AO34" s="740">
        <v>45.51</v>
      </c>
      <c r="AP34" s="740">
        <v>45.73</v>
      </c>
      <c r="AQ34" s="740">
        <v>45.92</v>
      </c>
      <c r="AR34" s="740">
        <v>46.2</v>
      </c>
      <c r="AS34" s="740">
        <v>46.24</v>
      </c>
      <c r="AT34" s="740">
        <v>46.36</v>
      </c>
      <c r="AU34" s="740">
        <v>46.48</v>
      </c>
      <c r="AV34" s="740">
        <v>46.6</v>
      </c>
      <c r="AW34" s="740">
        <v>46.89</v>
      </c>
      <c r="AX34" s="740">
        <v>47.06</v>
      </c>
      <c r="AY34" s="740">
        <v>47.15</v>
      </c>
      <c r="AZ34" s="740">
        <v>47.22</v>
      </c>
      <c r="BA34" s="740">
        <v>47.31</v>
      </c>
      <c r="BB34" s="740">
        <v>47.44</v>
      </c>
      <c r="BC34" s="740">
        <v>47.57</v>
      </c>
      <c r="BD34" s="740">
        <v>47.74</v>
      </c>
      <c r="BE34" s="740">
        <v>47.93</v>
      </c>
      <c r="BF34" s="740">
        <v>48.15</v>
      </c>
      <c r="BG34" s="740">
        <v>48.3</v>
      </c>
      <c r="BH34" s="740">
        <v>48.58</v>
      </c>
      <c r="BI34" s="740">
        <v>48.78</v>
      </c>
      <c r="BJ34" s="740">
        <v>49.05</v>
      </c>
      <c r="BK34" s="740">
        <v>49.25</v>
      </c>
      <c r="BL34" s="740">
        <v>49.52</v>
      </c>
      <c r="BM34" s="740">
        <v>49.77</v>
      </c>
      <c r="BN34" s="740">
        <v>50.01</v>
      </c>
      <c r="BO34" s="740">
        <v>50.21</v>
      </c>
      <c r="BP34" s="740">
        <v>50.43</v>
      </c>
      <c r="BQ34" s="740">
        <v>50.63</v>
      </c>
      <c r="BR34" s="740">
        <v>50.83</v>
      </c>
      <c r="BS34" s="740">
        <v>51.01</v>
      </c>
      <c r="BT34" s="852">
        <v>51.2</v>
      </c>
      <c r="BU34" s="740">
        <v>51.34</v>
      </c>
      <c r="BV34" s="740">
        <v>51.54</v>
      </c>
      <c r="BW34" s="740">
        <v>51.72</v>
      </c>
      <c r="BX34" s="740">
        <v>51.89</v>
      </c>
      <c r="BY34" s="740">
        <v>52.05</v>
      </c>
      <c r="BZ34" s="740">
        <v>52.21</v>
      </c>
      <c r="CA34" s="740">
        <v>52.38</v>
      </c>
      <c r="CB34" s="740">
        <v>52.53</v>
      </c>
      <c r="CC34" s="740">
        <v>52.7</v>
      </c>
      <c r="CD34" s="740">
        <v>52.87</v>
      </c>
      <c r="CE34" s="740">
        <v>53.04</v>
      </c>
      <c r="CF34" s="740">
        <v>53.2</v>
      </c>
      <c r="CG34" s="740">
        <v>53.37</v>
      </c>
      <c r="CH34" s="740">
        <v>53.54</v>
      </c>
      <c r="CI34" s="740">
        <v>53.71</v>
      </c>
      <c r="CJ34" s="740">
        <v>53.87</v>
      </c>
      <c r="CK34" s="740">
        <v>54.03</v>
      </c>
      <c r="CL34" s="740">
        <v>54.19</v>
      </c>
      <c r="CM34" s="740">
        <v>54.35</v>
      </c>
      <c r="CN34" s="740">
        <v>54.51</v>
      </c>
      <c r="CO34" s="740">
        <v>54.67</v>
      </c>
      <c r="CP34" s="740">
        <v>54.83</v>
      </c>
      <c r="CQ34" s="740">
        <v>54.98</v>
      </c>
      <c r="CR34" s="740">
        <v>55.14</v>
      </c>
      <c r="CS34" s="740">
        <v>55.29</v>
      </c>
      <c r="CT34" s="740">
        <v>55.44</v>
      </c>
      <c r="CU34" s="740">
        <v>55.59</v>
      </c>
      <c r="CV34" s="740">
        <v>55.74</v>
      </c>
      <c r="CW34" s="740">
        <v>55.89</v>
      </c>
      <c r="CX34" s="740">
        <v>56.04</v>
      </c>
      <c r="CY34" s="740">
        <v>56.19</v>
      </c>
      <c r="CZ34" s="740">
        <v>56.33</v>
      </c>
      <c r="DA34" s="740">
        <v>56.47</v>
      </c>
      <c r="DB34" s="740">
        <v>56.62</v>
      </c>
      <c r="DC34" s="740">
        <v>56.76</v>
      </c>
      <c r="DD34" s="740">
        <v>56.9</v>
      </c>
      <c r="DE34" s="740">
        <v>57.04</v>
      </c>
      <c r="DF34" s="740">
        <v>57.18</v>
      </c>
      <c r="DG34" s="740">
        <v>57.31</v>
      </c>
      <c r="DH34" s="740">
        <v>57.45</v>
      </c>
      <c r="DI34" s="740">
        <v>57.58</v>
      </c>
      <c r="DJ34" s="740">
        <v>57.72</v>
      </c>
      <c r="DK34" s="740">
        <v>57.85</v>
      </c>
      <c r="DL34" s="740">
        <v>57.98</v>
      </c>
      <c r="DM34" s="740">
        <v>58.11</v>
      </c>
      <c r="DN34" s="740">
        <v>58.24</v>
      </c>
      <c r="DO34" s="740">
        <v>58.37</v>
      </c>
      <c r="DP34" s="740">
        <v>58.5</v>
      </c>
      <c r="DQ34" s="740">
        <v>58.62</v>
      </c>
      <c r="DR34" s="740">
        <v>58.75</v>
      </c>
    </row>
    <row r="35" spans="1:122">
      <c r="A35" s="906">
        <v>33</v>
      </c>
      <c r="B35" s="92"/>
      <c r="C35" s="92"/>
      <c r="D35" s="92"/>
      <c r="E35" s="92"/>
      <c r="F35" s="92"/>
      <c r="G35" s="92"/>
      <c r="H35" s="92"/>
      <c r="I35" s="92"/>
      <c r="J35" s="92"/>
      <c r="K35" s="92"/>
      <c r="L35" s="92"/>
      <c r="M35" s="92"/>
      <c r="N35" s="92"/>
      <c r="O35" s="92"/>
      <c r="P35" s="92"/>
      <c r="Q35" s="92"/>
      <c r="R35" s="92"/>
      <c r="S35" s="92"/>
      <c r="T35" s="92"/>
      <c r="U35" s="92"/>
      <c r="V35" s="740"/>
      <c r="W35" s="740">
        <v>40.89</v>
      </c>
      <c r="X35" s="740">
        <v>41.13</v>
      </c>
      <c r="Y35" s="740">
        <v>41.2</v>
      </c>
      <c r="Z35" s="740">
        <v>41.43</v>
      </c>
      <c r="AA35" s="740">
        <v>41.63</v>
      </c>
      <c r="AB35" s="740">
        <v>41.79</v>
      </c>
      <c r="AC35" s="740">
        <v>41.8</v>
      </c>
      <c r="AD35" s="740">
        <v>41.73</v>
      </c>
      <c r="AE35" s="740">
        <v>41.82</v>
      </c>
      <c r="AF35" s="740">
        <v>42.02</v>
      </c>
      <c r="AG35" s="740">
        <v>42.29</v>
      </c>
      <c r="AH35" s="740">
        <v>42.59</v>
      </c>
      <c r="AI35" s="740">
        <v>42.86</v>
      </c>
      <c r="AJ35" s="740">
        <v>43.18</v>
      </c>
      <c r="AK35" s="740">
        <v>43.47</v>
      </c>
      <c r="AL35" s="740">
        <v>43.84</v>
      </c>
      <c r="AM35" s="740">
        <v>44.19</v>
      </c>
      <c r="AN35" s="740">
        <v>44.44</v>
      </c>
      <c r="AO35" s="740">
        <v>44.59</v>
      </c>
      <c r="AP35" s="740">
        <v>44.81</v>
      </c>
      <c r="AQ35" s="740">
        <v>45</v>
      </c>
      <c r="AR35" s="740">
        <v>45.27</v>
      </c>
      <c r="AS35" s="740">
        <v>45.32</v>
      </c>
      <c r="AT35" s="740">
        <v>45.44</v>
      </c>
      <c r="AU35" s="740">
        <v>45.56</v>
      </c>
      <c r="AV35" s="740">
        <v>45.67</v>
      </c>
      <c r="AW35" s="740">
        <v>45.96</v>
      </c>
      <c r="AX35" s="740">
        <v>46.13</v>
      </c>
      <c r="AY35" s="740">
        <v>46.22</v>
      </c>
      <c r="AZ35" s="740">
        <v>46.29</v>
      </c>
      <c r="BA35" s="740">
        <v>46.38</v>
      </c>
      <c r="BB35" s="740">
        <v>46.5</v>
      </c>
      <c r="BC35" s="740">
        <v>46.63</v>
      </c>
      <c r="BD35" s="740">
        <v>46.8</v>
      </c>
      <c r="BE35" s="740">
        <v>47</v>
      </c>
      <c r="BF35" s="740">
        <v>47.22</v>
      </c>
      <c r="BG35" s="740">
        <v>47.37</v>
      </c>
      <c r="BH35" s="740">
        <v>47.65</v>
      </c>
      <c r="BI35" s="740">
        <v>47.85</v>
      </c>
      <c r="BJ35" s="740">
        <v>48.11</v>
      </c>
      <c r="BK35" s="740">
        <v>48.32</v>
      </c>
      <c r="BL35" s="740">
        <v>48.58</v>
      </c>
      <c r="BM35" s="740">
        <v>48.83</v>
      </c>
      <c r="BN35" s="740">
        <v>49.07</v>
      </c>
      <c r="BO35" s="740">
        <v>49.27</v>
      </c>
      <c r="BP35" s="740">
        <v>49.48</v>
      </c>
      <c r="BQ35" s="740">
        <v>49.67</v>
      </c>
      <c r="BR35" s="740">
        <v>49.87</v>
      </c>
      <c r="BS35" s="740">
        <v>50.05</v>
      </c>
      <c r="BT35" s="852">
        <v>50.24</v>
      </c>
      <c r="BU35" s="740">
        <v>50.38</v>
      </c>
      <c r="BV35" s="740">
        <v>50.58</v>
      </c>
      <c r="BW35" s="740">
        <v>50.75</v>
      </c>
      <c r="BX35" s="740">
        <v>50.93</v>
      </c>
      <c r="BY35" s="740">
        <v>51.09</v>
      </c>
      <c r="BZ35" s="740">
        <v>51.25</v>
      </c>
      <c r="CA35" s="740">
        <v>51.41</v>
      </c>
      <c r="CB35" s="740">
        <v>51.57</v>
      </c>
      <c r="CC35" s="740">
        <v>51.74</v>
      </c>
      <c r="CD35" s="740">
        <v>51.9</v>
      </c>
      <c r="CE35" s="740">
        <v>52.08</v>
      </c>
      <c r="CF35" s="740">
        <v>52.24</v>
      </c>
      <c r="CG35" s="740">
        <v>52.41</v>
      </c>
      <c r="CH35" s="740">
        <v>52.57</v>
      </c>
      <c r="CI35" s="740">
        <v>52.74</v>
      </c>
      <c r="CJ35" s="740">
        <v>52.9</v>
      </c>
      <c r="CK35" s="740">
        <v>53.06</v>
      </c>
      <c r="CL35" s="740">
        <v>53.22</v>
      </c>
      <c r="CM35" s="740">
        <v>53.38</v>
      </c>
      <c r="CN35" s="740">
        <v>53.54</v>
      </c>
      <c r="CO35" s="740">
        <v>53.7</v>
      </c>
      <c r="CP35" s="740">
        <v>53.86</v>
      </c>
      <c r="CQ35" s="740">
        <v>54.01</v>
      </c>
      <c r="CR35" s="740">
        <v>54.16</v>
      </c>
      <c r="CS35" s="740">
        <v>54.32</v>
      </c>
      <c r="CT35" s="740">
        <v>54.47</v>
      </c>
      <c r="CU35" s="740">
        <v>54.62</v>
      </c>
      <c r="CV35" s="740">
        <v>54.77</v>
      </c>
      <c r="CW35" s="740">
        <v>54.92</v>
      </c>
      <c r="CX35" s="740">
        <v>55.06</v>
      </c>
      <c r="CY35" s="740">
        <v>55.21</v>
      </c>
      <c r="CZ35" s="740">
        <v>55.35</v>
      </c>
      <c r="DA35" s="740">
        <v>55.5</v>
      </c>
      <c r="DB35" s="740">
        <v>55.64</v>
      </c>
      <c r="DC35" s="740">
        <v>55.78</v>
      </c>
      <c r="DD35" s="740">
        <v>55.92</v>
      </c>
      <c r="DE35" s="740">
        <v>56.06</v>
      </c>
      <c r="DF35" s="740">
        <v>56.2</v>
      </c>
      <c r="DG35" s="740">
        <v>56.33</v>
      </c>
      <c r="DH35" s="740">
        <v>56.47</v>
      </c>
      <c r="DI35" s="740">
        <v>56.6</v>
      </c>
      <c r="DJ35" s="740">
        <v>56.74</v>
      </c>
      <c r="DK35" s="740">
        <v>56.87</v>
      </c>
      <c r="DL35" s="740">
        <v>57</v>
      </c>
      <c r="DM35" s="740">
        <v>57.13</v>
      </c>
      <c r="DN35" s="740">
        <v>57.26</v>
      </c>
      <c r="DO35" s="740">
        <v>57.39</v>
      </c>
      <c r="DP35" s="740">
        <v>57.51</v>
      </c>
      <c r="DQ35" s="740">
        <v>57.64</v>
      </c>
      <c r="DR35" s="740">
        <v>57.76</v>
      </c>
    </row>
    <row r="36" spans="1:122">
      <c r="A36" s="906">
        <v>34</v>
      </c>
      <c r="B36" s="92"/>
      <c r="C36" s="92"/>
      <c r="D36" s="92"/>
      <c r="E36" s="92"/>
      <c r="F36" s="92"/>
      <c r="G36" s="92"/>
      <c r="H36" s="92"/>
      <c r="I36" s="92"/>
      <c r="J36" s="92"/>
      <c r="K36" s="92"/>
      <c r="L36" s="92"/>
      <c r="M36" s="92"/>
      <c r="N36" s="92"/>
      <c r="O36" s="92"/>
      <c r="P36" s="92"/>
      <c r="Q36" s="92"/>
      <c r="R36" s="92"/>
      <c r="S36" s="92"/>
      <c r="T36" s="92"/>
      <c r="U36" s="92"/>
      <c r="V36" s="740"/>
      <c r="W36" s="740">
        <v>39.97</v>
      </c>
      <c r="X36" s="740">
        <v>40.21</v>
      </c>
      <c r="Y36" s="740">
        <v>40.28</v>
      </c>
      <c r="Z36" s="740">
        <v>40.51</v>
      </c>
      <c r="AA36" s="740">
        <v>40.71</v>
      </c>
      <c r="AB36" s="740">
        <v>40.869999999999997</v>
      </c>
      <c r="AC36" s="740">
        <v>40.880000000000003</v>
      </c>
      <c r="AD36" s="740">
        <v>40.81</v>
      </c>
      <c r="AE36" s="740">
        <v>40.89</v>
      </c>
      <c r="AF36" s="740">
        <v>41.1</v>
      </c>
      <c r="AG36" s="740">
        <v>41.36</v>
      </c>
      <c r="AH36" s="740">
        <v>41.66</v>
      </c>
      <c r="AI36" s="740">
        <v>41.94</v>
      </c>
      <c r="AJ36" s="740">
        <v>42.25</v>
      </c>
      <c r="AK36" s="740">
        <v>42.55</v>
      </c>
      <c r="AL36" s="740">
        <v>42.92</v>
      </c>
      <c r="AM36" s="740">
        <v>43.28</v>
      </c>
      <c r="AN36" s="740">
        <v>43.51</v>
      </c>
      <c r="AO36" s="740">
        <v>43.68</v>
      </c>
      <c r="AP36" s="740">
        <v>43.88</v>
      </c>
      <c r="AQ36" s="740">
        <v>44.08</v>
      </c>
      <c r="AR36" s="740">
        <v>44.35</v>
      </c>
      <c r="AS36" s="740">
        <v>44.4</v>
      </c>
      <c r="AT36" s="740">
        <v>44.52</v>
      </c>
      <c r="AU36" s="740">
        <v>44.64</v>
      </c>
      <c r="AV36" s="740">
        <v>44.75</v>
      </c>
      <c r="AW36" s="740">
        <v>45.03</v>
      </c>
      <c r="AX36" s="740">
        <v>45.2</v>
      </c>
      <c r="AY36" s="740">
        <v>45.28</v>
      </c>
      <c r="AZ36" s="740">
        <v>45.36</v>
      </c>
      <c r="BA36" s="740">
        <v>45.44</v>
      </c>
      <c r="BB36" s="740">
        <v>45.57</v>
      </c>
      <c r="BC36" s="740">
        <v>45.69</v>
      </c>
      <c r="BD36" s="740">
        <v>45.87</v>
      </c>
      <c r="BE36" s="740">
        <v>46.07</v>
      </c>
      <c r="BF36" s="740">
        <v>46.29</v>
      </c>
      <c r="BG36" s="740">
        <v>46.45</v>
      </c>
      <c r="BH36" s="740">
        <v>46.72</v>
      </c>
      <c r="BI36" s="740">
        <v>46.92</v>
      </c>
      <c r="BJ36" s="740">
        <v>47.19</v>
      </c>
      <c r="BK36" s="740">
        <v>47.38</v>
      </c>
      <c r="BL36" s="740">
        <v>47.65</v>
      </c>
      <c r="BM36" s="740">
        <v>47.89</v>
      </c>
      <c r="BN36" s="740">
        <v>48.12</v>
      </c>
      <c r="BO36" s="740">
        <v>48.31</v>
      </c>
      <c r="BP36" s="740">
        <v>48.53</v>
      </c>
      <c r="BQ36" s="740">
        <v>48.72</v>
      </c>
      <c r="BR36" s="740">
        <v>48.92</v>
      </c>
      <c r="BS36" s="740">
        <v>49.1</v>
      </c>
      <c r="BT36" s="852">
        <v>49.28</v>
      </c>
      <c r="BU36" s="740">
        <v>49.42</v>
      </c>
      <c r="BV36" s="740">
        <v>49.63</v>
      </c>
      <c r="BW36" s="740">
        <v>49.79</v>
      </c>
      <c r="BX36" s="740">
        <v>49.97</v>
      </c>
      <c r="BY36" s="740">
        <v>50.13</v>
      </c>
      <c r="BZ36" s="740">
        <v>50.29</v>
      </c>
      <c r="CA36" s="740">
        <v>50.46</v>
      </c>
      <c r="CB36" s="740">
        <v>50.61</v>
      </c>
      <c r="CC36" s="740">
        <v>50.77</v>
      </c>
      <c r="CD36" s="740">
        <v>50.94</v>
      </c>
      <c r="CE36" s="740">
        <v>51.11</v>
      </c>
      <c r="CF36" s="740">
        <v>51.28</v>
      </c>
      <c r="CG36" s="740">
        <v>51.45</v>
      </c>
      <c r="CH36" s="740">
        <v>51.61</v>
      </c>
      <c r="CI36" s="740">
        <v>51.77</v>
      </c>
      <c r="CJ36" s="740">
        <v>51.94</v>
      </c>
      <c r="CK36" s="740">
        <v>52.1</v>
      </c>
      <c r="CL36" s="740">
        <v>52.26</v>
      </c>
      <c r="CM36" s="740">
        <v>52.42</v>
      </c>
      <c r="CN36" s="740">
        <v>52.57</v>
      </c>
      <c r="CO36" s="740">
        <v>52.73</v>
      </c>
      <c r="CP36" s="740">
        <v>52.89</v>
      </c>
      <c r="CQ36" s="740">
        <v>53.04</v>
      </c>
      <c r="CR36" s="740">
        <v>53.19</v>
      </c>
      <c r="CS36" s="740">
        <v>53.35</v>
      </c>
      <c r="CT36" s="740">
        <v>53.5</v>
      </c>
      <c r="CU36" s="740">
        <v>53.65</v>
      </c>
      <c r="CV36" s="740">
        <v>53.79</v>
      </c>
      <c r="CW36" s="740">
        <v>53.94</v>
      </c>
      <c r="CX36" s="740">
        <v>54.09</v>
      </c>
      <c r="CY36" s="740">
        <v>54.23</v>
      </c>
      <c r="CZ36" s="740">
        <v>54.38</v>
      </c>
      <c r="DA36" s="740">
        <v>54.52</v>
      </c>
      <c r="DB36" s="740">
        <v>54.66</v>
      </c>
      <c r="DC36" s="740">
        <v>54.8</v>
      </c>
      <c r="DD36" s="740">
        <v>54.94</v>
      </c>
      <c r="DE36" s="740">
        <v>55.08</v>
      </c>
      <c r="DF36" s="740">
        <v>55.22</v>
      </c>
      <c r="DG36" s="740">
        <v>55.35</v>
      </c>
      <c r="DH36" s="740">
        <v>55.49</v>
      </c>
      <c r="DI36" s="740">
        <v>55.62</v>
      </c>
      <c r="DJ36" s="740">
        <v>55.76</v>
      </c>
      <c r="DK36" s="740">
        <v>55.89</v>
      </c>
      <c r="DL36" s="740">
        <v>56.02</v>
      </c>
      <c r="DM36" s="740">
        <v>56.15</v>
      </c>
      <c r="DN36" s="740">
        <v>56.28</v>
      </c>
      <c r="DO36" s="740">
        <v>56.4</v>
      </c>
      <c r="DP36" s="740">
        <v>56.53</v>
      </c>
      <c r="DQ36" s="740">
        <v>56.66</v>
      </c>
      <c r="DR36" s="740">
        <v>56.78</v>
      </c>
    </row>
    <row r="37" spans="1:122">
      <c r="A37" s="906">
        <v>35</v>
      </c>
      <c r="B37" s="92"/>
      <c r="C37" s="92"/>
      <c r="D37" s="92"/>
      <c r="E37" s="92"/>
      <c r="F37" s="92"/>
      <c r="G37" s="92"/>
      <c r="H37" s="92"/>
      <c r="I37" s="92"/>
      <c r="J37" s="92"/>
      <c r="K37" s="92"/>
      <c r="L37" s="92"/>
      <c r="M37" s="92"/>
      <c r="N37" s="92"/>
      <c r="O37" s="92"/>
      <c r="P37" s="92"/>
      <c r="Q37" s="92"/>
      <c r="R37" s="92"/>
      <c r="S37" s="92"/>
      <c r="T37" s="92"/>
      <c r="U37" s="92"/>
      <c r="V37" s="740"/>
      <c r="W37" s="740">
        <v>39.049999999999997</v>
      </c>
      <c r="X37" s="740">
        <v>39.299999999999997</v>
      </c>
      <c r="Y37" s="740">
        <v>39.36</v>
      </c>
      <c r="Z37" s="740">
        <v>39.590000000000003</v>
      </c>
      <c r="AA37" s="740">
        <v>39.79</v>
      </c>
      <c r="AB37" s="740">
        <v>39.96</v>
      </c>
      <c r="AC37" s="740">
        <v>39.96</v>
      </c>
      <c r="AD37" s="740">
        <v>39.89</v>
      </c>
      <c r="AE37" s="740">
        <v>39.97</v>
      </c>
      <c r="AF37" s="740">
        <v>40.18</v>
      </c>
      <c r="AG37" s="740">
        <v>40.44</v>
      </c>
      <c r="AH37" s="740">
        <v>40.75</v>
      </c>
      <c r="AI37" s="740">
        <v>41.02</v>
      </c>
      <c r="AJ37" s="740">
        <v>41.32</v>
      </c>
      <c r="AK37" s="740">
        <v>41.64</v>
      </c>
      <c r="AL37" s="740">
        <v>42</v>
      </c>
      <c r="AM37" s="740">
        <v>42.36</v>
      </c>
      <c r="AN37" s="740">
        <v>42.59</v>
      </c>
      <c r="AO37" s="740">
        <v>42.76</v>
      </c>
      <c r="AP37" s="740">
        <v>42.97</v>
      </c>
      <c r="AQ37" s="740">
        <v>43.16</v>
      </c>
      <c r="AR37" s="740">
        <v>43.43</v>
      </c>
      <c r="AS37" s="740">
        <v>43.48</v>
      </c>
      <c r="AT37" s="740">
        <v>43.6</v>
      </c>
      <c r="AU37" s="740">
        <v>43.71</v>
      </c>
      <c r="AV37" s="740">
        <v>43.83</v>
      </c>
      <c r="AW37" s="740">
        <v>44.1</v>
      </c>
      <c r="AX37" s="740">
        <v>44.26</v>
      </c>
      <c r="AY37" s="740">
        <v>44.35</v>
      </c>
      <c r="AZ37" s="740">
        <v>44.42</v>
      </c>
      <c r="BA37" s="740">
        <v>44.51</v>
      </c>
      <c r="BB37" s="740">
        <v>44.63</v>
      </c>
      <c r="BC37" s="740">
        <v>44.76</v>
      </c>
      <c r="BD37" s="740">
        <v>44.94</v>
      </c>
      <c r="BE37" s="740">
        <v>45.14</v>
      </c>
      <c r="BF37" s="740">
        <v>45.37</v>
      </c>
      <c r="BG37" s="740">
        <v>45.52</v>
      </c>
      <c r="BH37" s="740">
        <v>45.8</v>
      </c>
      <c r="BI37" s="740">
        <v>46</v>
      </c>
      <c r="BJ37" s="740">
        <v>46.26</v>
      </c>
      <c r="BK37" s="740">
        <v>46.45</v>
      </c>
      <c r="BL37" s="740">
        <v>46.71</v>
      </c>
      <c r="BM37" s="740">
        <v>46.95</v>
      </c>
      <c r="BN37" s="740">
        <v>47.17</v>
      </c>
      <c r="BO37" s="740">
        <v>47.37</v>
      </c>
      <c r="BP37" s="740">
        <v>47.57</v>
      </c>
      <c r="BQ37" s="740">
        <v>47.77</v>
      </c>
      <c r="BR37" s="740">
        <v>47.96</v>
      </c>
      <c r="BS37" s="740">
        <v>48.14</v>
      </c>
      <c r="BT37" s="852">
        <v>48.32</v>
      </c>
      <c r="BU37" s="740">
        <v>48.46</v>
      </c>
      <c r="BV37" s="740">
        <v>48.67</v>
      </c>
      <c r="BW37" s="740">
        <v>48.83</v>
      </c>
      <c r="BX37" s="740">
        <v>49</v>
      </c>
      <c r="BY37" s="740">
        <v>49.17</v>
      </c>
      <c r="BZ37" s="740">
        <v>49.33</v>
      </c>
      <c r="CA37" s="740">
        <v>49.49</v>
      </c>
      <c r="CB37" s="740">
        <v>49.65</v>
      </c>
      <c r="CC37" s="740">
        <v>49.81</v>
      </c>
      <c r="CD37" s="740">
        <v>49.98</v>
      </c>
      <c r="CE37" s="740">
        <v>50.16</v>
      </c>
      <c r="CF37" s="740">
        <v>50.32</v>
      </c>
      <c r="CG37" s="740">
        <v>50.49</v>
      </c>
      <c r="CH37" s="740">
        <v>50.65</v>
      </c>
      <c r="CI37" s="740">
        <v>50.81</v>
      </c>
      <c r="CJ37" s="740">
        <v>50.97</v>
      </c>
      <c r="CK37" s="740">
        <v>51.13</v>
      </c>
      <c r="CL37" s="740">
        <v>51.29</v>
      </c>
      <c r="CM37" s="740">
        <v>51.45</v>
      </c>
      <c r="CN37" s="740">
        <v>51.61</v>
      </c>
      <c r="CO37" s="740">
        <v>51.76</v>
      </c>
      <c r="CP37" s="740">
        <v>51.92</v>
      </c>
      <c r="CQ37" s="740">
        <v>52.07</v>
      </c>
      <c r="CR37" s="740">
        <v>52.22</v>
      </c>
      <c r="CS37" s="740">
        <v>52.37</v>
      </c>
      <c r="CT37" s="740">
        <v>52.52</v>
      </c>
      <c r="CU37" s="740">
        <v>52.67</v>
      </c>
      <c r="CV37" s="740">
        <v>52.82</v>
      </c>
      <c r="CW37" s="740">
        <v>52.97</v>
      </c>
      <c r="CX37" s="740">
        <v>53.11</v>
      </c>
      <c r="CY37" s="740">
        <v>53.26</v>
      </c>
      <c r="CZ37" s="740">
        <v>53.4</v>
      </c>
      <c r="DA37" s="740">
        <v>53.54</v>
      </c>
      <c r="DB37" s="740">
        <v>53.69</v>
      </c>
      <c r="DC37" s="740">
        <v>53.83</v>
      </c>
      <c r="DD37" s="740">
        <v>53.97</v>
      </c>
      <c r="DE37" s="740">
        <v>54.1</v>
      </c>
      <c r="DF37" s="740">
        <v>54.24</v>
      </c>
      <c r="DG37" s="740">
        <v>54.38</v>
      </c>
      <c r="DH37" s="740">
        <v>54.51</v>
      </c>
      <c r="DI37" s="740">
        <v>54.64</v>
      </c>
      <c r="DJ37" s="740">
        <v>54.78</v>
      </c>
      <c r="DK37" s="740">
        <v>54.91</v>
      </c>
      <c r="DL37" s="740">
        <v>55.04</v>
      </c>
      <c r="DM37" s="740">
        <v>55.17</v>
      </c>
      <c r="DN37" s="740">
        <v>55.3</v>
      </c>
      <c r="DO37" s="740">
        <v>55.42</v>
      </c>
      <c r="DP37" s="740">
        <v>55.55</v>
      </c>
      <c r="DQ37" s="740">
        <v>55.67</v>
      </c>
      <c r="DR37" s="740">
        <v>55.8</v>
      </c>
    </row>
    <row r="38" spans="1:122">
      <c r="A38" s="906">
        <v>36</v>
      </c>
      <c r="B38" s="92"/>
      <c r="C38" s="92"/>
      <c r="D38" s="92"/>
      <c r="E38" s="92"/>
      <c r="F38" s="92"/>
      <c r="G38" s="92"/>
      <c r="H38" s="92"/>
      <c r="I38" s="92"/>
      <c r="J38" s="92"/>
      <c r="K38" s="92"/>
      <c r="L38" s="92"/>
      <c r="M38" s="92"/>
      <c r="N38" s="92"/>
      <c r="O38" s="92"/>
      <c r="P38" s="92"/>
      <c r="Q38" s="92"/>
      <c r="R38" s="92"/>
      <c r="S38" s="92"/>
      <c r="T38" s="92"/>
      <c r="U38" s="92"/>
      <c r="V38" s="740"/>
      <c r="W38" s="740">
        <v>38.14</v>
      </c>
      <c r="X38" s="740">
        <v>38.380000000000003</v>
      </c>
      <c r="Y38" s="740">
        <v>38.450000000000003</v>
      </c>
      <c r="Z38" s="740">
        <v>38.68</v>
      </c>
      <c r="AA38" s="740">
        <v>38.869999999999997</v>
      </c>
      <c r="AB38" s="740">
        <v>39.03</v>
      </c>
      <c r="AC38" s="740">
        <v>39.04</v>
      </c>
      <c r="AD38" s="740">
        <v>38.979999999999997</v>
      </c>
      <c r="AE38" s="740">
        <v>39.049999999999997</v>
      </c>
      <c r="AF38" s="740">
        <v>39.26</v>
      </c>
      <c r="AG38" s="740">
        <v>39.520000000000003</v>
      </c>
      <c r="AH38" s="740">
        <v>39.83</v>
      </c>
      <c r="AI38" s="740">
        <v>40.11</v>
      </c>
      <c r="AJ38" s="740">
        <v>40.409999999999997</v>
      </c>
      <c r="AK38" s="740">
        <v>40.72</v>
      </c>
      <c r="AL38" s="740">
        <v>41.08</v>
      </c>
      <c r="AM38" s="740">
        <v>41.45</v>
      </c>
      <c r="AN38" s="740">
        <v>41.67</v>
      </c>
      <c r="AO38" s="740">
        <v>41.84</v>
      </c>
      <c r="AP38" s="740">
        <v>42.05</v>
      </c>
      <c r="AQ38" s="740">
        <v>42.24</v>
      </c>
      <c r="AR38" s="740">
        <v>42.51</v>
      </c>
      <c r="AS38" s="740">
        <v>42.56</v>
      </c>
      <c r="AT38" s="740">
        <v>42.67</v>
      </c>
      <c r="AU38" s="740">
        <v>42.79</v>
      </c>
      <c r="AV38" s="740">
        <v>42.9</v>
      </c>
      <c r="AW38" s="740">
        <v>43.17</v>
      </c>
      <c r="AX38" s="740">
        <v>43.33</v>
      </c>
      <c r="AY38" s="740">
        <v>43.42</v>
      </c>
      <c r="AZ38" s="740">
        <v>43.49</v>
      </c>
      <c r="BA38" s="740">
        <v>43.58</v>
      </c>
      <c r="BB38" s="740">
        <v>43.71</v>
      </c>
      <c r="BC38" s="740">
        <v>43.83</v>
      </c>
      <c r="BD38" s="740">
        <v>44.01</v>
      </c>
      <c r="BE38" s="740">
        <v>44.22</v>
      </c>
      <c r="BF38" s="740">
        <v>44.45</v>
      </c>
      <c r="BG38" s="740">
        <v>44.6</v>
      </c>
      <c r="BH38" s="740">
        <v>44.88</v>
      </c>
      <c r="BI38" s="740">
        <v>45.07</v>
      </c>
      <c r="BJ38" s="740">
        <v>45.33</v>
      </c>
      <c r="BK38" s="740">
        <v>45.52</v>
      </c>
      <c r="BL38" s="740">
        <v>45.77</v>
      </c>
      <c r="BM38" s="740">
        <v>46</v>
      </c>
      <c r="BN38" s="740">
        <v>46.23</v>
      </c>
      <c r="BO38" s="740">
        <v>46.42</v>
      </c>
      <c r="BP38" s="740">
        <v>46.62</v>
      </c>
      <c r="BQ38" s="740">
        <v>46.82</v>
      </c>
      <c r="BR38" s="740">
        <v>47.01</v>
      </c>
      <c r="BS38" s="740">
        <v>47.19</v>
      </c>
      <c r="BT38" s="852">
        <v>47.36</v>
      </c>
      <c r="BU38" s="740">
        <v>47.51</v>
      </c>
      <c r="BV38" s="740">
        <v>47.71</v>
      </c>
      <c r="BW38" s="740">
        <v>47.87</v>
      </c>
      <c r="BX38" s="740">
        <v>48.05</v>
      </c>
      <c r="BY38" s="740">
        <v>48.21</v>
      </c>
      <c r="BZ38" s="740">
        <v>48.37</v>
      </c>
      <c r="CA38" s="740">
        <v>48.54</v>
      </c>
      <c r="CB38" s="740">
        <v>48.69</v>
      </c>
      <c r="CC38" s="740">
        <v>48.86</v>
      </c>
      <c r="CD38" s="740">
        <v>49.03</v>
      </c>
      <c r="CE38" s="740">
        <v>49.2</v>
      </c>
      <c r="CF38" s="740">
        <v>49.36</v>
      </c>
      <c r="CG38" s="740">
        <v>49.52</v>
      </c>
      <c r="CH38" s="740">
        <v>49.69</v>
      </c>
      <c r="CI38" s="740">
        <v>49.85</v>
      </c>
      <c r="CJ38" s="740">
        <v>50.01</v>
      </c>
      <c r="CK38" s="740">
        <v>50.17</v>
      </c>
      <c r="CL38" s="740">
        <v>50.33</v>
      </c>
      <c r="CM38" s="740">
        <v>50.48</v>
      </c>
      <c r="CN38" s="740">
        <v>50.64</v>
      </c>
      <c r="CO38" s="740">
        <v>50.8</v>
      </c>
      <c r="CP38" s="740">
        <v>50.95</v>
      </c>
      <c r="CQ38" s="740">
        <v>51.1</v>
      </c>
      <c r="CR38" s="740">
        <v>51.25</v>
      </c>
      <c r="CS38" s="740">
        <v>51.41</v>
      </c>
      <c r="CT38" s="740">
        <v>51.55</v>
      </c>
      <c r="CU38" s="740">
        <v>51.7</v>
      </c>
      <c r="CV38" s="740">
        <v>51.85</v>
      </c>
      <c r="CW38" s="740">
        <v>52</v>
      </c>
      <c r="CX38" s="740">
        <v>52.14</v>
      </c>
      <c r="CY38" s="740">
        <v>52.29</v>
      </c>
      <c r="CZ38" s="740">
        <v>52.43</v>
      </c>
      <c r="DA38" s="740">
        <v>52.57</v>
      </c>
      <c r="DB38" s="740">
        <v>52.71</v>
      </c>
      <c r="DC38" s="740">
        <v>52.85</v>
      </c>
      <c r="DD38" s="740">
        <v>52.99</v>
      </c>
      <c r="DE38" s="740">
        <v>53.13</v>
      </c>
      <c r="DF38" s="740">
        <v>53.26</v>
      </c>
      <c r="DG38" s="740">
        <v>53.4</v>
      </c>
      <c r="DH38" s="740">
        <v>53.53</v>
      </c>
      <c r="DI38" s="740">
        <v>53.67</v>
      </c>
      <c r="DJ38" s="740">
        <v>53.8</v>
      </c>
      <c r="DK38" s="740">
        <v>53.93</v>
      </c>
      <c r="DL38" s="740">
        <v>54.06</v>
      </c>
      <c r="DM38" s="740">
        <v>54.19</v>
      </c>
      <c r="DN38" s="740">
        <v>54.31</v>
      </c>
      <c r="DO38" s="740">
        <v>54.44</v>
      </c>
      <c r="DP38" s="740">
        <v>54.57</v>
      </c>
      <c r="DQ38" s="740">
        <v>54.69</v>
      </c>
      <c r="DR38" s="740">
        <v>54.81</v>
      </c>
    </row>
    <row r="39" spans="1:122">
      <c r="A39" s="906">
        <v>37</v>
      </c>
      <c r="B39" s="92"/>
      <c r="C39" s="92"/>
      <c r="D39" s="92"/>
      <c r="E39" s="92"/>
      <c r="F39" s="92"/>
      <c r="G39" s="92"/>
      <c r="H39" s="92"/>
      <c r="I39" s="92"/>
      <c r="J39" s="92"/>
      <c r="K39" s="92"/>
      <c r="L39" s="92"/>
      <c r="M39" s="92"/>
      <c r="N39" s="92"/>
      <c r="O39" s="92"/>
      <c r="P39" s="92"/>
      <c r="Q39" s="92"/>
      <c r="R39" s="92"/>
      <c r="S39" s="92"/>
      <c r="T39" s="92"/>
      <c r="U39" s="92"/>
      <c r="V39" s="740"/>
      <c r="W39" s="740">
        <v>37.229999999999997</v>
      </c>
      <c r="X39" s="740">
        <v>37.46</v>
      </c>
      <c r="Y39" s="740">
        <v>37.53</v>
      </c>
      <c r="Z39" s="740">
        <v>37.76</v>
      </c>
      <c r="AA39" s="740">
        <v>37.96</v>
      </c>
      <c r="AB39" s="740">
        <v>38.119999999999997</v>
      </c>
      <c r="AC39" s="740">
        <v>38.119999999999997</v>
      </c>
      <c r="AD39" s="740">
        <v>38.06</v>
      </c>
      <c r="AE39" s="740">
        <v>38.130000000000003</v>
      </c>
      <c r="AF39" s="740">
        <v>38.35</v>
      </c>
      <c r="AG39" s="740">
        <v>38.61</v>
      </c>
      <c r="AH39" s="740">
        <v>38.909999999999997</v>
      </c>
      <c r="AI39" s="740">
        <v>39.19</v>
      </c>
      <c r="AJ39" s="740">
        <v>39.49</v>
      </c>
      <c r="AK39" s="740">
        <v>39.81</v>
      </c>
      <c r="AL39" s="740">
        <v>40.18</v>
      </c>
      <c r="AM39" s="740">
        <v>40.53</v>
      </c>
      <c r="AN39" s="740">
        <v>40.76</v>
      </c>
      <c r="AO39" s="740">
        <v>40.93</v>
      </c>
      <c r="AP39" s="740">
        <v>41.14</v>
      </c>
      <c r="AQ39" s="740">
        <v>41.33</v>
      </c>
      <c r="AR39" s="740">
        <v>41.6</v>
      </c>
      <c r="AS39" s="740">
        <v>41.65</v>
      </c>
      <c r="AT39" s="740">
        <v>41.75</v>
      </c>
      <c r="AU39" s="740">
        <v>41.87</v>
      </c>
      <c r="AV39" s="740">
        <v>41.98</v>
      </c>
      <c r="AW39" s="740">
        <v>42.24</v>
      </c>
      <c r="AX39" s="740">
        <v>42.4</v>
      </c>
      <c r="AY39" s="740">
        <v>42.49</v>
      </c>
      <c r="AZ39" s="740">
        <v>42.56</v>
      </c>
      <c r="BA39" s="740">
        <v>42.65</v>
      </c>
      <c r="BB39" s="740">
        <v>42.78</v>
      </c>
      <c r="BC39" s="740">
        <v>42.91</v>
      </c>
      <c r="BD39" s="740">
        <v>43.09</v>
      </c>
      <c r="BE39" s="740">
        <v>43.31</v>
      </c>
      <c r="BF39" s="740">
        <v>43.53</v>
      </c>
      <c r="BG39" s="740">
        <v>43.69</v>
      </c>
      <c r="BH39" s="740">
        <v>43.96</v>
      </c>
      <c r="BI39" s="740">
        <v>44.15</v>
      </c>
      <c r="BJ39" s="740">
        <v>44.4</v>
      </c>
      <c r="BK39" s="740">
        <v>44.58</v>
      </c>
      <c r="BL39" s="740">
        <v>44.83</v>
      </c>
      <c r="BM39" s="740">
        <v>45.07</v>
      </c>
      <c r="BN39" s="740">
        <v>45.28</v>
      </c>
      <c r="BO39" s="740">
        <v>45.48</v>
      </c>
      <c r="BP39" s="740">
        <v>45.68</v>
      </c>
      <c r="BQ39" s="740">
        <v>45.87</v>
      </c>
      <c r="BR39" s="740">
        <v>46.06</v>
      </c>
      <c r="BS39" s="740">
        <v>46.23</v>
      </c>
      <c r="BT39" s="852">
        <v>46.41</v>
      </c>
      <c r="BU39" s="740">
        <v>46.55</v>
      </c>
      <c r="BV39" s="740">
        <v>46.75</v>
      </c>
      <c r="BW39" s="740">
        <v>46.92</v>
      </c>
      <c r="BX39" s="740">
        <v>47.09</v>
      </c>
      <c r="BY39" s="740">
        <v>47.25</v>
      </c>
      <c r="BZ39" s="740">
        <v>47.41</v>
      </c>
      <c r="CA39" s="740">
        <v>47.58</v>
      </c>
      <c r="CB39" s="740">
        <v>47.73</v>
      </c>
      <c r="CC39" s="740">
        <v>47.9</v>
      </c>
      <c r="CD39" s="740">
        <v>48.07</v>
      </c>
      <c r="CE39" s="740">
        <v>48.24</v>
      </c>
      <c r="CF39" s="740">
        <v>48.4</v>
      </c>
      <c r="CG39" s="740">
        <v>48.56</v>
      </c>
      <c r="CH39" s="740">
        <v>48.73</v>
      </c>
      <c r="CI39" s="740">
        <v>48.89</v>
      </c>
      <c r="CJ39" s="740">
        <v>49.05</v>
      </c>
      <c r="CK39" s="740">
        <v>49.21</v>
      </c>
      <c r="CL39" s="740">
        <v>49.36</v>
      </c>
      <c r="CM39" s="740">
        <v>49.52</v>
      </c>
      <c r="CN39" s="740">
        <v>49.68</v>
      </c>
      <c r="CO39" s="740">
        <v>49.83</v>
      </c>
      <c r="CP39" s="740">
        <v>49.98</v>
      </c>
      <c r="CQ39" s="740">
        <v>50.14</v>
      </c>
      <c r="CR39" s="740">
        <v>50.29</v>
      </c>
      <c r="CS39" s="740">
        <v>50.44</v>
      </c>
      <c r="CT39" s="740">
        <v>50.59</v>
      </c>
      <c r="CU39" s="740">
        <v>50.73</v>
      </c>
      <c r="CV39" s="740">
        <v>50.88</v>
      </c>
      <c r="CW39" s="740">
        <v>51.03</v>
      </c>
      <c r="CX39" s="740">
        <v>51.17</v>
      </c>
      <c r="CY39" s="740">
        <v>51.31</v>
      </c>
      <c r="CZ39" s="740">
        <v>51.46</v>
      </c>
      <c r="DA39" s="740">
        <v>51.6</v>
      </c>
      <c r="DB39" s="740">
        <v>51.74</v>
      </c>
      <c r="DC39" s="740">
        <v>51.88</v>
      </c>
      <c r="DD39" s="740">
        <v>52.01</v>
      </c>
      <c r="DE39" s="740">
        <v>52.15</v>
      </c>
      <c r="DF39" s="740">
        <v>52.29</v>
      </c>
      <c r="DG39" s="740">
        <v>52.42</v>
      </c>
      <c r="DH39" s="740">
        <v>52.56</v>
      </c>
      <c r="DI39" s="740">
        <v>52.69</v>
      </c>
      <c r="DJ39" s="740">
        <v>52.82</v>
      </c>
      <c r="DK39" s="740">
        <v>52.95</v>
      </c>
      <c r="DL39" s="740">
        <v>53.08</v>
      </c>
      <c r="DM39" s="740">
        <v>53.21</v>
      </c>
      <c r="DN39" s="740">
        <v>53.34</v>
      </c>
      <c r="DO39" s="740">
        <v>53.46</v>
      </c>
      <c r="DP39" s="740">
        <v>53.59</v>
      </c>
      <c r="DQ39" s="740">
        <v>53.71</v>
      </c>
      <c r="DR39" s="740">
        <v>53.83</v>
      </c>
    </row>
    <row r="40" spans="1:122">
      <c r="A40" s="906">
        <v>38</v>
      </c>
      <c r="B40" s="92"/>
      <c r="C40" s="92"/>
      <c r="D40" s="92"/>
      <c r="E40" s="92"/>
      <c r="F40" s="92"/>
      <c r="G40" s="92"/>
      <c r="H40" s="92"/>
      <c r="I40" s="92"/>
      <c r="J40" s="92"/>
      <c r="K40" s="92"/>
      <c r="L40" s="92"/>
      <c r="M40" s="92"/>
      <c r="N40" s="92"/>
      <c r="O40" s="92"/>
      <c r="P40" s="92"/>
      <c r="Q40" s="92"/>
      <c r="R40" s="92"/>
      <c r="S40" s="92"/>
      <c r="T40" s="92"/>
      <c r="U40" s="92"/>
      <c r="V40" s="740"/>
      <c r="W40" s="740">
        <v>36.32</v>
      </c>
      <c r="X40" s="740">
        <v>36.549999999999997</v>
      </c>
      <c r="Y40" s="740">
        <v>36.619999999999997</v>
      </c>
      <c r="Z40" s="740">
        <v>36.840000000000003</v>
      </c>
      <c r="AA40" s="740">
        <v>37.049999999999997</v>
      </c>
      <c r="AB40" s="740">
        <v>37.21</v>
      </c>
      <c r="AC40" s="740">
        <v>37.21</v>
      </c>
      <c r="AD40" s="740">
        <v>37.15</v>
      </c>
      <c r="AE40" s="740">
        <v>37.22</v>
      </c>
      <c r="AF40" s="740">
        <v>37.44</v>
      </c>
      <c r="AG40" s="740">
        <v>37.700000000000003</v>
      </c>
      <c r="AH40" s="740">
        <v>38.01</v>
      </c>
      <c r="AI40" s="740">
        <v>38.29</v>
      </c>
      <c r="AJ40" s="740">
        <v>38.590000000000003</v>
      </c>
      <c r="AK40" s="740">
        <v>38.9</v>
      </c>
      <c r="AL40" s="740">
        <v>39.270000000000003</v>
      </c>
      <c r="AM40" s="740">
        <v>39.619999999999997</v>
      </c>
      <c r="AN40" s="740">
        <v>39.85</v>
      </c>
      <c r="AO40" s="740">
        <v>40.03</v>
      </c>
      <c r="AP40" s="740">
        <v>40.229999999999997</v>
      </c>
      <c r="AQ40" s="740">
        <v>40.42</v>
      </c>
      <c r="AR40" s="740">
        <v>40.69</v>
      </c>
      <c r="AS40" s="740">
        <v>40.729999999999997</v>
      </c>
      <c r="AT40" s="740">
        <v>40.840000000000003</v>
      </c>
      <c r="AU40" s="740">
        <v>40.950000000000003</v>
      </c>
      <c r="AV40" s="740">
        <v>41.06</v>
      </c>
      <c r="AW40" s="740">
        <v>41.32</v>
      </c>
      <c r="AX40" s="740">
        <v>41.47</v>
      </c>
      <c r="AY40" s="740">
        <v>41.57</v>
      </c>
      <c r="AZ40" s="740">
        <v>41.64</v>
      </c>
      <c r="BA40" s="740">
        <v>41.73</v>
      </c>
      <c r="BB40" s="740">
        <v>41.87</v>
      </c>
      <c r="BC40" s="740">
        <v>42</v>
      </c>
      <c r="BD40" s="740">
        <v>42.18</v>
      </c>
      <c r="BE40" s="740">
        <v>42.39</v>
      </c>
      <c r="BF40" s="740">
        <v>42.61</v>
      </c>
      <c r="BG40" s="740">
        <v>42.78</v>
      </c>
      <c r="BH40" s="740">
        <v>43.04</v>
      </c>
      <c r="BI40" s="740">
        <v>43.23</v>
      </c>
      <c r="BJ40" s="740">
        <v>43.46</v>
      </c>
      <c r="BK40" s="740">
        <v>43.65</v>
      </c>
      <c r="BL40" s="740">
        <v>43.9</v>
      </c>
      <c r="BM40" s="740">
        <v>44.13</v>
      </c>
      <c r="BN40" s="740">
        <v>44.34</v>
      </c>
      <c r="BO40" s="740">
        <v>44.53</v>
      </c>
      <c r="BP40" s="740">
        <v>44.73</v>
      </c>
      <c r="BQ40" s="740">
        <v>44.92</v>
      </c>
      <c r="BR40" s="740">
        <v>45.11</v>
      </c>
      <c r="BS40" s="740">
        <v>45.28</v>
      </c>
      <c r="BT40" s="852">
        <v>45.45</v>
      </c>
      <c r="BU40" s="740">
        <v>45.6</v>
      </c>
      <c r="BV40" s="740">
        <v>45.79</v>
      </c>
      <c r="BW40" s="740">
        <v>45.96</v>
      </c>
      <c r="BX40" s="740">
        <v>46.13</v>
      </c>
      <c r="BY40" s="740">
        <v>46.29</v>
      </c>
      <c r="BZ40" s="740">
        <v>46.45</v>
      </c>
      <c r="CA40" s="740">
        <v>46.62</v>
      </c>
      <c r="CB40" s="740">
        <v>46.78</v>
      </c>
      <c r="CC40" s="740">
        <v>46.95</v>
      </c>
      <c r="CD40" s="740">
        <v>47.12</v>
      </c>
      <c r="CE40" s="740">
        <v>47.28</v>
      </c>
      <c r="CF40" s="740">
        <v>47.44</v>
      </c>
      <c r="CG40" s="740">
        <v>47.61</v>
      </c>
      <c r="CH40" s="740">
        <v>47.77</v>
      </c>
      <c r="CI40" s="740">
        <v>47.93</v>
      </c>
      <c r="CJ40" s="740">
        <v>48.09</v>
      </c>
      <c r="CK40" s="740">
        <v>48.25</v>
      </c>
      <c r="CL40" s="740">
        <v>48.4</v>
      </c>
      <c r="CM40" s="740">
        <v>48.56</v>
      </c>
      <c r="CN40" s="740">
        <v>48.71</v>
      </c>
      <c r="CO40" s="740">
        <v>48.87</v>
      </c>
      <c r="CP40" s="740">
        <v>49.02</v>
      </c>
      <c r="CQ40" s="740">
        <v>49.17</v>
      </c>
      <c r="CR40" s="740">
        <v>49.32</v>
      </c>
      <c r="CS40" s="740">
        <v>49.47</v>
      </c>
      <c r="CT40" s="740">
        <v>49.62</v>
      </c>
      <c r="CU40" s="740">
        <v>49.77</v>
      </c>
      <c r="CV40" s="740">
        <v>49.91</v>
      </c>
      <c r="CW40" s="740">
        <v>50.06</v>
      </c>
      <c r="CX40" s="740">
        <v>50.2</v>
      </c>
      <c r="CY40" s="740">
        <v>50.34</v>
      </c>
      <c r="CZ40" s="740">
        <v>50.49</v>
      </c>
      <c r="DA40" s="740">
        <v>50.63</v>
      </c>
      <c r="DB40" s="740">
        <v>50.77</v>
      </c>
      <c r="DC40" s="740">
        <v>50.9</v>
      </c>
      <c r="DD40" s="740">
        <v>51.04</v>
      </c>
      <c r="DE40" s="740">
        <v>51.18</v>
      </c>
      <c r="DF40" s="740">
        <v>51.31</v>
      </c>
      <c r="DG40" s="740">
        <v>51.45</v>
      </c>
      <c r="DH40" s="740">
        <v>51.58</v>
      </c>
      <c r="DI40" s="740">
        <v>51.71</v>
      </c>
      <c r="DJ40" s="740">
        <v>51.84</v>
      </c>
      <c r="DK40" s="740">
        <v>51.97</v>
      </c>
      <c r="DL40" s="740">
        <v>52.1</v>
      </c>
      <c r="DM40" s="740">
        <v>52.23</v>
      </c>
      <c r="DN40" s="740">
        <v>52.36</v>
      </c>
      <c r="DO40" s="740">
        <v>52.48</v>
      </c>
      <c r="DP40" s="740">
        <v>52.61</v>
      </c>
      <c r="DQ40" s="740">
        <v>52.73</v>
      </c>
      <c r="DR40" s="740">
        <v>52.85</v>
      </c>
    </row>
    <row r="41" spans="1:122">
      <c r="A41" s="906">
        <v>39</v>
      </c>
      <c r="B41" s="92"/>
      <c r="C41" s="92"/>
      <c r="D41" s="92"/>
      <c r="E41" s="92"/>
      <c r="F41" s="92"/>
      <c r="G41" s="92"/>
      <c r="H41" s="92"/>
      <c r="I41" s="92"/>
      <c r="J41" s="92"/>
      <c r="K41" s="92"/>
      <c r="L41" s="92"/>
      <c r="M41" s="92"/>
      <c r="N41" s="92"/>
      <c r="O41" s="92"/>
      <c r="P41" s="92"/>
      <c r="Q41" s="92"/>
      <c r="R41" s="92"/>
      <c r="S41" s="92"/>
      <c r="T41" s="92"/>
      <c r="U41" s="92"/>
      <c r="V41" s="740"/>
      <c r="W41" s="740">
        <v>35.409999999999997</v>
      </c>
      <c r="X41" s="740">
        <v>35.64</v>
      </c>
      <c r="Y41" s="740">
        <v>35.71</v>
      </c>
      <c r="Z41" s="740">
        <v>35.93</v>
      </c>
      <c r="AA41" s="740">
        <v>36.14</v>
      </c>
      <c r="AB41" s="740">
        <v>36.299999999999997</v>
      </c>
      <c r="AC41" s="740">
        <v>36.299999999999997</v>
      </c>
      <c r="AD41" s="740">
        <v>36.25</v>
      </c>
      <c r="AE41" s="740">
        <v>36.32</v>
      </c>
      <c r="AF41" s="740">
        <v>36.53</v>
      </c>
      <c r="AG41" s="740">
        <v>36.799999999999997</v>
      </c>
      <c r="AH41" s="740">
        <v>37.11</v>
      </c>
      <c r="AI41" s="740">
        <v>37.39</v>
      </c>
      <c r="AJ41" s="740">
        <v>37.69</v>
      </c>
      <c r="AK41" s="740">
        <v>38</v>
      </c>
      <c r="AL41" s="740">
        <v>38.369999999999997</v>
      </c>
      <c r="AM41" s="740">
        <v>38.72</v>
      </c>
      <c r="AN41" s="740">
        <v>38.950000000000003</v>
      </c>
      <c r="AO41" s="740">
        <v>39.119999999999997</v>
      </c>
      <c r="AP41" s="740">
        <v>39.33</v>
      </c>
      <c r="AQ41" s="740">
        <v>39.520000000000003</v>
      </c>
      <c r="AR41" s="740">
        <v>39.78</v>
      </c>
      <c r="AS41" s="740">
        <v>39.83</v>
      </c>
      <c r="AT41" s="740">
        <v>39.93</v>
      </c>
      <c r="AU41" s="740">
        <v>40.04</v>
      </c>
      <c r="AV41" s="740">
        <v>40.15</v>
      </c>
      <c r="AW41" s="740">
        <v>40.4</v>
      </c>
      <c r="AX41" s="740">
        <v>40.549999999999997</v>
      </c>
      <c r="AY41" s="740">
        <v>40.65</v>
      </c>
      <c r="AZ41" s="740">
        <v>40.72</v>
      </c>
      <c r="BA41" s="740">
        <v>40.81</v>
      </c>
      <c r="BB41" s="740">
        <v>40.96</v>
      </c>
      <c r="BC41" s="740">
        <v>41.1</v>
      </c>
      <c r="BD41" s="740">
        <v>41.28</v>
      </c>
      <c r="BE41" s="740">
        <v>41.48</v>
      </c>
      <c r="BF41" s="740">
        <v>41.7</v>
      </c>
      <c r="BG41" s="740">
        <v>41.87</v>
      </c>
      <c r="BH41" s="740">
        <v>42.12</v>
      </c>
      <c r="BI41" s="740">
        <v>42.3</v>
      </c>
      <c r="BJ41" s="740">
        <v>42.53</v>
      </c>
      <c r="BK41" s="740">
        <v>42.72</v>
      </c>
      <c r="BL41" s="740">
        <v>42.97</v>
      </c>
      <c r="BM41" s="740">
        <v>43.19</v>
      </c>
      <c r="BN41" s="740">
        <v>43.4</v>
      </c>
      <c r="BO41" s="740">
        <v>43.59</v>
      </c>
      <c r="BP41" s="740">
        <v>43.79</v>
      </c>
      <c r="BQ41" s="740">
        <v>43.97</v>
      </c>
      <c r="BR41" s="740">
        <v>44.16</v>
      </c>
      <c r="BS41" s="740">
        <v>44.33</v>
      </c>
      <c r="BT41" s="852">
        <v>44.5</v>
      </c>
      <c r="BU41" s="740">
        <v>44.65</v>
      </c>
      <c r="BV41" s="740">
        <v>44.84</v>
      </c>
      <c r="BW41" s="740">
        <v>45.01</v>
      </c>
      <c r="BX41" s="740">
        <v>45.18</v>
      </c>
      <c r="BY41" s="740">
        <v>45.34</v>
      </c>
      <c r="BZ41" s="740">
        <v>45.5</v>
      </c>
      <c r="CA41" s="740">
        <v>45.67</v>
      </c>
      <c r="CB41" s="740">
        <v>45.83</v>
      </c>
      <c r="CC41" s="740">
        <v>46</v>
      </c>
      <c r="CD41" s="740">
        <v>46.16</v>
      </c>
      <c r="CE41" s="740">
        <v>46.33</v>
      </c>
      <c r="CF41" s="740">
        <v>46.49</v>
      </c>
      <c r="CG41" s="740">
        <v>46.65</v>
      </c>
      <c r="CH41" s="740">
        <v>46.81</v>
      </c>
      <c r="CI41" s="740">
        <v>46.97</v>
      </c>
      <c r="CJ41" s="740">
        <v>47.13</v>
      </c>
      <c r="CK41" s="740">
        <v>47.29</v>
      </c>
      <c r="CL41" s="740">
        <v>47.44</v>
      </c>
      <c r="CM41" s="740">
        <v>47.6</v>
      </c>
      <c r="CN41" s="740">
        <v>47.75</v>
      </c>
      <c r="CO41" s="740">
        <v>47.91</v>
      </c>
      <c r="CP41" s="740">
        <v>48.06</v>
      </c>
      <c r="CQ41" s="740">
        <v>48.21</v>
      </c>
      <c r="CR41" s="740">
        <v>48.36</v>
      </c>
      <c r="CS41" s="740">
        <v>48.51</v>
      </c>
      <c r="CT41" s="740">
        <v>48.65</v>
      </c>
      <c r="CU41" s="740">
        <v>48.8</v>
      </c>
      <c r="CV41" s="740">
        <v>48.95</v>
      </c>
      <c r="CW41" s="740">
        <v>49.09</v>
      </c>
      <c r="CX41" s="740">
        <v>49.23</v>
      </c>
      <c r="CY41" s="740">
        <v>49.38</v>
      </c>
      <c r="CZ41" s="740">
        <v>49.52</v>
      </c>
      <c r="DA41" s="740">
        <v>49.66</v>
      </c>
      <c r="DB41" s="740">
        <v>49.8</v>
      </c>
      <c r="DC41" s="740">
        <v>49.93</v>
      </c>
      <c r="DD41" s="740">
        <v>50.07</v>
      </c>
      <c r="DE41" s="740">
        <v>50.21</v>
      </c>
      <c r="DF41" s="740">
        <v>50.34</v>
      </c>
      <c r="DG41" s="740">
        <v>50.47</v>
      </c>
      <c r="DH41" s="740">
        <v>50.61</v>
      </c>
      <c r="DI41" s="740">
        <v>50.74</v>
      </c>
      <c r="DJ41" s="740">
        <v>50.87</v>
      </c>
      <c r="DK41" s="740">
        <v>51</v>
      </c>
      <c r="DL41" s="740">
        <v>51.13</v>
      </c>
      <c r="DM41" s="740">
        <v>51.25</v>
      </c>
      <c r="DN41" s="740">
        <v>51.38</v>
      </c>
      <c r="DO41" s="740">
        <v>51.51</v>
      </c>
      <c r="DP41" s="740">
        <v>51.63</v>
      </c>
      <c r="DQ41" s="740">
        <v>51.75</v>
      </c>
      <c r="DR41" s="740">
        <v>51.88</v>
      </c>
    </row>
    <row r="42" spans="1:122">
      <c r="A42" s="906">
        <v>40</v>
      </c>
      <c r="B42" s="92"/>
      <c r="C42" s="92"/>
      <c r="D42" s="92"/>
      <c r="E42" s="92"/>
      <c r="F42" s="92"/>
      <c r="G42" s="92"/>
      <c r="H42" s="92"/>
      <c r="I42" s="92"/>
      <c r="J42" s="92"/>
      <c r="K42" s="92"/>
      <c r="L42" s="92"/>
      <c r="M42" s="92"/>
      <c r="N42" s="92"/>
      <c r="O42" s="92"/>
      <c r="P42" s="92"/>
      <c r="Q42" s="92"/>
      <c r="R42" s="92"/>
      <c r="S42" s="92"/>
      <c r="T42" s="92"/>
      <c r="U42" s="92"/>
      <c r="V42" s="740"/>
      <c r="W42" s="740">
        <v>34.51</v>
      </c>
      <c r="X42" s="740">
        <v>34.729999999999997</v>
      </c>
      <c r="Y42" s="740">
        <v>34.799999999999997</v>
      </c>
      <c r="Z42" s="740">
        <v>35.03</v>
      </c>
      <c r="AA42" s="740">
        <v>35.24</v>
      </c>
      <c r="AB42" s="740">
        <v>35.39</v>
      </c>
      <c r="AC42" s="740">
        <v>35.4</v>
      </c>
      <c r="AD42" s="740">
        <v>35.340000000000003</v>
      </c>
      <c r="AE42" s="740">
        <v>35.42</v>
      </c>
      <c r="AF42" s="740">
        <v>35.630000000000003</v>
      </c>
      <c r="AG42" s="740">
        <v>35.9</v>
      </c>
      <c r="AH42" s="740">
        <v>36.22</v>
      </c>
      <c r="AI42" s="740">
        <v>36.49</v>
      </c>
      <c r="AJ42" s="740">
        <v>36.799999999999997</v>
      </c>
      <c r="AK42" s="740">
        <v>37.11</v>
      </c>
      <c r="AL42" s="740">
        <v>37.47</v>
      </c>
      <c r="AM42" s="740">
        <v>37.83</v>
      </c>
      <c r="AN42" s="740">
        <v>38.049999999999997</v>
      </c>
      <c r="AO42" s="740">
        <v>38.229999999999997</v>
      </c>
      <c r="AP42" s="740">
        <v>38.43</v>
      </c>
      <c r="AQ42" s="740">
        <v>38.619999999999997</v>
      </c>
      <c r="AR42" s="740">
        <v>38.880000000000003</v>
      </c>
      <c r="AS42" s="740">
        <v>38.92</v>
      </c>
      <c r="AT42" s="740">
        <v>39.020000000000003</v>
      </c>
      <c r="AU42" s="740">
        <v>39.130000000000003</v>
      </c>
      <c r="AV42" s="740">
        <v>39.24</v>
      </c>
      <c r="AW42" s="740">
        <v>39.49</v>
      </c>
      <c r="AX42" s="740">
        <v>39.64</v>
      </c>
      <c r="AY42" s="740">
        <v>39.729999999999997</v>
      </c>
      <c r="AZ42" s="740">
        <v>39.81</v>
      </c>
      <c r="BA42" s="740">
        <v>39.909999999999997</v>
      </c>
      <c r="BB42" s="740">
        <v>40.06</v>
      </c>
      <c r="BC42" s="740">
        <v>40.200000000000003</v>
      </c>
      <c r="BD42" s="740">
        <v>40.369999999999997</v>
      </c>
      <c r="BE42" s="740">
        <v>40.58</v>
      </c>
      <c r="BF42" s="740">
        <v>40.78</v>
      </c>
      <c r="BG42" s="740">
        <v>40.950000000000003</v>
      </c>
      <c r="BH42" s="740">
        <v>41.2</v>
      </c>
      <c r="BI42" s="740">
        <v>41.38</v>
      </c>
      <c r="BJ42" s="740">
        <v>41.61</v>
      </c>
      <c r="BK42" s="740">
        <v>41.79</v>
      </c>
      <c r="BL42" s="740">
        <v>42.03</v>
      </c>
      <c r="BM42" s="740">
        <v>42.26</v>
      </c>
      <c r="BN42" s="740">
        <v>42.47</v>
      </c>
      <c r="BO42" s="740">
        <v>42.65</v>
      </c>
      <c r="BP42" s="740">
        <v>42.85</v>
      </c>
      <c r="BQ42" s="740">
        <v>43.03</v>
      </c>
      <c r="BR42" s="740">
        <v>43.21</v>
      </c>
      <c r="BS42" s="740">
        <v>43.38</v>
      </c>
      <c r="BT42" s="852">
        <v>43.55</v>
      </c>
      <c r="BU42" s="740">
        <v>43.7</v>
      </c>
      <c r="BV42" s="740">
        <v>43.89</v>
      </c>
      <c r="BW42" s="740">
        <v>44.06</v>
      </c>
      <c r="BX42" s="740">
        <v>44.23</v>
      </c>
      <c r="BY42" s="740">
        <v>44.39</v>
      </c>
      <c r="BZ42" s="740">
        <v>44.55</v>
      </c>
      <c r="CA42" s="740">
        <v>44.72</v>
      </c>
      <c r="CB42" s="740">
        <v>44.88</v>
      </c>
      <c r="CC42" s="740">
        <v>45.05</v>
      </c>
      <c r="CD42" s="740">
        <v>45.21</v>
      </c>
      <c r="CE42" s="740">
        <v>45.38</v>
      </c>
      <c r="CF42" s="740">
        <v>45.54</v>
      </c>
      <c r="CG42" s="740">
        <v>45.7</v>
      </c>
      <c r="CH42" s="740">
        <v>45.86</v>
      </c>
      <c r="CI42" s="740">
        <v>46.02</v>
      </c>
      <c r="CJ42" s="740">
        <v>46.17</v>
      </c>
      <c r="CK42" s="740">
        <v>46.33</v>
      </c>
      <c r="CL42" s="740">
        <v>46.49</v>
      </c>
      <c r="CM42" s="740">
        <v>46.64</v>
      </c>
      <c r="CN42" s="740">
        <v>46.79</v>
      </c>
      <c r="CO42" s="740">
        <v>46.95</v>
      </c>
      <c r="CP42" s="740">
        <v>47.1</v>
      </c>
      <c r="CQ42" s="740">
        <v>47.25</v>
      </c>
      <c r="CR42" s="740">
        <v>47.4</v>
      </c>
      <c r="CS42" s="740">
        <v>47.54</v>
      </c>
      <c r="CT42" s="740">
        <v>47.69</v>
      </c>
      <c r="CU42" s="740">
        <v>47.84</v>
      </c>
      <c r="CV42" s="740">
        <v>47.98</v>
      </c>
      <c r="CW42" s="740">
        <v>48.12</v>
      </c>
      <c r="CX42" s="740">
        <v>48.27</v>
      </c>
      <c r="CY42" s="740">
        <v>48.41</v>
      </c>
      <c r="CZ42" s="740">
        <v>48.55</v>
      </c>
      <c r="DA42" s="740">
        <v>48.69</v>
      </c>
      <c r="DB42" s="740">
        <v>48.83</v>
      </c>
      <c r="DC42" s="740">
        <v>48.96</v>
      </c>
      <c r="DD42" s="740">
        <v>49.1</v>
      </c>
      <c r="DE42" s="740">
        <v>49.24</v>
      </c>
      <c r="DF42" s="740">
        <v>49.37</v>
      </c>
      <c r="DG42" s="740">
        <v>49.5</v>
      </c>
      <c r="DH42" s="740">
        <v>49.63</v>
      </c>
      <c r="DI42" s="740">
        <v>49.77</v>
      </c>
      <c r="DJ42" s="740">
        <v>49.9</v>
      </c>
      <c r="DK42" s="740">
        <v>50.02</v>
      </c>
      <c r="DL42" s="740">
        <v>50.15</v>
      </c>
      <c r="DM42" s="740">
        <v>50.28</v>
      </c>
      <c r="DN42" s="740">
        <v>50.4</v>
      </c>
      <c r="DO42" s="740">
        <v>50.53</v>
      </c>
      <c r="DP42" s="740">
        <v>50.65</v>
      </c>
      <c r="DQ42" s="740">
        <v>50.78</v>
      </c>
      <c r="DR42" s="740">
        <v>50.9</v>
      </c>
    </row>
    <row r="43" spans="1:122">
      <c r="A43" s="906">
        <v>41</v>
      </c>
      <c r="B43" s="92"/>
      <c r="C43" s="92"/>
      <c r="D43" s="92"/>
      <c r="E43" s="92"/>
      <c r="F43" s="92"/>
      <c r="G43" s="92"/>
      <c r="H43" s="92"/>
      <c r="I43" s="92"/>
      <c r="J43" s="92"/>
      <c r="K43" s="92"/>
      <c r="L43" s="92"/>
      <c r="M43" s="92"/>
      <c r="N43" s="92"/>
      <c r="O43" s="92"/>
      <c r="P43" s="92"/>
      <c r="Q43" s="92"/>
      <c r="R43" s="92"/>
      <c r="S43" s="92"/>
      <c r="T43" s="92"/>
      <c r="U43" s="92"/>
      <c r="V43" s="740"/>
      <c r="W43" s="740">
        <v>33.6</v>
      </c>
      <c r="X43" s="740">
        <v>33.83</v>
      </c>
      <c r="Y43" s="740">
        <v>33.9</v>
      </c>
      <c r="Z43" s="740">
        <v>34.130000000000003</v>
      </c>
      <c r="AA43" s="740">
        <v>34.340000000000003</v>
      </c>
      <c r="AB43" s="740">
        <v>34.5</v>
      </c>
      <c r="AC43" s="740">
        <v>34.5</v>
      </c>
      <c r="AD43" s="740">
        <v>34.450000000000003</v>
      </c>
      <c r="AE43" s="740">
        <v>34.53</v>
      </c>
      <c r="AF43" s="740">
        <v>34.75</v>
      </c>
      <c r="AG43" s="740">
        <v>35.01</v>
      </c>
      <c r="AH43" s="740">
        <v>35.32</v>
      </c>
      <c r="AI43" s="740">
        <v>35.6</v>
      </c>
      <c r="AJ43" s="740">
        <v>35.9</v>
      </c>
      <c r="AK43" s="740">
        <v>36.22</v>
      </c>
      <c r="AL43" s="740">
        <v>36.590000000000003</v>
      </c>
      <c r="AM43" s="740">
        <v>36.93</v>
      </c>
      <c r="AN43" s="740">
        <v>37.159999999999997</v>
      </c>
      <c r="AO43" s="740">
        <v>37.340000000000003</v>
      </c>
      <c r="AP43" s="740">
        <v>37.54</v>
      </c>
      <c r="AQ43" s="740">
        <v>37.729999999999997</v>
      </c>
      <c r="AR43" s="740">
        <v>37.979999999999997</v>
      </c>
      <c r="AS43" s="740">
        <v>38.020000000000003</v>
      </c>
      <c r="AT43" s="740">
        <v>38.119999999999997</v>
      </c>
      <c r="AU43" s="740">
        <v>38.22</v>
      </c>
      <c r="AV43" s="740">
        <v>38.33</v>
      </c>
      <c r="AW43" s="740">
        <v>38.58</v>
      </c>
      <c r="AX43" s="740">
        <v>38.729999999999997</v>
      </c>
      <c r="AY43" s="740">
        <v>38.82</v>
      </c>
      <c r="AZ43" s="740">
        <v>38.909999999999997</v>
      </c>
      <c r="BA43" s="740">
        <v>39.01</v>
      </c>
      <c r="BB43" s="740">
        <v>39.159999999999997</v>
      </c>
      <c r="BC43" s="740">
        <v>39.299999999999997</v>
      </c>
      <c r="BD43" s="740">
        <v>39.47</v>
      </c>
      <c r="BE43" s="740">
        <v>39.67</v>
      </c>
      <c r="BF43" s="740">
        <v>39.869999999999997</v>
      </c>
      <c r="BG43" s="740">
        <v>40.04</v>
      </c>
      <c r="BH43" s="740">
        <v>40.28</v>
      </c>
      <c r="BI43" s="740">
        <v>40.46</v>
      </c>
      <c r="BJ43" s="740">
        <v>40.69</v>
      </c>
      <c r="BK43" s="740">
        <v>40.869999999999997</v>
      </c>
      <c r="BL43" s="740">
        <v>41.1</v>
      </c>
      <c r="BM43" s="740">
        <v>41.32</v>
      </c>
      <c r="BN43" s="740">
        <v>41.53</v>
      </c>
      <c r="BO43" s="740">
        <v>41.72</v>
      </c>
      <c r="BP43" s="740">
        <v>41.91</v>
      </c>
      <c r="BQ43" s="740">
        <v>42.08</v>
      </c>
      <c r="BR43" s="740">
        <v>42.27</v>
      </c>
      <c r="BS43" s="740">
        <v>42.44</v>
      </c>
      <c r="BT43" s="852">
        <v>42.61</v>
      </c>
      <c r="BU43" s="740">
        <v>42.76</v>
      </c>
      <c r="BV43" s="740">
        <v>42.94</v>
      </c>
      <c r="BW43" s="740">
        <v>43.11</v>
      </c>
      <c r="BX43" s="740">
        <v>43.28</v>
      </c>
      <c r="BY43" s="740">
        <v>43.44</v>
      </c>
      <c r="BZ43" s="740">
        <v>43.6</v>
      </c>
      <c r="CA43" s="740">
        <v>43.77</v>
      </c>
      <c r="CB43" s="740">
        <v>43.94</v>
      </c>
      <c r="CC43" s="740">
        <v>44.1</v>
      </c>
      <c r="CD43" s="740">
        <v>44.26</v>
      </c>
      <c r="CE43" s="740">
        <v>44.43</v>
      </c>
      <c r="CF43" s="740">
        <v>44.59</v>
      </c>
      <c r="CG43" s="740">
        <v>44.75</v>
      </c>
      <c r="CH43" s="740">
        <v>44.91</v>
      </c>
      <c r="CI43" s="740">
        <v>45.06</v>
      </c>
      <c r="CJ43" s="740">
        <v>45.22</v>
      </c>
      <c r="CK43" s="740">
        <v>45.38</v>
      </c>
      <c r="CL43" s="740">
        <v>45.53</v>
      </c>
      <c r="CM43" s="740">
        <v>45.68</v>
      </c>
      <c r="CN43" s="740">
        <v>45.84</v>
      </c>
      <c r="CO43" s="740">
        <v>45.99</v>
      </c>
      <c r="CP43" s="740">
        <v>46.14</v>
      </c>
      <c r="CQ43" s="740">
        <v>46.29</v>
      </c>
      <c r="CR43" s="740">
        <v>46.44</v>
      </c>
      <c r="CS43" s="740">
        <v>46.58</v>
      </c>
      <c r="CT43" s="740">
        <v>46.73</v>
      </c>
      <c r="CU43" s="740">
        <v>46.87</v>
      </c>
      <c r="CV43" s="740">
        <v>47.02</v>
      </c>
      <c r="CW43" s="740">
        <v>47.16</v>
      </c>
      <c r="CX43" s="740">
        <v>47.3</v>
      </c>
      <c r="CY43" s="740">
        <v>47.44</v>
      </c>
      <c r="CZ43" s="740">
        <v>47.58</v>
      </c>
      <c r="DA43" s="740">
        <v>47.72</v>
      </c>
      <c r="DB43" s="740">
        <v>47.86</v>
      </c>
      <c r="DC43" s="740">
        <v>48</v>
      </c>
      <c r="DD43" s="740">
        <v>48.13</v>
      </c>
      <c r="DE43" s="740">
        <v>48.27</v>
      </c>
      <c r="DF43" s="740">
        <v>48.4</v>
      </c>
      <c r="DG43" s="740">
        <v>48.53</v>
      </c>
      <c r="DH43" s="740">
        <v>48.66</v>
      </c>
      <c r="DI43" s="740">
        <v>48.79</v>
      </c>
      <c r="DJ43" s="740">
        <v>48.92</v>
      </c>
      <c r="DK43" s="740">
        <v>49.05</v>
      </c>
      <c r="DL43" s="740">
        <v>49.18</v>
      </c>
      <c r="DM43" s="740">
        <v>49.31</v>
      </c>
      <c r="DN43" s="740">
        <v>49.43</v>
      </c>
      <c r="DO43" s="740">
        <v>49.55</v>
      </c>
      <c r="DP43" s="740">
        <v>49.68</v>
      </c>
      <c r="DQ43" s="740">
        <v>49.8</v>
      </c>
      <c r="DR43" s="740">
        <v>49.92</v>
      </c>
    </row>
    <row r="44" spans="1:122">
      <c r="A44" s="906">
        <v>42</v>
      </c>
      <c r="B44" s="92"/>
      <c r="C44" s="92"/>
      <c r="D44" s="92"/>
      <c r="E44" s="92"/>
      <c r="F44" s="92"/>
      <c r="G44" s="92"/>
      <c r="H44" s="92"/>
      <c r="I44" s="92"/>
      <c r="J44" s="92"/>
      <c r="K44" s="92"/>
      <c r="L44" s="92"/>
      <c r="M44" s="92"/>
      <c r="N44" s="92"/>
      <c r="O44" s="92"/>
      <c r="P44" s="92"/>
      <c r="Q44" s="92"/>
      <c r="R44" s="92"/>
      <c r="S44" s="92"/>
      <c r="T44" s="92"/>
      <c r="U44" s="92"/>
      <c r="V44" s="740"/>
      <c r="W44" s="740">
        <v>32.71</v>
      </c>
      <c r="X44" s="740">
        <v>32.94</v>
      </c>
      <c r="Y44" s="740">
        <v>33</v>
      </c>
      <c r="Z44" s="740">
        <v>33.24</v>
      </c>
      <c r="AA44" s="740">
        <v>33.450000000000003</v>
      </c>
      <c r="AB44" s="740">
        <v>33.6</v>
      </c>
      <c r="AC44" s="740">
        <v>33.61</v>
      </c>
      <c r="AD44" s="740">
        <v>33.56</v>
      </c>
      <c r="AE44" s="740">
        <v>33.65</v>
      </c>
      <c r="AF44" s="740">
        <v>33.869999999999997</v>
      </c>
      <c r="AG44" s="740">
        <v>34.130000000000003</v>
      </c>
      <c r="AH44" s="740">
        <v>34.44</v>
      </c>
      <c r="AI44" s="740">
        <v>34.71</v>
      </c>
      <c r="AJ44" s="740">
        <v>35.03</v>
      </c>
      <c r="AK44" s="740">
        <v>35.340000000000003</v>
      </c>
      <c r="AL44" s="740">
        <v>35.71</v>
      </c>
      <c r="AM44" s="740">
        <v>36.049999999999997</v>
      </c>
      <c r="AN44" s="740">
        <v>36.28</v>
      </c>
      <c r="AO44" s="740">
        <v>36.450000000000003</v>
      </c>
      <c r="AP44" s="740">
        <v>36.659999999999997</v>
      </c>
      <c r="AQ44" s="740">
        <v>36.840000000000003</v>
      </c>
      <c r="AR44" s="740">
        <v>37.090000000000003</v>
      </c>
      <c r="AS44" s="740">
        <v>37.119999999999997</v>
      </c>
      <c r="AT44" s="740">
        <v>37.21</v>
      </c>
      <c r="AU44" s="740">
        <v>37.32</v>
      </c>
      <c r="AV44" s="740">
        <v>37.42</v>
      </c>
      <c r="AW44" s="740">
        <v>37.67</v>
      </c>
      <c r="AX44" s="740">
        <v>37.82</v>
      </c>
      <c r="AY44" s="740">
        <v>37.92</v>
      </c>
      <c r="AZ44" s="740">
        <v>38.03</v>
      </c>
      <c r="BA44" s="740">
        <v>38.119999999999997</v>
      </c>
      <c r="BB44" s="740">
        <v>38.26</v>
      </c>
      <c r="BC44" s="740">
        <v>38.409999999999997</v>
      </c>
      <c r="BD44" s="740">
        <v>38.58</v>
      </c>
      <c r="BE44" s="740">
        <v>38.770000000000003</v>
      </c>
      <c r="BF44" s="740">
        <v>38.96</v>
      </c>
      <c r="BG44" s="740">
        <v>39.130000000000003</v>
      </c>
      <c r="BH44" s="740">
        <v>39.369999999999997</v>
      </c>
      <c r="BI44" s="740">
        <v>39.549999999999997</v>
      </c>
      <c r="BJ44" s="740">
        <v>39.76</v>
      </c>
      <c r="BK44" s="740">
        <v>39.950000000000003</v>
      </c>
      <c r="BL44" s="740">
        <v>40.18</v>
      </c>
      <c r="BM44" s="740">
        <v>40.4</v>
      </c>
      <c r="BN44" s="740">
        <v>40.6</v>
      </c>
      <c r="BO44" s="740">
        <v>40.78</v>
      </c>
      <c r="BP44" s="740">
        <v>40.97</v>
      </c>
      <c r="BQ44" s="740">
        <v>41.14</v>
      </c>
      <c r="BR44" s="740">
        <v>41.33</v>
      </c>
      <c r="BS44" s="740">
        <v>41.49</v>
      </c>
      <c r="BT44" s="852">
        <v>41.66</v>
      </c>
      <c r="BU44" s="740">
        <v>41.82</v>
      </c>
      <c r="BV44" s="740">
        <v>42</v>
      </c>
      <c r="BW44" s="740">
        <v>42.17</v>
      </c>
      <c r="BX44" s="740">
        <v>42.34</v>
      </c>
      <c r="BY44" s="740">
        <v>42.5</v>
      </c>
      <c r="BZ44" s="740">
        <v>42.67</v>
      </c>
      <c r="CA44" s="740">
        <v>42.83</v>
      </c>
      <c r="CB44" s="740">
        <v>42.99</v>
      </c>
      <c r="CC44" s="740">
        <v>43.16</v>
      </c>
      <c r="CD44" s="740">
        <v>43.32</v>
      </c>
      <c r="CE44" s="740">
        <v>43.48</v>
      </c>
      <c r="CF44" s="740">
        <v>43.64</v>
      </c>
      <c r="CG44" s="740">
        <v>43.8</v>
      </c>
      <c r="CH44" s="740">
        <v>43.96</v>
      </c>
      <c r="CI44" s="740">
        <v>44.11</v>
      </c>
      <c r="CJ44" s="740">
        <v>44.27</v>
      </c>
      <c r="CK44" s="740">
        <v>44.42</v>
      </c>
      <c r="CL44" s="740">
        <v>44.58</v>
      </c>
      <c r="CM44" s="740">
        <v>44.73</v>
      </c>
      <c r="CN44" s="740">
        <v>44.88</v>
      </c>
      <c r="CO44" s="740">
        <v>45.03</v>
      </c>
      <c r="CP44" s="740">
        <v>45.18</v>
      </c>
      <c r="CQ44" s="740">
        <v>45.33</v>
      </c>
      <c r="CR44" s="740">
        <v>45.48</v>
      </c>
      <c r="CS44" s="740">
        <v>45.62</v>
      </c>
      <c r="CT44" s="740">
        <v>45.77</v>
      </c>
      <c r="CU44" s="740">
        <v>45.91</v>
      </c>
      <c r="CV44" s="740">
        <v>46.06</v>
      </c>
      <c r="CW44" s="740">
        <v>46.2</v>
      </c>
      <c r="CX44" s="740">
        <v>46.34</v>
      </c>
      <c r="CY44" s="740">
        <v>46.48</v>
      </c>
      <c r="CZ44" s="740">
        <v>46.62</v>
      </c>
      <c r="DA44" s="740">
        <v>46.76</v>
      </c>
      <c r="DB44" s="740">
        <v>46.89</v>
      </c>
      <c r="DC44" s="740">
        <v>47.03</v>
      </c>
      <c r="DD44" s="740">
        <v>47.16</v>
      </c>
      <c r="DE44" s="740">
        <v>47.3</v>
      </c>
      <c r="DF44" s="740">
        <v>47.43</v>
      </c>
      <c r="DG44" s="740">
        <v>47.56</v>
      </c>
      <c r="DH44" s="740">
        <v>47.69</v>
      </c>
      <c r="DI44" s="740">
        <v>47.82</v>
      </c>
      <c r="DJ44" s="740">
        <v>47.95</v>
      </c>
      <c r="DK44" s="740">
        <v>48.08</v>
      </c>
      <c r="DL44" s="740">
        <v>48.21</v>
      </c>
      <c r="DM44" s="740">
        <v>48.33</v>
      </c>
      <c r="DN44" s="740">
        <v>48.46</v>
      </c>
      <c r="DO44" s="740">
        <v>48.58</v>
      </c>
      <c r="DP44" s="740">
        <v>48.7</v>
      </c>
      <c r="DQ44" s="740">
        <v>48.83</v>
      </c>
      <c r="DR44" s="740">
        <v>48.95</v>
      </c>
    </row>
    <row r="45" spans="1:122">
      <c r="A45" s="906">
        <v>43</v>
      </c>
      <c r="B45" s="92"/>
      <c r="C45" s="92"/>
      <c r="D45" s="92"/>
      <c r="E45" s="92"/>
      <c r="F45" s="92"/>
      <c r="G45" s="92"/>
      <c r="H45" s="92"/>
      <c r="I45" s="92"/>
      <c r="J45" s="92"/>
      <c r="K45" s="92"/>
      <c r="L45" s="92"/>
      <c r="M45" s="92"/>
      <c r="N45" s="92"/>
      <c r="O45" s="92"/>
      <c r="P45" s="92"/>
      <c r="Q45" s="92"/>
      <c r="R45" s="92"/>
      <c r="S45" s="92"/>
      <c r="T45" s="92"/>
      <c r="U45" s="92"/>
      <c r="V45" s="740"/>
      <c r="W45" s="740">
        <v>31.82</v>
      </c>
      <c r="X45" s="740">
        <v>32.049999999999997</v>
      </c>
      <c r="Y45" s="740">
        <v>32.119999999999997</v>
      </c>
      <c r="Z45" s="740">
        <v>32.35</v>
      </c>
      <c r="AA45" s="740">
        <v>32.549999999999997</v>
      </c>
      <c r="AB45" s="740">
        <v>32.71</v>
      </c>
      <c r="AC45" s="740">
        <v>32.729999999999997</v>
      </c>
      <c r="AD45" s="740">
        <v>32.68</v>
      </c>
      <c r="AE45" s="740">
        <v>32.770000000000003</v>
      </c>
      <c r="AF45" s="740">
        <v>33</v>
      </c>
      <c r="AG45" s="740">
        <v>33.26</v>
      </c>
      <c r="AH45" s="740">
        <v>33.56</v>
      </c>
      <c r="AI45" s="740">
        <v>33.840000000000003</v>
      </c>
      <c r="AJ45" s="740">
        <v>34.15</v>
      </c>
      <c r="AK45" s="740">
        <v>34.46</v>
      </c>
      <c r="AL45" s="740">
        <v>34.83</v>
      </c>
      <c r="AM45" s="740">
        <v>35.17</v>
      </c>
      <c r="AN45" s="740">
        <v>35.4</v>
      </c>
      <c r="AO45" s="740">
        <v>35.57</v>
      </c>
      <c r="AP45" s="740">
        <v>35.78</v>
      </c>
      <c r="AQ45" s="740">
        <v>35.950000000000003</v>
      </c>
      <c r="AR45" s="740">
        <v>36.19</v>
      </c>
      <c r="AS45" s="740">
        <v>36.229999999999997</v>
      </c>
      <c r="AT45" s="740">
        <v>36.32</v>
      </c>
      <c r="AU45" s="740">
        <v>36.42</v>
      </c>
      <c r="AV45" s="740">
        <v>36.53</v>
      </c>
      <c r="AW45" s="740">
        <v>36.78</v>
      </c>
      <c r="AX45" s="740">
        <v>36.93</v>
      </c>
      <c r="AY45" s="740">
        <v>37.03</v>
      </c>
      <c r="AZ45" s="740">
        <v>37.130000000000003</v>
      </c>
      <c r="BA45" s="740">
        <v>37.229999999999997</v>
      </c>
      <c r="BB45" s="740">
        <v>37.369999999999997</v>
      </c>
      <c r="BC45" s="740">
        <v>37.520000000000003</v>
      </c>
      <c r="BD45" s="740">
        <v>37.68</v>
      </c>
      <c r="BE45" s="740">
        <v>37.869999999999997</v>
      </c>
      <c r="BF45" s="740">
        <v>38.06</v>
      </c>
      <c r="BG45" s="740">
        <v>38.229999999999997</v>
      </c>
      <c r="BH45" s="740">
        <v>38.46</v>
      </c>
      <c r="BI45" s="740">
        <v>38.64</v>
      </c>
      <c r="BJ45" s="740">
        <v>38.85</v>
      </c>
      <c r="BK45" s="740">
        <v>39.04</v>
      </c>
      <c r="BL45" s="740">
        <v>39.26</v>
      </c>
      <c r="BM45" s="740">
        <v>39.47</v>
      </c>
      <c r="BN45" s="740">
        <v>39.67</v>
      </c>
      <c r="BO45" s="740">
        <v>39.85</v>
      </c>
      <c r="BP45" s="740">
        <v>40.04</v>
      </c>
      <c r="BQ45" s="740">
        <v>40.21</v>
      </c>
      <c r="BR45" s="740">
        <v>40.39</v>
      </c>
      <c r="BS45" s="740">
        <v>40.56</v>
      </c>
      <c r="BT45" s="852">
        <v>40.729999999999997</v>
      </c>
      <c r="BU45" s="740">
        <v>40.880000000000003</v>
      </c>
      <c r="BV45" s="740">
        <v>41.06</v>
      </c>
      <c r="BW45" s="740">
        <v>41.23</v>
      </c>
      <c r="BX45" s="740">
        <v>41.4</v>
      </c>
      <c r="BY45" s="740">
        <v>41.56</v>
      </c>
      <c r="BZ45" s="740">
        <v>41.72</v>
      </c>
      <c r="CA45" s="740">
        <v>41.89</v>
      </c>
      <c r="CB45" s="740">
        <v>42.05</v>
      </c>
      <c r="CC45" s="740">
        <v>42.21</v>
      </c>
      <c r="CD45" s="740">
        <v>42.38</v>
      </c>
      <c r="CE45" s="740">
        <v>42.54</v>
      </c>
      <c r="CF45" s="740">
        <v>42.69</v>
      </c>
      <c r="CG45" s="740">
        <v>42.85</v>
      </c>
      <c r="CH45" s="740">
        <v>43.01</v>
      </c>
      <c r="CI45" s="740">
        <v>43.16</v>
      </c>
      <c r="CJ45" s="740">
        <v>43.32</v>
      </c>
      <c r="CK45" s="740">
        <v>43.47</v>
      </c>
      <c r="CL45" s="740">
        <v>43.63</v>
      </c>
      <c r="CM45" s="740">
        <v>43.78</v>
      </c>
      <c r="CN45" s="740">
        <v>43.93</v>
      </c>
      <c r="CO45" s="740">
        <v>44.08</v>
      </c>
      <c r="CP45" s="740">
        <v>44.23</v>
      </c>
      <c r="CQ45" s="740">
        <v>44.37</v>
      </c>
      <c r="CR45" s="740">
        <v>44.52</v>
      </c>
      <c r="CS45" s="740">
        <v>44.67</v>
      </c>
      <c r="CT45" s="740">
        <v>44.81</v>
      </c>
      <c r="CU45" s="740">
        <v>44.95</v>
      </c>
      <c r="CV45" s="740">
        <v>45.1</v>
      </c>
      <c r="CW45" s="740">
        <v>45.24</v>
      </c>
      <c r="CX45" s="740">
        <v>45.38</v>
      </c>
      <c r="CY45" s="740">
        <v>45.52</v>
      </c>
      <c r="CZ45" s="740">
        <v>45.66</v>
      </c>
      <c r="DA45" s="740">
        <v>45.79</v>
      </c>
      <c r="DB45" s="740">
        <v>45.93</v>
      </c>
      <c r="DC45" s="740">
        <v>46.07</v>
      </c>
      <c r="DD45" s="740">
        <v>46.2</v>
      </c>
      <c r="DE45" s="740">
        <v>46.33</v>
      </c>
      <c r="DF45" s="740">
        <v>46.47</v>
      </c>
      <c r="DG45" s="740">
        <v>46.6</v>
      </c>
      <c r="DH45" s="740">
        <v>46.73</v>
      </c>
      <c r="DI45" s="740">
        <v>46.86</v>
      </c>
      <c r="DJ45" s="740">
        <v>46.98</v>
      </c>
      <c r="DK45" s="740">
        <v>47.11</v>
      </c>
      <c r="DL45" s="740">
        <v>47.24</v>
      </c>
      <c r="DM45" s="740">
        <v>47.36</v>
      </c>
      <c r="DN45" s="740">
        <v>47.49</v>
      </c>
      <c r="DO45" s="740">
        <v>47.61</v>
      </c>
      <c r="DP45" s="740">
        <v>47.73</v>
      </c>
      <c r="DQ45" s="740">
        <v>47.85</v>
      </c>
      <c r="DR45" s="740">
        <v>47.97</v>
      </c>
    </row>
    <row r="46" spans="1:122">
      <c r="A46" s="906">
        <v>44</v>
      </c>
      <c r="B46" s="92"/>
      <c r="C46" s="92"/>
      <c r="D46" s="92"/>
      <c r="E46" s="92"/>
      <c r="F46" s="92"/>
      <c r="G46" s="92"/>
      <c r="H46" s="92"/>
      <c r="I46" s="92"/>
      <c r="J46" s="92"/>
      <c r="K46" s="92"/>
      <c r="L46" s="92"/>
      <c r="M46" s="92"/>
      <c r="N46" s="92"/>
      <c r="O46" s="92"/>
      <c r="P46" s="92"/>
      <c r="Q46" s="92"/>
      <c r="R46" s="92"/>
      <c r="S46" s="92"/>
      <c r="T46" s="92"/>
      <c r="U46" s="92"/>
      <c r="V46" s="740"/>
      <c r="W46" s="740">
        <v>30.93</v>
      </c>
      <c r="X46" s="740">
        <v>31.16</v>
      </c>
      <c r="Y46" s="740">
        <v>31.24</v>
      </c>
      <c r="Z46" s="740">
        <v>31.48</v>
      </c>
      <c r="AA46" s="740">
        <v>31.68</v>
      </c>
      <c r="AB46" s="740">
        <v>31.84</v>
      </c>
      <c r="AC46" s="740">
        <v>31.86</v>
      </c>
      <c r="AD46" s="740">
        <v>31.81</v>
      </c>
      <c r="AE46" s="740">
        <v>31.9</v>
      </c>
      <c r="AF46" s="740">
        <v>32.119999999999997</v>
      </c>
      <c r="AG46" s="740">
        <v>32.4</v>
      </c>
      <c r="AH46" s="740">
        <v>32.700000000000003</v>
      </c>
      <c r="AI46" s="740">
        <v>32.97</v>
      </c>
      <c r="AJ46" s="740">
        <v>33.29</v>
      </c>
      <c r="AK46" s="740">
        <v>33.590000000000003</v>
      </c>
      <c r="AL46" s="740">
        <v>33.96</v>
      </c>
      <c r="AM46" s="740">
        <v>34.299999999999997</v>
      </c>
      <c r="AN46" s="740">
        <v>34.53</v>
      </c>
      <c r="AO46" s="740">
        <v>34.700000000000003</v>
      </c>
      <c r="AP46" s="740">
        <v>34.89</v>
      </c>
      <c r="AQ46" s="740">
        <v>35.06</v>
      </c>
      <c r="AR46" s="740">
        <v>35.31</v>
      </c>
      <c r="AS46" s="740">
        <v>35.340000000000003</v>
      </c>
      <c r="AT46" s="740">
        <v>35.43</v>
      </c>
      <c r="AU46" s="740">
        <v>35.53</v>
      </c>
      <c r="AV46" s="740">
        <v>35.64</v>
      </c>
      <c r="AW46" s="740">
        <v>35.89</v>
      </c>
      <c r="AX46" s="740">
        <v>36.049999999999997</v>
      </c>
      <c r="AY46" s="740">
        <v>36.15</v>
      </c>
      <c r="AZ46" s="740">
        <v>36.24</v>
      </c>
      <c r="BA46" s="740">
        <v>36.35</v>
      </c>
      <c r="BB46" s="740">
        <v>36.49</v>
      </c>
      <c r="BC46" s="740">
        <v>36.630000000000003</v>
      </c>
      <c r="BD46" s="740">
        <v>36.79</v>
      </c>
      <c r="BE46" s="740">
        <v>36.979999999999997</v>
      </c>
      <c r="BF46" s="740">
        <v>37.17</v>
      </c>
      <c r="BG46" s="740">
        <v>37.33</v>
      </c>
      <c r="BH46" s="740">
        <v>37.56</v>
      </c>
      <c r="BI46" s="740">
        <v>37.729999999999997</v>
      </c>
      <c r="BJ46" s="740">
        <v>37.950000000000003</v>
      </c>
      <c r="BK46" s="740">
        <v>38.130000000000003</v>
      </c>
      <c r="BL46" s="740">
        <v>38.35</v>
      </c>
      <c r="BM46" s="740">
        <v>38.549999999999997</v>
      </c>
      <c r="BN46" s="740">
        <v>38.75</v>
      </c>
      <c r="BO46" s="740">
        <v>38.93</v>
      </c>
      <c r="BP46" s="740">
        <v>39.11</v>
      </c>
      <c r="BQ46" s="740">
        <v>39.28</v>
      </c>
      <c r="BR46" s="740">
        <v>39.46</v>
      </c>
      <c r="BS46" s="740">
        <v>39.619999999999997</v>
      </c>
      <c r="BT46" s="852">
        <v>39.79</v>
      </c>
      <c r="BU46" s="740">
        <v>39.950000000000003</v>
      </c>
      <c r="BV46" s="740">
        <v>40.130000000000003</v>
      </c>
      <c r="BW46" s="740">
        <v>40.29</v>
      </c>
      <c r="BX46" s="740">
        <v>40.46</v>
      </c>
      <c r="BY46" s="740">
        <v>40.619999999999997</v>
      </c>
      <c r="BZ46" s="740">
        <v>40.79</v>
      </c>
      <c r="CA46" s="740">
        <v>40.950000000000003</v>
      </c>
      <c r="CB46" s="740">
        <v>41.11</v>
      </c>
      <c r="CC46" s="740">
        <v>41.27</v>
      </c>
      <c r="CD46" s="740">
        <v>41.43</v>
      </c>
      <c r="CE46" s="740">
        <v>41.59</v>
      </c>
      <c r="CF46" s="740">
        <v>41.75</v>
      </c>
      <c r="CG46" s="740">
        <v>41.91</v>
      </c>
      <c r="CH46" s="740">
        <v>42.06</v>
      </c>
      <c r="CI46" s="740">
        <v>42.22</v>
      </c>
      <c r="CJ46" s="740">
        <v>42.37</v>
      </c>
      <c r="CK46" s="740">
        <v>42.53</v>
      </c>
      <c r="CL46" s="740">
        <v>42.68</v>
      </c>
      <c r="CM46" s="740">
        <v>42.83</v>
      </c>
      <c r="CN46" s="740">
        <v>42.98</v>
      </c>
      <c r="CO46" s="740">
        <v>43.13</v>
      </c>
      <c r="CP46" s="740">
        <v>43.27</v>
      </c>
      <c r="CQ46" s="740">
        <v>43.42</v>
      </c>
      <c r="CR46" s="740">
        <v>43.57</v>
      </c>
      <c r="CS46" s="740">
        <v>43.71</v>
      </c>
      <c r="CT46" s="740">
        <v>43.86</v>
      </c>
      <c r="CU46" s="740">
        <v>44</v>
      </c>
      <c r="CV46" s="740">
        <v>44.14</v>
      </c>
      <c r="CW46" s="740">
        <v>44.28</v>
      </c>
      <c r="CX46" s="740">
        <v>44.42</v>
      </c>
      <c r="CY46" s="740">
        <v>44.56</v>
      </c>
      <c r="CZ46" s="740">
        <v>44.7</v>
      </c>
      <c r="DA46" s="740">
        <v>44.83</v>
      </c>
      <c r="DB46" s="740">
        <v>44.97</v>
      </c>
      <c r="DC46" s="740">
        <v>45.1</v>
      </c>
      <c r="DD46" s="740">
        <v>45.24</v>
      </c>
      <c r="DE46" s="740">
        <v>45.37</v>
      </c>
      <c r="DF46" s="740">
        <v>45.5</v>
      </c>
      <c r="DG46" s="740">
        <v>45.63</v>
      </c>
      <c r="DH46" s="740">
        <v>45.76</v>
      </c>
      <c r="DI46" s="740">
        <v>45.89</v>
      </c>
      <c r="DJ46" s="740">
        <v>46.02</v>
      </c>
      <c r="DK46" s="740">
        <v>46.14</v>
      </c>
      <c r="DL46" s="740">
        <v>46.27</v>
      </c>
      <c r="DM46" s="740">
        <v>46.39</v>
      </c>
      <c r="DN46" s="740">
        <v>46.52</v>
      </c>
      <c r="DO46" s="740">
        <v>46.64</v>
      </c>
      <c r="DP46" s="740">
        <v>46.76</v>
      </c>
      <c r="DQ46" s="740">
        <v>46.88</v>
      </c>
      <c r="DR46" s="740">
        <v>47</v>
      </c>
    </row>
    <row r="47" spans="1:122">
      <c r="A47" s="906">
        <v>45</v>
      </c>
      <c r="B47" s="92"/>
      <c r="C47" s="92"/>
      <c r="D47" s="92"/>
      <c r="E47" s="92"/>
      <c r="F47" s="92"/>
      <c r="G47" s="92"/>
      <c r="H47" s="92"/>
      <c r="I47" s="92"/>
      <c r="J47" s="92"/>
      <c r="K47" s="92"/>
      <c r="L47" s="92"/>
      <c r="M47" s="92"/>
      <c r="N47" s="92"/>
      <c r="O47" s="92"/>
      <c r="P47" s="92"/>
      <c r="Q47" s="92"/>
      <c r="R47" s="92"/>
      <c r="S47" s="92"/>
      <c r="T47" s="92"/>
      <c r="U47" s="92"/>
      <c r="V47" s="740"/>
      <c r="W47" s="740">
        <v>30.06</v>
      </c>
      <c r="X47" s="740">
        <v>30.29</v>
      </c>
      <c r="Y47" s="740">
        <v>30.37</v>
      </c>
      <c r="Z47" s="740">
        <v>30.61</v>
      </c>
      <c r="AA47" s="740">
        <v>30.81</v>
      </c>
      <c r="AB47" s="740">
        <v>30.97</v>
      </c>
      <c r="AC47" s="740">
        <v>30.99</v>
      </c>
      <c r="AD47" s="740">
        <v>30.96</v>
      </c>
      <c r="AE47" s="740">
        <v>31.04</v>
      </c>
      <c r="AF47" s="740">
        <v>31.26</v>
      </c>
      <c r="AG47" s="740">
        <v>31.54</v>
      </c>
      <c r="AH47" s="740">
        <v>31.84</v>
      </c>
      <c r="AI47" s="740">
        <v>32.11</v>
      </c>
      <c r="AJ47" s="740">
        <v>32.43</v>
      </c>
      <c r="AK47" s="740">
        <v>32.729999999999997</v>
      </c>
      <c r="AL47" s="740">
        <v>33.1</v>
      </c>
      <c r="AM47" s="740">
        <v>33.43</v>
      </c>
      <c r="AN47" s="740">
        <v>33.659999999999997</v>
      </c>
      <c r="AO47" s="740">
        <v>33.82</v>
      </c>
      <c r="AP47" s="740">
        <v>34.020000000000003</v>
      </c>
      <c r="AQ47" s="740">
        <v>34.18</v>
      </c>
      <c r="AR47" s="740">
        <v>34.43</v>
      </c>
      <c r="AS47" s="740">
        <v>34.46</v>
      </c>
      <c r="AT47" s="740">
        <v>34.549999999999997</v>
      </c>
      <c r="AU47" s="740">
        <v>34.65</v>
      </c>
      <c r="AV47" s="740">
        <v>34.76</v>
      </c>
      <c r="AW47" s="740">
        <v>35.020000000000003</v>
      </c>
      <c r="AX47" s="740">
        <v>35.17</v>
      </c>
      <c r="AY47" s="740">
        <v>35.270000000000003</v>
      </c>
      <c r="AZ47" s="740">
        <v>35.36</v>
      </c>
      <c r="BA47" s="740">
        <v>35.47</v>
      </c>
      <c r="BB47" s="740">
        <v>35.6</v>
      </c>
      <c r="BC47" s="740">
        <v>35.75</v>
      </c>
      <c r="BD47" s="740">
        <v>35.9</v>
      </c>
      <c r="BE47" s="740">
        <v>36.090000000000003</v>
      </c>
      <c r="BF47" s="740">
        <v>36.270000000000003</v>
      </c>
      <c r="BG47" s="740">
        <v>36.43</v>
      </c>
      <c r="BH47" s="740">
        <v>36.659999999999997</v>
      </c>
      <c r="BI47" s="740">
        <v>36.83</v>
      </c>
      <c r="BJ47" s="740">
        <v>37.04</v>
      </c>
      <c r="BK47" s="740">
        <v>37.22</v>
      </c>
      <c r="BL47" s="740">
        <v>37.43</v>
      </c>
      <c r="BM47" s="740">
        <v>37.630000000000003</v>
      </c>
      <c r="BN47" s="740">
        <v>37.83</v>
      </c>
      <c r="BO47" s="740">
        <v>38</v>
      </c>
      <c r="BP47" s="740">
        <v>38.18</v>
      </c>
      <c r="BQ47" s="740">
        <v>38.35</v>
      </c>
      <c r="BR47" s="740">
        <v>38.53</v>
      </c>
      <c r="BS47" s="740">
        <v>38.69</v>
      </c>
      <c r="BT47" s="852">
        <v>38.86</v>
      </c>
      <c r="BU47" s="740">
        <v>39.020000000000003</v>
      </c>
      <c r="BV47" s="740">
        <v>39.200000000000003</v>
      </c>
      <c r="BW47" s="740">
        <v>39.36</v>
      </c>
      <c r="BX47" s="740">
        <v>39.53</v>
      </c>
      <c r="BY47" s="740">
        <v>39.69</v>
      </c>
      <c r="BZ47" s="740">
        <v>39.85</v>
      </c>
      <c r="CA47" s="740">
        <v>40.020000000000003</v>
      </c>
      <c r="CB47" s="740">
        <v>40.18</v>
      </c>
      <c r="CC47" s="740">
        <v>40.340000000000003</v>
      </c>
      <c r="CD47" s="740">
        <v>40.5</v>
      </c>
      <c r="CE47" s="740">
        <v>40.65</v>
      </c>
      <c r="CF47" s="740">
        <v>40.81</v>
      </c>
      <c r="CG47" s="740">
        <v>40.97</v>
      </c>
      <c r="CH47" s="740">
        <v>41.12</v>
      </c>
      <c r="CI47" s="740">
        <v>41.28</v>
      </c>
      <c r="CJ47" s="740">
        <v>41.43</v>
      </c>
      <c r="CK47" s="740">
        <v>41.58</v>
      </c>
      <c r="CL47" s="740">
        <v>41.73</v>
      </c>
      <c r="CM47" s="740">
        <v>41.88</v>
      </c>
      <c r="CN47" s="740">
        <v>42.03</v>
      </c>
      <c r="CO47" s="740">
        <v>42.18</v>
      </c>
      <c r="CP47" s="740">
        <v>42.32</v>
      </c>
      <c r="CQ47" s="740">
        <v>42.47</v>
      </c>
      <c r="CR47" s="740">
        <v>42.62</v>
      </c>
      <c r="CS47" s="740">
        <v>42.76</v>
      </c>
      <c r="CT47" s="740">
        <v>42.9</v>
      </c>
      <c r="CU47" s="740">
        <v>43.04</v>
      </c>
      <c r="CV47" s="740">
        <v>43.18</v>
      </c>
      <c r="CW47" s="740">
        <v>43.32</v>
      </c>
      <c r="CX47" s="740">
        <v>43.46</v>
      </c>
      <c r="CY47" s="740">
        <v>43.6</v>
      </c>
      <c r="CZ47" s="740">
        <v>43.74</v>
      </c>
      <c r="DA47" s="740">
        <v>43.87</v>
      </c>
      <c r="DB47" s="740">
        <v>44.01</v>
      </c>
      <c r="DC47" s="740">
        <v>44.14</v>
      </c>
      <c r="DD47" s="740">
        <v>44.28</v>
      </c>
      <c r="DE47" s="740">
        <v>44.41</v>
      </c>
      <c r="DF47" s="740">
        <v>44.54</v>
      </c>
      <c r="DG47" s="740">
        <v>44.67</v>
      </c>
      <c r="DH47" s="740">
        <v>44.8</v>
      </c>
      <c r="DI47" s="740">
        <v>44.93</v>
      </c>
      <c r="DJ47" s="740">
        <v>45.05</v>
      </c>
      <c r="DK47" s="740">
        <v>45.18</v>
      </c>
      <c r="DL47" s="740">
        <v>45.3</v>
      </c>
      <c r="DM47" s="740">
        <v>45.43</v>
      </c>
      <c r="DN47" s="740">
        <v>45.55</v>
      </c>
      <c r="DO47" s="740">
        <v>45.67</v>
      </c>
      <c r="DP47" s="740">
        <v>45.79</v>
      </c>
      <c r="DQ47" s="740">
        <v>45.91</v>
      </c>
      <c r="DR47" s="740">
        <v>46.03</v>
      </c>
    </row>
    <row r="48" spans="1:122">
      <c r="A48" s="906">
        <v>46</v>
      </c>
      <c r="B48" s="92"/>
      <c r="C48" s="92"/>
      <c r="D48" s="92"/>
      <c r="E48" s="92"/>
      <c r="F48" s="92"/>
      <c r="G48" s="92"/>
      <c r="H48" s="92"/>
      <c r="I48" s="92"/>
      <c r="J48" s="92"/>
      <c r="K48" s="92"/>
      <c r="L48" s="92"/>
      <c r="M48" s="92"/>
      <c r="N48" s="92"/>
      <c r="O48" s="92"/>
      <c r="P48" s="92"/>
      <c r="Q48" s="92"/>
      <c r="R48" s="92"/>
      <c r="S48" s="92"/>
      <c r="T48" s="92"/>
      <c r="U48" s="92"/>
      <c r="V48" s="740"/>
      <c r="W48" s="740">
        <v>29.19</v>
      </c>
      <c r="X48" s="740">
        <v>29.43</v>
      </c>
      <c r="Y48" s="740">
        <v>29.51</v>
      </c>
      <c r="Z48" s="740">
        <v>29.75</v>
      </c>
      <c r="AA48" s="740">
        <v>29.95</v>
      </c>
      <c r="AB48" s="740">
        <v>30.12</v>
      </c>
      <c r="AC48" s="740">
        <v>30.14</v>
      </c>
      <c r="AD48" s="740">
        <v>30.1</v>
      </c>
      <c r="AE48" s="740">
        <v>30.19</v>
      </c>
      <c r="AF48" s="740">
        <v>30.42</v>
      </c>
      <c r="AG48" s="740">
        <v>30.69</v>
      </c>
      <c r="AH48" s="740">
        <v>30.99</v>
      </c>
      <c r="AI48" s="740">
        <v>31.26</v>
      </c>
      <c r="AJ48" s="740">
        <v>31.58</v>
      </c>
      <c r="AK48" s="740">
        <v>31.88</v>
      </c>
      <c r="AL48" s="740">
        <v>32.25</v>
      </c>
      <c r="AM48" s="740">
        <v>32.57</v>
      </c>
      <c r="AN48" s="740">
        <v>32.799999999999997</v>
      </c>
      <c r="AO48" s="740">
        <v>32.96</v>
      </c>
      <c r="AP48" s="740">
        <v>33.15</v>
      </c>
      <c r="AQ48" s="740">
        <v>33.32</v>
      </c>
      <c r="AR48" s="740">
        <v>33.549999999999997</v>
      </c>
      <c r="AS48" s="740">
        <v>33.590000000000003</v>
      </c>
      <c r="AT48" s="740">
        <v>33.67</v>
      </c>
      <c r="AU48" s="740">
        <v>33.78</v>
      </c>
      <c r="AV48" s="740">
        <v>33.9</v>
      </c>
      <c r="AW48" s="740">
        <v>34.14</v>
      </c>
      <c r="AX48" s="740">
        <v>34.299999999999997</v>
      </c>
      <c r="AY48" s="740">
        <v>34.4</v>
      </c>
      <c r="AZ48" s="740">
        <v>34.49</v>
      </c>
      <c r="BA48" s="740">
        <v>34.6</v>
      </c>
      <c r="BB48" s="740">
        <v>34.729999999999997</v>
      </c>
      <c r="BC48" s="740">
        <v>34.869999999999997</v>
      </c>
      <c r="BD48" s="740">
        <v>35.020000000000003</v>
      </c>
      <c r="BE48" s="740">
        <v>35.200000000000003</v>
      </c>
      <c r="BF48" s="740">
        <v>35.39</v>
      </c>
      <c r="BG48" s="740">
        <v>35.549999999999997</v>
      </c>
      <c r="BH48" s="740">
        <v>35.770000000000003</v>
      </c>
      <c r="BI48" s="740">
        <v>35.93</v>
      </c>
      <c r="BJ48" s="740">
        <v>36.14</v>
      </c>
      <c r="BK48" s="740">
        <v>36.32</v>
      </c>
      <c r="BL48" s="740">
        <v>36.53</v>
      </c>
      <c r="BM48" s="740">
        <v>36.72</v>
      </c>
      <c r="BN48" s="740">
        <v>36.92</v>
      </c>
      <c r="BO48" s="740">
        <v>37.090000000000003</v>
      </c>
      <c r="BP48" s="740">
        <v>37.270000000000003</v>
      </c>
      <c r="BQ48" s="740">
        <v>37.43</v>
      </c>
      <c r="BR48" s="740">
        <v>37.61</v>
      </c>
      <c r="BS48" s="740">
        <v>37.770000000000003</v>
      </c>
      <c r="BT48" s="852">
        <v>37.94</v>
      </c>
      <c r="BU48" s="740">
        <v>38.1</v>
      </c>
      <c r="BV48" s="740">
        <v>38.270000000000003</v>
      </c>
      <c r="BW48" s="740">
        <v>38.44</v>
      </c>
      <c r="BX48" s="740">
        <v>38.6</v>
      </c>
      <c r="BY48" s="740">
        <v>38.76</v>
      </c>
      <c r="BZ48" s="740">
        <v>38.92</v>
      </c>
      <c r="CA48" s="740">
        <v>39.090000000000003</v>
      </c>
      <c r="CB48" s="740">
        <v>39.25</v>
      </c>
      <c r="CC48" s="740">
        <v>39.4</v>
      </c>
      <c r="CD48" s="740">
        <v>39.56</v>
      </c>
      <c r="CE48" s="740">
        <v>39.72</v>
      </c>
      <c r="CF48" s="740">
        <v>39.869999999999997</v>
      </c>
      <c r="CG48" s="740">
        <v>40.03</v>
      </c>
      <c r="CH48" s="740">
        <v>40.18</v>
      </c>
      <c r="CI48" s="740">
        <v>40.340000000000003</v>
      </c>
      <c r="CJ48" s="740">
        <v>40.49</v>
      </c>
      <c r="CK48" s="740">
        <v>40.64</v>
      </c>
      <c r="CL48" s="740">
        <v>40.79</v>
      </c>
      <c r="CM48" s="740">
        <v>40.94</v>
      </c>
      <c r="CN48" s="740">
        <v>41.09</v>
      </c>
      <c r="CO48" s="740">
        <v>41.23</v>
      </c>
      <c r="CP48" s="740">
        <v>41.38</v>
      </c>
      <c r="CQ48" s="740">
        <v>41.52</v>
      </c>
      <c r="CR48" s="740">
        <v>41.67</v>
      </c>
      <c r="CS48" s="740">
        <v>41.81</v>
      </c>
      <c r="CT48" s="740">
        <v>41.95</v>
      </c>
      <c r="CU48" s="740">
        <v>42.09</v>
      </c>
      <c r="CV48" s="740">
        <v>42.23</v>
      </c>
      <c r="CW48" s="740">
        <v>42.37</v>
      </c>
      <c r="CX48" s="740">
        <v>42.51</v>
      </c>
      <c r="CY48" s="740">
        <v>42.65</v>
      </c>
      <c r="CZ48" s="740">
        <v>42.78</v>
      </c>
      <c r="DA48" s="740">
        <v>42.92</v>
      </c>
      <c r="DB48" s="740">
        <v>43.05</v>
      </c>
      <c r="DC48" s="740">
        <v>43.19</v>
      </c>
      <c r="DD48" s="740">
        <v>43.32</v>
      </c>
      <c r="DE48" s="740">
        <v>43.45</v>
      </c>
      <c r="DF48" s="740">
        <v>43.58</v>
      </c>
      <c r="DG48" s="740">
        <v>43.71</v>
      </c>
      <c r="DH48" s="740">
        <v>43.84</v>
      </c>
      <c r="DI48" s="740">
        <v>43.96</v>
      </c>
      <c r="DJ48" s="740">
        <v>44.09</v>
      </c>
      <c r="DK48" s="740">
        <v>44.22</v>
      </c>
      <c r="DL48" s="740">
        <v>44.34</v>
      </c>
      <c r="DM48" s="740">
        <v>44.46</v>
      </c>
      <c r="DN48" s="740">
        <v>44.59</v>
      </c>
      <c r="DO48" s="740">
        <v>44.71</v>
      </c>
      <c r="DP48" s="740">
        <v>44.83</v>
      </c>
      <c r="DQ48" s="740">
        <v>44.95</v>
      </c>
      <c r="DR48" s="740">
        <v>45.07</v>
      </c>
    </row>
    <row r="49" spans="1:122">
      <c r="A49" s="906">
        <v>47</v>
      </c>
      <c r="B49" s="92"/>
      <c r="C49" s="92"/>
      <c r="D49" s="92"/>
      <c r="E49" s="92"/>
      <c r="F49" s="92"/>
      <c r="G49" s="92"/>
      <c r="H49" s="92"/>
      <c r="I49" s="92"/>
      <c r="J49" s="92"/>
      <c r="K49" s="92"/>
      <c r="L49" s="92"/>
      <c r="M49" s="92"/>
      <c r="N49" s="92"/>
      <c r="O49" s="92"/>
      <c r="P49" s="92"/>
      <c r="Q49" s="92"/>
      <c r="R49" s="92"/>
      <c r="S49" s="92"/>
      <c r="T49" s="92"/>
      <c r="U49" s="92"/>
      <c r="V49" s="740"/>
      <c r="W49" s="740">
        <v>28.33</v>
      </c>
      <c r="X49" s="740">
        <v>28.57</v>
      </c>
      <c r="Y49" s="740">
        <v>28.66</v>
      </c>
      <c r="Z49" s="740">
        <v>28.9</v>
      </c>
      <c r="AA49" s="740">
        <v>29.11</v>
      </c>
      <c r="AB49" s="740">
        <v>29.27</v>
      </c>
      <c r="AC49" s="740">
        <v>29.29</v>
      </c>
      <c r="AD49" s="740">
        <v>29.25</v>
      </c>
      <c r="AE49" s="740">
        <v>29.35</v>
      </c>
      <c r="AF49" s="740">
        <v>29.58</v>
      </c>
      <c r="AG49" s="740">
        <v>29.86</v>
      </c>
      <c r="AH49" s="740">
        <v>30.15</v>
      </c>
      <c r="AI49" s="740">
        <v>30.42</v>
      </c>
      <c r="AJ49" s="740">
        <v>30.74</v>
      </c>
      <c r="AK49" s="740">
        <v>31.04</v>
      </c>
      <c r="AL49" s="740">
        <v>31.4</v>
      </c>
      <c r="AM49" s="740">
        <v>31.72</v>
      </c>
      <c r="AN49" s="740">
        <v>31.95</v>
      </c>
      <c r="AO49" s="740">
        <v>32.11</v>
      </c>
      <c r="AP49" s="740">
        <v>32.29</v>
      </c>
      <c r="AQ49" s="740">
        <v>32.450000000000003</v>
      </c>
      <c r="AR49" s="740">
        <v>32.69</v>
      </c>
      <c r="AS49" s="740">
        <v>32.729999999999997</v>
      </c>
      <c r="AT49" s="740">
        <v>32.81</v>
      </c>
      <c r="AU49" s="740">
        <v>32.92</v>
      </c>
      <c r="AV49" s="740">
        <v>33.04</v>
      </c>
      <c r="AW49" s="740">
        <v>33.28</v>
      </c>
      <c r="AX49" s="740">
        <v>33.43</v>
      </c>
      <c r="AY49" s="740">
        <v>33.520000000000003</v>
      </c>
      <c r="AZ49" s="740">
        <v>33.619999999999997</v>
      </c>
      <c r="BA49" s="740">
        <v>33.729999999999997</v>
      </c>
      <c r="BB49" s="740">
        <v>33.85</v>
      </c>
      <c r="BC49" s="740">
        <v>33.99</v>
      </c>
      <c r="BD49" s="740">
        <v>34.14</v>
      </c>
      <c r="BE49" s="740">
        <v>34.32</v>
      </c>
      <c r="BF49" s="740">
        <v>34.51</v>
      </c>
      <c r="BG49" s="740">
        <v>34.67</v>
      </c>
      <c r="BH49" s="740">
        <v>34.880000000000003</v>
      </c>
      <c r="BI49" s="740">
        <v>35.04</v>
      </c>
      <c r="BJ49" s="740">
        <v>35.24</v>
      </c>
      <c r="BK49" s="740">
        <v>35.42</v>
      </c>
      <c r="BL49" s="740">
        <v>35.619999999999997</v>
      </c>
      <c r="BM49" s="740">
        <v>35.82</v>
      </c>
      <c r="BN49" s="740">
        <v>36.01</v>
      </c>
      <c r="BO49" s="740">
        <v>36.17</v>
      </c>
      <c r="BP49" s="740">
        <v>36.35</v>
      </c>
      <c r="BQ49" s="740">
        <v>36.520000000000003</v>
      </c>
      <c r="BR49" s="740">
        <v>36.69</v>
      </c>
      <c r="BS49" s="740">
        <v>36.85</v>
      </c>
      <c r="BT49" s="852">
        <v>37.020000000000003</v>
      </c>
      <c r="BU49" s="740">
        <v>37.18</v>
      </c>
      <c r="BV49" s="740">
        <v>37.35</v>
      </c>
      <c r="BW49" s="740">
        <v>37.51</v>
      </c>
      <c r="BX49" s="740">
        <v>37.68</v>
      </c>
      <c r="BY49" s="740">
        <v>37.840000000000003</v>
      </c>
      <c r="BZ49" s="740">
        <v>38</v>
      </c>
      <c r="CA49" s="740">
        <v>38.159999999999997</v>
      </c>
      <c r="CB49" s="740">
        <v>38.32</v>
      </c>
      <c r="CC49" s="740">
        <v>38.479999999999997</v>
      </c>
      <c r="CD49" s="740">
        <v>38.630000000000003</v>
      </c>
      <c r="CE49" s="740">
        <v>38.79</v>
      </c>
      <c r="CF49" s="740">
        <v>38.94</v>
      </c>
      <c r="CG49" s="740">
        <v>39.1</v>
      </c>
      <c r="CH49" s="740">
        <v>39.25</v>
      </c>
      <c r="CI49" s="740">
        <v>39.4</v>
      </c>
      <c r="CJ49" s="740">
        <v>39.549999999999997</v>
      </c>
      <c r="CK49" s="740">
        <v>39.700000000000003</v>
      </c>
      <c r="CL49" s="740">
        <v>39.85</v>
      </c>
      <c r="CM49" s="740">
        <v>40</v>
      </c>
      <c r="CN49" s="740">
        <v>40.14</v>
      </c>
      <c r="CO49" s="740">
        <v>40.29</v>
      </c>
      <c r="CP49" s="740">
        <v>40.44</v>
      </c>
      <c r="CQ49" s="740">
        <v>40.58</v>
      </c>
      <c r="CR49" s="740">
        <v>40.72</v>
      </c>
      <c r="CS49" s="740">
        <v>40.86</v>
      </c>
      <c r="CT49" s="740">
        <v>41.01</v>
      </c>
      <c r="CU49" s="740">
        <v>41.15</v>
      </c>
      <c r="CV49" s="740">
        <v>41.28</v>
      </c>
      <c r="CW49" s="740">
        <v>41.42</v>
      </c>
      <c r="CX49" s="740">
        <v>41.56</v>
      </c>
      <c r="CY49" s="740">
        <v>41.7</v>
      </c>
      <c r="CZ49" s="740">
        <v>41.83</v>
      </c>
      <c r="DA49" s="740">
        <v>41.97</v>
      </c>
      <c r="DB49" s="740">
        <v>42.1</v>
      </c>
      <c r="DC49" s="740">
        <v>42.23</v>
      </c>
      <c r="DD49" s="740">
        <v>42.36</v>
      </c>
      <c r="DE49" s="740">
        <v>42.49</v>
      </c>
      <c r="DF49" s="740">
        <v>42.62</v>
      </c>
      <c r="DG49" s="740">
        <v>42.75</v>
      </c>
      <c r="DH49" s="740">
        <v>42.88</v>
      </c>
      <c r="DI49" s="740">
        <v>43.01</v>
      </c>
      <c r="DJ49" s="740">
        <v>43.13</v>
      </c>
      <c r="DK49" s="740">
        <v>43.26</v>
      </c>
      <c r="DL49" s="740">
        <v>43.38</v>
      </c>
      <c r="DM49" s="740">
        <v>43.5</v>
      </c>
      <c r="DN49" s="740">
        <v>43.62</v>
      </c>
      <c r="DO49" s="740">
        <v>43.74</v>
      </c>
      <c r="DP49" s="740">
        <v>43.86</v>
      </c>
      <c r="DQ49" s="740">
        <v>43.98</v>
      </c>
      <c r="DR49" s="740">
        <v>44.1</v>
      </c>
    </row>
    <row r="50" spans="1:122">
      <c r="A50" s="906">
        <v>48</v>
      </c>
      <c r="B50" s="92"/>
      <c r="C50" s="92"/>
      <c r="D50" s="92"/>
      <c r="E50" s="92"/>
      <c r="F50" s="92"/>
      <c r="G50" s="92"/>
      <c r="H50" s="92"/>
      <c r="I50" s="92"/>
      <c r="J50" s="92"/>
      <c r="K50" s="92"/>
      <c r="L50" s="92"/>
      <c r="M50" s="92"/>
      <c r="N50" s="92"/>
      <c r="O50" s="92"/>
      <c r="P50" s="92"/>
      <c r="Q50" s="92"/>
      <c r="R50" s="92"/>
      <c r="S50" s="92"/>
      <c r="T50" s="92"/>
      <c r="U50" s="92"/>
      <c r="V50" s="740"/>
      <c r="W50" s="740">
        <v>27.48</v>
      </c>
      <c r="X50" s="740">
        <v>27.73</v>
      </c>
      <c r="Y50" s="740">
        <v>27.82</v>
      </c>
      <c r="Z50" s="740">
        <v>28.06</v>
      </c>
      <c r="AA50" s="740">
        <v>28.27</v>
      </c>
      <c r="AB50" s="740">
        <v>28.43</v>
      </c>
      <c r="AC50" s="740">
        <v>28.46</v>
      </c>
      <c r="AD50" s="740">
        <v>28.42</v>
      </c>
      <c r="AE50" s="740">
        <v>28.52</v>
      </c>
      <c r="AF50" s="740">
        <v>28.75</v>
      </c>
      <c r="AG50" s="740">
        <v>29.03</v>
      </c>
      <c r="AH50" s="740">
        <v>29.32</v>
      </c>
      <c r="AI50" s="740">
        <v>29.59</v>
      </c>
      <c r="AJ50" s="740">
        <v>29.9</v>
      </c>
      <c r="AK50" s="740">
        <v>30.2</v>
      </c>
      <c r="AL50" s="740">
        <v>30.56</v>
      </c>
      <c r="AM50" s="740">
        <v>30.88</v>
      </c>
      <c r="AN50" s="740">
        <v>31.1</v>
      </c>
      <c r="AO50" s="740">
        <v>31.26</v>
      </c>
      <c r="AP50" s="740">
        <v>31.44</v>
      </c>
      <c r="AQ50" s="740">
        <v>31.6</v>
      </c>
      <c r="AR50" s="740">
        <v>31.84</v>
      </c>
      <c r="AS50" s="740">
        <v>31.88</v>
      </c>
      <c r="AT50" s="740">
        <v>31.96</v>
      </c>
      <c r="AU50" s="740">
        <v>32.07</v>
      </c>
      <c r="AV50" s="740">
        <v>32.18</v>
      </c>
      <c r="AW50" s="740">
        <v>32.43</v>
      </c>
      <c r="AX50" s="740">
        <v>32.57</v>
      </c>
      <c r="AY50" s="740">
        <v>32.659999999999997</v>
      </c>
      <c r="AZ50" s="740">
        <v>32.76</v>
      </c>
      <c r="BA50" s="740">
        <v>32.86</v>
      </c>
      <c r="BB50" s="740">
        <v>32.99</v>
      </c>
      <c r="BC50" s="740">
        <v>33.119999999999997</v>
      </c>
      <c r="BD50" s="740">
        <v>33.28</v>
      </c>
      <c r="BE50" s="740">
        <v>33.46</v>
      </c>
      <c r="BF50" s="740">
        <v>33.64</v>
      </c>
      <c r="BG50" s="740">
        <v>33.79</v>
      </c>
      <c r="BH50" s="740">
        <v>34</v>
      </c>
      <c r="BI50" s="740">
        <v>34.15</v>
      </c>
      <c r="BJ50" s="740">
        <v>34.35</v>
      </c>
      <c r="BK50" s="740">
        <v>34.53</v>
      </c>
      <c r="BL50" s="740">
        <v>34.729999999999997</v>
      </c>
      <c r="BM50" s="740">
        <v>34.92</v>
      </c>
      <c r="BN50" s="740">
        <v>35.1</v>
      </c>
      <c r="BO50" s="740">
        <v>35.270000000000003</v>
      </c>
      <c r="BP50" s="740">
        <v>35.44</v>
      </c>
      <c r="BQ50" s="740">
        <v>35.61</v>
      </c>
      <c r="BR50" s="740">
        <v>35.78</v>
      </c>
      <c r="BS50" s="740">
        <v>35.94</v>
      </c>
      <c r="BT50" s="852">
        <v>36.11</v>
      </c>
      <c r="BU50" s="740">
        <v>36.270000000000003</v>
      </c>
      <c r="BV50" s="740">
        <v>36.44</v>
      </c>
      <c r="BW50" s="740">
        <v>36.6</v>
      </c>
      <c r="BX50" s="740">
        <v>36.76</v>
      </c>
      <c r="BY50" s="740">
        <v>36.92</v>
      </c>
      <c r="BZ50" s="740">
        <v>37.08</v>
      </c>
      <c r="CA50" s="740">
        <v>37.24</v>
      </c>
      <c r="CB50" s="740">
        <v>37.39</v>
      </c>
      <c r="CC50" s="740">
        <v>37.549999999999997</v>
      </c>
      <c r="CD50" s="740">
        <v>37.71</v>
      </c>
      <c r="CE50" s="740">
        <v>37.86</v>
      </c>
      <c r="CF50" s="740">
        <v>38.01</v>
      </c>
      <c r="CG50" s="740">
        <v>38.17</v>
      </c>
      <c r="CH50" s="740">
        <v>38.32</v>
      </c>
      <c r="CI50" s="740">
        <v>38.47</v>
      </c>
      <c r="CJ50" s="740">
        <v>38.619999999999997</v>
      </c>
      <c r="CK50" s="740">
        <v>38.770000000000003</v>
      </c>
      <c r="CL50" s="740">
        <v>38.909999999999997</v>
      </c>
      <c r="CM50" s="740">
        <v>39.06</v>
      </c>
      <c r="CN50" s="740">
        <v>39.21</v>
      </c>
      <c r="CO50" s="740">
        <v>39.35</v>
      </c>
      <c r="CP50" s="740">
        <v>39.5</v>
      </c>
      <c r="CQ50" s="740">
        <v>39.64</v>
      </c>
      <c r="CR50" s="740">
        <v>39.78</v>
      </c>
      <c r="CS50" s="740">
        <v>39.92</v>
      </c>
      <c r="CT50" s="740">
        <v>40.06</v>
      </c>
      <c r="CU50" s="740">
        <v>40.200000000000003</v>
      </c>
      <c r="CV50" s="740">
        <v>40.340000000000003</v>
      </c>
      <c r="CW50" s="740">
        <v>40.479999999999997</v>
      </c>
      <c r="CX50" s="740">
        <v>40.61</v>
      </c>
      <c r="CY50" s="740">
        <v>40.75</v>
      </c>
      <c r="CZ50" s="740">
        <v>40.880000000000003</v>
      </c>
      <c r="DA50" s="740">
        <v>41.02</v>
      </c>
      <c r="DB50" s="740">
        <v>41.15</v>
      </c>
      <c r="DC50" s="740">
        <v>41.28</v>
      </c>
      <c r="DD50" s="740">
        <v>41.41</v>
      </c>
      <c r="DE50" s="740">
        <v>41.54</v>
      </c>
      <c r="DF50" s="740">
        <v>41.67</v>
      </c>
      <c r="DG50" s="740">
        <v>41.8</v>
      </c>
      <c r="DH50" s="740">
        <v>41.92</v>
      </c>
      <c r="DI50" s="740">
        <v>42.05</v>
      </c>
      <c r="DJ50" s="740">
        <v>42.17</v>
      </c>
      <c r="DK50" s="740">
        <v>42.3</v>
      </c>
      <c r="DL50" s="740">
        <v>42.42</v>
      </c>
      <c r="DM50" s="740">
        <v>42.54</v>
      </c>
      <c r="DN50" s="740">
        <v>42.66</v>
      </c>
      <c r="DO50" s="740">
        <v>42.78</v>
      </c>
      <c r="DP50" s="740">
        <v>42.9</v>
      </c>
      <c r="DQ50" s="740">
        <v>43.02</v>
      </c>
      <c r="DR50" s="740">
        <v>43.14</v>
      </c>
    </row>
    <row r="51" spans="1:122">
      <c r="A51" s="906">
        <v>49</v>
      </c>
      <c r="B51" s="92"/>
      <c r="C51" s="92"/>
      <c r="D51" s="92"/>
      <c r="E51" s="92"/>
      <c r="F51" s="92"/>
      <c r="G51" s="92"/>
      <c r="H51" s="92"/>
      <c r="I51" s="92"/>
      <c r="J51" s="92"/>
      <c r="K51" s="92"/>
      <c r="L51" s="92"/>
      <c r="M51" s="92"/>
      <c r="N51" s="92"/>
      <c r="O51" s="92"/>
      <c r="P51" s="92"/>
      <c r="Q51" s="92"/>
      <c r="R51" s="92"/>
      <c r="S51" s="92"/>
      <c r="T51" s="92"/>
      <c r="U51" s="92"/>
      <c r="V51" s="740"/>
      <c r="W51" s="740">
        <v>26.65</v>
      </c>
      <c r="X51" s="740">
        <v>26.9</v>
      </c>
      <c r="Y51" s="740">
        <v>26.98</v>
      </c>
      <c r="Z51" s="740">
        <v>27.23</v>
      </c>
      <c r="AA51" s="740">
        <v>27.44</v>
      </c>
      <c r="AB51" s="740">
        <v>27.61</v>
      </c>
      <c r="AC51" s="740">
        <v>27.63</v>
      </c>
      <c r="AD51" s="740">
        <v>27.6</v>
      </c>
      <c r="AE51" s="740">
        <v>27.7</v>
      </c>
      <c r="AF51" s="740">
        <v>27.93</v>
      </c>
      <c r="AG51" s="740">
        <v>28.21</v>
      </c>
      <c r="AH51" s="740">
        <v>28.5</v>
      </c>
      <c r="AI51" s="740">
        <v>28.76</v>
      </c>
      <c r="AJ51" s="740">
        <v>29.07</v>
      </c>
      <c r="AK51" s="740">
        <v>29.37</v>
      </c>
      <c r="AL51" s="740">
        <v>29.73</v>
      </c>
      <c r="AM51" s="740">
        <v>30.04</v>
      </c>
      <c r="AN51" s="740">
        <v>30.26</v>
      </c>
      <c r="AO51" s="740">
        <v>30.42</v>
      </c>
      <c r="AP51" s="740">
        <v>30.59</v>
      </c>
      <c r="AQ51" s="740">
        <v>30.76</v>
      </c>
      <c r="AR51" s="740">
        <v>30.99</v>
      </c>
      <c r="AS51" s="740">
        <v>31.04</v>
      </c>
      <c r="AT51" s="740">
        <v>31.13</v>
      </c>
      <c r="AU51" s="740">
        <v>31.23</v>
      </c>
      <c r="AV51" s="740">
        <v>31.33</v>
      </c>
      <c r="AW51" s="740">
        <v>31.57</v>
      </c>
      <c r="AX51" s="740">
        <v>31.71</v>
      </c>
      <c r="AY51" s="740">
        <v>31.8</v>
      </c>
      <c r="AZ51" s="740">
        <v>31.9</v>
      </c>
      <c r="BA51" s="740">
        <v>32</v>
      </c>
      <c r="BB51" s="740">
        <v>32.130000000000003</v>
      </c>
      <c r="BC51" s="740">
        <v>32.26</v>
      </c>
      <c r="BD51" s="740">
        <v>32.409999999999997</v>
      </c>
      <c r="BE51" s="740">
        <v>32.590000000000003</v>
      </c>
      <c r="BF51" s="740">
        <v>32.76</v>
      </c>
      <c r="BG51" s="740">
        <v>32.92</v>
      </c>
      <c r="BH51" s="740">
        <v>33.119999999999997</v>
      </c>
      <c r="BI51" s="740">
        <v>33.270000000000003</v>
      </c>
      <c r="BJ51" s="740">
        <v>33.47</v>
      </c>
      <c r="BK51" s="740">
        <v>33.64</v>
      </c>
      <c r="BL51" s="740">
        <v>33.840000000000003</v>
      </c>
      <c r="BM51" s="740">
        <v>34.020000000000003</v>
      </c>
      <c r="BN51" s="740">
        <v>34.200000000000003</v>
      </c>
      <c r="BO51" s="740">
        <v>34.369999999999997</v>
      </c>
      <c r="BP51" s="740">
        <v>34.54</v>
      </c>
      <c r="BQ51" s="740">
        <v>34.71</v>
      </c>
      <c r="BR51" s="740">
        <v>34.880000000000003</v>
      </c>
      <c r="BS51" s="740">
        <v>35.04</v>
      </c>
      <c r="BT51" s="852">
        <v>35.200000000000003</v>
      </c>
      <c r="BU51" s="740">
        <v>35.36</v>
      </c>
      <c r="BV51" s="740">
        <v>35.53</v>
      </c>
      <c r="BW51" s="740">
        <v>35.69</v>
      </c>
      <c r="BX51" s="740">
        <v>35.85</v>
      </c>
      <c r="BY51" s="740">
        <v>36</v>
      </c>
      <c r="BZ51" s="740">
        <v>36.159999999999997</v>
      </c>
      <c r="CA51" s="740">
        <v>36.32</v>
      </c>
      <c r="CB51" s="740">
        <v>36.479999999999997</v>
      </c>
      <c r="CC51" s="740">
        <v>36.630000000000003</v>
      </c>
      <c r="CD51" s="740">
        <v>36.78</v>
      </c>
      <c r="CE51" s="740">
        <v>36.94</v>
      </c>
      <c r="CF51" s="740">
        <v>37.090000000000003</v>
      </c>
      <c r="CG51" s="740">
        <v>37.24</v>
      </c>
      <c r="CH51" s="740">
        <v>37.39</v>
      </c>
      <c r="CI51" s="740">
        <v>37.54</v>
      </c>
      <c r="CJ51" s="740">
        <v>37.69</v>
      </c>
      <c r="CK51" s="740">
        <v>37.840000000000003</v>
      </c>
      <c r="CL51" s="740">
        <v>37.979999999999997</v>
      </c>
      <c r="CM51" s="740">
        <v>38.130000000000003</v>
      </c>
      <c r="CN51" s="740">
        <v>38.270000000000003</v>
      </c>
      <c r="CO51" s="740">
        <v>38.42</v>
      </c>
      <c r="CP51" s="740">
        <v>38.56</v>
      </c>
      <c r="CQ51" s="740">
        <v>38.700000000000003</v>
      </c>
      <c r="CR51" s="740">
        <v>38.840000000000003</v>
      </c>
      <c r="CS51" s="740">
        <v>38.979999999999997</v>
      </c>
      <c r="CT51" s="740">
        <v>39.119999999999997</v>
      </c>
      <c r="CU51" s="740">
        <v>39.26</v>
      </c>
      <c r="CV51" s="740">
        <v>39.4</v>
      </c>
      <c r="CW51" s="740">
        <v>39.53</v>
      </c>
      <c r="CX51" s="740">
        <v>39.67</v>
      </c>
      <c r="CY51" s="740">
        <v>39.799999999999997</v>
      </c>
      <c r="CZ51" s="740">
        <v>39.94</v>
      </c>
      <c r="DA51" s="740">
        <v>40.07</v>
      </c>
      <c r="DB51" s="740">
        <v>40.200000000000003</v>
      </c>
      <c r="DC51" s="740">
        <v>40.33</v>
      </c>
      <c r="DD51" s="740">
        <v>40.46</v>
      </c>
      <c r="DE51" s="740">
        <v>40.590000000000003</v>
      </c>
      <c r="DF51" s="740">
        <v>40.72</v>
      </c>
      <c r="DG51" s="740">
        <v>40.85</v>
      </c>
      <c r="DH51" s="740">
        <v>40.97</v>
      </c>
      <c r="DI51" s="740">
        <v>41.1</v>
      </c>
      <c r="DJ51" s="740">
        <v>41.22</v>
      </c>
      <c r="DK51" s="740">
        <v>41.34</v>
      </c>
      <c r="DL51" s="740">
        <v>41.47</v>
      </c>
      <c r="DM51" s="740">
        <v>41.59</v>
      </c>
      <c r="DN51" s="740">
        <v>41.71</v>
      </c>
      <c r="DO51" s="740">
        <v>41.83</v>
      </c>
      <c r="DP51" s="740">
        <v>41.95</v>
      </c>
      <c r="DQ51" s="740">
        <v>42.06</v>
      </c>
      <c r="DR51" s="740">
        <v>42.18</v>
      </c>
    </row>
    <row r="52" spans="1:122">
      <c r="A52" s="906">
        <v>50</v>
      </c>
      <c r="B52" s="92"/>
      <c r="C52" s="92"/>
      <c r="D52" s="92"/>
      <c r="E52" s="92"/>
      <c r="F52" s="92"/>
      <c r="G52" s="92"/>
      <c r="H52" s="92"/>
      <c r="I52" s="92"/>
      <c r="J52" s="92"/>
      <c r="K52" s="92"/>
      <c r="L52" s="92"/>
      <c r="M52" s="92"/>
      <c r="N52" s="92"/>
      <c r="O52" s="92"/>
      <c r="P52" s="92"/>
      <c r="Q52" s="92"/>
      <c r="R52" s="92"/>
      <c r="S52" s="92"/>
      <c r="T52" s="92"/>
      <c r="U52" s="92"/>
      <c r="V52" s="740"/>
      <c r="W52" s="740">
        <v>25.83</v>
      </c>
      <c r="X52" s="740">
        <v>26.07</v>
      </c>
      <c r="Y52" s="740">
        <v>26.16</v>
      </c>
      <c r="Z52" s="740">
        <v>26.41</v>
      </c>
      <c r="AA52" s="740">
        <v>26.62</v>
      </c>
      <c r="AB52" s="740">
        <v>26.79</v>
      </c>
      <c r="AC52" s="740">
        <v>26.81</v>
      </c>
      <c r="AD52" s="740">
        <v>26.78</v>
      </c>
      <c r="AE52" s="740">
        <v>26.9</v>
      </c>
      <c r="AF52" s="740">
        <v>27.13</v>
      </c>
      <c r="AG52" s="740">
        <v>27.41</v>
      </c>
      <c r="AH52" s="740">
        <v>27.69</v>
      </c>
      <c r="AI52" s="740">
        <v>27.95</v>
      </c>
      <c r="AJ52" s="740">
        <v>28.24</v>
      </c>
      <c r="AK52" s="740">
        <v>28.54</v>
      </c>
      <c r="AL52" s="740">
        <v>28.9</v>
      </c>
      <c r="AM52" s="740">
        <v>29.21</v>
      </c>
      <c r="AN52" s="740">
        <v>29.43</v>
      </c>
      <c r="AO52" s="740">
        <v>29.58</v>
      </c>
      <c r="AP52" s="740">
        <v>29.76</v>
      </c>
      <c r="AQ52" s="740">
        <v>29.94</v>
      </c>
      <c r="AR52" s="740">
        <v>30.16</v>
      </c>
      <c r="AS52" s="740">
        <v>30.21</v>
      </c>
      <c r="AT52" s="740">
        <v>30.29</v>
      </c>
      <c r="AU52" s="740">
        <v>30.4</v>
      </c>
      <c r="AV52" s="740">
        <v>30.49</v>
      </c>
      <c r="AW52" s="740">
        <v>30.73</v>
      </c>
      <c r="AX52" s="740">
        <v>30.86</v>
      </c>
      <c r="AY52" s="740">
        <v>30.94</v>
      </c>
      <c r="AZ52" s="740">
        <v>31.05</v>
      </c>
      <c r="BA52" s="740">
        <v>31.14</v>
      </c>
      <c r="BB52" s="740">
        <v>31.27</v>
      </c>
      <c r="BC52" s="740">
        <v>31.4</v>
      </c>
      <c r="BD52" s="740">
        <v>31.56</v>
      </c>
      <c r="BE52" s="740">
        <v>31.73</v>
      </c>
      <c r="BF52" s="740">
        <v>31.9</v>
      </c>
      <c r="BG52" s="740">
        <v>32.049999999999997</v>
      </c>
      <c r="BH52" s="740">
        <v>32.25</v>
      </c>
      <c r="BI52" s="740">
        <v>32.4</v>
      </c>
      <c r="BJ52" s="740">
        <v>32.590000000000003</v>
      </c>
      <c r="BK52" s="740">
        <v>32.76</v>
      </c>
      <c r="BL52" s="740">
        <v>32.96</v>
      </c>
      <c r="BM52" s="740">
        <v>33.130000000000003</v>
      </c>
      <c r="BN52" s="740">
        <v>33.31</v>
      </c>
      <c r="BO52" s="740">
        <v>33.479999999999997</v>
      </c>
      <c r="BP52" s="740">
        <v>33.65</v>
      </c>
      <c r="BQ52" s="740">
        <v>33.81</v>
      </c>
      <c r="BR52" s="740">
        <v>33.97</v>
      </c>
      <c r="BS52" s="740">
        <v>34.14</v>
      </c>
      <c r="BT52" s="852">
        <v>34.299999999999997</v>
      </c>
      <c r="BU52" s="740">
        <v>34.46</v>
      </c>
      <c r="BV52" s="740">
        <v>34.619999999999997</v>
      </c>
      <c r="BW52" s="740">
        <v>34.78</v>
      </c>
      <c r="BX52" s="740">
        <v>34.94</v>
      </c>
      <c r="BY52" s="740">
        <v>35.1</v>
      </c>
      <c r="BZ52" s="740">
        <v>35.25</v>
      </c>
      <c r="CA52" s="740">
        <v>35.409999999999997</v>
      </c>
      <c r="CB52" s="740">
        <v>35.56</v>
      </c>
      <c r="CC52" s="740">
        <v>35.72</v>
      </c>
      <c r="CD52" s="740">
        <v>35.869999999999997</v>
      </c>
      <c r="CE52" s="740">
        <v>36.020000000000003</v>
      </c>
      <c r="CF52" s="740">
        <v>36.17</v>
      </c>
      <c r="CG52" s="740">
        <v>36.32</v>
      </c>
      <c r="CH52" s="740">
        <v>36.47</v>
      </c>
      <c r="CI52" s="740">
        <v>36.619999999999997</v>
      </c>
      <c r="CJ52" s="740">
        <v>36.770000000000003</v>
      </c>
      <c r="CK52" s="740">
        <v>36.909999999999997</v>
      </c>
      <c r="CL52" s="740">
        <v>37.06</v>
      </c>
      <c r="CM52" s="740">
        <v>37.200000000000003</v>
      </c>
      <c r="CN52" s="740">
        <v>37.35</v>
      </c>
      <c r="CO52" s="740">
        <v>37.49</v>
      </c>
      <c r="CP52" s="740">
        <v>37.630000000000003</v>
      </c>
      <c r="CQ52" s="740">
        <v>37.770000000000003</v>
      </c>
      <c r="CR52" s="740">
        <v>37.909999999999997</v>
      </c>
      <c r="CS52" s="740">
        <v>38.049999999999997</v>
      </c>
      <c r="CT52" s="740">
        <v>38.19</v>
      </c>
      <c r="CU52" s="740">
        <v>38.33</v>
      </c>
      <c r="CV52" s="740">
        <v>38.46</v>
      </c>
      <c r="CW52" s="740">
        <v>38.6</v>
      </c>
      <c r="CX52" s="740">
        <v>38.729999999999997</v>
      </c>
      <c r="CY52" s="740">
        <v>38.86</v>
      </c>
      <c r="CZ52" s="740">
        <v>39</v>
      </c>
      <c r="DA52" s="740">
        <v>39.130000000000003</v>
      </c>
      <c r="DB52" s="740">
        <v>39.26</v>
      </c>
      <c r="DC52" s="740">
        <v>39.39</v>
      </c>
      <c r="DD52" s="740">
        <v>39.520000000000003</v>
      </c>
      <c r="DE52" s="740">
        <v>39.65</v>
      </c>
      <c r="DF52" s="740">
        <v>39.770000000000003</v>
      </c>
      <c r="DG52" s="740">
        <v>39.9</v>
      </c>
      <c r="DH52" s="740">
        <v>40.020000000000003</v>
      </c>
      <c r="DI52" s="740">
        <v>40.15</v>
      </c>
      <c r="DJ52" s="740">
        <v>40.270000000000003</v>
      </c>
      <c r="DK52" s="740">
        <v>40.39</v>
      </c>
      <c r="DL52" s="740">
        <v>40.51</v>
      </c>
      <c r="DM52" s="740">
        <v>40.630000000000003</v>
      </c>
      <c r="DN52" s="740">
        <v>40.75</v>
      </c>
      <c r="DO52" s="740">
        <v>40.869999999999997</v>
      </c>
      <c r="DP52" s="740">
        <v>40.99</v>
      </c>
      <c r="DQ52" s="740">
        <v>41.11</v>
      </c>
      <c r="DR52" s="740">
        <v>41.22</v>
      </c>
    </row>
    <row r="53" spans="1:122">
      <c r="A53" s="906">
        <v>51</v>
      </c>
      <c r="B53" s="92"/>
      <c r="C53" s="92"/>
      <c r="D53" s="92"/>
      <c r="E53" s="92"/>
      <c r="F53" s="92"/>
      <c r="G53" s="92"/>
      <c r="H53" s="92"/>
      <c r="I53" s="92"/>
      <c r="J53" s="92"/>
      <c r="K53" s="92"/>
      <c r="L53" s="92"/>
      <c r="M53" s="92"/>
      <c r="N53" s="92"/>
      <c r="O53" s="92"/>
      <c r="P53" s="92"/>
      <c r="Q53" s="92"/>
      <c r="R53" s="92"/>
      <c r="S53" s="92"/>
      <c r="T53" s="92"/>
      <c r="U53" s="92"/>
      <c r="V53" s="740"/>
      <c r="W53" s="740">
        <v>25.02</v>
      </c>
      <c r="X53" s="740">
        <v>25.26</v>
      </c>
      <c r="Y53" s="740">
        <v>25.35</v>
      </c>
      <c r="Z53" s="740">
        <v>25.61</v>
      </c>
      <c r="AA53" s="740">
        <v>25.82</v>
      </c>
      <c r="AB53" s="740">
        <v>25.99</v>
      </c>
      <c r="AC53" s="740">
        <v>26.01</v>
      </c>
      <c r="AD53" s="740">
        <v>25.98</v>
      </c>
      <c r="AE53" s="740">
        <v>26.1</v>
      </c>
      <c r="AF53" s="740">
        <v>26.33</v>
      </c>
      <c r="AG53" s="740">
        <v>26.6</v>
      </c>
      <c r="AH53" s="740">
        <v>26.89</v>
      </c>
      <c r="AI53" s="740">
        <v>27.15</v>
      </c>
      <c r="AJ53" s="740">
        <v>27.44</v>
      </c>
      <c r="AK53" s="740">
        <v>27.73</v>
      </c>
      <c r="AL53" s="740">
        <v>28.09</v>
      </c>
      <c r="AM53" s="740">
        <v>28.39</v>
      </c>
      <c r="AN53" s="740">
        <v>28.61</v>
      </c>
      <c r="AO53" s="740">
        <v>28.76</v>
      </c>
      <c r="AP53" s="740">
        <v>28.95</v>
      </c>
      <c r="AQ53" s="740">
        <v>29.12</v>
      </c>
      <c r="AR53" s="740">
        <v>29.33</v>
      </c>
      <c r="AS53" s="740">
        <v>29.38</v>
      </c>
      <c r="AT53" s="740">
        <v>29.46</v>
      </c>
      <c r="AU53" s="740">
        <v>29.57</v>
      </c>
      <c r="AV53" s="740">
        <v>29.66</v>
      </c>
      <c r="AW53" s="740">
        <v>29.89</v>
      </c>
      <c r="AX53" s="740">
        <v>30.01</v>
      </c>
      <c r="AY53" s="740">
        <v>30.1</v>
      </c>
      <c r="AZ53" s="740">
        <v>30.2</v>
      </c>
      <c r="BA53" s="740">
        <v>30.3</v>
      </c>
      <c r="BB53" s="740">
        <v>30.42</v>
      </c>
      <c r="BC53" s="740">
        <v>30.56</v>
      </c>
      <c r="BD53" s="740">
        <v>30.71</v>
      </c>
      <c r="BE53" s="740">
        <v>30.87</v>
      </c>
      <c r="BF53" s="740">
        <v>31.04</v>
      </c>
      <c r="BG53" s="740">
        <v>31.19</v>
      </c>
      <c r="BH53" s="740">
        <v>31.38</v>
      </c>
      <c r="BI53" s="740">
        <v>31.53</v>
      </c>
      <c r="BJ53" s="740">
        <v>31.72</v>
      </c>
      <c r="BK53" s="740">
        <v>31.89</v>
      </c>
      <c r="BL53" s="740">
        <v>32.08</v>
      </c>
      <c r="BM53" s="740">
        <v>32.25</v>
      </c>
      <c r="BN53" s="740">
        <v>32.43</v>
      </c>
      <c r="BO53" s="740">
        <v>32.590000000000003</v>
      </c>
      <c r="BP53" s="740">
        <v>32.76</v>
      </c>
      <c r="BQ53" s="740">
        <v>32.92</v>
      </c>
      <c r="BR53" s="740">
        <v>33.08</v>
      </c>
      <c r="BS53" s="740">
        <v>33.24</v>
      </c>
      <c r="BT53" s="852">
        <v>33.4</v>
      </c>
      <c r="BU53" s="740">
        <v>33.56</v>
      </c>
      <c r="BV53" s="740">
        <v>33.72</v>
      </c>
      <c r="BW53" s="740">
        <v>33.880000000000003</v>
      </c>
      <c r="BX53" s="740">
        <v>34.04</v>
      </c>
      <c r="BY53" s="740">
        <v>34.19</v>
      </c>
      <c r="BZ53" s="740">
        <v>34.35</v>
      </c>
      <c r="CA53" s="740">
        <v>34.5</v>
      </c>
      <c r="CB53" s="740">
        <v>34.659999999999997</v>
      </c>
      <c r="CC53" s="740">
        <v>34.81</v>
      </c>
      <c r="CD53" s="740">
        <v>34.96</v>
      </c>
      <c r="CE53" s="740">
        <v>35.11</v>
      </c>
      <c r="CF53" s="740">
        <v>35.26</v>
      </c>
      <c r="CG53" s="740">
        <v>35.409999999999997</v>
      </c>
      <c r="CH53" s="740">
        <v>35.56</v>
      </c>
      <c r="CI53" s="740">
        <v>35.700000000000003</v>
      </c>
      <c r="CJ53" s="740">
        <v>35.85</v>
      </c>
      <c r="CK53" s="740">
        <v>35.99</v>
      </c>
      <c r="CL53" s="740">
        <v>36.14</v>
      </c>
      <c r="CM53" s="740">
        <v>36.28</v>
      </c>
      <c r="CN53" s="740">
        <v>36.42</v>
      </c>
      <c r="CO53" s="740">
        <v>36.56</v>
      </c>
      <c r="CP53" s="740">
        <v>36.71</v>
      </c>
      <c r="CQ53" s="740">
        <v>36.840000000000003</v>
      </c>
      <c r="CR53" s="740">
        <v>36.979999999999997</v>
      </c>
      <c r="CS53" s="740">
        <v>37.119999999999997</v>
      </c>
      <c r="CT53" s="740">
        <v>37.26</v>
      </c>
      <c r="CU53" s="740">
        <v>37.39</v>
      </c>
      <c r="CV53" s="740">
        <v>37.53</v>
      </c>
      <c r="CW53" s="740">
        <v>37.659999999999997</v>
      </c>
      <c r="CX53" s="740">
        <v>37.799999999999997</v>
      </c>
      <c r="CY53" s="740">
        <v>37.93</v>
      </c>
      <c r="CZ53" s="740">
        <v>38.06</v>
      </c>
      <c r="DA53" s="740">
        <v>38.19</v>
      </c>
      <c r="DB53" s="740">
        <v>38.32</v>
      </c>
      <c r="DC53" s="740">
        <v>38.450000000000003</v>
      </c>
      <c r="DD53" s="740">
        <v>38.58</v>
      </c>
      <c r="DE53" s="740">
        <v>38.700000000000003</v>
      </c>
      <c r="DF53" s="740">
        <v>38.83</v>
      </c>
      <c r="DG53" s="740">
        <v>38.96</v>
      </c>
      <c r="DH53" s="740">
        <v>39.08</v>
      </c>
      <c r="DI53" s="740">
        <v>39.200000000000003</v>
      </c>
      <c r="DJ53" s="740">
        <v>39.32</v>
      </c>
      <c r="DK53" s="740">
        <v>39.450000000000003</v>
      </c>
      <c r="DL53" s="740">
        <v>39.57</v>
      </c>
      <c r="DM53" s="740">
        <v>39.69</v>
      </c>
      <c r="DN53" s="740">
        <v>39.799999999999997</v>
      </c>
      <c r="DO53" s="740">
        <v>39.92</v>
      </c>
      <c r="DP53" s="740">
        <v>40.04</v>
      </c>
      <c r="DQ53" s="740">
        <v>40.159999999999997</v>
      </c>
      <c r="DR53" s="740">
        <v>40.270000000000003</v>
      </c>
    </row>
    <row r="54" spans="1:122">
      <c r="A54" s="906">
        <v>52</v>
      </c>
      <c r="B54" s="92"/>
      <c r="C54" s="92"/>
      <c r="D54" s="92"/>
      <c r="E54" s="92"/>
      <c r="F54" s="92"/>
      <c r="G54" s="92"/>
      <c r="H54" s="92"/>
      <c r="I54" s="92"/>
      <c r="J54" s="92"/>
      <c r="K54" s="92"/>
      <c r="L54" s="92"/>
      <c r="M54" s="92"/>
      <c r="N54" s="92"/>
      <c r="O54" s="92"/>
      <c r="P54" s="92"/>
      <c r="Q54" s="92"/>
      <c r="R54" s="92"/>
      <c r="S54" s="92"/>
      <c r="T54" s="92"/>
      <c r="U54" s="92"/>
      <c r="V54" s="740"/>
      <c r="W54" s="740">
        <v>24.22</v>
      </c>
      <c r="X54" s="740">
        <v>24.46</v>
      </c>
      <c r="Y54" s="740">
        <v>24.57</v>
      </c>
      <c r="Z54" s="740">
        <v>24.81</v>
      </c>
      <c r="AA54" s="740">
        <v>25.02</v>
      </c>
      <c r="AB54" s="740">
        <v>25.2</v>
      </c>
      <c r="AC54" s="740">
        <v>25.21</v>
      </c>
      <c r="AD54" s="740">
        <v>25.19</v>
      </c>
      <c r="AE54" s="740">
        <v>25.31</v>
      </c>
      <c r="AF54" s="740">
        <v>25.54</v>
      </c>
      <c r="AG54" s="740">
        <v>25.81</v>
      </c>
      <c r="AH54" s="740">
        <v>26.09</v>
      </c>
      <c r="AI54" s="740">
        <v>26.35</v>
      </c>
      <c r="AJ54" s="740">
        <v>26.64</v>
      </c>
      <c r="AK54" s="740">
        <v>26.93</v>
      </c>
      <c r="AL54" s="740">
        <v>27.27</v>
      </c>
      <c r="AM54" s="740">
        <v>27.58</v>
      </c>
      <c r="AN54" s="740">
        <v>27.79</v>
      </c>
      <c r="AO54" s="740">
        <v>27.96</v>
      </c>
      <c r="AP54" s="740">
        <v>28.14</v>
      </c>
      <c r="AQ54" s="740">
        <v>28.31</v>
      </c>
      <c r="AR54" s="740">
        <v>28.51</v>
      </c>
      <c r="AS54" s="740">
        <v>28.57</v>
      </c>
      <c r="AT54" s="740">
        <v>28.65</v>
      </c>
      <c r="AU54" s="740">
        <v>28.75</v>
      </c>
      <c r="AV54" s="740">
        <v>28.83</v>
      </c>
      <c r="AW54" s="740">
        <v>29.05</v>
      </c>
      <c r="AX54" s="740">
        <v>29.17</v>
      </c>
      <c r="AY54" s="740">
        <v>29.25</v>
      </c>
      <c r="AZ54" s="740">
        <v>29.36</v>
      </c>
      <c r="BA54" s="740">
        <v>29.46</v>
      </c>
      <c r="BB54" s="740">
        <v>29.58</v>
      </c>
      <c r="BC54" s="740">
        <v>29.71</v>
      </c>
      <c r="BD54" s="740">
        <v>29.86</v>
      </c>
      <c r="BE54" s="740">
        <v>30.02</v>
      </c>
      <c r="BF54" s="740">
        <v>30.18</v>
      </c>
      <c r="BG54" s="740">
        <v>30.34</v>
      </c>
      <c r="BH54" s="740">
        <v>30.53</v>
      </c>
      <c r="BI54" s="740">
        <v>30.68</v>
      </c>
      <c r="BJ54" s="740">
        <v>30.85</v>
      </c>
      <c r="BK54" s="740">
        <v>31.02</v>
      </c>
      <c r="BL54" s="740">
        <v>31.21</v>
      </c>
      <c r="BM54" s="740">
        <v>31.37</v>
      </c>
      <c r="BN54" s="740">
        <v>31.55</v>
      </c>
      <c r="BO54" s="740">
        <v>31.71</v>
      </c>
      <c r="BP54" s="740">
        <v>31.88</v>
      </c>
      <c r="BQ54" s="740">
        <v>32.04</v>
      </c>
      <c r="BR54" s="740">
        <v>32.200000000000003</v>
      </c>
      <c r="BS54" s="740">
        <v>32.36</v>
      </c>
      <c r="BT54" s="852">
        <v>32.520000000000003</v>
      </c>
      <c r="BU54" s="740">
        <v>32.67</v>
      </c>
      <c r="BV54" s="740">
        <v>32.83</v>
      </c>
      <c r="BW54" s="740">
        <v>32.99</v>
      </c>
      <c r="BX54" s="740">
        <v>33.14</v>
      </c>
      <c r="BY54" s="740">
        <v>33.299999999999997</v>
      </c>
      <c r="BZ54" s="740">
        <v>33.450000000000003</v>
      </c>
      <c r="CA54" s="740">
        <v>33.6</v>
      </c>
      <c r="CB54" s="740">
        <v>33.75</v>
      </c>
      <c r="CC54" s="740">
        <v>33.9</v>
      </c>
      <c r="CD54" s="740">
        <v>34.049999999999997</v>
      </c>
      <c r="CE54" s="740">
        <v>34.200000000000003</v>
      </c>
      <c r="CF54" s="740">
        <v>34.35</v>
      </c>
      <c r="CG54" s="740">
        <v>34.5</v>
      </c>
      <c r="CH54" s="740">
        <v>34.65</v>
      </c>
      <c r="CI54" s="740">
        <v>34.79</v>
      </c>
      <c r="CJ54" s="740">
        <v>34.94</v>
      </c>
      <c r="CK54" s="740">
        <v>35.08</v>
      </c>
      <c r="CL54" s="740">
        <v>35.22</v>
      </c>
      <c r="CM54" s="740">
        <v>35.36</v>
      </c>
      <c r="CN54" s="740">
        <v>35.51</v>
      </c>
      <c r="CO54" s="740">
        <v>35.65</v>
      </c>
      <c r="CP54" s="740">
        <v>35.79</v>
      </c>
      <c r="CQ54" s="740">
        <v>35.92</v>
      </c>
      <c r="CR54" s="740">
        <v>36.06</v>
      </c>
      <c r="CS54" s="740">
        <v>36.200000000000003</v>
      </c>
      <c r="CT54" s="740">
        <v>36.33</v>
      </c>
      <c r="CU54" s="740">
        <v>36.47</v>
      </c>
      <c r="CV54" s="740">
        <v>36.6</v>
      </c>
      <c r="CW54" s="740">
        <v>36.74</v>
      </c>
      <c r="CX54" s="740">
        <v>36.869999999999997</v>
      </c>
      <c r="CY54" s="740">
        <v>37</v>
      </c>
      <c r="CZ54" s="740">
        <v>37.130000000000003</v>
      </c>
      <c r="DA54" s="740">
        <v>37.26</v>
      </c>
      <c r="DB54" s="740">
        <v>37.39</v>
      </c>
      <c r="DC54" s="740">
        <v>37.51</v>
      </c>
      <c r="DD54" s="740">
        <v>37.64</v>
      </c>
      <c r="DE54" s="740">
        <v>37.770000000000003</v>
      </c>
      <c r="DF54" s="740">
        <v>37.89</v>
      </c>
      <c r="DG54" s="740">
        <v>38.020000000000003</v>
      </c>
      <c r="DH54" s="740">
        <v>38.14</v>
      </c>
      <c r="DI54" s="740">
        <v>38.26</v>
      </c>
      <c r="DJ54" s="740">
        <v>38.380000000000003</v>
      </c>
      <c r="DK54" s="740">
        <v>38.5</v>
      </c>
      <c r="DL54" s="740">
        <v>38.619999999999997</v>
      </c>
      <c r="DM54" s="740">
        <v>38.74</v>
      </c>
      <c r="DN54" s="740">
        <v>38.86</v>
      </c>
      <c r="DO54" s="740">
        <v>38.979999999999997</v>
      </c>
      <c r="DP54" s="740">
        <v>39.090000000000003</v>
      </c>
      <c r="DQ54" s="740">
        <v>39.21</v>
      </c>
      <c r="DR54" s="740">
        <v>39.32</v>
      </c>
    </row>
    <row r="55" spans="1:122">
      <c r="A55" s="906">
        <v>53</v>
      </c>
      <c r="B55" s="92"/>
      <c r="C55" s="92"/>
      <c r="D55" s="92"/>
      <c r="E55" s="92"/>
      <c r="F55" s="92"/>
      <c r="G55" s="92"/>
      <c r="H55" s="92"/>
      <c r="I55" s="92"/>
      <c r="J55" s="92"/>
      <c r="K55" s="92"/>
      <c r="L55" s="92"/>
      <c r="M55" s="92"/>
      <c r="N55" s="92"/>
      <c r="O55" s="92"/>
      <c r="P55" s="92"/>
      <c r="Q55" s="92"/>
      <c r="R55" s="92"/>
      <c r="S55" s="92"/>
      <c r="T55" s="92"/>
      <c r="U55" s="92"/>
      <c r="V55" s="740"/>
      <c r="W55" s="740">
        <v>23.44</v>
      </c>
      <c r="X55" s="740">
        <v>23.68</v>
      </c>
      <c r="Y55" s="740">
        <v>23.79</v>
      </c>
      <c r="Z55" s="740">
        <v>24.03</v>
      </c>
      <c r="AA55" s="740">
        <v>24.23</v>
      </c>
      <c r="AB55" s="740">
        <v>24.41</v>
      </c>
      <c r="AC55" s="740">
        <v>24.44</v>
      </c>
      <c r="AD55" s="740">
        <v>24.41</v>
      </c>
      <c r="AE55" s="740">
        <v>24.53</v>
      </c>
      <c r="AF55" s="740">
        <v>24.76</v>
      </c>
      <c r="AG55" s="740">
        <v>25.03</v>
      </c>
      <c r="AH55" s="740">
        <v>25.31</v>
      </c>
      <c r="AI55" s="740">
        <v>25.56</v>
      </c>
      <c r="AJ55" s="740">
        <v>25.85</v>
      </c>
      <c r="AK55" s="740">
        <v>26.14</v>
      </c>
      <c r="AL55" s="740">
        <v>26.47</v>
      </c>
      <c r="AM55" s="740">
        <v>26.77</v>
      </c>
      <c r="AN55" s="740">
        <v>27</v>
      </c>
      <c r="AO55" s="740">
        <v>27.16</v>
      </c>
      <c r="AP55" s="740">
        <v>27.33</v>
      </c>
      <c r="AQ55" s="740">
        <v>27.5</v>
      </c>
      <c r="AR55" s="740">
        <v>27.71</v>
      </c>
      <c r="AS55" s="740">
        <v>27.76</v>
      </c>
      <c r="AT55" s="740">
        <v>27.84</v>
      </c>
      <c r="AU55" s="740">
        <v>27.93</v>
      </c>
      <c r="AV55" s="740">
        <v>28</v>
      </c>
      <c r="AW55" s="740">
        <v>28.23</v>
      </c>
      <c r="AX55" s="740">
        <v>28.33</v>
      </c>
      <c r="AY55" s="740">
        <v>28.43</v>
      </c>
      <c r="AZ55" s="740">
        <v>28.53</v>
      </c>
      <c r="BA55" s="740">
        <v>28.62</v>
      </c>
      <c r="BB55" s="740">
        <v>28.75</v>
      </c>
      <c r="BC55" s="740">
        <v>28.88</v>
      </c>
      <c r="BD55" s="740">
        <v>29.03</v>
      </c>
      <c r="BE55" s="740">
        <v>29.18</v>
      </c>
      <c r="BF55" s="740">
        <v>29.34</v>
      </c>
      <c r="BG55" s="740">
        <v>29.49</v>
      </c>
      <c r="BH55" s="740">
        <v>29.68</v>
      </c>
      <c r="BI55" s="740">
        <v>29.83</v>
      </c>
      <c r="BJ55" s="740">
        <v>30</v>
      </c>
      <c r="BK55" s="740">
        <v>30.16</v>
      </c>
      <c r="BL55" s="740">
        <v>30.35</v>
      </c>
      <c r="BM55" s="740">
        <v>30.51</v>
      </c>
      <c r="BN55" s="740">
        <v>30.68</v>
      </c>
      <c r="BO55" s="740">
        <v>30.84</v>
      </c>
      <c r="BP55" s="740">
        <v>31</v>
      </c>
      <c r="BQ55" s="740">
        <v>31.16</v>
      </c>
      <c r="BR55" s="740">
        <v>31.32</v>
      </c>
      <c r="BS55" s="740">
        <v>31.48</v>
      </c>
      <c r="BT55" s="852">
        <v>31.64</v>
      </c>
      <c r="BU55" s="740">
        <v>31.79</v>
      </c>
      <c r="BV55" s="740">
        <v>31.95</v>
      </c>
      <c r="BW55" s="740">
        <v>32.1</v>
      </c>
      <c r="BX55" s="740">
        <v>32.25</v>
      </c>
      <c r="BY55" s="740">
        <v>32.409999999999997</v>
      </c>
      <c r="BZ55" s="740">
        <v>32.56</v>
      </c>
      <c r="CA55" s="740">
        <v>32.71</v>
      </c>
      <c r="CB55" s="740">
        <v>32.86</v>
      </c>
      <c r="CC55" s="740">
        <v>33.01</v>
      </c>
      <c r="CD55" s="740">
        <v>33.159999999999997</v>
      </c>
      <c r="CE55" s="740">
        <v>33.299999999999997</v>
      </c>
      <c r="CF55" s="740">
        <v>33.450000000000003</v>
      </c>
      <c r="CG55" s="740">
        <v>33.6</v>
      </c>
      <c r="CH55" s="740">
        <v>33.74</v>
      </c>
      <c r="CI55" s="740">
        <v>33.89</v>
      </c>
      <c r="CJ55" s="740">
        <v>34.03</v>
      </c>
      <c r="CK55" s="740">
        <v>34.17</v>
      </c>
      <c r="CL55" s="740">
        <v>34.31</v>
      </c>
      <c r="CM55" s="740">
        <v>34.450000000000003</v>
      </c>
      <c r="CN55" s="740">
        <v>34.590000000000003</v>
      </c>
      <c r="CO55" s="740">
        <v>34.729999999999997</v>
      </c>
      <c r="CP55" s="740">
        <v>34.869999999999997</v>
      </c>
      <c r="CQ55" s="740">
        <v>35.01</v>
      </c>
      <c r="CR55" s="740">
        <v>35.14</v>
      </c>
      <c r="CS55" s="740">
        <v>35.28</v>
      </c>
      <c r="CT55" s="740">
        <v>35.409999999999997</v>
      </c>
      <c r="CU55" s="740">
        <v>35.549999999999997</v>
      </c>
      <c r="CV55" s="740">
        <v>35.68</v>
      </c>
      <c r="CW55" s="740">
        <v>35.81</v>
      </c>
      <c r="CX55" s="740">
        <v>35.94</v>
      </c>
      <c r="CY55" s="740">
        <v>36.07</v>
      </c>
      <c r="CZ55" s="740">
        <v>36.200000000000003</v>
      </c>
      <c r="DA55" s="740">
        <v>36.33</v>
      </c>
      <c r="DB55" s="740">
        <v>36.46</v>
      </c>
      <c r="DC55" s="740">
        <v>36.58</v>
      </c>
      <c r="DD55" s="740">
        <v>36.71</v>
      </c>
      <c r="DE55" s="740">
        <v>36.840000000000003</v>
      </c>
      <c r="DF55" s="740">
        <v>36.96</v>
      </c>
      <c r="DG55" s="740">
        <v>37.08</v>
      </c>
      <c r="DH55" s="740">
        <v>37.200000000000003</v>
      </c>
      <c r="DI55" s="740">
        <v>37.33</v>
      </c>
      <c r="DJ55" s="740">
        <v>37.450000000000003</v>
      </c>
      <c r="DK55" s="740">
        <v>37.57</v>
      </c>
      <c r="DL55" s="740">
        <v>37.68</v>
      </c>
      <c r="DM55" s="740">
        <v>37.799999999999997</v>
      </c>
      <c r="DN55" s="740">
        <v>37.92</v>
      </c>
      <c r="DO55" s="740">
        <v>38.03</v>
      </c>
      <c r="DP55" s="740">
        <v>38.15</v>
      </c>
      <c r="DQ55" s="740">
        <v>38.26</v>
      </c>
      <c r="DR55" s="740">
        <v>38.380000000000003</v>
      </c>
    </row>
    <row r="56" spans="1:122">
      <c r="A56" s="906">
        <v>54</v>
      </c>
      <c r="B56" s="92"/>
      <c r="C56" s="92"/>
      <c r="D56" s="92"/>
      <c r="E56" s="92"/>
      <c r="F56" s="92"/>
      <c r="G56" s="92"/>
      <c r="H56" s="92"/>
      <c r="I56" s="92"/>
      <c r="J56" s="92"/>
      <c r="K56" s="92"/>
      <c r="L56" s="92"/>
      <c r="M56" s="92"/>
      <c r="N56" s="92"/>
      <c r="O56" s="92"/>
      <c r="P56" s="92"/>
      <c r="Q56" s="92"/>
      <c r="R56" s="92"/>
      <c r="S56" s="92"/>
      <c r="T56" s="92"/>
      <c r="U56" s="92"/>
      <c r="V56" s="740"/>
      <c r="W56" s="740">
        <v>22.67</v>
      </c>
      <c r="X56" s="740">
        <v>22.91</v>
      </c>
      <c r="Y56" s="740">
        <v>23.02</v>
      </c>
      <c r="Z56" s="740">
        <v>23.26</v>
      </c>
      <c r="AA56" s="740">
        <v>23.46</v>
      </c>
      <c r="AB56" s="740">
        <v>23.64</v>
      </c>
      <c r="AC56" s="740">
        <v>23.67</v>
      </c>
      <c r="AD56" s="740">
        <v>23.64</v>
      </c>
      <c r="AE56" s="740">
        <v>23.76</v>
      </c>
      <c r="AF56" s="740">
        <v>24</v>
      </c>
      <c r="AG56" s="740">
        <v>24.25</v>
      </c>
      <c r="AH56" s="740">
        <v>24.53</v>
      </c>
      <c r="AI56" s="740">
        <v>24.79</v>
      </c>
      <c r="AJ56" s="740">
        <v>25.07</v>
      </c>
      <c r="AK56" s="740">
        <v>25.36</v>
      </c>
      <c r="AL56" s="740">
        <v>25.69</v>
      </c>
      <c r="AM56" s="740">
        <v>26</v>
      </c>
      <c r="AN56" s="740">
        <v>26.21</v>
      </c>
      <c r="AO56" s="740">
        <v>26.37</v>
      </c>
      <c r="AP56" s="740">
        <v>26.54</v>
      </c>
      <c r="AQ56" s="740">
        <v>26.7</v>
      </c>
      <c r="AR56" s="740">
        <v>26.91</v>
      </c>
      <c r="AS56" s="740">
        <v>26.95</v>
      </c>
      <c r="AT56" s="740">
        <v>27.03</v>
      </c>
      <c r="AU56" s="740">
        <v>27.11</v>
      </c>
      <c r="AV56" s="740">
        <v>27.19</v>
      </c>
      <c r="AW56" s="740">
        <v>27.4</v>
      </c>
      <c r="AX56" s="740">
        <v>27.5</v>
      </c>
      <c r="AY56" s="740">
        <v>27.61</v>
      </c>
      <c r="AZ56" s="740">
        <v>27.71</v>
      </c>
      <c r="BA56" s="740">
        <v>27.8</v>
      </c>
      <c r="BB56" s="740">
        <v>27.92</v>
      </c>
      <c r="BC56" s="740">
        <v>28.05</v>
      </c>
      <c r="BD56" s="740">
        <v>28.19</v>
      </c>
      <c r="BE56" s="740">
        <v>28.34</v>
      </c>
      <c r="BF56" s="740">
        <v>28.5</v>
      </c>
      <c r="BG56" s="740">
        <v>28.66</v>
      </c>
      <c r="BH56" s="740">
        <v>28.83</v>
      </c>
      <c r="BI56" s="740">
        <v>28.98</v>
      </c>
      <c r="BJ56" s="740">
        <v>29.16</v>
      </c>
      <c r="BK56" s="740">
        <v>29.31</v>
      </c>
      <c r="BL56" s="740">
        <v>29.5</v>
      </c>
      <c r="BM56" s="740">
        <v>29.65</v>
      </c>
      <c r="BN56" s="740">
        <v>29.82</v>
      </c>
      <c r="BO56" s="740">
        <v>29.98</v>
      </c>
      <c r="BP56" s="740">
        <v>30.14</v>
      </c>
      <c r="BQ56" s="740">
        <v>30.29</v>
      </c>
      <c r="BR56" s="740">
        <v>30.45</v>
      </c>
      <c r="BS56" s="740">
        <v>30.61</v>
      </c>
      <c r="BT56" s="852">
        <v>30.76</v>
      </c>
      <c r="BU56" s="740">
        <v>30.92</v>
      </c>
      <c r="BV56" s="740">
        <v>31.07</v>
      </c>
      <c r="BW56" s="740">
        <v>31.22</v>
      </c>
      <c r="BX56" s="740">
        <v>31.37</v>
      </c>
      <c r="BY56" s="740">
        <v>31.53</v>
      </c>
      <c r="BZ56" s="740">
        <v>31.68</v>
      </c>
      <c r="CA56" s="740">
        <v>31.82</v>
      </c>
      <c r="CB56" s="740">
        <v>31.97</v>
      </c>
      <c r="CC56" s="740">
        <v>32.119999999999997</v>
      </c>
      <c r="CD56" s="740">
        <v>32.270000000000003</v>
      </c>
      <c r="CE56" s="740">
        <v>32.409999999999997</v>
      </c>
      <c r="CF56" s="740">
        <v>32.56</v>
      </c>
      <c r="CG56" s="740">
        <v>32.700000000000003</v>
      </c>
      <c r="CH56" s="740">
        <v>32.85</v>
      </c>
      <c r="CI56" s="740">
        <v>32.99</v>
      </c>
      <c r="CJ56" s="740">
        <v>33.130000000000003</v>
      </c>
      <c r="CK56" s="740">
        <v>33.270000000000003</v>
      </c>
      <c r="CL56" s="740">
        <v>33.409999999999997</v>
      </c>
      <c r="CM56" s="740">
        <v>33.549999999999997</v>
      </c>
      <c r="CN56" s="740">
        <v>33.69</v>
      </c>
      <c r="CO56" s="740">
        <v>33.83</v>
      </c>
      <c r="CP56" s="740">
        <v>33.96</v>
      </c>
      <c r="CQ56" s="740">
        <v>34.1</v>
      </c>
      <c r="CR56" s="740">
        <v>34.229999999999997</v>
      </c>
      <c r="CS56" s="740">
        <v>34.369999999999997</v>
      </c>
      <c r="CT56" s="740">
        <v>34.5</v>
      </c>
      <c r="CU56" s="740">
        <v>34.630000000000003</v>
      </c>
      <c r="CV56" s="740">
        <v>34.76</v>
      </c>
      <c r="CW56" s="740">
        <v>34.89</v>
      </c>
      <c r="CX56" s="740">
        <v>35.020000000000003</v>
      </c>
      <c r="CY56" s="740">
        <v>35.15</v>
      </c>
      <c r="CZ56" s="740">
        <v>35.28</v>
      </c>
      <c r="DA56" s="740">
        <v>35.409999999999997</v>
      </c>
      <c r="DB56" s="740">
        <v>35.53</v>
      </c>
      <c r="DC56" s="740">
        <v>35.659999999999997</v>
      </c>
      <c r="DD56" s="740">
        <v>35.78</v>
      </c>
      <c r="DE56" s="740">
        <v>35.909999999999997</v>
      </c>
      <c r="DF56" s="740">
        <v>36.03</v>
      </c>
      <c r="DG56" s="740">
        <v>36.15</v>
      </c>
      <c r="DH56" s="740">
        <v>36.270000000000003</v>
      </c>
      <c r="DI56" s="740">
        <v>36.39</v>
      </c>
      <c r="DJ56" s="740">
        <v>36.51</v>
      </c>
      <c r="DK56" s="740">
        <v>36.630000000000003</v>
      </c>
      <c r="DL56" s="740">
        <v>36.75</v>
      </c>
      <c r="DM56" s="740">
        <v>36.869999999999997</v>
      </c>
      <c r="DN56" s="740">
        <v>36.979999999999997</v>
      </c>
      <c r="DO56" s="740">
        <v>37.1</v>
      </c>
      <c r="DP56" s="740">
        <v>37.21</v>
      </c>
      <c r="DQ56" s="740">
        <v>37.32</v>
      </c>
      <c r="DR56" s="740">
        <v>37.44</v>
      </c>
    </row>
    <row r="57" spans="1:122">
      <c r="A57" s="906">
        <v>55</v>
      </c>
      <c r="B57" s="92"/>
      <c r="C57" s="92"/>
      <c r="D57" s="92"/>
      <c r="E57" s="92"/>
      <c r="F57" s="92"/>
      <c r="G57" s="92"/>
      <c r="H57" s="92"/>
      <c r="I57" s="92"/>
      <c r="J57" s="92"/>
      <c r="K57" s="92"/>
      <c r="L57" s="92"/>
      <c r="M57" s="92"/>
      <c r="N57" s="92"/>
      <c r="O57" s="92"/>
      <c r="P57" s="92"/>
      <c r="Q57" s="92"/>
      <c r="R57" s="92"/>
      <c r="S57" s="92"/>
      <c r="T57" s="92"/>
      <c r="U57" s="92"/>
      <c r="V57" s="740"/>
      <c r="W57" s="740">
        <v>21.91</v>
      </c>
      <c r="X57" s="740">
        <v>22.15</v>
      </c>
      <c r="Y57" s="740">
        <v>22.25</v>
      </c>
      <c r="Z57" s="740">
        <v>22.5</v>
      </c>
      <c r="AA57" s="740">
        <v>22.69</v>
      </c>
      <c r="AB57" s="740">
        <v>22.88</v>
      </c>
      <c r="AC57" s="740">
        <v>22.9</v>
      </c>
      <c r="AD57" s="740">
        <v>22.88</v>
      </c>
      <c r="AE57" s="740">
        <v>23.01</v>
      </c>
      <c r="AF57" s="740">
        <v>23.24</v>
      </c>
      <c r="AG57" s="740">
        <v>23.5</v>
      </c>
      <c r="AH57" s="740">
        <v>23.77</v>
      </c>
      <c r="AI57" s="740">
        <v>24.03</v>
      </c>
      <c r="AJ57" s="740">
        <v>24.29</v>
      </c>
      <c r="AK57" s="740">
        <v>24.59</v>
      </c>
      <c r="AL57" s="740">
        <v>24.91</v>
      </c>
      <c r="AM57" s="740">
        <v>25.22</v>
      </c>
      <c r="AN57" s="740">
        <v>25.43</v>
      </c>
      <c r="AO57" s="740">
        <v>25.59</v>
      </c>
      <c r="AP57" s="740">
        <v>25.75</v>
      </c>
      <c r="AQ57" s="740">
        <v>25.92</v>
      </c>
      <c r="AR57" s="740">
        <v>26.11</v>
      </c>
      <c r="AS57" s="740">
        <v>26.15</v>
      </c>
      <c r="AT57" s="740">
        <v>26.23</v>
      </c>
      <c r="AU57" s="740">
        <v>26.31</v>
      </c>
      <c r="AV57" s="740">
        <v>26.38</v>
      </c>
      <c r="AW57" s="740">
        <v>26.59</v>
      </c>
      <c r="AX57" s="740">
        <v>26.69</v>
      </c>
      <c r="AY57" s="740">
        <v>26.79</v>
      </c>
      <c r="AZ57" s="740">
        <v>26.89</v>
      </c>
      <c r="BA57" s="740">
        <v>26.98</v>
      </c>
      <c r="BB57" s="740">
        <v>27.09</v>
      </c>
      <c r="BC57" s="740">
        <v>27.23</v>
      </c>
      <c r="BD57" s="740">
        <v>27.37</v>
      </c>
      <c r="BE57" s="740">
        <v>27.52</v>
      </c>
      <c r="BF57" s="740">
        <v>27.68</v>
      </c>
      <c r="BG57" s="740">
        <v>27.83</v>
      </c>
      <c r="BH57" s="740">
        <v>28.01</v>
      </c>
      <c r="BI57" s="740">
        <v>28.15</v>
      </c>
      <c r="BJ57" s="740">
        <v>28.32</v>
      </c>
      <c r="BK57" s="740">
        <v>28.48</v>
      </c>
      <c r="BL57" s="740">
        <v>28.65</v>
      </c>
      <c r="BM57" s="740">
        <v>28.81</v>
      </c>
      <c r="BN57" s="740">
        <v>28.97</v>
      </c>
      <c r="BO57" s="740">
        <v>29.12</v>
      </c>
      <c r="BP57" s="740">
        <v>29.28</v>
      </c>
      <c r="BQ57" s="740">
        <v>29.44</v>
      </c>
      <c r="BR57" s="740">
        <v>29.59</v>
      </c>
      <c r="BS57" s="740">
        <v>29.74</v>
      </c>
      <c r="BT57" s="852">
        <v>29.9</v>
      </c>
      <c r="BU57" s="740">
        <v>30.05</v>
      </c>
      <c r="BV57" s="740">
        <v>30.2</v>
      </c>
      <c r="BW57" s="740">
        <v>30.35</v>
      </c>
      <c r="BX57" s="740">
        <v>30.5</v>
      </c>
      <c r="BY57" s="740">
        <v>30.65</v>
      </c>
      <c r="BZ57" s="740">
        <v>30.8</v>
      </c>
      <c r="CA57" s="740">
        <v>30.95</v>
      </c>
      <c r="CB57" s="740">
        <v>31.09</v>
      </c>
      <c r="CC57" s="740">
        <v>31.24</v>
      </c>
      <c r="CD57" s="740">
        <v>31.38</v>
      </c>
      <c r="CE57" s="740">
        <v>31.53</v>
      </c>
      <c r="CF57" s="740">
        <v>31.67</v>
      </c>
      <c r="CG57" s="740">
        <v>31.81</v>
      </c>
      <c r="CH57" s="740">
        <v>31.96</v>
      </c>
      <c r="CI57" s="740">
        <v>32.1</v>
      </c>
      <c r="CJ57" s="740">
        <v>32.24</v>
      </c>
      <c r="CK57" s="740">
        <v>32.380000000000003</v>
      </c>
      <c r="CL57" s="740">
        <v>32.520000000000003</v>
      </c>
      <c r="CM57" s="740">
        <v>32.65</v>
      </c>
      <c r="CN57" s="740">
        <v>32.79</v>
      </c>
      <c r="CO57" s="740">
        <v>32.93</v>
      </c>
      <c r="CP57" s="740">
        <v>33.06</v>
      </c>
      <c r="CQ57" s="740">
        <v>33.19</v>
      </c>
      <c r="CR57" s="740">
        <v>33.33</v>
      </c>
      <c r="CS57" s="740">
        <v>33.46</v>
      </c>
      <c r="CT57" s="740">
        <v>33.590000000000003</v>
      </c>
      <c r="CU57" s="740">
        <v>33.72</v>
      </c>
      <c r="CV57" s="740">
        <v>33.85</v>
      </c>
      <c r="CW57" s="740">
        <v>33.979999999999997</v>
      </c>
      <c r="CX57" s="740">
        <v>34.11</v>
      </c>
      <c r="CY57" s="740">
        <v>34.24</v>
      </c>
      <c r="CZ57" s="740">
        <v>34.369999999999997</v>
      </c>
      <c r="DA57" s="740">
        <v>34.49</v>
      </c>
      <c r="DB57" s="740">
        <v>34.619999999999997</v>
      </c>
      <c r="DC57" s="740">
        <v>34.74</v>
      </c>
      <c r="DD57" s="740">
        <v>34.86</v>
      </c>
      <c r="DE57" s="740">
        <v>34.99</v>
      </c>
      <c r="DF57" s="740">
        <v>35.11</v>
      </c>
      <c r="DG57" s="740">
        <v>35.229999999999997</v>
      </c>
      <c r="DH57" s="740">
        <v>35.35</v>
      </c>
      <c r="DI57" s="740">
        <v>35.47</v>
      </c>
      <c r="DJ57" s="740">
        <v>35.58</v>
      </c>
      <c r="DK57" s="740">
        <v>35.700000000000003</v>
      </c>
      <c r="DL57" s="740">
        <v>35.82</v>
      </c>
      <c r="DM57" s="740">
        <v>35.93</v>
      </c>
      <c r="DN57" s="740">
        <v>36.049999999999997</v>
      </c>
      <c r="DO57" s="740">
        <v>36.159999999999997</v>
      </c>
      <c r="DP57" s="740">
        <v>36.28</v>
      </c>
      <c r="DQ57" s="740">
        <v>36.39</v>
      </c>
      <c r="DR57" s="740">
        <v>36.5</v>
      </c>
    </row>
    <row r="58" spans="1:122">
      <c r="A58" s="906">
        <v>56</v>
      </c>
      <c r="B58" s="92"/>
      <c r="C58" s="92"/>
      <c r="D58" s="92"/>
      <c r="E58" s="92"/>
      <c r="F58" s="92"/>
      <c r="G58" s="92"/>
      <c r="H58" s="92"/>
      <c r="I58" s="92"/>
      <c r="J58" s="92"/>
      <c r="K58" s="92"/>
      <c r="L58" s="92"/>
      <c r="M58" s="92"/>
      <c r="N58" s="92"/>
      <c r="O58" s="92"/>
      <c r="P58" s="92"/>
      <c r="Q58" s="92"/>
      <c r="R58" s="92"/>
      <c r="S58" s="92"/>
      <c r="T58" s="92"/>
      <c r="U58" s="92"/>
      <c r="V58" s="740"/>
      <c r="W58" s="740">
        <v>21.16</v>
      </c>
      <c r="X58" s="740">
        <v>21.4</v>
      </c>
      <c r="Y58" s="740">
        <v>21.5</v>
      </c>
      <c r="Z58" s="740">
        <v>21.75</v>
      </c>
      <c r="AA58" s="740">
        <v>21.94</v>
      </c>
      <c r="AB58" s="740">
        <v>22.13</v>
      </c>
      <c r="AC58" s="740">
        <v>22.16</v>
      </c>
      <c r="AD58" s="740">
        <v>22.14</v>
      </c>
      <c r="AE58" s="740">
        <v>22.27</v>
      </c>
      <c r="AF58" s="740">
        <v>22.49</v>
      </c>
      <c r="AG58" s="740">
        <v>22.75</v>
      </c>
      <c r="AH58" s="740">
        <v>23.02</v>
      </c>
      <c r="AI58" s="740">
        <v>23.27</v>
      </c>
      <c r="AJ58" s="740">
        <v>23.54</v>
      </c>
      <c r="AK58" s="740">
        <v>23.84</v>
      </c>
      <c r="AL58" s="740">
        <v>24.15</v>
      </c>
      <c r="AM58" s="740">
        <v>24.45</v>
      </c>
      <c r="AN58" s="740">
        <v>24.66</v>
      </c>
      <c r="AO58" s="740">
        <v>24.81</v>
      </c>
      <c r="AP58" s="740">
        <v>24.98</v>
      </c>
      <c r="AQ58" s="740">
        <v>25.13</v>
      </c>
      <c r="AR58" s="740">
        <v>25.31</v>
      </c>
      <c r="AS58" s="740">
        <v>25.35</v>
      </c>
      <c r="AT58" s="740">
        <v>25.44</v>
      </c>
      <c r="AU58" s="740">
        <v>25.51</v>
      </c>
      <c r="AV58" s="740">
        <v>25.58</v>
      </c>
      <c r="AW58" s="740">
        <v>25.79</v>
      </c>
      <c r="AX58" s="740">
        <v>25.88</v>
      </c>
      <c r="AY58" s="740">
        <v>25.98</v>
      </c>
      <c r="AZ58" s="740">
        <v>26.08</v>
      </c>
      <c r="BA58" s="740">
        <v>26.17</v>
      </c>
      <c r="BB58" s="740">
        <v>26.27</v>
      </c>
      <c r="BC58" s="740">
        <v>26.41</v>
      </c>
      <c r="BD58" s="740">
        <v>26.56</v>
      </c>
      <c r="BE58" s="740">
        <v>26.71</v>
      </c>
      <c r="BF58" s="740">
        <v>26.86</v>
      </c>
      <c r="BG58" s="740">
        <v>27.01</v>
      </c>
      <c r="BH58" s="740">
        <v>27.18</v>
      </c>
      <c r="BI58" s="740">
        <v>27.32</v>
      </c>
      <c r="BJ58" s="740">
        <v>27.5</v>
      </c>
      <c r="BK58" s="740">
        <v>27.64</v>
      </c>
      <c r="BL58" s="740">
        <v>27.82</v>
      </c>
      <c r="BM58" s="740">
        <v>27.97</v>
      </c>
      <c r="BN58" s="740">
        <v>28.12</v>
      </c>
      <c r="BO58" s="740">
        <v>28.28</v>
      </c>
      <c r="BP58" s="740">
        <v>28.43</v>
      </c>
      <c r="BQ58" s="740">
        <v>28.59</v>
      </c>
      <c r="BR58" s="740">
        <v>28.74</v>
      </c>
      <c r="BS58" s="740">
        <v>28.89</v>
      </c>
      <c r="BT58" s="852">
        <v>29.04</v>
      </c>
      <c r="BU58" s="740">
        <v>29.19</v>
      </c>
      <c r="BV58" s="740">
        <v>29.34</v>
      </c>
      <c r="BW58" s="740">
        <v>29.49</v>
      </c>
      <c r="BX58" s="740">
        <v>29.64</v>
      </c>
      <c r="BY58" s="740">
        <v>29.79</v>
      </c>
      <c r="BZ58" s="740">
        <v>29.93</v>
      </c>
      <c r="CA58" s="740">
        <v>30.08</v>
      </c>
      <c r="CB58" s="740">
        <v>30.22</v>
      </c>
      <c r="CC58" s="740">
        <v>30.37</v>
      </c>
      <c r="CD58" s="740">
        <v>30.51</v>
      </c>
      <c r="CE58" s="740">
        <v>30.65</v>
      </c>
      <c r="CF58" s="740">
        <v>30.79</v>
      </c>
      <c r="CG58" s="740">
        <v>30.93</v>
      </c>
      <c r="CH58" s="740">
        <v>31.07</v>
      </c>
      <c r="CI58" s="740">
        <v>31.21</v>
      </c>
      <c r="CJ58" s="740">
        <v>31.35</v>
      </c>
      <c r="CK58" s="740">
        <v>31.49</v>
      </c>
      <c r="CL58" s="740">
        <v>31.63</v>
      </c>
      <c r="CM58" s="740">
        <v>31.76</v>
      </c>
      <c r="CN58" s="740">
        <v>31.9</v>
      </c>
      <c r="CO58" s="740">
        <v>32.03</v>
      </c>
      <c r="CP58" s="740">
        <v>32.17</v>
      </c>
      <c r="CQ58" s="740">
        <v>32.299999999999997</v>
      </c>
      <c r="CR58" s="740">
        <v>32.43</v>
      </c>
      <c r="CS58" s="740">
        <v>32.56</v>
      </c>
      <c r="CT58" s="740">
        <v>32.69</v>
      </c>
      <c r="CU58" s="740">
        <v>32.82</v>
      </c>
      <c r="CV58" s="740">
        <v>32.950000000000003</v>
      </c>
      <c r="CW58" s="740">
        <v>33.08</v>
      </c>
      <c r="CX58" s="740">
        <v>33.200000000000003</v>
      </c>
      <c r="CY58" s="740">
        <v>33.33</v>
      </c>
      <c r="CZ58" s="740">
        <v>33.46</v>
      </c>
      <c r="DA58" s="740">
        <v>33.58</v>
      </c>
      <c r="DB58" s="740">
        <v>33.700000000000003</v>
      </c>
      <c r="DC58" s="740">
        <v>33.83</v>
      </c>
      <c r="DD58" s="740">
        <v>33.950000000000003</v>
      </c>
      <c r="DE58" s="740">
        <v>34.07</v>
      </c>
      <c r="DF58" s="740">
        <v>34.19</v>
      </c>
      <c r="DG58" s="740">
        <v>34.31</v>
      </c>
      <c r="DH58" s="740">
        <v>34.43</v>
      </c>
      <c r="DI58" s="740">
        <v>34.549999999999997</v>
      </c>
      <c r="DJ58" s="740">
        <v>34.659999999999997</v>
      </c>
      <c r="DK58" s="740">
        <v>34.78</v>
      </c>
      <c r="DL58" s="740">
        <v>34.89</v>
      </c>
      <c r="DM58" s="740">
        <v>35.01</v>
      </c>
      <c r="DN58" s="740">
        <v>35.119999999999997</v>
      </c>
      <c r="DO58" s="740">
        <v>35.229999999999997</v>
      </c>
      <c r="DP58" s="740">
        <v>35.35</v>
      </c>
      <c r="DQ58" s="740">
        <v>35.46</v>
      </c>
      <c r="DR58" s="740">
        <v>35.57</v>
      </c>
    </row>
    <row r="59" spans="1:122">
      <c r="A59" s="906">
        <v>57</v>
      </c>
      <c r="B59" s="92"/>
      <c r="C59" s="92"/>
      <c r="D59" s="92"/>
      <c r="E59" s="92"/>
      <c r="F59" s="92"/>
      <c r="G59" s="92"/>
      <c r="H59" s="92"/>
      <c r="I59" s="92"/>
      <c r="J59" s="92"/>
      <c r="K59" s="92"/>
      <c r="L59" s="92"/>
      <c r="M59" s="92"/>
      <c r="N59" s="92"/>
      <c r="O59" s="92"/>
      <c r="P59" s="92"/>
      <c r="Q59" s="92"/>
      <c r="R59" s="92"/>
      <c r="S59" s="92"/>
      <c r="T59" s="92"/>
      <c r="U59" s="92"/>
      <c r="V59" s="740"/>
      <c r="W59" s="740">
        <v>20.43</v>
      </c>
      <c r="X59" s="740">
        <v>20.66</v>
      </c>
      <c r="Y59" s="740">
        <v>20.77</v>
      </c>
      <c r="Z59" s="740">
        <v>21.02</v>
      </c>
      <c r="AA59" s="740">
        <v>21.2</v>
      </c>
      <c r="AB59" s="740">
        <v>21.4</v>
      </c>
      <c r="AC59" s="740">
        <v>21.42</v>
      </c>
      <c r="AD59" s="740">
        <v>21.41</v>
      </c>
      <c r="AE59" s="740">
        <v>21.54</v>
      </c>
      <c r="AF59" s="740">
        <v>21.76</v>
      </c>
      <c r="AG59" s="740">
        <v>22.01</v>
      </c>
      <c r="AH59" s="740">
        <v>22.28</v>
      </c>
      <c r="AI59" s="740">
        <v>22.54</v>
      </c>
      <c r="AJ59" s="740">
        <v>22.81</v>
      </c>
      <c r="AK59" s="740">
        <v>23.09</v>
      </c>
      <c r="AL59" s="740">
        <v>23.4</v>
      </c>
      <c r="AM59" s="740">
        <v>23.69</v>
      </c>
      <c r="AN59" s="740">
        <v>23.89</v>
      </c>
      <c r="AO59" s="740">
        <v>24.05</v>
      </c>
      <c r="AP59" s="740">
        <v>24.2</v>
      </c>
      <c r="AQ59" s="740">
        <v>24.35</v>
      </c>
      <c r="AR59" s="740">
        <v>24.52</v>
      </c>
      <c r="AS59" s="740">
        <v>24.57</v>
      </c>
      <c r="AT59" s="740">
        <v>24.64</v>
      </c>
      <c r="AU59" s="740">
        <v>24.72</v>
      </c>
      <c r="AV59" s="740">
        <v>24.79</v>
      </c>
      <c r="AW59" s="740">
        <v>24.98</v>
      </c>
      <c r="AX59" s="740">
        <v>25.08</v>
      </c>
      <c r="AY59" s="740">
        <v>25.18</v>
      </c>
      <c r="AZ59" s="740">
        <v>25.28</v>
      </c>
      <c r="BA59" s="740">
        <v>25.37</v>
      </c>
      <c r="BB59" s="740">
        <v>25.47</v>
      </c>
      <c r="BC59" s="740">
        <v>25.6</v>
      </c>
      <c r="BD59" s="740">
        <v>25.75</v>
      </c>
      <c r="BE59" s="740">
        <v>25.89</v>
      </c>
      <c r="BF59" s="740">
        <v>26.05</v>
      </c>
      <c r="BG59" s="740">
        <v>26.19</v>
      </c>
      <c r="BH59" s="740">
        <v>26.36</v>
      </c>
      <c r="BI59" s="740">
        <v>26.51</v>
      </c>
      <c r="BJ59" s="740">
        <v>26.68</v>
      </c>
      <c r="BK59" s="740">
        <v>26.82</v>
      </c>
      <c r="BL59" s="740">
        <v>26.98</v>
      </c>
      <c r="BM59" s="740">
        <v>27.14</v>
      </c>
      <c r="BN59" s="740">
        <v>27.29</v>
      </c>
      <c r="BO59" s="740">
        <v>27.44</v>
      </c>
      <c r="BP59" s="740">
        <v>27.6</v>
      </c>
      <c r="BQ59" s="740">
        <v>27.75</v>
      </c>
      <c r="BR59" s="740">
        <v>27.9</v>
      </c>
      <c r="BS59" s="740">
        <v>28.05</v>
      </c>
      <c r="BT59" s="852">
        <v>28.2</v>
      </c>
      <c r="BU59" s="740">
        <v>28.34</v>
      </c>
      <c r="BV59" s="740">
        <v>28.49</v>
      </c>
      <c r="BW59" s="740">
        <v>28.64</v>
      </c>
      <c r="BX59" s="740">
        <v>28.78</v>
      </c>
      <c r="BY59" s="740">
        <v>28.93</v>
      </c>
      <c r="BZ59" s="740">
        <v>29.07</v>
      </c>
      <c r="CA59" s="740">
        <v>29.22</v>
      </c>
      <c r="CB59" s="740">
        <v>29.36</v>
      </c>
      <c r="CC59" s="740">
        <v>29.5</v>
      </c>
      <c r="CD59" s="740">
        <v>29.64</v>
      </c>
      <c r="CE59" s="740">
        <v>29.78</v>
      </c>
      <c r="CF59" s="740">
        <v>29.92</v>
      </c>
      <c r="CG59" s="740">
        <v>30.06</v>
      </c>
      <c r="CH59" s="740">
        <v>30.2</v>
      </c>
      <c r="CI59" s="740">
        <v>30.34</v>
      </c>
      <c r="CJ59" s="740">
        <v>30.47</v>
      </c>
      <c r="CK59" s="740">
        <v>30.61</v>
      </c>
      <c r="CL59" s="740">
        <v>30.74</v>
      </c>
      <c r="CM59" s="740">
        <v>30.88</v>
      </c>
      <c r="CN59" s="740">
        <v>31.01</v>
      </c>
      <c r="CO59" s="740">
        <v>31.15</v>
      </c>
      <c r="CP59" s="740">
        <v>31.28</v>
      </c>
      <c r="CQ59" s="740">
        <v>31.41</v>
      </c>
      <c r="CR59" s="740">
        <v>31.54</v>
      </c>
      <c r="CS59" s="740">
        <v>31.67</v>
      </c>
      <c r="CT59" s="740">
        <v>31.8</v>
      </c>
      <c r="CU59" s="740">
        <v>31.92</v>
      </c>
      <c r="CV59" s="740">
        <v>32.049999999999997</v>
      </c>
      <c r="CW59" s="740">
        <v>32.18</v>
      </c>
      <c r="CX59" s="740">
        <v>32.299999999999997</v>
      </c>
      <c r="CY59" s="740">
        <v>32.43</v>
      </c>
      <c r="CZ59" s="740">
        <v>32.549999999999997</v>
      </c>
      <c r="DA59" s="740">
        <v>32.67</v>
      </c>
      <c r="DB59" s="740">
        <v>32.799999999999997</v>
      </c>
      <c r="DC59" s="740">
        <v>32.92</v>
      </c>
      <c r="DD59" s="740">
        <v>33.04</v>
      </c>
      <c r="DE59" s="740">
        <v>33.159999999999997</v>
      </c>
      <c r="DF59" s="740">
        <v>33.28</v>
      </c>
      <c r="DG59" s="740">
        <v>33.4</v>
      </c>
      <c r="DH59" s="740">
        <v>33.51</v>
      </c>
      <c r="DI59" s="740">
        <v>33.630000000000003</v>
      </c>
      <c r="DJ59" s="740">
        <v>33.74</v>
      </c>
      <c r="DK59" s="740">
        <v>33.86</v>
      </c>
      <c r="DL59" s="740">
        <v>33.97</v>
      </c>
      <c r="DM59" s="740">
        <v>34.090000000000003</v>
      </c>
      <c r="DN59" s="740">
        <v>34.200000000000003</v>
      </c>
      <c r="DO59" s="740">
        <v>34.31</v>
      </c>
      <c r="DP59" s="740">
        <v>34.42</v>
      </c>
      <c r="DQ59" s="740">
        <v>34.53</v>
      </c>
      <c r="DR59" s="740">
        <v>34.64</v>
      </c>
    </row>
    <row r="60" spans="1:122">
      <c r="A60" s="906">
        <v>58</v>
      </c>
      <c r="B60" s="92"/>
      <c r="C60" s="92"/>
      <c r="D60" s="92"/>
      <c r="E60" s="92"/>
      <c r="F60" s="92"/>
      <c r="G60" s="92"/>
      <c r="H60" s="92"/>
      <c r="I60" s="92"/>
      <c r="J60" s="92"/>
      <c r="K60" s="92"/>
      <c r="L60" s="92"/>
      <c r="M60" s="92"/>
      <c r="N60" s="92"/>
      <c r="O60" s="92"/>
      <c r="P60" s="92"/>
      <c r="Q60" s="92"/>
      <c r="R60" s="92"/>
      <c r="S60" s="92"/>
      <c r="T60" s="92"/>
      <c r="U60" s="92"/>
      <c r="V60" s="740"/>
      <c r="W60" s="740">
        <v>19.71</v>
      </c>
      <c r="X60" s="740">
        <v>19.940000000000001</v>
      </c>
      <c r="Y60" s="740">
        <v>20.059999999999999</v>
      </c>
      <c r="Z60" s="740">
        <v>20.29</v>
      </c>
      <c r="AA60" s="740">
        <v>20.48</v>
      </c>
      <c r="AB60" s="740">
        <v>20.67</v>
      </c>
      <c r="AC60" s="740">
        <v>20.69</v>
      </c>
      <c r="AD60" s="740">
        <v>20.68</v>
      </c>
      <c r="AE60" s="740">
        <v>20.82</v>
      </c>
      <c r="AF60" s="740">
        <v>21.04</v>
      </c>
      <c r="AG60" s="740">
        <v>21.28</v>
      </c>
      <c r="AH60" s="740">
        <v>21.55</v>
      </c>
      <c r="AI60" s="740">
        <v>21.81</v>
      </c>
      <c r="AJ60" s="740">
        <v>22.08</v>
      </c>
      <c r="AK60" s="740">
        <v>22.35</v>
      </c>
      <c r="AL60" s="740">
        <v>22.66</v>
      </c>
      <c r="AM60" s="740">
        <v>22.95</v>
      </c>
      <c r="AN60" s="740">
        <v>23.15</v>
      </c>
      <c r="AO60" s="740">
        <v>23.29</v>
      </c>
      <c r="AP60" s="740">
        <v>23.44</v>
      </c>
      <c r="AQ60" s="740">
        <v>23.57</v>
      </c>
      <c r="AR60" s="740">
        <v>23.74</v>
      </c>
      <c r="AS60" s="740">
        <v>23.79</v>
      </c>
      <c r="AT60" s="740">
        <v>23.86</v>
      </c>
      <c r="AU60" s="740">
        <v>23.94</v>
      </c>
      <c r="AV60" s="740">
        <v>24</v>
      </c>
      <c r="AW60" s="740">
        <v>24.19</v>
      </c>
      <c r="AX60" s="740">
        <v>24.28</v>
      </c>
      <c r="AY60" s="740">
        <v>24.37</v>
      </c>
      <c r="AZ60" s="740">
        <v>24.48</v>
      </c>
      <c r="BA60" s="740">
        <v>24.56</v>
      </c>
      <c r="BB60" s="740">
        <v>24.67</v>
      </c>
      <c r="BC60" s="740">
        <v>24.81</v>
      </c>
      <c r="BD60" s="740">
        <v>24.95</v>
      </c>
      <c r="BE60" s="740">
        <v>25.1</v>
      </c>
      <c r="BF60" s="740">
        <v>25.25</v>
      </c>
      <c r="BG60" s="740">
        <v>25.4</v>
      </c>
      <c r="BH60" s="740">
        <v>25.55</v>
      </c>
      <c r="BI60" s="740">
        <v>25.7</v>
      </c>
      <c r="BJ60" s="740">
        <v>25.87</v>
      </c>
      <c r="BK60" s="740">
        <v>26.01</v>
      </c>
      <c r="BL60" s="740">
        <v>26.17</v>
      </c>
      <c r="BM60" s="740">
        <v>26.32</v>
      </c>
      <c r="BN60" s="740">
        <v>26.47</v>
      </c>
      <c r="BO60" s="740">
        <v>26.62</v>
      </c>
      <c r="BP60" s="740">
        <v>26.77</v>
      </c>
      <c r="BQ60" s="740">
        <v>26.92</v>
      </c>
      <c r="BR60" s="740">
        <v>27.07</v>
      </c>
      <c r="BS60" s="740">
        <v>27.21</v>
      </c>
      <c r="BT60" s="852">
        <v>27.36</v>
      </c>
      <c r="BU60" s="740">
        <v>27.51</v>
      </c>
      <c r="BV60" s="740">
        <v>27.65</v>
      </c>
      <c r="BW60" s="740">
        <v>27.79</v>
      </c>
      <c r="BX60" s="740">
        <v>27.94</v>
      </c>
      <c r="BY60" s="740">
        <v>28.08</v>
      </c>
      <c r="BZ60" s="740">
        <v>28.22</v>
      </c>
      <c r="CA60" s="740">
        <v>28.36</v>
      </c>
      <c r="CB60" s="740">
        <v>28.51</v>
      </c>
      <c r="CC60" s="740">
        <v>28.65</v>
      </c>
      <c r="CD60" s="740">
        <v>28.78</v>
      </c>
      <c r="CE60" s="740">
        <v>28.92</v>
      </c>
      <c r="CF60" s="740">
        <v>29.06</v>
      </c>
      <c r="CG60" s="740">
        <v>29.2</v>
      </c>
      <c r="CH60" s="740">
        <v>29.33</v>
      </c>
      <c r="CI60" s="740">
        <v>29.47</v>
      </c>
      <c r="CJ60" s="740">
        <v>29.6</v>
      </c>
      <c r="CK60" s="740">
        <v>29.74</v>
      </c>
      <c r="CL60" s="740">
        <v>29.87</v>
      </c>
      <c r="CM60" s="740">
        <v>30</v>
      </c>
      <c r="CN60" s="740">
        <v>30.14</v>
      </c>
      <c r="CO60" s="740">
        <v>30.27</v>
      </c>
      <c r="CP60" s="740">
        <v>30.4</v>
      </c>
      <c r="CQ60" s="740">
        <v>30.53</v>
      </c>
      <c r="CR60" s="740">
        <v>30.65</v>
      </c>
      <c r="CS60" s="740">
        <v>30.78</v>
      </c>
      <c r="CT60" s="740">
        <v>30.91</v>
      </c>
      <c r="CU60" s="740">
        <v>31.04</v>
      </c>
      <c r="CV60" s="740">
        <v>31.16</v>
      </c>
      <c r="CW60" s="740">
        <v>31.29</v>
      </c>
      <c r="CX60" s="740">
        <v>31.41</v>
      </c>
      <c r="CY60" s="740">
        <v>31.53</v>
      </c>
      <c r="CZ60" s="740">
        <v>31.65</v>
      </c>
      <c r="DA60" s="740">
        <v>31.78</v>
      </c>
      <c r="DB60" s="740">
        <v>31.9</v>
      </c>
      <c r="DC60" s="740">
        <v>32.020000000000003</v>
      </c>
      <c r="DD60" s="740">
        <v>32.14</v>
      </c>
      <c r="DE60" s="740">
        <v>32.25</v>
      </c>
      <c r="DF60" s="740">
        <v>32.369999999999997</v>
      </c>
      <c r="DG60" s="740">
        <v>32.49</v>
      </c>
      <c r="DH60" s="740">
        <v>32.6</v>
      </c>
      <c r="DI60" s="740">
        <v>32.72</v>
      </c>
      <c r="DJ60" s="740">
        <v>32.83</v>
      </c>
      <c r="DK60" s="740">
        <v>32.950000000000003</v>
      </c>
      <c r="DL60" s="740">
        <v>33.06</v>
      </c>
      <c r="DM60" s="740">
        <v>33.17</v>
      </c>
      <c r="DN60" s="740">
        <v>33.28</v>
      </c>
      <c r="DO60" s="740">
        <v>33.39</v>
      </c>
      <c r="DP60" s="740">
        <v>33.5</v>
      </c>
      <c r="DQ60" s="740">
        <v>33.61</v>
      </c>
      <c r="DR60" s="740">
        <v>33.72</v>
      </c>
    </row>
    <row r="61" spans="1:122">
      <c r="A61" s="906">
        <v>59</v>
      </c>
      <c r="B61" s="92"/>
      <c r="C61" s="92"/>
      <c r="D61" s="92"/>
      <c r="E61" s="92"/>
      <c r="F61" s="92"/>
      <c r="G61" s="92"/>
      <c r="H61" s="92"/>
      <c r="I61" s="92"/>
      <c r="J61" s="92"/>
      <c r="K61" s="92"/>
      <c r="L61" s="92"/>
      <c r="M61" s="92"/>
      <c r="N61" s="92"/>
      <c r="O61" s="92"/>
      <c r="P61" s="92"/>
      <c r="Q61" s="92"/>
      <c r="R61" s="92"/>
      <c r="S61" s="92"/>
      <c r="T61" s="92"/>
      <c r="U61" s="92"/>
      <c r="V61" s="740"/>
      <c r="W61" s="740">
        <v>19.010000000000002</v>
      </c>
      <c r="X61" s="740">
        <v>19.239999999999998</v>
      </c>
      <c r="Y61" s="740">
        <v>19.36</v>
      </c>
      <c r="Z61" s="740">
        <v>19.579999999999998</v>
      </c>
      <c r="AA61" s="740">
        <v>19.77</v>
      </c>
      <c r="AB61" s="740">
        <v>19.96</v>
      </c>
      <c r="AC61" s="740">
        <v>19.98</v>
      </c>
      <c r="AD61" s="740">
        <v>19.98</v>
      </c>
      <c r="AE61" s="740">
        <v>20.100000000000001</v>
      </c>
      <c r="AF61" s="740">
        <v>20.32</v>
      </c>
      <c r="AG61" s="740">
        <v>20.57</v>
      </c>
      <c r="AH61" s="740">
        <v>20.84</v>
      </c>
      <c r="AI61" s="740">
        <v>21.1</v>
      </c>
      <c r="AJ61" s="740">
        <v>21.36</v>
      </c>
      <c r="AK61" s="740">
        <v>21.63</v>
      </c>
      <c r="AL61" s="740">
        <v>21.93</v>
      </c>
      <c r="AM61" s="740">
        <v>22.21</v>
      </c>
      <c r="AN61" s="740">
        <v>22.4</v>
      </c>
      <c r="AO61" s="740">
        <v>22.54</v>
      </c>
      <c r="AP61" s="740">
        <v>22.68</v>
      </c>
      <c r="AQ61" s="740">
        <v>22.8</v>
      </c>
      <c r="AR61" s="740">
        <v>22.97</v>
      </c>
      <c r="AS61" s="740">
        <v>23.02</v>
      </c>
      <c r="AT61" s="740">
        <v>23.09</v>
      </c>
      <c r="AU61" s="740">
        <v>23.16</v>
      </c>
      <c r="AV61" s="740">
        <v>23.22</v>
      </c>
      <c r="AW61" s="740">
        <v>23.41</v>
      </c>
      <c r="AX61" s="740">
        <v>23.5</v>
      </c>
      <c r="AY61" s="740">
        <v>23.58</v>
      </c>
      <c r="AZ61" s="740">
        <v>23.69</v>
      </c>
      <c r="BA61" s="740">
        <v>23.78</v>
      </c>
      <c r="BB61" s="740">
        <v>23.9</v>
      </c>
      <c r="BC61" s="740">
        <v>24.03</v>
      </c>
      <c r="BD61" s="740">
        <v>24.17</v>
      </c>
      <c r="BE61" s="740">
        <v>24.31</v>
      </c>
      <c r="BF61" s="740">
        <v>24.46</v>
      </c>
      <c r="BG61" s="740">
        <v>24.61</v>
      </c>
      <c r="BH61" s="740">
        <v>24.76</v>
      </c>
      <c r="BI61" s="740">
        <v>24.91</v>
      </c>
      <c r="BJ61" s="740">
        <v>25.06</v>
      </c>
      <c r="BK61" s="740">
        <v>25.21</v>
      </c>
      <c r="BL61" s="740">
        <v>25.36</v>
      </c>
      <c r="BM61" s="740">
        <v>25.51</v>
      </c>
      <c r="BN61" s="740">
        <v>25.66</v>
      </c>
      <c r="BO61" s="740">
        <v>25.8</v>
      </c>
      <c r="BP61" s="740">
        <v>25.95</v>
      </c>
      <c r="BQ61" s="740">
        <v>26.1</v>
      </c>
      <c r="BR61" s="740">
        <v>26.24</v>
      </c>
      <c r="BS61" s="740">
        <v>26.39</v>
      </c>
      <c r="BT61" s="852">
        <v>26.53</v>
      </c>
      <c r="BU61" s="740">
        <v>26.68</v>
      </c>
      <c r="BV61" s="740">
        <v>26.82</v>
      </c>
      <c r="BW61" s="740">
        <v>26.96</v>
      </c>
      <c r="BX61" s="740">
        <v>27.1</v>
      </c>
      <c r="BY61" s="740">
        <v>27.24</v>
      </c>
      <c r="BZ61" s="740">
        <v>27.38</v>
      </c>
      <c r="CA61" s="740">
        <v>27.52</v>
      </c>
      <c r="CB61" s="740">
        <v>27.66</v>
      </c>
      <c r="CC61" s="740">
        <v>27.8</v>
      </c>
      <c r="CD61" s="740">
        <v>27.93</v>
      </c>
      <c r="CE61" s="740">
        <v>28.07</v>
      </c>
      <c r="CF61" s="740">
        <v>28.21</v>
      </c>
      <c r="CG61" s="740">
        <v>28.34</v>
      </c>
      <c r="CH61" s="740">
        <v>28.48</v>
      </c>
      <c r="CI61" s="740">
        <v>28.61</v>
      </c>
      <c r="CJ61" s="740">
        <v>28.74</v>
      </c>
      <c r="CK61" s="740">
        <v>28.87</v>
      </c>
      <c r="CL61" s="740">
        <v>29.01</v>
      </c>
      <c r="CM61" s="740">
        <v>29.14</v>
      </c>
      <c r="CN61" s="740">
        <v>29.27</v>
      </c>
      <c r="CO61" s="740">
        <v>29.39</v>
      </c>
      <c r="CP61" s="740">
        <v>29.52</v>
      </c>
      <c r="CQ61" s="740">
        <v>29.65</v>
      </c>
      <c r="CR61" s="740">
        <v>29.78</v>
      </c>
      <c r="CS61" s="740">
        <v>29.9</v>
      </c>
      <c r="CT61" s="740">
        <v>30.03</v>
      </c>
      <c r="CU61" s="740">
        <v>30.15</v>
      </c>
      <c r="CV61" s="740">
        <v>30.28</v>
      </c>
      <c r="CW61" s="740">
        <v>30.4</v>
      </c>
      <c r="CX61" s="740">
        <v>30.52</v>
      </c>
      <c r="CY61" s="740">
        <v>30.64</v>
      </c>
      <c r="CZ61" s="740">
        <v>30.76</v>
      </c>
      <c r="DA61" s="740">
        <v>30.88</v>
      </c>
      <c r="DB61" s="740">
        <v>31</v>
      </c>
      <c r="DC61" s="740">
        <v>31.12</v>
      </c>
      <c r="DD61" s="740">
        <v>31.24</v>
      </c>
      <c r="DE61" s="740">
        <v>31.35</v>
      </c>
      <c r="DF61" s="740">
        <v>31.47</v>
      </c>
      <c r="DG61" s="740">
        <v>31.58</v>
      </c>
      <c r="DH61" s="740">
        <v>31.7</v>
      </c>
      <c r="DI61" s="740">
        <v>31.81</v>
      </c>
      <c r="DJ61" s="740">
        <v>31.93</v>
      </c>
      <c r="DK61" s="740">
        <v>32.04</v>
      </c>
      <c r="DL61" s="740">
        <v>32.15</v>
      </c>
      <c r="DM61" s="740">
        <v>32.26</v>
      </c>
      <c r="DN61" s="740">
        <v>32.369999999999997</v>
      </c>
      <c r="DO61" s="740">
        <v>32.479999999999997</v>
      </c>
      <c r="DP61" s="740">
        <v>32.590000000000003</v>
      </c>
      <c r="DQ61" s="740">
        <v>32.69</v>
      </c>
      <c r="DR61" s="740">
        <v>32.799999999999997</v>
      </c>
    </row>
    <row r="62" spans="1:122">
      <c r="A62" s="906">
        <v>60</v>
      </c>
      <c r="B62" s="92"/>
      <c r="C62" s="92"/>
      <c r="D62" s="92"/>
      <c r="E62" s="92"/>
      <c r="F62" s="92"/>
      <c r="G62" s="92"/>
      <c r="H62" s="92"/>
      <c r="I62" s="92"/>
      <c r="J62" s="92"/>
      <c r="K62" s="92"/>
      <c r="L62" s="92"/>
      <c r="M62" s="92"/>
      <c r="N62" s="92"/>
      <c r="O62" s="92"/>
      <c r="P62" s="92"/>
      <c r="Q62" s="92"/>
      <c r="R62" s="92"/>
      <c r="S62" s="92"/>
      <c r="T62" s="92"/>
      <c r="U62" s="92"/>
      <c r="V62" s="740"/>
      <c r="W62" s="740">
        <v>18.32</v>
      </c>
      <c r="X62" s="740">
        <v>18.55</v>
      </c>
      <c r="Y62" s="740">
        <v>18.670000000000002</v>
      </c>
      <c r="Z62" s="740">
        <v>18.88</v>
      </c>
      <c r="AA62" s="740">
        <v>19.07</v>
      </c>
      <c r="AB62" s="740">
        <v>19.260000000000002</v>
      </c>
      <c r="AC62" s="740">
        <v>19.28</v>
      </c>
      <c r="AD62" s="740">
        <v>19.28</v>
      </c>
      <c r="AE62" s="740">
        <v>19.399999999999999</v>
      </c>
      <c r="AF62" s="740">
        <v>19.63</v>
      </c>
      <c r="AG62" s="740">
        <v>19.88</v>
      </c>
      <c r="AH62" s="740">
        <v>20.14</v>
      </c>
      <c r="AI62" s="740">
        <v>20.399999999999999</v>
      </c>
      <c r="AJ62" s="740">
        <v>20.65</v>
      </c>
      <c r="AK62" s="740">
        <v>20.92</v>
      </c>
      <c r="AL62" s="740">
        <v>21.22</v>
      </c>
      <c r="AM62" s="740">
        <v>21.47</v>
      </c>
      <c r="AN62" s="740">
        <v>21.66</v>
      </c>
      <c r="AO62" s="740">
        <v>21.79</v>
      </c>
      <c r="AP62" s="740">
        <v>21.92</v>
      </c>
      <c r="AQ62" s="740">
        <v>22.05</v>
      </c>
      <c r="AR62" s="740">
        <v>22.21</v>
      </c>
      <c r="AS62" s="740">
        <v>22.26</v>
      </c>
      <c r="AT62" s="740">
        <v>22.33</v>
      </c>
      <c r="AU62" s="740">
        <v>22.39</v>
      </c>
      <c r="AV62" s="740">
        <v>22.45</v>
      </c>
      <c r="AW62" s="740">
        <v>22.63</v>
      </c>
      <c r="AX62" s="740">
        <v>22.72</v>
      </c>
      <c r="AY62" s="740">
        <v>22.81</v>
      </c>
      <c r="AZ62" s="740">
        <v>22.91</v>
      </c>
      <c r="BA62" s="740">
        <v>23</v>
      </c>
      <c r="BB62" s="740">
        <v>23.12</v>
      </c>
      <c r="BC62" s="740">
        <v>23.26</v>
      </c>
      <c r="BD62" s="740">
        <v>23.39</v>
      </c>
      <c r="BE62" s="740">
        <v>23.54</v>
      </c>
      <c r="BF62" s="740">
        <v>23.68</v>
      </c>
      <c r="BG62" s="740">
        <v>23.83</v>
      </c>
      <c r="BH62" s="740">
        <v>23.98</v>
      </c>
      <c r="BI62" s="740">
        <v>24.12</v>
      </c>
      <c r="BJ62" s="740">
        <v>24.27</v>
      </c>
      <c r="BK62" s="740">
        <v>24.42</v>
      </c>
      <c r="BL62" s="740">
        <v>24.56</v>
      </c>
      <c r="BM62" s="740">
        <v>24.71</v>
      </c>
      <c r="BN62" s="740">
        <v>24.86</v>
      </c>
      <c r="BO62" s="740">
        <v>25</v>
      </c>
      <c r="BP62" s="740">
        <v>25.15</v>
      </c>
      <c r="BQ62" s="740">
        <v>25.29</v>
      </c>
      <c r="BR62" s="740">
        <v>25.43</v>
      </c>
      <c r="BS62" s="740">
        <v>25.57</v>
      </c>
      <c r="BT62" s="852">
        <v>25.72</v>
      </c>
      <c r="BU62" s="740">
        <v>25.86</v>
      </c>
      <c r="BV62" s="740">
        <v>26</v>
      </c>
      <c r="BW62" s="740">
        <v>26.14</v>
      </c>
      <c r="BX62" s="740">
        <v>26.27</v>
      </c>
      <c r="BY62" s="740">
        <v>26.41</v>
      </c>
      <c r="BZ62" s="740">
        <v>26.55</v>
      </c>
      <c r="CA62" s="740">
        <v>26.69</v>
      </c>
      <c r="CB62" s="740">
        <v>26.82</v>
      </c>
      <c r="CC62" s="740">
        <v>26.96</v>
      </c>
      <c r="CD62" s="740">
        <v>27.09</v>
      </c>
      <c r="CE62" s="740">
        <v>27.23</v>
      </c>
      <c r="CF62" s="740">
        <v>27.36</v>
      </c>
      <c r="CG62" s="740">
        <v>27.49</v>
      </c>
      <c r="CH62" s="740">
        <v>27.63</v>
      </c>
      <c r="CI62" s="740">
        <v>27.76</v>
      </c>
      <c r="CJ62" s="740">
        <v>27.89</v>
      </c>
      <c r="CK62" s="740">
        <v>28.02</v>
      </c>
      <c r="CL62" s="740">
        <v>28.15</v>
      </c>
      <c r="CM62" s="740">
        <v>28.28</v>
      </c>
      <c r="CN62" s="740">
        <v>28.4</v>
      </c>
      <c r="CO62" s="740">
        <v>28.53</v>
      </c>
      <c r="CP62" s="740">
        <v>28.66</v>
      </c>
      <c r="CQ62" s="740">
        <v>28.78</v>
      </c>
      <c r="CR62" s="740">
        <v>28.91</v>
      </c>
      <c r="CS62" s="740">
        <v>29.03</v>
      </c>
      <c r="CT62" s="740">
        <v>29.15</v>
      </c>
      <c r="CU62" s="740">
        <v>29.28</v>
      </c>
      <c r="CV62" s="740">
        <v>29.4</v>
      </c>
      <c r="CW62" s="740">
        <v>29.52</v>
      </c>
      <c r="CX62" s="740">
        <v>29.64</v>
      </c>
      <c r="CY62" s="740">
        <v>29.76</v>
      </c>
      <c r="CZ62" s="740">
        <v>29.88</v>
      </c>
      <c r="DA62" s="740">
        <v>30</v>
      </c>
      <c r="DB62" s="740">
        <v>30.11</v>
      </c>
      <c r="DC62" s="740">
        <v>30.23</v>
      </c>
      <c r="DD62" s="740">
        <v>30.35</v>
      </c>
      <c r="DE62" s="740">
        <v>30.46</v>
      </c>
      <c r="DF62" s="740">
        <v>30.57</v>
      </c>
      <c r="DG62" s="740">
        <v>30.69</v>
      </c>
      <c r="DH62" s="740">
        <v>30.8</v>
      </c>
      <c r="DI62" s="740">
        <v>30.91</v>
      </c>
      <c r="DJ62" s="740">
        <v>31.02</v>
      </c>
      <c r="DK62" s="740">
        <v>31.13</v>
      </c>
      <c r="DL62" s="740">
        <v>31.24</v>
      </c>
      <c r="DM62" s="740">
        <v>31.35</v>
      </c>
      <c r="DN62" s="740">
        <v>31.46</v>
      </c>
      <c r="DO62" s="740">
        <v>31.57</v>
      </c>
      <c r="DP62" s="740">
        <v>31.68</v>
      </c>
      <c r="DQ62" s="740">
        <v>31.78</v>
      </c>
      <c r="DR62" s="740">
        <v>31.89</v>
      </c>
    </row>
    <row r="63" spans="1:122">
      <c r="A63" s="906">
        <v>61</v>
      </c>
      <c r="B63" s="92"/>
      <c r="C63" s="92"/>
      <c r="D63" s="92"/>
      <c r="E63" s="92"/>
      <c r="F63" s="92"/>
      <c r="G63" s="92"/>
      <c r="H63" s="92"/>
      <c r="I63" s="92"/>
      <c r="J63" s="92"/>
      <c r="K63" s="92"/>
      <c r="L63" s="92"/>
      <c r="M63" s="92"/>
      <c r="N63" s="92"/>
      <c r="O63" s="92"/>
      <c r="P63" s="92"/>
      <c r="Q63" s="92"/>
      <c r="R63" s="92"/>
      <c r="S63" s="92"/>
      <c r="T63" s="92"/>
      <c r="U63" s="92"/>
      <c r="V63" s="740"/>
      <c r="W63" s="740">
        <v>17.64</v>
      </c>
      <c r="X63" s="740">
        <v>17.87</v>
      </c>
      <c r="Y63" s="740">
        <v>17.989999999999998</v>
      </c>
      <c r="Z63" s="740">
        <v>18.190000000000001</v>
      </c>
      <c r="AA63" s="740">
        <v>18.38</v>
      </c>
      <c r="AB63" s="740">
        <v>18.57</v>
      </c>
      <c r="AC63" s="740">
        <v>18.579999999999998</v>
      </c>
      <c r="AD63" s="740">
        <v>18.600000000000001</v>
      </c>
      <c r="AE63" s="740">
        <v>18.72</v>
      </c>
      <c r="AF63" s="740">
        <v>18.96</v>
      </c>
      <c r="AG63" s="740">
        <v>19.2</v>
      </c>
      <c r="AH63" s="740">
        <v>19.46</v>
      </c>
      <c r="AI63" s="740">
        <v>19.71</v>
      </c>
      <c r="AJ63" s="740">
        <v>19.95</v>
      </c>
      <c r="AK63" s="740">
        <v>20.22</v>
      </c>
      <c r="AL63" s="740">
        <v>20.5</v>
      </c>
      <c r="AM63" s="740">
        <v>20.75</v>
      </c>
      <c r="AN63" s="740">
        <v>20.92</v>
      </c>
      <c r="AO63" s="740">
        <v>21.05</v>
      </c>
      <c r="AP63" s="740">
        <v>21.17</v>
      </c>
      <c r="AQ63" s="740">
        <v>21.31</v>
      </c>
      <c r="AR63" s="740">
        <v>21.45</v>
      </c>
      <c r="AS63" s="740">
        <v>21.51</v>
      </c>
      <c r="AT63" s="740">
        <v>21.57</v>
      </c>
      <c r="AU63" s="740">
        <v>21.63</v>
      </c>
      <c r="AV63" s="740">
        <v>21.69</v>
      </c>
      <c r="AW63" s="740">
        <v>21.87</v>
      </c>
      <c r="AX63" s="740">
        <v>21.96</v>
      </c>
      <c r="AY63" s="740">
        <v>22.05</v>
      </c>
      <c r="AZ63" s="740">
        <v>22.15</v>
      </c>
      <c r="BA63" s="740">
        <v>22.24</v>
      </c>
      <c r="BB63" s="740">
        <v>22.36</v>
      </c>
      <c r="BC63" s="740">
        <v>22.49</v>
      </c>
      <c r="BD63" s="740">
        <v>22.63</v>
      </c>
      <c r="BE63" s="740">
        <v>22.77</v>
      </c>
      <c r="BF63" s="740">
        <v>22.91</v>
      </c>
      <c r="BG63" s="740">
        <v>23.06</v>
      </c>
      <c r="BH63" s="740">
        <v>23.2</v>
      </c>
      <c r="BI63" s="740">
        <v>23.35</v>
      </c>
      <c r="BJ63" s="740">
        <v>23.49</v>
      </c>
      <c r="BK63" s="740">
        <v>23.64</v>
      </c>
      <c r="BL63" s="740">
        <v>23.78</v>
      </c>
      <c r="BM63" s="740">
        <v>23.92</v>
      </c>
      <c r="BN63" s="740">
        <v>24.07</v>
      </c>
      <c r="BO63" s="740">
        <v>24.21</v>
      </c>
      <c r="BP63" s="740">
        <v>24.35</v>
      </c>
      <c r="BQ63" s="740">
        <v>24.49</v>
      </c>
      <c r="BR63" s="740">
        <v>24.63</v>
      </c>
      <c r="BS63" s="740">
        <v>24.77</v>
      </c>
      <c r="BT63" s="852">
        <v>24.91</v>
      </c>
      <c r="BU63" s="740">
        <v>25.05</v>
      </c>
      <c r="BV63" s="740">
        <v>25.18</v>
      </c>
      <c r="BW63" s="740">
        <v>25.32</v>
      </c>
      <c r="BX63" s="740">
        <v>25.46</v>
      </c>
      <c r="BY63" s="740">
        <v>25.59</v>
      </c>
      <c r="BZ63" s="740">
        <v>25.73</v>
      </c>
      <c r="CA63" s="740">
        <v>25.86</v>
      </c>
      <c r="CB63" s="740">
        <v>26</v>
      </c>
      <c r="CC63" s="740">
        <v>26.13</v>
      </c>
      <c r="CD63" s="740">
        <v>26.26</v>
      </c>
      <c r="CE63" s="740">
        <v>26.39</v>
      </c>
      <c r="CF63" s="740">
        <v>26.52</v>
      </c>
      <c r="CG63" s="740">
        <v>26.65</v>
      </c>
      <c r="CH63" s="740">
        <v>26.78</v>
      </c>
      <c r="CI63" s="740">
        <v>26.91</v>
      </c>
      <c r="CJ63" s="740">
        <v>27.04</v>
      </c>
      <c r="CK63" s="740">
        <v>27.17</v>
      </c>
      <c r="CL63" s="740">
        <v>27.3</v>
      </c>
      <c r="CM63" s="740">
        <v>27.42</v>
      </c>
      <c r="CN63" s="740">
        <v>27.55</v>
      </c>
      <c r="CO63" s="740">
        <v>27.67</v>
      </c>
      <c r="CP63" s="740">
        <v>27.8</v>
      </c>
      <c r="CQ63" s="740">
        <v>27.92</v>
      </c>
      <c r="CR63" s="740">
        <v>28.04</v>
      </c>
      <c r="CS63" s="740">
        <v>28.17</v>
      </c>
      <c r="CT63" s="740">
        <v>28.29</v>
      </c>
      <c r="CU63" s="740">
        <v>28.41</v>
      </c>
      <c r="CV63" s="740">
        <v>28.53</v>
      </c>
      <c r="CW63" s="740">
        <v>28.65</v>
      </c>
      <c r="CX63" s="740">
        <v>28.76</v>
      </c>
      <c r="CY63" s="740">
        <v>28.88</v>
      </c>
      <c r="CZ63" s="740">
        <v>29</v>
      </c>
      <c r="DA63" s="740">
        <v>29.12</v>
      </c>
      <c r="DB63" s="740">
        <v>29.23</v>
      </c>
      <c r="DC63" s="740">
        <v>29.35</v>
      </c>
      <c r="DD63" s="740">
        <v>29.46</v>
      </c>
      <c r="DE63" s="740">
        <v>29.57</v>
      </c>
      <c r="DF63" s="740">
        <v>29.69</v>
      </c>
      <c r="DG63" s="740">
        <v>29.8</v>
      </c>
      <c r="DH63" s="740">
        <v>29.91</v>
      </c>
      <c r="DI63" s="740">
        <v>30.02</v>
      </c>
      <c r="DJ63" s="740">
        <v>30.13</v>
      </c>
      <c r="DK63" s="740">
        <v>30.24</v>
      </c>
      <c r="DL63" s="740">
        <v>30.35</v>
      </c>
      <c r="DM63" s="740">
        <v>30.45</v>
      </c>
      <c r="DN63" s="740">
        <v>30.56</v>
      </c>
      <c r="DO63" s="740">
        <v>30.67</v>
      </c>
      <c r="DP63" s="740">
        <v>30.77</v>
      </c>
      <c r="DQ63" s="740">
        <v>30.87</v>
      </c>
      <c r="DR63" s="740">
        <v>30.98</v>
      </c>
    </row>
    <row r="64" spans="1:122">
      <c r="A64" s="906">
        <v>62</v>
      </c>
      <c r="B64" s="92"/>
      <c r="C64" s="92"/>
      <c r="D64" s="92"/>
      <c r="E64" s="92"/>
      <c r="F64" s="92"/>
      <c r="G64" s="92"/>
      <c r="H64" s="92"/>
      <c r="I64" s="92"/>
      <c r="J64" s="92"/>
      <c r="K64" s="92"/>
      <c r="L64" s="92"/>
      <c r="M64" s="92"/>
      <c r="N64" s="92"/>
      <c r="O64" s="92"/>
      <c r="P64" s="92"/>
      <c r="Q64" s="92"/>
      <c r="R64" s="92"/>
      <c r="S64" s="92"/>
      <c r="T64" s="92"/>
      <c r="U64" s="92"/>
      <c r="V64" s="740"/>
      <c r="W64" s="740">
        <v>16.98</v>
      </c>
      <c r="X64" s="740">
        <v>17.21</v>
      </c>
      <c r="Y64" s="740">
        <v>17.329999999999998</v>
      </c>
      <c r="Z64" s="740">
        <v>17.53</v>
      </c>
      <c r="AA64" s="740">
        <v>17.71</v>
      </c>
      <c r="AB64" s="740">
        <v>17.89</v>
      </c>
      <c r="AC64" s="740">
        <v>17.91</v>
      </c>
      <c r="AD64" s="740">
        <v>17.93</v>
      </c>
      <c r="AE64" s="740">
        <v>18.059999999999999</v>
      </c>
      <c r="AF64" s="740">
        <v>18.29</v>
      </c>
      <c r="AG64" s="740">
        <v>18.52</v>
      </c>
      <c r="AH64" s="740">
        <v>18.78</v>
      </c>
      <c r="AI64" s="740">
        <v>19.03</v>
      </c>
      <c r="AJ64" s="740">
        <v>19.27</v>
      </c>
      <c r="AK64" s="740">
        <v>19.53</v>
      </c>
      <c r="AL64" s="740">
        <v>19.79</v>
      </c>
      <c r="AM64" s="740">
        <v>20.03</v>
      </c>
      <c r="AN64" s="740">
        <v>20.2</v>
      </c>
      <c r="AO64" s="740">
        <v>20.32</v>
      </c>
      <c r="AP64" s="740">
        <v>20.440000000000001</v>
      </c>
      <c r="AQ64" s="740">
        <v>20.57</v>
      </c>
      <c r="AR64" s="740">
        <v>20.71</v>
      </c>
      <c r="AS64" s="740">
        <v>20.76</v>
      </c>
      <c r="AT64" s="740">
        <v>20.81</v>
      </c>
      <c r="AU64" s="740">
        <v>20.88</v>
      </c>
      <c r="AV64" s="740">
        <v>20.94</v>
      </c>
      <c r="AW64" s="740">
        <v>21.11</v>
      </c>
      <c r="AX64" s="740">
        <v>21.2</v>
      </c>
      <c r="AY64" s="740">
        <v>21.3</v>
      </c>
      <c r="AZ64" s="740">
        <v>21.39</v>
      </c>
      <c r="BA64" s="740">
        <v>21.49</v>
      </c>
      <c r="BB64" s="740">
        <v>21.6</v>
      </c>
      <c r="BC64" s="740">
        <v>21.74</v>
      </c>
      <c r="BD64" s="740">
        <v>21.87</v>
      </c>
      <c r="BE64" s="740">
        <v>22.01</v>
      </c>
      <c r="BF64" s="740">
        <v>22.16</v>
      </c>
      <c r="BG64" s="1150">
        <v>22.3</v>
      </c>
      <c r="BH64" s="740">
        <v>22.44</v>
      </c>
      <c r="BI64" s="740">
        <v>22.58</v>
      </c>
      <c r="BJ64" s="740">
        <v>22.72</v>
      </c>
      <c r="BK64" s="740">
        <v>22.87</v>
      </c>
      <c r="BL64" s="740">
        <v>23.01</v>
      </c>
      <c r="BM64" s="740">
        <v>23.15</v>
      </c>
      <c r="BN64" s="740">
        <v>23.29</v>
      </c>
      <c r="BO64" s="740">
        <v>23.42</v>
      </c>
      <c r="BP64" s="740">
        <v>23.56</v>
      </c>
      <c r="BQ64" s="740">
        <v>23.7</v>
      </c>
      <c r="BR64" s="740">
        <v>23.84</v>
      </c>
      <c r="BS64" s="740">
        <v>23.97</v>
      </c>
      <c r="BT64" s="852">
        <v>24.11</v>
      </c>
      <c r="BU64" s="740">
        <v>24.25</v>
      </c>
      <c r="BV64" s="740">
        <v>24.38</v>
      </c>
      <c r="BW64" s="740">
        <v>24.52</v>
      </c>
      <c r="BX64" s="740">
        <v>24.65</v>
      </c>
      <c r="BY64" s="740">
        <v>24.78</v>
      </c>
      <c r="BZ64" s="740">
        <v>24.91</v>
      </c>
      <c r="CA64" s="740">
        <v>25.05</v>
      </c>
      <c r="CB64" s="740">
        <v>25.18</v>
      </c>
      <c r="CC64" s="740">
        <v>25.31</v>
      </c>
      <c r="CD64" s="740">
        <v>25.44</v>
      </c>
      <c r="CE64" s="740">
        <v>25.57</v>
      </c>
      <c r="CF64" s="740">
        <v>25.7</v>
      </c>
      <c r="CG64" s="740">
        <v>25.82</v>
      </c>
      <c r="CH64" s="740">
        <v>25.95</v>
      </c>
      <c r="CI64" s="740">
        <v>26.08</v>
      </c>
      <c r="CJ64" s="740">
        <v>26.2</v>
      </c>
      <c r="CK64" s="740">
        <v>26.33</v>
      </c>
      <c r="CL64" s="740">
        <v>26.45</v>
      </c>
      <c r="CM64" s="740">
        <v>26.58</v>
      </c>
      <c r="CN64" s="740">
        <v>26.7</v>
      </c>
      <c r="CO64" s="740">
        <v>26.82</v>
      </c>
      <c r="CP64" s="740">
        <v>26.95</v>
      </c>
      <c r="CQ64" s="740">
        <v>27.07</v>
      </c>
      <c r="CR64" s="740">
        <v>27.19</v>
      </c>
      <c r="CS64" s="740">
        <v>27.31</v>
      </c>
      <c r="CT64" s="740">
        <v>27.43</v>
      </c>
      <c r="CU64" s="740">
        <v>27.54</v>
      </c>
      <c r="CV64" s="740">
        <v>27.66</v>
      </c>
      <c r="CW64" s="740">
        <v>27.78</v>
      </c>
      <c r="CX64" s="740">
        <v>27.9</v>
      </c>
      <c r="CY64" s="740">
        <v>28.01</v>
      </c>
      <c r="CZ64" s="740">
        <v>28.13</v>
      </c>
      <c r="DA64" s="740">
        <v>28.24</v>
      </c>
      <c r="DB64" s="740">
        <v>28.35</v>
      </c>
      <c r="DC64" s="740">
        <v>28.47</v>
      </c>
      <c r="DD64" s="740">
        <v>28.58</v>
      </c>
      <c r="DE64" s="740">
        <v>28.69</v>
      </c>
      <c r="DF64" s="740">
        <v>28.8</v>
      </c>
      <c r="DG64" s="740">
        <v>28.91</v>
      </c>
      <c r="DH64" s="740">
        <v>29.02</v>
      </c>
      <c r="DI64" s="740">
        <v>29.13</v>
      </c>
      <c r="DJ64" s="740">
        <v>29.24</v>
      </c>
      <c r="DK64" s="740">
        <v>29.34</v>
      </c>
      <c r="DL64" s="740">
        <v>29.45</v>
      </c>
      <c r="DM64" s="740">
        <v>29.56</v>
      </c>
      <c r="DN64" s="740">
        <v>29.66</v>
      </c>
      <c r="DO64" s="740">
        <v>29.77</v>
      </c>
      <c r="DP64" s="740">
        <v>29.87</v>
      </c>
      <c r="DQ64" s="740">
        <v>29.97</v>
      </c>
      <c r="DR64" s="740">
        <v>30.07</v>
      </c>
    </row>
    <row r="65" spans="1:122">
      <c r="A65" s="906">
        <v>63</v>
      </c>
      <c r="B65" s="92"/>
      <c r="C65" s="92"/>
      <c r="D65" s="92"/>
      <c r="E65" s="92"/>
      <c r="F65" s="92"/>
      <c r="G65" s="92"/>
      <c r="H65" s="92"/>
      <c r="I65" s="92"/>
      <c r="J65" s="92"/>
      <c r="K65" s="92"/>
      <c r="L65" s="92"/>
      <c r="M65" s="92"/>
      <c r="N65" s="92"/>
      <c r="O65" s="92"/>
      <c r="P65" s="92"/>
      <c r="Q65" s="92"/>
      <c r="R65" s="92"/>
      <c r="S65" s="92"/>
      <c r="T65" s="92"/>
      <c r="U65" s="92"/>
      <c r="V65" s="740"/>
      <c r="W65" s="740">
        <v>16.329999999999998</v>
      </c>
      <c r="X65" s="740">
        <v>16.55</v>
      </c>
      <c r="Y65" s="740">
        <v>16.68</v>
      </c>
      <c r="Z65" s="740">
        <v>16.87</v>
      </c>
      <c r="AA65" s="740">
        <v>17.04</v>
      </c>
      <c r="AB65" s="740">
        <v>17.22</v>
      </c>
      <c r="AC65" s="740">
        <v>17.260000000000002</v>
      </c>
      <c r="AD65" s="740">
        <v>17.28</v>
      </c>
      <c r="AE65" s="740">
        <v>17.399999999999999</v>
      </c>
      <c r="AF65" s="740">
        <v>17.64</v>
      </c>
      <c r="AG65" s="740">
        <v>17.87</v>
      </c>
      <c r="AH65" s="740">
        <v>18.12</v>
      </c>
      <c r="AI65" s="740">
        <v>18.36</v>
      </c>
      <c r="AJ65" s="740">
        <v>18.59</v>
      </c>
      <c r="AK65" s="740">
        <v>18.84</v>
      </c>
      <c r="AL65" s="740">
        <v>19.100000000000001</v>
      </c>
      <c r="AM65" s="740">
        <v>19.309999999999999</v>
      </c>
      <c r="AN65" s="740">
        <v>19.48</v>
      </c>
      <c r="AO65" s="740">
        <v>19.600000000000001</v>
      </c>
      <c r="AP65" s="740">
        <v>19.71</v>
      </c>
      <c r="AQ65" s="740">
        <v>19.829999999999998</v>
      </c>
      <c r="AR65" s="740">
        <v>19.97</v>
      </c>
      <c r="AS65" s="740">
        <v>20.010000000000002</v>
      </c>
      <c r="AT65" s="740">
        <v>20.07</v>
      </c>
      <c r="AU65" s="740">
        <v>20.13</v>
      </c>
      <c r="AV65" s="740">
        <v>20.190000000000001</v>
      </c>
      <c r="AW65" s="740">
        <v>20.36</v>
      </c>
      <c r="AX65" s="740">
        <v>20.45</v>
      </c>
      <c r="AY65" s="740">
        <v>20.55</v>
      </c>
      <c r="AZ65" s="740">
        <v>20.64</v>
      </c>
      <c r="BA65" s="740">
        <v>20.74</v>
      </c>
      <c r="BB65" s="740">
        <v>20.87</v>
      </c>
      <c r="BC65" s="740">
        <v>21</v>
      </c>
      <c r="BD65" s="740">
        <v>21.12</v>
      </c>
      <c r="BE65" s="740">
        <v>21.27</v>
      </c>
      <c r="BF65" s="740">
        <v>21.41</v>
      </c>
      <c r="BG65" s="740">
        <v>21.55</v>
      </c>
      <c r="BH65" s="740">
        <v>21.69</v>
      </c>
      <c r="BI65" s="740">
        <v>21.83</v>
      </c>
      <c r="BJ65" s="740">
        <v>21.97</v>
      </c>
      <c r="BK65" s="740">
        <v>22.1</v>
      </c>
      <c r="BL65" s="740">
        <v>22.24</v>
      </c>
      <c r="BM65" s="740">
        <v>22.38</v>
      </c>
      <c r="BN65" s="740">
        <v>22.52</v>
      </c>
      <c r="BO65" s="740">
        <v>22.65</v>
      </c>
      <c r="BP65" s="740">
        <v>22.79</v>
      </c>
      <c r="BQ65" s="740">
        <v>22.92</v>
      </c>
      <c r="BR65" s="740">
        <v>23.06</v>
      </c>
      <c r="BS65" s="740">
        <v>23.19</v>
      </c>
      <c r="BT65" s="852">
        <v>23.32</v>
      </c>
      <c r="BU65" s="740">
        <v>23.45</v>
      </c>
      <c r="BV65" s="740">
        <v>23.59</v>
      </c>
      <c r="BW65" s="740">
        <v>23.72</v>
      </c>
      <c r="BX65" s="740">
        <v>23.85</v>
      </c>
      <c r="BY65" s="740">
        <v>23.98</v>
      </c>
      <c r="BZ65" s="740">
        <v>24.11</v>
      </c>
      <c r="CA65" s="740">
        <v>24.24</v>
      </c>
      <c r="CB65" s="740">
        <v>24.37</v>
      </c>
      <c r="CC65" s="740">
        <v>24.49</v>
      </c>
      <c r="CD65" s="740">
        <v>24.62</v>
      </c>
      <c r="CE65" s="740">
        <v>24.75</v>
      </c>
      <c r="CF65" s="740">
        <v>24.87</v>
      </c>
      <c r="CG65" s="740">
        <v>25</v>
      </c>
      <c r="CH65" s="740">
        <v>25.12</v>
      </c>
      <c r="CI65" s="740">
        <v>25.25</v>
      </c>
      <c r="CJ65" s="740">
        <v>25.37</v>
      </c>
      <c r="CK65" s="740">
        <v>25.5</v>
      </c>
      <c r="CL65" s="740">
        <v>25.62</v>
      </c>
      <c r="CM65" s="740">
        <v>25.74</v>
      </c>
      <c r="CN65" s="740">
        <v>25.86</v>
      </c>
      <c r="CO65" s="740">
        <v>25.98</v>
      </c>
      <c r="CP65" s="740">
        <v>26.1</v>
      </c>
      <c r="CQ65" s="740">
        <v>26.22</v>
      </c>
      <c r="CR65" s="740">
        <v>26.34</v>
      </c>
      <c r="CS65" s="740">
        <v>26.45</v>
      </c>
      <c r="CT65" s="740">
        <v>26.57</v>
      </c>
      <c r="CU65" s="740">
        <v>26.69</v>
      </c>
      <c r="CV65" s="740">
        <v>26.8</v>
      </c>
      <c r="CW65" s="740">
        <v>26.92</v>
      </c>
      <c r="CX65" s="740">
        <v>27.03</v>
      </c>
      <c r="CY65" s="740">
        <v>27.15</v>
      </c>
      <c r="CZ65" s="740">
        <v>27.26</v>
      </c>
      <c r="DA65" s="740">
        <v>27.37</v>
      </c>
      <c r="DB65" s="740">
        <v>27.48</v>
      </c>
      <c r="DC65" s="740">
        <v>27.59</v>
      </c>
      <c r="DD65" s="740">
        <v>27.7</v>
      </c>
      <c r="DE65" s="740">
        <v>27.81</v>
      </c>
      <c r="DF65" s="740">
        <v>27.92</v>
      </c>
      <c r="DG65" s="740">
        <v>28.03</v>
      </c>
      <c r="DH65" s="740">
        <v>28.14</v>
      </c>
      <c r="DI65" s="740">
        <v>28.25</v>
      </c>
      <c r="DJ65" s="740">
        <v>28.35</v>
      </c>
      <c r="DK65" s="740">
        <v>28.46</v>
      </c>
      <c r="DL65" s="740">
        <v>28.56</v>
      </c>
      <c r="DM65" s="740">
        <v>28.67</v>
      </c>
      <c r="DN65" s="740">
        <v>28.77</v>
      </c>
      <c r="DO65" s="740">
        <v>28.87</v>
      </c>
      <c r="DP65" s="740">
        <v>28.97</v>
      </c>
      <c r="DQ65" s="740">
        <v>29.07</v>
      </c>
      <c r="DR65" s="740">
        <v>29.17</v>
      </c>
    </row>
    <row r="66" spans="1:122">
      <c r="A66" s="906">
        <v>64</v>
      </c>
      <c r="B66" s="92"/>
      <c r="C66" s="92"/>
      <c r="D66" s="92"/>
      <c r="E66" s="92"/>
      <c r="F66" s="92"/>
      <c r="G66" s="92"/>
      <c r="H66" s="92"/>
      <c r="I66" s="92"/>
      <c r="J66" s="92"/>
      <c r="K66" s="92"/>
      <c r="L66" s="92"/>
      <c r="M66" s="92"/>
      <c r="N66" s="92"/>
      <c r="O66" s="92"/>
      <c r="P66" s="92"/>
      <c r="Q66" s="92"/>
      <c r="R66" s="92"/>
      <c r="S66" s="92"/>
      <c r="T66" s="92"/>
      <c r="U66" s="92"/>
      <c r="V66" s="740"/>
      <c r="W66" s="740">
        <v>15.71</v>
      </c>
      <c r="X66" s="740">
        <v>15.91</v>
      </c>
      <c r="Y66" s="740">
        <v>16.04</v>
      </c>
      <c r="Z66" s="740">
        <v>16.23</v>
      </c>
      <c r="AA66" s="740">
        <v>16.39</v>
      </c>
      <c r="AB66" s="740">
        <v>16.579999999999998</v>
      </c>
      <c r="AC66" s="740">
        <v>16.62</v>
      </c>
      <c r="AD66" s="740">
        <v>16.64</v>
      </c>
      <c r="AE66" s="740">
        <v>16.760000000000002</v>
      </c>
      <c r="AF66" s="740">
        <v>17</v>
      </c>
      <c r="AG66" s="740">
        <v>17.22</v>
      </c>
      <c r="AH66" s="740">
        <v>17.47</v>
      </c>
      <c r="AI66" s="740">
        <v>17.7</v>
      </c>
      <c r="AJ66" s="740">
        <v>17.91</v>
      </c>
      <c r="AK66" s="740">
        <v>18.149999999999999</v>
      </c>
      <c r="AL66" s="740">
        <v>18.41</v>
      </c>
      <c r="AM66" s="740">
        <v>18.61</v>
      </c>
      <c r="AN66" s="740">
        <v>18.77</v>
      </c>
      <c r="AO66" s="740">
        <v>18.89</v>
      </c>
      <c r="AP66" s="740">
        <v>18.989999999999998</v>
      </c>
      <c r="AQ66" s="740">
        <v>19.11</v>
      </c>
      <c r="AR66" s="740">
        <v>19.23</v>
      </c>
      <c r="AS66" s="740">
        <v>19.28</v>
      </c>
      <c r="AT66" s="740">
        <v>19.329999999999998</v>
      </c>
      <c r="AU66" s="740">
        <v>19.399999999999999</v>
      </c>
      <c r="AV66" s="740">
        <v>19.46</v>
      </c>
      <c r="AW66" s="740">
        <v>19.62</v>
      </c>
      <c r="AX66" s="740">
        <v>19.7</v>
      </c>
      <c r="AY66" s="740">
        <v>19.809999999999999</v>
      </c>
      <c r="AZ66" s="740">
        <v>19.899999999999999</v>
      </c>
      <c r="BA66" s="740">
        <v>20.010000000000002</v>
      </c>
      <c r="BB66" s="740">
        <v>20.14</v>
      </c>
      <c r="BC66" s="740">
        <v>20.27</v>
      </c>
      <c r="BD66" s="740">
        <v>20.399999999999999</v>
      </c>
      <c r="BE66" s="740">
        <v>20.54</v>
      </c>
      <c r="BF66" s="740">
        <v>20.68</v>
      </c>
      <c r="BG66" s="740">
        <v>20.81</v>
      </c>
      <c r="BH66" s="740">
        <v>20.95</v>
      </c>
      <c r="BI66" s="740">
        <v>21.08</v>
      </c>
      <c r="BJ66" s="740">
        <v>21.22</v>
      </c>
      <c r="BK66" s="740">
        <v>21.35</v>
      </c>
      <c r="BL66" s="740">
        <v>21.49</v>
      </c>
      <c r="BM66" s="740">
        <v>21.62</v>
      </c>
      <c r="BN66" s="740">
        <v>21.75</v>
      </c>
      <c r="BO66" s="740">
        <v>21.89</v>
      </c>
      <c r="BP66" s="740">
        <v>22.02</v>
      </c>
      <c r="BQ66" s="740">
        <v>22.15</v>
      </c>
      <c r="BR66" s="740">
        <v>22.28</v>
      </c>
      <c r="BS66" s="740">
        <v>22.41</v>
      </c>
      <c r="BT66" s="852">
        <v>22.54</v>
      </c>
      <c r="BU66" s="740">
        <v>22.67</v>
      </c>
      <c r="BV66" s="740">
        <v>22.8</v>
      </c>
      <c r="BW66" s="740">
        <v>22.93</v>
      </c>
      <c r="BX66" s="740">
        <v>23.06</v>
      </c>
      <c r="BY66" s="740">
        <v>23.18</v>
      </c>
      <c r="BZ66" s="740">
        <v>23.31</v>
      </c>
      <c r="CA66" s="740">
        <v>23.44</v>
      </c>
      <c r="CB66" s="740">
        <v>23.56</v>
      </c>
      <c r="CC66" s="740">
        <v>23.69</v>
      </c>
      <c r="CD66" s="740">
        <v>23.81</v>
      </c>
      <c r="CE66" s="740">
        <v>23.94</v>
      </c>
      <c r="CF66" s="740">
        <v>24.06</v>
      </c>
      <c r="CG66" s="740">
        <v>24.18</v>
      </c>
      <c r="CH66" s="740">
        <v>24.3</v>
      </c>
      <c r="CI66" s="740">
        <v>24.43</v>
      </c>
      <c r="CJ66" s="740">
        <v>24.55</v>
      </c>
      <c r="CK66" s="740">
        <v>24.67</v>
      </c>
      <c r="CL66" s="740">
        <v>24.79</v>
      </c>
      <c r="CM66" s="740">
        <v>24.91</v>
      </c>
      <c r="CN66" s="740">
        <v>25.03</v>
      </c>
      <c r="CO66" s="740">
        <v>25.14</v>
      </c>
      <c r="CP66" s="740">
        <v>25.26</v>
      </c>
      <c r="CQ66" s="740">
        <v>25.38</v>
      </c>
      <c r="CR66" s="740">
        <v>25.49</v>
      </c>
      <c r="CS66" s="740">
        <v>25.61</v>
      </c>
      <c r="CT66" s="740">
        <v>25.72</v>
      </c>
      <c r="CU66" s="740">
        <v>25.84</v>
      </c>
      <c r="CV66" s="740">
        <v>25.95</v>
      </c>
      <c r="CW66" s="740">
        <v>26.06</v>
      </c>
      <c r="CX66" s="740">
        <v>26.18</v>
      </c>
      <c r="CY66" s="740">
        <v>26.29</v>
      </c>
      <c r="CZ66" s="740">
        <v>26.4</v>
      </c>
      <c r="DA66" s="740">
        <v>26.51</v>
      </c>
      <c r="DB66" s="740">
        <v>26.62</v>
      </c>
      <c r="DC66" s="740">
        <v>26.73</v>
      </c>
      <c r="DD66" s="740">
        <v>26.83</v>
      </c>
      <c r="DE66" s="740">
        <v>26.94</v>
      </c>
      <c r="DF66" s="740">
        <v>27.05</v>
      </c>
      <c r="DG66" s="740">
        <v>27.15</v>
      </c>
      <c r="DH66" s="740">
        <v>27.26</v>
      </c>
      <c r="DI66" s="740">
        <v>27.37</v>
      </c>
      <c r="DJ66" s="740">
        <v>27.47</v>
      </c>
      <c r="DK66" s="740">
        <v>27.57</v>
      </c>
      <c r="DL66" s="740">
        <v>27.68</v>
      </c>
      <c r="DM66" s="740">
        <v>27.78</v>
      </c>
      <c r="DN66" s="740">
        <v>27.88</v>
      </c>
      <c r="DO66" s="740">
        <v>27.98</v>
      </c>
      <c r="DP66" s="740">
        <v>28.08</v>
      </c>
      <c r="DQ66" s="740">
        <v>28.18</v>
      </c>
      <c r="DR66" s="740">
        <v>28.28</v>
      </c>
    </row>
    <row r="67" spans="1:122">
      <c r="A67" s="906">
        <v>65</v>
      </c>
      <c r="B67" s="92"/>
      <c r="C67" s="92"/>
      <c r="D67" s="92"/>
      <c r="E67" s="92"/>
      <c r="F67" s="92"/>
      <c r="G67" s="92"/>
      <c r="H67" s="92"/>
      <c r="I67" s="92"/>
      <c r="J67" s="92"/>
      <c r="K67" s="92"/>
      <c r="L67" s="92"/>
      <c r="M67" s="92"/>
      <c r="N67" s="92"/>
      <c r="O67" s="92"/>
      <c r="P67" s="92"/>
      <c r="Q67" s="92"/>
      <c r="R67" s="92"/>
      <c r="S67" s="92"/>
      <c r="T67" s="92"/>
      <c r="U67" s="92"/>
      <c r="V67" s="740"/>
      <c r="W67" s="740">
        <v>15.08</v>
      </c>
      <c r="X67" s="740">
        <v>15.28</v>
      </c>
      <c r="Y67" s="740">
        <v>15.4</v>
      </c>
      <c r="Z67" s="740">
        <v>15.6</v>
      </c>
      <c r="AA67" s="740">
        <v>15.76</v>
      </c>
      <c r="AB67" s="740">
        <v>15.95</v>
      </c>
      <c r="AC67" s="740">
        <v>15.99</v>
      </c>
      <c r="AD67" s="740">
        <v>16.02</v>
      </c>
      <c r="AE67" s="740">
        <v>16.14</v>
      </c>
      <c r="AF67" s="740">
        <v>16.37</v>
      </c>
      <c r="AG67" s="740">
        <v>16.59</v>
      </c>
      <c r="AH67" s="740">
        <v>16.82</v>
      </c>
      <c r="AI67" s="740">
        <v>17.04</v>
      </c>
      <c r="AJ67" s="740">
        <v>17.239999999999998</v>
      </c>
      <c r="AK67" s="740">
        <v>17.48</v>
      </c>
      <c r="AL67" s="740">
        <v>17.72</v>
      </c>
      <c r="AM67" s="740">
        <v>17.91</v>
      </c>
      <c r="AN67" s="740">
        <v>18.07</v>
      </c>
      <c r="AO67" s="740">
        <v>18.18</v>
      </c>
      <c r="AP67" s="740">
        <v>18.27</v>
      </c>
      <c r="AQ67" s="740">
        <v>18.38</v>
      </c>
      <c r="AR67" s="740">
        <v>18.510000000000002</v>
      </c>
      <c r="AS67" s="740">
        <v>18.55</v>
      </c>
      <c r="AT67" s="740">
        <v>18.600000000000001</v>
      </c>
      <c r="AU67" s="740">
        <v>18.670000000000002</v>
      </c>
      <c r="AV67" s="740">
        <v>18.739999999999998</v>
      </c>
      <c r="AW67" s="740">
        <v>18.89</v>
      </c>
      <c r="AX67" s="740">
        <v>18.98</v>
      </c>
      <c r="AY67" s="740">
        <v>19.079999999999998</v>
      </c>
      <c r="AZ67" s="740">
        <v>19.18</v>
      </c>
      <c r="BA67" s="740">
        <v>19.29</v>
      </c>
      <c r="BB67" s="740">
        <v>19.420000000000002</v>
      </c>
      <c r="BC67" s="740">
        <v>19.559999999999999</v>
      </c>
      <c r="BD67" s="740">
        <v>19.690000000000001</v>
      </c>
      <c r="BE67" s="740">
        <v>19.82</v>
      </c>
      <c r="BF67" s="740">
        <v>19.95</v>
      </c>
      <c r="BG67" s="740">
        <v>20.079999999999998</v>
      </c>
      <c r="BH67" s="740">
        <v>20.22</v>
      </c>
      <c r="BI67" s="740">
        <v>20.350000000000001</v>
      </c>
      <c r="BJ67" s="740">
        <v>20.48</v>
      </c>
      <c r="BK67" s="740">
        <v>20.61</v>
      </c>
      <c r="BL67" s="740">
        <v>20.74</v>
      </c>
      <c r="BM67" s="740">
        <v>20.87</v>
      </c>
      <c r="BN67" s="740">
        <v>21</v>
      </c>
      <c r="BO67" s="740">
        <v>21.13</v>
      </c>
      <c r="BP67" s="740">
        <v>21.26</v>
      </c>
      <c r="BQ67" s="740">
        <v>21.39</v>
      </c>
      <c r="BR67" s="740">
        <v>21.51</v>
      </c>
      <c r="BS67" s="740">
        <v>21.64</v>
      </c>
      <c r="BT67" s="852">
        <v>21.77</v>
      </c>
      <c r="BU67" s="740">
        <v>21.9</v>
      </c>
      <c r="BV67" s="740">
        <v>22.02</v>
      </c>
      <c r="BW67" s="740">
        <v>22.15</v>
      </c>
      <c r="BX67" s="740">
        <v>22.27</v>
      </c>
      <c r="BY67" s="740">
        <v>22.4</v>
      </c>
      <c r="BZ67" s="740">
        <v>22.52</v>
      </c>
      <c r="CA67" s="740">
        <v>22.64</v>
      </c>
      <c r="CB67" s="740">
        <v>22.77</v>
      </c>
      <c r="CC67" s="740">
        <v>22.89</v>
      </c>
      <c r="CD67" s="740">
        <v>23.01</v>
      </c>
      <c r="CE67" s="740">
        <v>23.13</v>
      </c>
      <c r="CF67" s="740">
        <v>23.25</v>
      </c>
      <c r="CG67" s="740">
        <v>23.37</v>
      </c>
      <c r="CH67" s="740">
        <v>23.49</v>
      </c>
      <c r="CI67" s="740">
        <v>23.61</v>
      </c>
      <c r="CJ67" s="740">
        <v>23.73</v>
      </c>
      <c r="CK67" s="740">
        <v>23.85</v>
      </c>
      <c r="CL67" s="740">
        <v>23.96</v>
      </c>
      <c r="CM67" s="740">
        <v>24.08</v>
      </c>
      <c r="CN67" s="740">
        <v>24.2</v>
      </c>
      <c r="CO67" s="740">
        <v>24.31</v>
      </c>
      <c r="CP67" s="740">
        <v>24.43</v>
      </c>
      <c r="CQ67" s="740">
        <v>24.54</v>
      </c>
      <c r="CR67" s="740">
        <v>24.65</v>
      </c>
      <c r="CS67" s="740">
        <v>24.77</v>
      </c>
      <c r="CT67" s="740">
        <v>24.88</v>
      </c>
      <c r="CU67" s="740">
        <v>24.99</v>
      </c>
      <c r="CV67" s="740">
        <v>25.1</v>
      </c>
      <c r="CW67" s="740">
        <v>25.21</v>
      </c>
      <c r="CX67" s="740">
        <v>25.32</v>
      </c>
      <c r="CY67" s="740">
        <v>25.43</v>
      </c>
      <c r="CZ67" s="740">
        <v>25.54</v>
      </c>
      <c r="DA67" s="740">
        <v>25.65</v>
      </c>
      <c r="DB67" s="740">
        <v>25.76</v>
      </c>
      <c r="DC67" s="740">
        <v>25.86</v>
      </c>
      <c r="DD67" s="740">
        <v>25.97</v>
      </c>
      <c r="DE67" s="740">
        <v>26.07</v>
      </c>
      <c r="DF67" s="740">
        <v>26.18</v>
      </c>
      <c r="DG67" s="740">
        <v>26.28</v>
      </c>
      <c r="DH67" s="740">
        <v>26.39</v>
      </c>
      <c r="DI67" s="740">
        <v>26.49</v>
      </c>
      <c r="DJ67" s="740">
        <v>26.59</v>
      </c>
      <c r="DK67" s="740">
        <v>26.69</v>
      </c>
      <c r="DL67" s="740">
        <v>26.79</v>
      </c>
      <c r="DM67" s="740">
        <v>26.89</v>
      </c>
      <c r="DN67" s="740">
        <v>26.99</v>
      </c>
      <c r="DO67" s="740">
        <v>27.09</v>
      </c>
      <c r="DP67" s="740">
        <v>27.19</v>
      </c>
      <c r="DQ67" s="740">
        <v>27.29</v>
      </c>
      <c r="DR67" s="740">
        <v>27.39</v>
      </c>
    </row>
    <row r="68" spans="1:122">
      <c r="A68" s="906">
        <v>66</v>
      </c>
      <c r="B68" s="92"/>
      <c r="C68" s="92"/>
      <c r="D68" s="92"/>
      <c r="E68" s="92"/>
      <c r="F68" s="92"/>
      <c r="G68" s="92"/>
      <c r="H68" s="92"/>
      <c r="I68" s="92"/>
      <c r="J68" s="92"/>
      <c r="K68" s="92"/>
      <c r="L68" s="92"/>
      <c r="M68" s="92"/>
      <c r="N68" s="92"/>
      <c r="O68" s="92"/>
      <c r="P68" s="92"/>
      <c r="Q68" s="92"/>
      <c r="R68" s="92"/>
      <c r="S68" s="92"/>
      <c r="T68" s="92"/>
      <c r="U68" s="92"/>
      <c r="V68" s="740"/>
      <c r="W68" s="740">
        <v>14.48</v>
      </c>
      <c r="X68" s="740">
        <v>14.66</v>
      </c>
      <c r="Y68" s="740">
        <v>14.79</v>
      </c>
      <c r="Z68" s="740">
        <v>14.99</v>
      </c>
      <c r="AA68" s="740">
        <v>15.15</v>
      </c>
      <c r="AB68" s="740">
        <v>15.33</v>
      </c>
      <c r="AC68" s="740">
        <v>15.37</v>
      </c>
      <c r="AD68" s="740">
        <v>15.4</v>
      </c>
      <c r="AE68" s="740">
        <v>15.52</v>
      </c>
      <c r="AF68" s="740">
        <v>15.76</v>
      </c>
      <c r="AG68" s="740">
        <v>15.96</v>
      </c>
      <c r="AH68" s="740">
        <v>16.18</v>
      </c>
      <c r="AI68" s="740">
        <v>16.39</v>
      </c>
      <c r="AJ68" s="740">
        <v>16.579999999999998</v>
      </c>
      <c r="AK68" s="740">
        <v>16.8</v>
      </c>
      <c r="AL68" s="740">
        <v>17.04</v>
      </c>
      <c r="AM68" s="740">
        <v>17.22</v>
      </c>
      <c r="AN68" s="740">
        <v>17.37</v>
      </c>
      <c r="AO68" s="740">
        <v>17.48</v>
      </c>
      <c r="AP68" s="740">
        <v>17.559999999999999</v>
      </c>
      <c r="AQ68" s="740">
        <v>17.66</v>
      </c>
      <c r="AR68" s="740">
        <v>17.79</v>
      </c>
      <c r="AS68" s="740">
        <v>17.829999999999998</v>
      </c>
      <c r="AT68" s="740">
        <v>17.88</v>
      </c>
      <c r="AU68" s="740">
        <v>17.96</v>
      </c>
      <c r="AV68" s="740">
        <v>18.03</v>
      </c>
      <c r="AW68" s="740">
        <v>18.18</v>
      </c>
      <c r="AX68" s="740">
        <v>18.260000000000002</v>
      </c>
      <c r="AY68" s="740">
        <v>18.37</v>
      </c>
      <c r="AZ68" s="740">
        <v>18.48</v>
      </c>
      <c r="BA68" s="740">
        <v>18.59</v>
      </c>
      <c r="BB68" s="740">
        <v>18.72</v>
      </c>
      <c r="BC68" s="740">
        <v>18.850000000000001</v>
      </c>
      <c r="BD68" s="740">
        <v>18.98</v>
      </c>
      <c r="BE68" s="740">
        <v>19.11</v>
      </c>
      <c r="BF68" s="740">
        <v>19.23</v>
      </c>
      <c r="BG68" s="740">
        <v>19.36</v>
      </c>
      <c r="BH68" s="740">
        <v>19.489999999999998</v>
      </c>
      <c r="BI68" s="740">
        <v>19.62</v>
      </c>
      <c r="BJ68" s="740">
        <v>19.75</v>
      </c>
      <c r="BK68" s="740">
        <v>19.87</v>
      </c>
      <c r="BL68" s="740">
        <v>20</v>
      </c>
      <c r="BM68" s="740">
        <v>20.13</v>
      </c>
      <c r="BN68" s="740">
        <v>20.25</v>
      </c>
      <c r="BO68" s="740">
        <v>20.38</v>
      </c>
      <c r="BP68" s="740">
        <v>20.51</v>
      </c>
      <c r="BQ68" s="740">
        <v>20.63</v>
      </c>
      <c r="BR68" s="740">
        <v>20.76</v>
      </c>
      <c r="BS68" s="740">
        <v>20.88</v>
      </c>
      <c r="BT68" s="852">
        <v>21</v>
      </c>
      <c r="BU68" s="740">
        <v>21.13</v>
      </c>
      <c r="BV68" s="740">
        <v>21.25</v>
      </c>
      <c r="BW68" s="740">
        <v>21.37</v>
      </c>
      <c r="BX68" s="740">
        <v>21.49</v>
      </c>
      <c r="BY68" s="740">
        <v>21.61</v>
      </c>
      <c r="BZ68" s="740">
        <v>21.73</v>
      </c>
      <c r="CA68" s="740">
        <v>21.86</v>
      </c>
      <c r="CB68" s="740">
        <v>21.97</v>
      </c>
      <c r="CC68" s="740">
        <v>22.09</v>
      </c>
      <c r="CD68" s="740">
        <v>22.21</v>
      </c>
      <c r="CE68" s="740">
        <v>22.33</v>
      </c>
      <c r="CF68" s="740">
        <v>22.45</v>
      </c>
      <c r="CG68" s="740">
        <v>22.57</v>
      </c>
      <c r="CH68" s="740">
        <v>22.68</v>
      </c>
      <c r="CI68" s="740">
        <v>22.8</v>
      </c>
      <c r="CJ68" s="740">
        <v>22.91</v>
      </c>
      <c r="CK68" s="740">
        <v>23.03</v>
      </c>
      <c r="CL68" s="740">
        <v>23.14</v>
      </c>
      <c r="CM68" s="740">
        <v>23.26</v>
      </c>
      <c r="CN68" s="740">
        <v>23.37</v>
      </c>
      <c r="CO68" s="740">
        <v>23.48</v>
      </c>
      <c r="CP68" s="740">
        <v>23.6</v>
      </c>
      <c r="CQ68" s="740">
        <v>23.71</v>
      </c>
      <c r="CR68" s="740">
        <v>23.82</v>
      </c>
      <c r="CS68" s="740">
        <v>23.93</v>
      </c>
      <c r="CT68" s="740">
        <v>24.04</v>
      </c>
      <c r="CU68" s="740">
        <v>24.15</v>
      </c>
      <c r="CV68" s="740">
        <v>24.26</v>
      </c>
      <c r="CW68" s="740">
        <v>24.37</v>
      </c>
      <c r="CX68" s="740">
        <v>24.47</v>
      </c>
      <c r="CY68" s="740">
        <v>24.58</v>
      </c>
      <c r="CZ68" s="740">
        <v>24.69</v>
      </c>
      <c r="DA68" s="740">
        <v>24.79</v>
      </c>
      <c r="DB68" s="740">
        <v>24.9</v>
      </c>
      <c r="DC68" s="740">
        <v>25</v>
      </c>
      <c r="DD68" s="740">
        <v>25.11</v>
      </c>
      <c r="DE68" s="740">
        <v>25.21</v>
      </c>
      <c r="DF68" s="740">
        <v>25.31</v>
      </c>
      <c r="DG68" s="740">
        <v>25.41</v>
      </c>
      <c r="DH68" s="740">
        <v>25.52</v>
      </c>
      <c r="DI68" s="740">
        <v>25.62</v>
      </c>
      <c r="DJ68" s="740">
        <v>25.72</v>
      </c>
      <c r="DK68" s="740">
        <v>25.82</v>
      </c>
      <c r="DL68" s="740">
        <v>25.92</v>
      </c>
      <c r="DM68" s="740">
        <v>26.01</v>
      </c>
      <c r="DN68" s="740">
        <v>26.11</v>
      </c>
      <c r="DO68" s="740">
        <v>26.21</v>
      </c>
      <c r="DP68" s="740">
        <v>26.31</v>
      </c>
      <c r="DQ68" s="740">
        <v>26.4</v>
      </c>
      <c r="DR68" s="740">
        <v>26.5</v>
      </c>
    </row>
    <row r="69" spans="1:122">
      <c r="A69" s="906">
        <v>67</v>
      </c>
      <c r="B69" s="92"/>
      <c r="C69" s="92"/>
      <c r="D69" s="92"/>
      <c r="E69" s="92"/>
      <c r="F69" s="92"/>
      <c r="G69" s="92"/>
      <c r="H69" s="92"/>
      <c r="I69" s="92"/>
      <c r="J69" s="92"/>
      <c r="K69" s="92"/>
      <c r="L69" s="92"/>
      <c r="M69" s="92"/>
      <c r="N69" s="92"/>
      <c r="O69" s="92"/>
      <c r="P69" s="92"/>
      <c r="Q69" s="92"/>
      <c r="R69" s="92"/>
      <c r="S69" s="92"/>
      <c r="T69" s="92"/>
      <c r="U69" s="92"/>
      <c r="V69" s="740"/>
      <c r="W69" s="740">
        <v>13.88</v>
      </c>
      <c r="X69" s="740">
        <v>14.06</v>
      </c>
      <c r="Y69" s="740">
        <v>14.2</v>
      </c>
      <c r="Z69" s="740">
        <v>14.4</v>
      </c>
      <c r="AA69" s="740">
        <v>14.54</v>
      </c>
      <c r="AB69" s="740">
        <v>14.72</v>
      </c>
      <c r="AC69" s="740">
        <v>14.78</v>
      </c>
      <c r="AD69" s="740">
        <v>14.8</v>
      </c>
      <c r="AE69" s="740">
        <v>14.92</v>
      </c>
      <c r="AF69" s="740">
        <v>15.14</v>
      </c>
      <c r="AG69" s="740">
        <v>15.34</v>
      </c>
      <c r="AH69" s="740">
        <v>15.54</v>
      </c>
      <c r="AI69" s="740">
        <v>15.75</v>
      </c>
      <c r="AJ69" s="740">
        <v>15.92</v>
      </c>
      <c r="AK69" s="740">
        <v>16.14</v>
      </c>
      <c r="AL69" s="740">
        <v>16.37</v>
      </c>
      <c r="AM69" s="740">
        <v>16.55</v>
      </c>
      <c r="AN69" s="740">
        <v>16.68</v>
      </c>
      <c r="AO69" s="740">
        <v>16.78</v>
      </c>
      <c r="AP69" s="740">
        <v>16.87</v>
      </c>
      <c r="AQ69" s="740">
        <v>16.96</v>
      </c>
      <c r="AR69" s="740">
        <v>17.079999999999998</v>
      </c>
      <c r="AS69" s="740">
        <v>17.12</v>
      </c>
      <c r="AT69" s="740">
        <v>17.18</v>
      </c>
      <c r="AU69" s="740">
        <v>17.25</v>
      </c>
      <c r="AV69" s="740">
        <v>17.32</v>
      </c>
      <c r="AW69" s="740">
        <v>17.47</v>
      </c>
      <c r="AX69" s="740">
        <v>17.559999999999999</v>
      </c>
      <c r="AY69" s="740">
        <v>17.670000000000002</v>
      </c>
      <c r="AZ69" s="740">
        <v>17.77</v>
      </c>
      <c r="BA69" s="740">
        <v>17.899999999999999</v>
      </c>
      <c r="BB69" s="740">
        <v>18.02</v>
      </c>
      <c r="BC69" s="740">
        <v>18.149999999999999</v>
      </c>
      <c r="BD69" s="740">
        <v>18.27</v>
      </c>
      <c r="BE69" s="740">
        <v>18.399999999999999</v>
      </c>
      <c r="BF69" s="740">
        <v>18.52</v>
      </c>
      <c r="BG69" s="740">
        <v>18.649999999999999</v>
      </c>
      <c r="BH69" s="740">
        <v>18.77</v>
      </c>
      <c r="BI69" s="740">
        <v>18.899999999999999</v>
      </c>
      <c r="BJ69" s="740">
        <v>19.02</v>
      </c>
      <c r="BK69" s="740">
        <v>19.149999999999999</v>
      </c>
      <c r="BL69" s="740">
        <v>19.27</v>
      </c>
      <c r="BM69" s="740">
        <v>19.39</v>
      </c>
      <c r="BN69" s="740">
        <v>19.510000000000002</v>
      </c>
      <c r="BO69" s="740">
        <v>19.64</v>
      </c>
      <c r="BP69" s="740">
        <v>19.760000000000002</v>
      </c>
      <c r="BQ69" s="740">
        <v>19.88</v>
      </c>
      <c r="BR69" s="740">
        <v>20</v>
      </c>
      <c r="BS69" s="740">
        <v>20.12</v>
      </c>
      <c r="BT69" s="852">
        <v>20.239999999999998</v>
      </c>
      <c r="BU69" s="740">
        <v>20.36</v>
      </c>
      <c r="BV69" s="740">
        <v>20.48</v>
      </c>
      <c r="BW69" s="740">
        <v>20.6</v>
      </c>
      <c r="BX69" s="740">
        <v>20.72</v>
      </c>
      <c r="BY69" s="740">
        <v>20.84</v>
      </c>
      <c r="BZ69" s="740">
        <v>20.96</v>
      </c>
      <c r="CA69" s="740">
        <v>21.07</v>
      </c>
      <c r="CB69" s="740">
        <v>21.19</v>
      </c>
      <c r="CC69" s="740">
        <v>21.31</v>
      </c>
      <c r="CD69" s="740">
        <v>21.42</v>
      </c>
      <c r="CE69" s="740">
        <v>21.54</v>
      </c>
      <c r="CF69" s="740">
        <v>21.65</v>
      </c>
      <c r="CG69" s="740">
        <v>21.77</v>
      </c>
      <c r="CH69" s="740">
        <v>21.88</v>
      </c>
      <c r="CI69" s="740">
        <v>21.99</v>
      </c>
      <c r="CJ69" s="740">
        <v>22.1</v>
      </c>
      <c r="CK69" s="740">
        <v>22.22</v>
      </c>
      <c r="CL69" s="740">
        <v>22.33</v>
      </c>
      <c r="CM69" s="740">
        <v>22.44</v>
      </c>
      <c r="CN69" s="740">
        <v>22.55</v>
      </c>
      <c r="CO69" s="740">
        <v>22.66</v>
      </c>
      <c r="CP69" s="740">
        <v>22.77</v>
      </c>
      <c r="CQ69" s="740">
        <v>22.88</v>
      </c>
      <c r="CR69" s="740">
        <v>22.99</v>
      </c>
      <c r="CS69" s="740">
        <v>23.1</v>
      </c>
      <c r="CT69" s="740">
        <v>23.2</v>
      </c>
      <c r="CU69" s="740">
        <v>23.31</v>
      </c>
      <c r="CV69" s="740">
        <v>23.42</v>
      </c>
      <c r="CW69" s="740">
        <v>23.52</v>
      </c>
      <c r="CX69" s="740">
        <v>23.63</v>
      </c>
      <c r="CY69" s="740">
        <v>23.73</v>
      </c>
      <c r="CZ69" s="740">
        <v>23.84</v>
      </c>
      <c r="DA69" s="740">
        <v>23.94</v>
      </c>
      <c r="DB69" s="740">
        <v>24.04</v>
      </c>
      <c r="DC69" s="740">
        <v>24.14</v>
      </c>
      <c r="DD69" s="740">
        <v>24.25</v>
      </c>
      <c r="DE69" s="740">
        <v>24.35</v>
      </c>
      <c r="DF69" s="740">
        <v>24.45</v>
      </c>
      <c r="DG69" s="740">
        <v>24.55</v>
      </c>
      <c r="DH69" s="740">
        <v>24.65</v>
      </c>
      <c r="DI69" s="740">
        <v>24.75</v>
      </c>
      <c r="DJ69" s="740">
        <v>24.84</v>
      </c>
      <c r="DK69" s="740">
        <v>24.94</v>
      </c>
      <c r="DL69" s="740">
        <v>25.04</v>
      </c>
      <c r="DM69" s="740">
        <v>25.14</v>
      </c>
      <c r="DN69" s="740">
        <v>25.23</v>
      </c>
      <c r="DO69" s="740">
        <v>25.33</v>
      </c>
      <c r="DP69" s="740">
        <v>25.42</v>
      </c>
      <c r="DQ69" s="740">
        <v>25.52</v>
      </c>
      <c r="DR69" s="740">
        <v>25.61</v>
      </c>
    </row>
    <row r="70" spans="1:122">
      <c r="A70" s="906">
        <v>68</v>
      </c>
      <c r="B70" s="92"/>
      <c r="C70" s="92"/>
      <c r="D70" s="92"/>
      <c r="E70" s="92"/>
      <c r="F70" s="92"/>
      <c r="G70" s="92"/>
      <c r="H70" s="92"/>
      <c r="I70" s="92"/>
      <c r="J70" s="92"/>
      <c r="K70" s="92"/>
      <c r="L70" s="92"/>
      <c r="M70" s="92"/>
      <c r="N70" s="92"/>
      <c r="O70" s="92"/>
      <c r="P70" s="92"/>
      <c r="Q70" s="92"/>
      <c r="R70" s="92"/>
      <c r="S70" s="92"/>
      <c r="T70" s="92"/>
      <c r="U70" s="92"/>
      <c r="V70" s="740"/>
      <c r="W70" s="740">
        <v>13.3</v>
      </c>
      <c r="X70" s="740">
        <v>13.48</v>
      </c>
      <c r="Y70" s="740">
        <v>13.61</v>
      </c>
      <c r="Z70" s="740">
        <v>13.82</v>
      </c>
      <c r="AA70" s="740">
        <v>13.95</v>
      </c>
      <c r="AB70" s="740">
        <v>14.13</v>
      </c>
      <c r="AC70" s="740">
        <v>14.19</v>
      </c>
      <c r="AD70" s="740">
        <v>14.22</v>
      </c>
      <c r="AE70" s="740">
        <v>14.32</v>
      </c>
      <c r="AF70" s="740">
        <v>14.53</v>
      </c>
      <c r="AG70" s="740">
        <v>14.72</v>
      </c>
      <c r="AH70" s="740">
        <v>14.92</v>
      </c>
      <c r="AI70" s="740">
        <v>15.11</v>
      </c>
      <c r="AJ70" s="740">
        <v>15.28</v>
      </c>
      <c r="AK70" s="740">
        <v>15.49</v>
      </c>
      <c r="AL70" s="740">
        <v>15.7</v>
      </c>
      <c r="AM70" s="740">
        <v>15.87</v>
      </c>
      <c r="AN70" s="740">
        <v>16</v>
      </c>
      <c r="AO70" s="740">
        <v>16.09</v>
      </c>
      <c r="AP70" s="740">
        <v>16.170000000000002</v>
      </c>
      <c r="AQ70" s="740">
        <v>16.260000000000002</v>
      </c>
      <c r="AR70" s="740">
        <v>16.37</v>
      </c>
      <c r="AS70" s="740">
        <v>16.420000000000002</v>
      </c>
      <c r="AT70" s="740">
        <v>16.48</v>
      </c>
      <c r="AU70" s="740">
        <v>16.55</v>
      </c>
      <c r="AV70" s="740">
        <v>16.63</v>
      </c>
      <c r="AW70" s="740">
        <v>16.77</v>
      </c>
      <c r="AX70" s="740">
        <v>16.87</v>
      </c>
      <c r="AY70" s="740">
        <v>16.98</v>
      </c>
      <c r="AZ70" s="740">
        <v>17.09</v>
      </c>
      <c r="BA70" s="740">
        <v>17.21</v>
      </c>
      <c r="BB70" s="740">
        <v>17.34</v>
      </c>
      <c r="BC70" s="740">
        <v>17.46</v>
      </c>
      <c r="BD70" s="740">
        <v>17.579999999999998</v>
      </c>
      <c r="BE70" s="740">
        <v>17.7</v>
      </c>
      <c r="BF70" s="740">
        <v>17.82</v>
      </c>
      <c r="BG70" s="740">
        <v>17.940000000000001</v>
      </c>
      <c r="BH70" s="740">
        <v>18.059999999999999</v>
      </c>
      <c r="BI70" s="740">
        <v>18.18</v>
      </c>
      <c r="BJ70" s="740">
        <v>18.3</v>
      </c>
      <c r="BK70" s="740">
        <v>18.420000000000002</v>
      </c>
      <c r="BL70" s="740">
        <v>18.54</v>
      </c>
      <c r="BM70" s="740">
        <v>18.66</v>
      </c>
      <c r="BN70" s="740">
        <v>18.78</v>
      </c>
      <c r="BO70" s="740">
        <v>18.899999999999999</v>
      </c>
      <c r="BP70" s="740">
        <v>19.02</v>
      </c>
      <c r="BQ70" s="740">
        <v>19.14</v>
      </c>
      <c r="BR70" s="740">
        <v>19.25</v>
      </c>
      <c r="BS70" s="740">
        <v>19.37</v>
      </c>
      <c r="BT70" s="852">
        <v>19.489999999999998</v>
      </c>
      <c r="BU70" s="740">
        <v>19.600000000000001</v>
      </c>
      <c r="BV70" s="740">
        <v>19.72</v>
      </c>
      <c r="BW70" s="740">
        <v>19.84</v>
      </c>
      <c r="BX70" s="740">
        <v>19.95</v>
      </c>
      <c r="BY70" s="740">
        <v>20.07</v>
      </c>
      <c r="BZ70" s="740">
        <v>20.18</v>
      </c>
      <c r="CA70" s="740">
        <v>20.29</v>
      </c>
      <c r="CB70" s="740">
        <v>20.41</v>
      </c>
      <c r="CC70" s="740">
        <v>20.52</v>
      </c>
      <c r="CD70" s="740">
        <v>20.63</v>
      </c>
      <c r="CE70" s="740">
        <v>20.75</v>
      </c>
      <c r="CF70" s="740">
        <v>20.86</v>
      </c>
      <c r="CG70" s="740">
        <v>20.97</v>
      </c>
      <c r="CH70" s="740">
        <v>21.08</v>
      </c>
      <c r="CI70" s="740">
        <v>21.19</v>
      </c>
      <c r="CJ70" s="740">
        <v>21.3</v>
      </c>
      <c r="CK70" s="740">
        <v>21.41</v>
      </c>
      <c r="CL70" s="740">
        <v>21.52</v>
      </c>
      <c r="CM70" s="740">
        <v>21.63</v>
      </c>
      <c r="CN70" s="740">
        <v>21.73</v>
      </c>
      <c r="CO70" s="740">
        <v>21.84</v>
      </c>
      <c r="CP70" s="740">
        <v>21.95</v>
      </c>
      <c r="CQ70" s="740">
        <v>22.05</v>
      </c>
      <c r="CR70" s="740">
        <v>22.16</v>
      </c>
      <c r="CS70" s="740">
        <v>22.27</v>
      </c>
      <c r="CT70" s="740">
        <v>22.37</v>
      </c>
      <c r="CU70" s="740">
        <v>22.48</v>
      </c>
      <c r="CV70" s="740">
        <v>22.58</v>
      </c>
      <c r="CW70" s="740">
        <v>22.68</v>
      </c>
      <c r="CX70" s="740">
        <v>22.79</v>
      </c>
      <c r="CY70" s="740">
        <v>22.89</v>
      </c>
      <c r="CZ70" s="740">
        <v>22.99</v>
      </c>
      <c r="DA70" s="740">
        <v>23.09</v>
      </c>
      <c r="DB70" s="740">
        <v>23.19</v>
      </c>
      <c r="DC70" s="740">
        <v>23.29</v>
      </c>
      <c r="DD70" s="740">
        <v>23.39</v>
      </c>
      <c r="DE70" s="740">
        <v>23.49</v>
      </c>
      <c r="DF70" s="740">
        <v>23.59</v>
      </c>
      <c r="DG70" s="740">
        <v>23.69</v>
      </c>
      <c r="DH70" s="740">
        <v>23.78</v>
      </c>
      <c r="DI70" s="740">
        <v>23.88</v>
      </c>
      <c r="DJ70" s="740">
        <v>23.98</v>
      </c>
      <c r="DK70" s="740">
        <v>24.07</v>
      </c>
      <c r="DL70" s="740">
        <v>24.17</v>
      </c>
      <c r="DM70" s="740">
        <v>24.26</v>
      </c>
      <c r="DN70" s="740">
        <v>24.35</v>
      </c>
      <c r="DO70" s="740">
        <v>24.45</v>
      </c>
      <c r="DP70" s="740">
        <v>24.54</v>
      </c>
      <c r="DQ70" s="740">
        <v>24.63</v>
      </c>
      <c r="DR70" s="740">
        <v>24.72</v>
      </c>
    </row>
    <row r="71" spans="1:122">
      <c r="A71" s="906">
        <v>69</v>
      </c>
      <c r="B71" s="92"/>
      <c r="C71" s="92"/>
      <c r="D71" s="92"/>
      <c r="E71" s="92"/>
      <c r="F71" s="92"/>
      <c r="G71" s="92"/>
      <c r="H71" s="92"/>
      <c r="I71" s="92"/>
      <c r="J71" s="92"/>
      <c r="K71" s="92"/>
      <c r="L71" s="92"/>
      <c r="M71" s="92"/>
      <c r="N71" s="92"/>
      <c r="O71" s="92"/>
      <c r="P71" s="92"/>
      <c r="Q71" s="92"/>
      <c r="R71" s="92"/>
      <c r="S71" s="92"/>
      <c r="T71" s="92"/>
      <c r="U71" s="92"/>
      <c r="V71" s="740"/>
      <c r="W71" s="740">
        <v>12.74</v>
      </c>
      <c r="X71" s="740">
        <v>12.91</v>
      </c>
      <c r="Y71" s="740">
        <v>13.03</v>
      </c>
      <c r="Z71" s="740">
        <v>13.25</v>
      </c>
      <c r="AA71" s="740">
        <v>13.37</v>
      </c>
      <c r="AB71" s="740">
        <v>13.54</v>
      </c>
      <c r="AC71" s="740">
        <v>13.62</v>
      </c>
      <c r="AD71" s="740">
        <v>13.64</v>
      </c>
      <c r="AE71" s="740">
        <v>13.73</v>
      </c>
      <c r="AF71" s="740">
        <v>13.94</v>
      </c>
      <c r="AG71" s="740">
        <v>14.12</v>
      </c>
      <c r="AH71" s="740">
        <v>14.3</v>
      </c>
      <c r="AI71" s="740">
        <v>14.48</v>
      </c>
      <c r="AJ71" s="740">
        <v>14.66</v>
      </c>
      <c r="AK71" s="740">
        <v>14.85</v>
      </c>
      <c r="AL71" s="740">
        <v>15.04</v>
      </c>
      <c r="AM71" s="740">
        <v>15.2</v>
      </c>
      <c r="AN71" s="740">
        <v>15.31</v>
      </c>
      <c r="AO71" s="740">
        <v>15.4</v>
      </c>
      <c r="AP71" s="740">
        <v>15.48</v>
      </c>
      <c r="AQ71" s="740">
        <v>15.57</v>
      </c>
      <c r="AR71" s="740">
        <v>15.68</v>
      </c>
      <c r="AS71" s="740">
        <v>15.73</v>
      </c>
      <c r="AT71" s="740">
        <v>15.8</v>
      </c>
      <c r="AU71" s="740">
        <v>15.86</v>
      </c>
      <c r="AV71" s="740">
        <v>15.95</v>
      </c>
      <c r="AW71" s="740">
        <v>16.09</v>
      </c>
      <c r="AX71" s="740">
        <v>16.190000000000001</v>
      </c>
      <c r="AY71" s="740">
        <v>16.3</v>
      </c>
      <c r="AZ71" s="740">
        <v>16.420000000000002</v>
      </c>
      <c r="BA71" s="740">
        <v>16.54</v>
      </c>
      <c r="BB71" s="740">
        <v>16.649999999999999</v>
      </c>
      <c r="BC71" s="740">
        <v>16.77</v>
      </c>
      <c r="BD71" s="740">
        <v>16.89</v>
      </c>
      <c r="BE71" s="740">
        <v>17</v>
      </c>
      <c r="BF71" s="740">
        <v>17.12</v>
      </c>
      <c r="BG71" s="740">
        <v>17.239999999999998</v>
      </c>
      <c r="BH71" s="740">
        <v>17.350000000000001</v>
      </c>
      <c r="BI71" s="740">
        <v>17.47</v>
      </c>
      <c r="BJ71" s="740">
        <v>17.59</v>
      </c>
      <c r="BK71" s="740">
        <v>17.7</v>
      </c>
      <c r="BL71" s="740">
        <v>17.82</v>
      </c>
      <c r="BM71" s="740">
        <v>17.940000000000001</v>
      </c>
      <c r="BN71" s="740">
        <v>18.05</v>
      </c>
      <c r="BO71" s="740">
        <v>18.170000000000002</v>
      </c>
      <c r="BP71" s="740">
        <v>18.28</v>
      </c>
      <c r="BQ71" s="740">
        <v>18.399999999999999</v>
      </c>
      <c r="BR71" s="740">
        <v>18.510000000000002</v>
      </c>
      <c r="BS71" s="740">
        <v>18.62</v>
      </c>
      <c r="BT71" s="852">
        <v>18.739999999999998</v>
      </c>
      <c r="BU71" s="740">
        <v>18.850000000000001</v>
      </c>
      <c r="BV71" s="740">
        <v>18.96</v>
      </c>
      <c r="BW71" s="740">
        <v>19.07</v>
      </c>
      <c r="BX71" s="740">
        <v>19.190000000000001</v>
      </c>
      <c r="BY71" s="740">
        <v>19.3</v>
      </c>
      <c r="BZ71" s="740">
        <v>19.41</v>
      </c>
      <c r="CA71" s="740">
        <v>19.52</v>
      </c>
      <c r="CB71" s="740">
        <v>19.63</v>
      </c>
      <c r="CC71" s="740">
        <v>19.739999999999998</v>
      </c>
      <c r="CD71" s="740">
        <v>19.850000000000001</v>
      </c>
      <c r="CE71" s="740">
        <v>19.96</v>
      </c>
      <c r="CF71" s="740">
        <v>20.07</v>
      </c>
      <c r="CG71" s="740">
        <v>20.18</v>
      </c>
      <c r="CH71" s="740">
        <v>20.28</v>
      </c>
      <c r="CI71" s="740">
        <v>20.39</v>
      </c>
      <c r="CJ71" s="740">
        <v>20.5</v>
      </c>
      <c r="CK71" s="740">
        <v>20.6</v>
      </c>
      <c r="CL71" s="740">
        <v>20.71</v>
      </c>
      <c r="CM71" s="740">
        <v>20.82</v>
      </c>
      <c r="CN71" s="740">
        <v>20.92</v>
      </c>
      <c r="CO71" s="740">
        <v>21.03</v>
      </c>
      <c r="CP71" s="740">
        <v>21.13</v>
      </c>
      <c r="CQ71" s="740">
        <v>21.23</v>
      </c>
      <c r="CR71" s="740">
        <v>21.34</v>
      </c>
      <c r="CS71" s="740">
        <v>21.44</v>
      </c>
      <c r="CT71" s="740">
        <v>21.54</v>
      </c>
      <c r="CU71" s="740">
        <v>21.64</v>
      </c>
      <c r="CV71" s="740">
        <v>21.74</v>
      </c>
      <c r="CW71" s="740">
        <v>21.85</v>
      </c>
      <c r="CX71" s="740">
        <v>21.95</v>
      </c>
      <c r="CY71" s="740">
        <v>22.05</v>
      </c>
      <c r="CZ71" s="740">
        <v>22.15</v>
      </c>
      <c r="DA71" s="740">
        <v>22.24</v>
      </c>
      <c r="DB71" s="740">
        <v>22.34</v>
      </c>
      <c r="DC71" s="740">
        <v>22.44</v>
      </c>
      <c r="DD71" s="740">
        <v>22.54</v>
      </c>
      <c r="DE71" s="740">
        <v>22.63</v>
      </c>
      <c r="DF71" s="740">
        <v>22.73</v>
      </c>
      <c r="DG71" s="740">
        <v>22.83</v>
      </c>
      <c r="DH71" s="740">
        <v>22.92</v>
      </c>
      <c r="DI71" s="740">
        <v>23.01</v>
      </c>
      <c r="DJ71" s="740">
        <v>23.11</v>
      </c>
      <c r="DK71" s="740">
        <v>23.2</v>
      </c>
      <c r="DL71" s="740">
        <v>23.3</v>
      </c>
      <c r="DM71" s="740">
        <v>23.39</v>
      </c>
      <c r="DN71" s="740">
        <v>23.48</v>
      </c>
      <c r="DO71" s="740">
        <v>23.57</v>
      </c>
      <c r="DP71" s="740">
        <v>23.66</v>
      </c>
      <c r="DQ71" s="740">
        <v>23.75</v>
      </c>
      <c r="DR71" s="740">
        <v>23.84</v>
      </c>
    </row>
    <row r="72" spans="1:122">
      <c r="A72" s="906">
        <v>70</v>
      </c>
      <c r="B72" s="92"/>
      <c r="C72" s="92"/>
      <c r="D72" s="92"/>
      <c r="E72" s="92"/>
      <c r="F72" s="92"/>
      <c r="G72" s="92"/>
      <c r="H72" s="92"/>
      <c r="I72" s="92"/>
      <c r="J72" s="92"/>
      <c r="K72" s="92"/>
      <c r="L72" s="92"/>
      <c r="M72" s="92"/>
      <c r="N72" s="92"/>
      <c r="O72" s="92"/>
      <c r="P72" s="92"/>
      <c r="Q72" s="92"/>
      <c r="R72" s="92"/>
      <c r="S72" s="92"/>
      <c r="T72" s="92"/>
      <c r="U72" s="92"/>
      <c r="V72" s="740"/>
      <c r="W72" s="740">
        <v>12.18</v>
      </c>
      <c r="X72" s="740">
        <v>12.35</v>
      </c>
      <c r="Y72" s="740">
        <v>12.48</v>
      </c>
      <c r="Z72" s="740">
        <v>12.69</v>
      </c>
      <c r="AA72" s="740">
        <v>12.8</v>
      </c>
      <c r="AB72" s="740">
        <v>12.99</v>
      </c>
      <c r="AC72" s="740">
        <v>13.04</v>
      </c>
      <c r="AD72" s="740">
        <v>13.07</v>
      </c>
      <c r="AE72" s="740">
        <v>13.16</v>
      </c>
      <c r="AF72" s="740">
        <v>13.34</v>
      </c>
      <c r="AG72" s="740">
        <v>13.51</v>
      </c>
      <c r="AH72" s="740">
        <v>13.68</v>
      </c>
      <c r="AI72" s="740">
        <v>13.86</v>
      </c>
      <c r="AJ72" s="740">
        <v>14.03</v>
      </c>
      <c r="AK72" s="740">
        <v>14.21</v>
      </c>
      <c r="AL72" s="740">
        <v>14.39</v>
      </c>
      <c r="AM72" s="740">
        <v>14.53</v>
      </c>
      <c r="AN72" s="740">
        <v>14.64</v>
      </c>
      <c r="AO72" s="740">
        <v>14.73</v>
      </c>
      <c r="AP72" s="740">
        <v>14.8</v>
      </c>
      <c r="AQ72" s="740">
        <v>14.9</v>
      </c>
      <c r="AR72" s="740">
        <v>15</v>
      </c>
      <c r="AS72" s="740">
        <v>15.06</v>
      </c>
      <c r="AT72" s="740">
        <v>15.11</v>
      </c>
      <c r="AU72" s="740">
        <v>15.19</v>
      </c>
      <c r="AV72" s="740">
        <v>15.28</v>
      </c>
      <c r="AW72" s="740">
        <v>15.42</v>
      </c>
      <c r="AX72" s="740">
        <v>15.53</v>
      </c>
      <c r="AY72" s="740">
        <v>15.64</v>
      </c>
      <c r="AZ72" s="740">
        <v>15.75</v>
      </c>
      <c r="BA72" s="740">
        <v>15.86</v>
      </c>
      <c r="BB72" s="740">
        <v>15.97</v>
      </c>
      <c r="BC72" s="740">
        <v>16.09</v>
      </c>
      <c r="BD72" s="740">
        <v>16.2</v>
      </c>
      <c r="BE72" s="740">
        <v>16.309999999999999</v>
      </c>
      <c r="BF72" s="740">
        <v>16.43</v>
      </c>
      <c r="BG72" s="740">
        <v>16.54</v>
      </c>
      <c r="BH72" s="740">
        <v>16.649999999999999</v>
      </c>
      <c r="BI72" s="740">
        <v>16.77</v>
      </c>
      <c r="BJ72" s="740">
        <v>16.88</v>
      </c>
      <c r="BK72" s="740">
        <v>16.989999999999998</v>
      </c>
      <c r="BL72" s="740">
        <v>17.100000000000001</v>
      </c>
      <c r="BM72" s="740">
        <v>17.21</v>
      </c>
      <c r="BN72" s="740">
        <v>17.329999999999998</v>
      </c>
      <c r="BO72" s="740">
        <v>17.440000000000001</v>
      </c>
      <c r="BP72" s="740">
        <v>17.55</v>
      </c>
      <c r="BQ72" s="740">
        <v>17.66</v>
      </c>
      <c r="BR72" s="740">
        <v>17.77</v>
      </c>
      <c r="BS72" s="740">
        <v>17.88</v>
      </c>
      <c r="BT72" s="852">
        <v>17.989999999999998</v>
      </c>
      <c r="BU72" s="740">
        <v>18.100000000000001</v>
      </c>
      <c r="BV72" s="740">
        <v>18.21</v>
      </c>
      <c r="BW72" s="740">
        <v>18.32</v>
      </c>
      <c r="BX72" s="740">
        <v>18.43</v>
      </c>
      <c r="BY72" s="740">
        <v>18.53</v>
      </c>
      <c r="BZ72" s="740">
        <v>18.64</v>
      </c>
      <c r="CA72" s="740">
        <v>18.75</v>
      </c>
      <c r="CB72" s="740">
        <v>18.86</v>
      </c>
      <c r="CC72" s="740">
        <v>18.96</v>
      </c>
      <c r="CD72" s="740">
        <v>19.07</v>
      </c>
      <c r="CE72" s="740">
        <v>19.18</v>
      </c>
      <c r="CF72" s="740">
        <v>19.28</v>
      </c>
      <c r="CG72" s="740">
        <v>19.39</v>
      </c>
      <c r="CH72" s="740">
        <v>19.489999999999998</v>
      </c>
      <c r="CI72" s="740">
        <v>19.600000000000001</v>
      </c>
      <c r="CJ72" s="740">
        <v>19.7</v>
      </c>
      <c r="CK72" s="740">
        <v>19.8</v>
      </c>
      <c r="CL72" s="740">
        <v>19.91</v>
      </c>
      <c r="CM72" s="740">
        <v>20.010000000000002</v>
      </c>
      <c r="CN72" s="740">
        <v>20.11</v>
      </c>
      <c r="CO72" s="740">
        <v>20.21</v>
      </c>
      <c r="CP72" s="740">
        <v>20.309999999999999</v>
      </c>
      <c r="CQ72" s="740">
        <v>20.420000000000002</v>
      </c>
      <c r="CR72" s="740">
        <v>20.52</v>
      </c>
      <c r="CS72" s="740">
        <v>20.62</v>
      </c>
      <c r="CT72" s="740">
        <v>20.72</v>
      </c>
      <c r="CU72" s="740">
        <v>20.81</v>
      </c>
      <c r="CV72" s="740">
        <v>20.91</v>
      </c>
      <c r="CW72" s="740">
        <v>21.01</v>
      </c>
      <c r="CX72" s="740">
        <v>21.11</v>
      </c>
      <c r="CY72" s="740">
        <v>21.21</v>
      </c>
      <c r="CZ72" s="740">
        <v>21.3</v>
      </c>
      <c r="DA72" s="740">
        <v>21.4</v>
      </c>
      <c r="DB72" s="740">
        <v>21.5</v>
      </c>
      <c r="DC72" s="740">
        <v>21.59</v>
      </c>
      <c r="DD72" s="740">
        <v>21.69</v>
      </c>
      <c r="DE72" s="740">
        <v>21.78</v>
      </c>
      <c r="DF72" s="740">
        <v>21.87</v>
      </c>
      <c r="DG72" s="740">
        <v>21.97</v>
      </c>
      <c r="DH72" s="740">
        <v>22.06</v>
      </c>
      <c r="DI72" s="740">
        <v>22.15</v>
      </c>
      <c r="DJ72" s="740">
        <v>22.24</v>
      </c>
      <c r="DK72" s="740">
        <v>22.34</v>
      </c>
      <c r="DL72" s="740">
        <v>22.43</v>
      </c>
      <c r="DM72" s="740">
        <v>22.52</v>
      </c>
      <c r="DN72" s="740">
        <v>22.61</v>
      </c>
      <c r="DO72" s="740">
        <v>22.7</v>
      </c>
      <c r="DP72" s="740">
        <v>22.79</v>
      </c>
      <c r="DQ72" s="740">
        <v>22.87</v>
      </c>
      <c r="DR72" s="740">
        <v>22.96</v>
      </c>
    </row>
    <row r="73" spans="1:122">
      <c r="A73" s="906">
        <v>71</v>
      </c>
      <c r="B73" s="92"/>
      <c r="C73" s="92"/>
      <c r="D73" s="92"/>
      <c r="E73" s="92"/>
      <c r="F73" s="92"/>
      <c r="G73" s="92"/>
      <c r="H73" s="92"/>
      <c r="I73" s="92"/>
      <c r="J73" s="92"/>
      <c r="K73" s="92"/>
      <c r="L73" s="92"/>
      <c r="M73" s="92"/>
      <c r="N73" s="92"/>
      <c r="O73" s="92"/>
      <c r="P73" s="92"/>
      <c r="Q73" s="92"/>
      <c r="R73" s="92"/>
      <c r="S73" s="92"/>
      <c r="T73" s="92"/>
      <c r="U73" s="92"/>
      <c r="V73" s="740"/>
      <c r="W73" s="740">
        <v>11.64</v>
      </c>
      <c r="X73" s="740">
        <v>11.81</v>
      </c>
      <c r="Y73" s="740">
        <v>11.93</v>
      </c>
      <c r="Z73" s="740">
        <v>12.15</v>
      </c>
      <c r="AA73" s="740">
        <v>12.25</v>
      </c>
      <c r="AB73" s="740">
        <v>12.41</v>
      </c>
      <c r="AC73" s="740">
        <v>12.48</v>
      </c>
      <c r="AD73" s="740">
        <v>12.5</v>
      </c>
      <c r="AE73" s="740">
        <v>12.58</v>
      </c>
      <c r="AF73" s="740">
        <v>12.76</v>
      </c>
      <c r="AG73" s="740">
        <v>12.91</v>
      </c>
      <c r="AH73" s="740">
        <v>13.09</v>
      </c>
      <c r="AI73" s="740">
        <v>13.25</v>
      </c>
      <c r="AJ73" s="740">
        <v>13.41</v>
      </c>
      <c r="AK73" s="740">
        <v>13.56</v>
      </c>
      <c r="AL73" s="740">
        <v>13.74</v>
      </c>
      <c r="AM73" s="740">
        <v>13.87</v>
      </c>
      <c r="AN73" s="740">
        <v>13.98</v>
      </c>
      <c r="AO73" s="740">
        <v>14.07</v>
      </c>
      <c r="AP73" s="740">
        <v>14.14</v>
      </c>
      <c r="AQ73" s="740">
        <v>14.23</v>
      </c>
      <c r="AR73" s="740">
        <v>14.33</v>
      </c>
      <c r="AS73" s="740">
        <v>14.38</v>
      </c>
      <c r="AT73" s="740">
        <v>14.45</v>
      </c>
      <c r="AU73" s="740">
        <v>14.54</v>
      </c>
      <c r="AV73" s="740">
        <v>14.63</v>
      </c>
      <c r="AW73" s="740">
        <v>14.76</v>
      </c>
      <c r="AX73" s="740">
        <v>14.87</v>
      </c>
      <c r="AY73" s="740">
        <v>14.97</v>
      </c>
      <c r="AZ73" s="740">
        <v>15.08</v>
      </c>
      <c r="BA73" s="740">
        <v>15.19</v>
      </c>
      <c r="BB73" s="740">
        <v>15.3</v>
      </c>
      <c r="BC73" s="740">
        <v>15.41</v>
      </c>
      <c r="BD73" s="740">
        <v>15.52</v>
      </c>
      <c r="BE73" s="740">
        <v>15.63</v>
      </c>
      <c r="BF73" s="740">
        <v>15.74</v>
      </c>
      <c r="BG73" s="740">
        <v>15.85</v>
      </c>
      <c r="BH73" s="740">
        <v>15.96</v>
      </c>
      <c r="BI73" s="740">
        <v>16.059999999999999</v>
      </c>
      <c r="BJ73" s="740">
        <v>16.170000000000002</v>
      </c>
      <c r="BK73" s="740">
        <v>16.28</v>
      </c>
      <c r="BL73" s="740">
        <v>16.39</v>
      </c>
      <c r="BM73" s="740">
        <v>16.5</v>
      </c>
      <c r="BN73" s="740">
        <v>16.61</v>
      </c>
      <c r="BO73" s="740">
        <v>16.71</v>
      </c>
      <c r="BP73" s="740">
        <v>16.82</v>
      </c>
      <c r="BQ73" s="740">
        <v>16.93</v>
      </c>
      <c r="BR73" s="740">
        <v>17.03</v>
      </c>
      <c r="BS73" s="740">
        <v>17.14</v>
      </c>
      <c r="BT73" s="852">
        <v>17.25</v>
      </c>
      <c r="BU73" s="740">
        <v>17.350000000000001</v>
      </c>
      <c r="BV73" s="740">
        <v>17.46</v>
      </c>
      <c r="BW73" s="740">
        <v>17.559999999999999</v>
      </c>
      <c r="BX73" s="740">
        <v>17.670000000000002</v>
      </c>
      <c r="BY73" s="740">
        <v>17.77</v>
      </c>
      <c r="BZ73" s="740">
        <v>17.88</v>
      </c>
      <c r="CA73" s="740">
        <v>17.98</v>
      </c>
      <c r="CB73" s="740">
        <v>18.09</v>
      </c>
      <c r="CC73" s="740">
        <v>18.190000000000001</v>
      </c>
      <c r="CD73" s="740">
        <v>18.29</v>
      </c>
      <c r="CE73" s="740">
        <v>18.399999999999999</v>
      </c>
      <c r="CF73" s="740">
        <v>18.5</v>
      </c>
      <c r="CG73" s="740">
        <v>18.600000000000001</v>
      </c>
      <c r="CH73" s="740">
        <v>18.7</v>
      </c>
      <c r="CI73" s="740">
        <v>18.8</v>
      </c>
      <c r="CJ73" s="740">
        <v>18.899999999999999</v>
      </c>
      <c r="CK73" s="740">
        <v>19.010000000000002</v>
      </c>
      <c r="CL73" s="740">
        <v>19.11</v>
      </c>
      <c r="CM73" s="740">
        <v>19.21</v>
      </c>
      <c r="CN73" s="740">
        <v>19.3</v>
      </c>
      <c r="CO73" s="740">
        <v>19.399999999999999</v>
      </c>
      <c r="CP73" s="740">
        <v>19.5</v>
      </c>
      <c r="CQ73" s="740">
        <v>19.600000000000001</v>
      </c>
      <c r="CR73" s="740">
        <v>19.7</v>
      </c>
      <c r="CS73" s="740">
        <v>19.8</v>
      </c>
      <c r="CT73" s="740">
        <v>19.89</v>
      </c>
      <c r="CU73" s="740">
        <v>19.989999999999998</v>
      </c>
      <c r="CV73" s="740">
        <v>20.09</v>
      </c>
      <c r="CW73" s="740">
        <v>20.18</v>
      </c>
      <c r="CX73" s="740">
        <v>20.28</v>
      </c>
      <c r="CY73" s="740">
        <v>20.37</v>
      </c>
      <c r="CZ73" s="740">
        <v>20.47</v>
      </c>
      <c r="DA73" s="740">
        <v>20.56</v>
      </c>
      <c r="DB73" s="740">
        <v>20.65</v>
      </c>
      <c r="DC73" s="740">
        <v>20.75</v>
      </c>
      <c r="DD73" s="740">
        <v>20.84</v>
      </c>
      <c r="DE73" s="740">
        <v>20.93</v>
      </c>
      <c r="DF73" s="740">
        <v>21.02</v>
      </c>
      <c r="DG73" s="740">
        <v>21.11</v>
      </c>
      <c r="DH73" s="740">
        <v>21.2</v>
      </c>
      <c r="DI73" s="740">
        <v>21.29</v>
      </c>
      <c r="DJ73" s="740">
        <v>21.38</v>
      </c>
      <c r="DK73" s="740">
        <v>21.47</v>
      </c>
      <c r="DL73" s="740">
        <v>21.56</v>
      </c>
      <c r="DM73" s="740">
        <v>21.65</v>
      </c>
      <c r="DN73" s="740">
        <v>21.74</v>
      </c>
      <c r="DO73" s="740">
        <v>21.82</v>
      </c>
      <c r="DP73" s="740">
        <v>21.91</v>
      </c>
      <c r="DQ73" s="740">
        <v>22</v>
      </c>
      <c r="DR73" s="740">
        <v>22.08</v>
      </c>
    </row>
    <row r="74" spans="1:122">
      <c r="A74" s="906">
        <v>72</v>
      </c>
      <c r="B74" s="92"/>
      <c r="C74" s="92"/>
      <c r="D74" s="92"/>
      <c r="E74" s="92"/>
      <c r="F74" s="92"/>
      <c r="G74" s="92"/>
      <c r="H74" s="92"/>
      <c r="I74" s="92"/>
      <c r="J74" s="92"/>
      <c r="K74" s="92"/>
      <c r="L74" s="92"/>
      <c r="M74" s="92"/>
      <c r="N74" s="92"/>
      <c r="O74" s="92"/>
      <c r="P74" s="92"/>
      <c r="Q74" s="92"/>
      <c r="R74" s="92"/>
      <c r="S74" s="92"/>
      <c r="T74" s="92"/>
      <c r="U74" s="92"/>
      <c r="V74" s="740"/>
      <c r="W74" s="740">
        <v>11.12</v>
      </c>
      <c r="X74" s="740">
        <v>11.28</v>
      </c>
      <c r="Y74" s="740">
        <v>11.4</v>
      </c>
      <c r="Z74" s="740">
        <v>11.63</v>
      </c>
      <c r="AA74" s="740">
        <v>11.71</v>
      </c>
      <c r="AB74" s="740">
        <v>11.86</v>
      </c>
      <c r="AC74" s="740">
        <v>11.92</v>
      </c>
      <c r="AD74" s="740">
        <v>11.94</v>
      </c>
      <c r="AE74" s="740">
        <v>12.01</v>
      </c>
      <c r="AF74" s="740">
        <v>12.18</v>
      </c>
      <c r="AG74" s="740">
        <v>12.33</v>
      </c>
      <c r="AH74" s="740">
        <v>12.49</v>
      </c>
      <c r="AI74" s="740">
        <v>12.64</v>
      </c>
      <c r="AJ74" s="740">
        <v>12.79</v>
      </c>
      <c r="AK74" s="740">
        <v>12.93</v>
      </c>
      <c r="AL74" s="740">
        <v>13.1</v>
      </c>
      <c r="AM74" s="740">
        <v>13.23</v>
      </c>
      <c r="AN74" s="740">
        <v>13.32</v>
      </c>
      <c r="AO74" s="740">
        <v>13.41</v>
      </c>
      <c r="AP74" s="740">
        <v>13.48</v>
      </c>
      <c r="AQ74" s="740">
        <v>13.57</v>
      </c>
      <c r="AR74" s="740">
        <v>13.66</v>
      </c>
      <c r="AS74" s="740">
        <v>13.73</v>
      </c>
      <c r="AT74" s="740">
        <v>13.8</v>
      </c>
      <c r="AU74" s="740">
        <v>13.89</v>
      </c>
      <c r="AV74" s="740">
        <v>14</v>
      </c>
      <c r="AW74" s="740">
        <v>14.11</v>
      </c>
      <c r="AX74" s="740">
        <v>14.21</v>
      </c>
      <c r="AY74" s="740">
        <v>14.32</v>
      </c>
      <c r="AZ74" s="740">
        <v>14.42</v>
      </c>
      <c r="BA74" s="740">
        <v>14.53</v>
      </c>
      <c r="BB74" s="740">
        <v>14.63</v>
      </c>
      <c r="BC74" s="740">
        <v>14.74</v>
      </c>
      <c r="BD74" s="740">
        <v>14.84</v>
      </c>
      <c r="BE74" s="740">
        <v>14.95</v>
      </c>
      <c r="BF74" s="740">
        <v>15.05</v>
      </c>
      <c r="BG74" s="740">
        <v>15.16</v>
      </c>
      <c r="BH74" s="740">
        <v>15.26</v>
      </c>
      <c r="BI74" s="740">
        <v>15.37</v>
      </c>
      <c r="BJ74" s="740">
        <v>15.47</v>
      </c>
      <c r="BK74" s="740">
        <v>15.58</v>
      </c>
      <c r="BL74" s="740">
        <v>15.68</v>
      </c>
      <c r="BM74" s="740">
        <v>15.79</v>
      </c>
      <c r="BN74" s="740">
        <v>15.89</v>
      </c>
      <c r="BO74" s="740">
        <v>15.99</v>
      </c>
      <c r="BP74" s="740">
        <v>16.100000000000001</v>
      </c>
      <c r="BQ74" s="740">
        <v>16.2</v>
      </c>
      <c r="BR74" s="740">
        <v>16.3</v>
      </c>
      <c r="BS74" s="740">
        <v>16.41</v>
      </c>
      <c r="BT74" s="852">
        <v>16.510000000000002</v>
      </c>
      <c r="BU74" s="740">
        <v>16.61</v>
      </c>
      <c r="BV74" s="740">
        <v>16.71</v>
      </c>
      <c r="BW74" s="740">
        <v>16.82</v>
      </c>
      <c r="BX74" s="740">
        <v>16.920000000000002</v>
      </c>
      <c r="BY74" s="740">
        <v>17.02</v>
      </c>
      <c r="BZ74" s="740">
        <v>17.12</v>
      </c>
      <c r="CA74" s="740">
        <v>17.22</v>
      </c>
      <c r="CB74" s="740">
        <v>17.32</v>
      </c>
      <c r="CC74" s="740">
        <v>17.420000000000002</v>
      </c>
      <c r="CD74" s="740">
        <v>17.52</v>
      </c>
      <c r="CE74" s="740">
        <v>17.62</v>
      </c>
      <c r="CF74" s="740">
        <v>17.72</v>
      </c>
      <c r="CG74" s="740">
        <v>17.82</v>
      </c>
      <c r="CH74" s="740">
        <v>17.920000000000002</v>
      </c>
      <c r="CI74" s="740">
        <v>18.02</v>
      </c>
      <c r="CJ74" s="740">
        <v>18.12</v>
      </c>
      <c r="CK74" s="740">
        <v>18.21</v>
      </c>
      <c r="CL74" s="740">
        <v>18.309999999999999</v>
      </c>
      <c r="CM74" s="740">
        <v>18.41</v>
      </c>
      <c r="CN74" s="740">
        <v>18.5</v>
      </c>
      <c r="CO74" s="740">
        <v>18.600000000000001</v>
      </c>
      <c r="CP74" s="740">
        <v>18.7</v>
      </c>
      <c r="CQ74" s="740">
        <v>18.79</v>
      </c>
      <c r="CR74" s="740">
        <v>18.89</v>
      </c>
      <c r="CS74" s="740">
        <v>18.98</v>
      </c>
      <c r="CT74" s="740">
        <v>19.07</v>
      </c>
      <c r="CU74" s="740">
        <v>19.170000000000002</v>
      </c>
      <c r="CV74" s="740">
        <v>19.260000000000002</v>
      </c>
      <c r="CW74" s="740">
        <v>19.350000000000001</v>
      </c>
      <c r="CX74" s="740">
        <v>19.45</v>
      </c>
      <c r="CY74" s="740">
        <v>19.54</v>
      </c>
      <c r="CZ74" s="740">
        <v>19.63</v>
      </c>
      <c r="DA74" s="740">
        <v>19.72</v>
      </c>
      <c r="DB74" s="740">
        <v>19.809999999999999</v>
      </c>
      <c r="DC74" s="740">
        <v>19.899999999999999</v>
      </c>
      <c r="DD74" s="740">
        <v>19.989999999999998</v>
      </c>
      <c r="DE74" s="740">
        <v>20.079999999999998</v>
      </c>
      <c r="DF74" s="740">
        <v>20.170000000000002</v>
      </c>
      <c r="DG74" s="740">
        <v>20.260000000000002</v>
      </c>
      <c r="DH74" s="740">
        <v>20.350000000000001</v>
      </c>
      <c r="DI74" s="740">
        <v>20.440000000000001</v>
      </c>
      <c r="DJ74" s="740">
        <v>20.53</v>
      </c>
      <c r="DK74" s="740">
        <v>20.61</v>
      </c>
      <c r="DL74" s="740">
        <v>20.7</v>
      </c>
      <c r="DM74" s="740">
        <v>20.79</v>
      </c>
      <c r="DN74" s="740">
        <v>20.87</v>
      </c>
      <c r="DO74" s="740">
        <v>20.96</v>
      </c>
      <c r="DP74" s="740">
        <v>21.04</v>
      </c>
      <c r="DQ74" s="740">
        <v>21.13</v>
      </c>
      <c r="DR74" s="740">
        <v>21.21</v>
      </c>
    </row>
    <row r="75" spans="1:122">
      <c r="A75" s="906">
        <v>73</v>
      </c>
      <c r="B75" s="92"/>
      <c r="C75" s="92"/>
      <c r="D75" s="92"/>
      <c r="E75" s="92"/>
      <c r="F75" s="92"/>
      <c r="G75" s="92"/>
      <c r="H75" s="92"/>
      <c r="I75" s="92"/>
      <c r="J75" s="92"/>
      <c r="K75" s="92"/>
      <c r="L75" s="92"/>
      <c r="M75" s="92"/>
      <c r="N75" s="92"/>
      <c r="O75" s="92"/>
      <c r="P75" s="92"/>
      <c r="Q75" s="92"/>
      <c r="R75" s="92"/>
      <c r="S75" s="92"/>
      <c r="T75" s="92"/>
      <c r="U75" s="92"/>
      <c r="V75" s="740"/>
      <c r="W75" s="740">
        <v>10.62</v>
      </c>
      <c r="X75" s="740">
        <v>10.77</v>
      </c>
      <c r="Y75" s="740">
        <v>10.9</v>
      </c>
      <c r="Z75" s="740">
        <v>11.1</v>
      </c>
      <c r="AA75" s="740">
        <v>11.17</v>
      </c>
      <c r="AB75" s="740">
        <v>11.32</v>
      </c>
      <c r="AC75" s="740">
        <v>11.37</v>
      </c>
      <c r="AD75" s="740">
        <v>11.37</v>
      </c>
      <c r="AE75" s="740">
        <v>11.45</v>
      </c>
      <c r="AF75" s="740">
        <v>11.62</v>
      </c>
      <c r="AG75" s="740">
        <v>11.76</v>
      </c>
      <c r="AH75" s="740">
        <v>11.89</v>
      </c>
      <c r="AI75" s="740">
        <v>12.03</v>
      </c>
      <c r="AJ75" s="740">
        <v>12.17</v>
      </c>
      <c r="AK75" s="740">
        <v>12.31</v>
      </c>
      <c r="AL75" s="740">
        <v>12.47</v>
      </c>
      <c r="AM75" s="740">
        <v>12.58</v>
      </c>
      <c r="AN75" s="740">
        <v>12.68</v>
      </c>
      <c r="AO75" s="740">
        <v>12.77</v>
      </c>
      <c r="AP75" s="740">
        <v>12.84</v>
      </c>
      <c r="AQ75" s="740">
        <v>12.92</v>
      </c>
      <c r="AR75" s="740">
        <v>13.02</v>
      </c>
      <c r="AS75" s="740">
        <v>13.08</v>
      </c>
      <c r="AT75" s="740">
        <v>13.16</v>
      </c>
      <c r="AU75" s="740">
        <v>13.26</v>
      </c>
      <c r="AV75" s="740">
        <v>13.37</v>
      </c>
      <c r="AW75" s="740">
        <v>13.47</v>
      </c>
      <c r="AX75" s="740">
        <v>13.57</v>
      </c>
      <c r="AY75" s="740">
        <v>13.67</v>
      </c>
      <c r="AZ75" s="740">
        <v>13.77</v>
      </c>
      <c r="BA75" s="740">
        <v>13.87</v>
      </c>
      <c r="BB75" s="740">
        <v>13.97</v>
      </c>
      <c r="BC75" s="740">
        <v>14.07</v>
      </c>
      <c r="BD75" s="740">
        <v>14.17</v>
      </c>
      <c r="BE75" s="740">
        <v>14.27</v>
      </c>
      <c r="BF75" s="740">
        <v>14.37</v>
      </c>
      <c r="BG75" s="740">
        <v>14.47</v>
      </c>
      <c r="BH75" s="740">
        <v>14.58</v>
      </c>
      <c r="BI75" s="740">
        <v>14.68</v>
      </c>
      <c r="BJ75" s="740">
        <v>14.78</v>
      </c>
      <c r="BK75" s="740">
        <v>14.88</v>
      </c>
      <c r="BL75" s="740">
        <v>14.98</v>
      </c>
      <c r="BM75" s="740">
        <v>15.08</v>
      </c>
      <c r="BN75" s="740">
        <v>15.18</v>
      </c>
      <c r="BO75" s="740">
        <v>15.28</v>
      </c>
      <c r="BP75" s="740">
        <v>15.38</v>
      </c>
      <c r="BQ75" s="740">
        <v>15.48</v>
      </c>
      <c r="BR75" s="740">
        <v>15.58</v>
      </c>
      <c r="BS75" s="740">
        <v>15.68</v>
      </c>
      <c r="BT75" s="852">
        <v>15.78</v>
      </c>
      <c r="BU75" s="740">
        <v>15.88</v>
      </c>
      <c r="BV75" s="740">
        <v>15.98</v>
      </c>
      <c r="BW75" s="740">
        <v>16.07</v>
      </c>
      <c r="BX75" s="740">
        <v>16.170000000000002</v>
      </c>
      <c r="BY75" s="740">
        <v>16.27</v>
      </c>
      <c r="BZ75" s="740">
        <v>16.37</v>
      </c>
      <c r="CA75" s="740">
        <v>16.47</v>
      </c>
      <c r="CB75" s="740">
        <v>16.559999999999999</v>
      </c>
      <c r="CC75" s="740">
        <v>16.66</v>
      </c>
      <c r="CD75" s="740">
        <v>16.760000000000002</v>
      </c>
      <c r="CE75" s="740">
        <v>16.850000000000001</v>
      </c>
      <c r="CF75" s="740">
        <v>16.95</v>
      </c>
      <c r="CG75" s="740">
        <v>17.05</v>
      </c>
      <c r="CH75" s="740">
        <v>17.14</v>
      </c>
      <c r="CI75" s="740">
        <v>17.239999999999998</v>
      </c>
      <c r="CJ75" s="740">
        <v>17.329999999999998</v>
      </c>
      <c r="CK75" s="740">
        <v>17.43</v>
      </c>
      <c r="CL75" s="740">
        <v>17.52</v>
      </c>
      <c r="CM75" s="740">
        <v>17.61</v>
      </c>
      <c r="CN75" s="740">
        <v>17.71</v>
      </c>
      <c r="CO75" s="740">
        <v>17.8</v>
      </c>
      <c r="CP75" s="740">
        <v>17.89</v>
      </c>
      <c r="CQ75" s="740">
        <v>17.989999999999998</v>
      </c>
      <c r="CR75" s="740">
        <v>18.079999999999998</v>
      </c>
      <c r="CS75" s="740">
        <v>18.170000000000002</v>
      </c>
      <c r="CT75" s="740">
        <v>18.260000000000002</v>
      </c>
      <c r="CU75" s="740">
        <v>18.350000000000001</v>
      </c>
      <c r="CV75" s="740">
        <v>18.440000000000001</v>
      </c>
      <c r="CW75" s="740">
        <v>18.53</v>
      </c>
      <c r="CX75" s="740">
        <v>18.62</v>
      </c>
      <c r="CY75" s="740">
        <v>18.71</v>
      </c>
      <c r="CZ75" s="740">
        <v>18.8</v>
      </c>
      <c r="DA75" s="740">
        <v>18.89</v>
      </c>
      <c r="DB75" s="740">
        <v>18.98</v>
      </c>
      <c r="DC75" s="740">
        <v>19.07</v>
      </c>
      <c r="DD75" s="740">
        <v>19.16</v>
      </c>
      <c r="DE75" s="740">
        <v>19.239999999999998</v>
      </c>
      <c r="DF75" s="740">
        <v>19.329999999999998</v>
      </c>
      <c r="DG75" s="740">
        <v>19.420000000000002</v>
      </c>
      <c r="DH75" s="740">
        <v>19.5</v>
      </c>
      <c r="DI75" s="740">
        <v>19.59</v>
      </c>
      <c r="DJ75" s="740">
        <v>19.670000000000002</v>
      </c>
      <c r="DK75" s="740">
        <v>19.760000000000002</v>
      </c>
      <c r="DL75" s="740">
        <v>19.84</v>
      </c>
      <c r="DM75" s="740">
        <v>19.93</v>
      </c>
      <c r="DN75" s="740">
        <v>20.010000000000002</v>
      </c>
      <c r="DO75" s="740">
        <v>20.09</v>
      </c>
      <c r="DP75" s="740">
        <v>20.18</v>
      </c>
      <c r="DQ75" s="740">
        <v>20.260000000000002</v>
      </c>
      <c r="DR75" s="740">
        <v>20.34</v>
      </c>
    </row>
    <row r="76" spans="1:122">
      <c r="A76" s="906">
        <v>74</v>
      </c>
      <c r="B76" s="92"/>
      <c r="C76" s="92"/>
      <c r="D76" s="92"/>
      <c r="E76" s="92"/>
      <c r="F76" s="92"/>
      <c r="G76" s="92"/>
      <c r="H76" s="92"/>
      <c r="I76" s="92"/>
      <c r="J76" s="92"/>
      <c r="K76" s="92"/>
      <c r="L76" s="92"/>
      <c r="M76" s="92"/>
      <c r="N76" s="92"/>
      <c r="O76" s="92"/>
      <c r="P76" s="92"/>
      <c r="Q76" s="92"/>
      <c r="R76" s="92"/>
      <c r="S76" s="92"/>
      <c r="T76" s="92"/>
      <c r="U76" s="92"/>
      <c r="V76" s="740"/>
      <c r="W76" s="740">
        <v>10.119999999999999</v>
      </c>
      <c r="X76" s="740">
        <v>10.27</v>
      </c>
      <c r="Y76" s="740">
        <v>10.39</v>
      </c>
      <c r="Z76" s="740">
        <v>10.58</v>
      </c>
      <c r="AA76" s="740">
        <v>10.65</v>
      </c>
      <c r="AB76" s="740">
        <v>10.77</v>
      </c>
      <c r="AC76" s="740">
        <v>10.81</v>
      </c>
      <c r="AD76" s="740">
        <v>10.82</v>
      </c>
      <c r="AE76" s="740">
        <v>10.91</v>
      </c>
      <c r="AF76" s="740">
        <v>11.06</v>
      </c>
      <c r="AG76" s="740">
        <v>11.19</v>
      </c>
      <c r="AH76" s="740">
        <v>11.29</v>
      </c>
      <c r="AI76" s="740">
        <v>11.43</v>
      </c>
      <c r="AJ76" s="740">
        <v>11.57</v>
      </c>
      <c r="AK76" s="740">
        <v>11.7</v>
      </c>
      <c r="AL76" s="740">
        <v>11.84</v>
      </c>
      <c r="AM76" s="740">
        <v>11.95</v>
      </c>
      <c r="AN76" s="740">
        <v>12.04</v>
      </c>
      <c r="AO76" s="740">
        <v>12.14</v>
      </c>
      <c r="AP76" s="740">
        <v>12.19</v>
      </c>
      <c r="AQ76" s="740">
        <v>12.29</v>
      </c>
      <c r="AR76" s="740">
        <v>12.37</v>
      </c>
      <c r="AS76" s="740">
        <v>12.45</v>
      </c>
      <c r="AT76" s="740">
        <v>12.54</v>
      </c>
      <c r="AU76" s="740">
        <v>12.64</v>
      </c>
      <c r="AV76" s="740">
        <v>12.73</v>
      </c>
      <c r="AW76" s="740">
        <v>12.83</v>
      </c>
      <c r="AX76" s="740">
        <v>12.93</v>
      </c>
      <c r="AY76" s="740">
        <v>13.02</v>
      </c>
      <c r="AZ76" s="740">
        <v>13.12</v>
      </c>
      <c r="BA76" s="740">
        <v>13.21</v>
      </c>
      <c r="BB76" s="740">
        <v>13.31</v>
      </c>
      <c r="BC76" s="740">
        <v>13.41</v>
      </c>
      <c r="BD76" s="740">
        <v>13.51</v>
      </c>
      <c r="BE76" s="740">
        <v>13.6</v>
      </c>
      <c r="BF76" s="740">
        <v>13.7</v>
      </c>
      <c r="BG76" s="740">
        <v>13.8</v>
      </c>
      <c r="BH76" s="740">
        <v>13.89</v>
      </c>
      <c r="BI76" s="740">
        <v>13.99</v>
      </c>
      <c r="BJ76" s="740">
        <v>14.09</v>
      </c>
      <c r="BK76" s="740">
        <v>14.19</v>
      </c>
      <c r="BL76" s="740">
        <v>14.28</v>
      </c>
      <c r="BM76" s="740">
        <v>14.38</v>
      </c>
      <c r="BN76" s="740">
        <v>14.48</v>
      </c>
      <c r="BO76" s="740">
        <v>14.57</v>
      </c>
      <c r="BP76" s="740">
        <v>14.67</v>
      </c>
      <c r="BQ76" s="740">
        <v>14.77</v>
      </c>
      <c r="BR76" s="740">
        <v>14.86</v>
      </c>
      <c r="BS76" s="740">
        <v>14.96</v>
      </c>
      <c r="BT76" s="852">
        <v>15.05</v>
      </c>
      <c r="BU76" s="740">
        <v>15.15</v>
      </c>
      <c r="BV76" s="740">
        <v>15.24</v>
      </c>
      <c r="BW76" s="740">
        <v>15.34</v>
      </c>
      <c r="BX76" s="740">
        <v>15.43</v>
      </c>
      <c r="BY76" s="740">
        <v>15.53</v>
      </c>
      <c r="BZ76" s="740">
        <v>15.62</v>
      </c>
      <c r="CA76" s="740">
        <v>15.72</v>
      </c>
      <c r="CB76" s="740">
        <v>15.81</v>
      </c>
      <c r="CC76" s="740">
        <v>15.9</v>
      </c>
      <c r="CD76" s="740">
        <v>16</v>
      </c>
      <c r="CE76" s="740">
        <v>16.09</v>
      </c>
      <c r="CF76" s="740">
        <v>16.18</v>
      </c>
      <c r="CG76" s="740">
        <v>16.28</v>
      </c>
      <c r="CH76" s="740">
        <v>16.37</v>
      </c>
      <c r="CI76" s="740">
        <v>16.46</v>
      </c>
      <c r="CJ76" s="740">
        <v>16.55</v>
      </c>
      <c r="CK76" s="740">
        <v>16.64</v>
      </c>
      <c r="CL76" s="740">
        <v>16.739999999999998</v>
      </c>
      <c r="CM76" s="740">
        <v>16.829999999999998</v>
      </c>
      <c r="CN76" s="740">
        <v>16.920000000000002</v>
      </c>
      <c r="CO76" s="740">
        <v>17.010000000000002</v>
      </c>
      <c r="CP76" s="740">
        <v>17.100000000000001</v>
      </c>
      <c r="CQ76" s="740">
        <v>17.190000000000001</v>
      </c>
      <c r="CR76" s="740">
        <v>17.28</v>
      </c>
      <c r="CS76" s="740">
        <v>17.37</v>
      </c>
      <c r="CT76" s="740">
        <v>17.46</v>
      </c>
      <c r="CU76" s="740">
        <v>17.54</v>
      </c>
      <c r="CV76" s="740">
        <v>17.63</v>
      </c>
      <c r="CW76" s="740">
        <v>17.72</v>
      </c>
      <c r="CX76" s="740">
        <v>17.809999999999999</v>
      </c>
      <c r="CY76" s="740">
        <v>17.89</v>
      </c>
      <c r="CZ76" s="740">
        <v>17.98</v>
      </c>
      <c r="DA76" s="740">
        <v>18.07</v>
      </c>
      <c r="DB76" s="740">
        <v>18.149999999999999</v>
      </c>
      <c r="DC76" s="740">
        <v>18.239999999999998</v>
      </c>
      <c r="DD76" s="740">
        <v>18.32</v>
      </c>
      <c r="DE76" s="740">
        <v>18.41</v>
      </c>
      <c r="DF76" s="740">
        <v>18.489999999999998</v>
      </c>
      <c r="DG76" s="740">
        <v>18.579999999999998</v>
      </c>
      <c r="DH76" s="740">
        <v>18.66</v>
      </c>
      <c r="DI76" s="740">
        <v>18.739999999999998</v>
      </c>
      <c r="DJ76" s="740">
        <v>18.829999999999998</v>
      </c>
      <c r="DK76" s="740">
        <v>18.91</v>
      </c>
      <c r="DL76" s="740">
        <v>18.989999999999998</v>
      </c>
      <c r="DM76" s="740">
        <v>19.07</v>
      </c>
      <c r="DN76" s="740">
        <v>19.16</v>
      </c>
      <c r="DO76" s="740">
        <v>19.239999999999998</v>
      </c>
      <c r="DP76" s="740">
        <v>19.32</v>
      </c>
      <c r="DQ76" s="740">
        <v>19.399999999999999</v>
      </c>
      <c r="DR76" s="740">
        <v>19.48</v>
      </c>
    </row>
    <row r="77" spans="1:122">
      <c r="A77" s="906">
        <v>75</v>
      </c>
      <c r="B77" s="92"/>
      <c r="C77" s="92"/>
      <c r="D77" s="92"/>
      <c r="E77" s="92"/>
      <c r="F77" s="92"/>
      <c r="G77" s="92"/>
      <c r="H77" s="92"/>
      <c r="I77" s="92"/>
      <c r="J77" s="92"/>
      <c r="K77" s="92"/>
      <c r="L77" s="92"/>
      <c r="M77" s="92"/>
      <c r="N77" s="92"/>
      <c r="O77" s="92"/>
      <c r="P77" s="92"/>
      <c r="Q77" s="92"/>
      <c r="R77" s="92"/>
      <c r="S77" s="92"/>
      <c r="T77" s="92"/>
      <c r="U77" s="92"/>
      <c r="V77" s="740"/>
      <c r="W77" s="740">
        <v>9.65</v>
      </c>
      <c r="X77" s="740">
        <v>9.7799999999999994</v>
      </c>
      <c r="Y77" s="740">
        <v>9.89</v>
      </c>
      <c r="Z77" s="740">
        <v>10.07</v>
      </c>
      <c r="AA77" s="740">
        <v>10.119999999999999</v>
      </c>
      <c r="AB77" s="740">
        <v>10.24</v>
      </c>
      <c r="AC77" s="740">
        <v>10.27</v>
      </c>
      <c r="AD77" s="740">
        <v>10.29</v>
      </c>
      <c r="AE77" s="740">
        <v>10.37</v>
      </c>
      <c r="AF77" s="740">
        <v>10.5</v>
      </c>
      <c r="AG77" s="740">
        <v>10.62</v>
      </c>
      <c r="AH77" s="740">
        <v>10.71</v>
      </c>
      <c r="AI77" s="740">
        <v>10.85</v>
      </c>
      <c r="AJ77" s="740">
        <v>10.98</v>
      </c>
      <c r="AK77" s="740">
        <v>11.1</v>
      </c>
      <c r="AL77" s="740">
        <v>11.23</v>
      </c>
      <c r="AM77" s="740">
        <v>11.33</v>
      </c>
      <c r="AN77" s="740">
        <v>11.42</v>
      </c>
      <c r="AO77" s="740">
        <v>11.5</v>
      </c>
      <c r="AP77" s="740">
        <v>11.58</v>
      </c>
      <c r="AQ77" s="740">
        <v>11.66</v>
      </c>
      <c r="AR77" s="740">
        <v>11.75</v>
      </c>
      <c r="AS77" s="740">
        <v>11.84</v>
      </c>
      <c r="AT77" s="740">
        <v>11.92</v>
      </c>
      <c r="AU77" s="740">
        <v>12.01</v>
      </c>
      <c r="AV77" s="740">
        <v>12.11</v>
      </c>
      <c r="AW77" s="740">
        <v>12.2</v>
      </c>
      <c r="AX77" s="740">
        <v>12.29</v>
      </c>
      <c r="AY77" s="740">
        <v>12.38</v>
      </c>
      <c r="AZ77" s="740">
        <v>12.47</v>
      </c>
      <c r="BA77" s="740">
        <v>12.57</v>
      </c>
      <c r="BB77" s="740">
        <v>12.66</v>
      </c>
      <c r="BC77" s="740">
        <v>12.75</v>
      </c>
      <c r="BD77" s="740">
        <v>12.85</v>
      </c>
      <c r="BE77" s="740">
        <v>12.94</v>
      </c>
      <c r="BF77" s="740">
        <v>13.03</v>
      </c>
      <c r="BG77" s="740">
        <v>13.13</v>
      </c>
      <c r="BH77" s="740">
        <v>13.22</v>
      </c>
      <c r="BI77" s="740">
        <v>13.31</v>
      </c>
      <c r="BJ77" s="740">
        <v>13.41</v>
      </c>
      <c r="BK77" s="740">
        <v>13.5</v>
      </c>
      <c r="BL77" s="740">
        <v>13.59</v>
      </c>
      <c r="BM77" s="740">
        <v>13.69</v>
      </c>
      <c r="BN77" s="740">
        <v>13.78</v>
      </c>
      <c r="BO77" s="740">
        <v>13.87</v>
      </c>
      <c r="BP77" s="740">
        <v>13.96</v>
      </c>
      <c r="BQ77" s="740">
        <v>14.06</v>
      </c>
      <c r="BR77" s="740">
        <v>14.15</v>
      </c>
      <c r="BS77" s="740">
        <v>14.24</v>
      </c>
      <c r="BT77" s="852">
        <v>14.33</v>
      </c>
      <c r="BU77" s="740">
        <v>14.43</v>
      </c>
      <c r="BV77" s="740">
        <v>14.52</v>
      </c>
      <c r="BW77" s="740">
        <v>14.61</v>
      </c>
      <c r="BX77" s="740">
        <v>14.7</v>
      </c>
      <c r="BY77" s="740">
        <v>14.79</v>
      </c>
      <c r="BZ77" s="740">
        <v>14.88</v>
      </c>
      <c r="CA77" s="740">
        <v>14.97</v>
      </c>
      <c r="CB77" s="740">
        <v>15.07</v>
      </c>
      <c r="CC77" s="740">
        <v>15.16</v>
      </c>
      <c r="CD77" s="740">
        <v>15.25</v>
      </c>
      <c r="CE77" s="740">
        <v>15.34</v>
      </c>
      <c r="CF77" s="740">
        <v>15.43</v>
      </c>
      <c r="CG77" s="740">
        <v>15.52</v>
      </c>
      <c r="CH77" s="740">
        <v>15.6</v>
      </c>
      <c r="CI77" s="740">
        <v>15.69</v>
      </c>
      <c r="CJ77" s="740">
        <v>15.78</v>
      </c>
      <c r="CK77" s="740">
        <v>15.87</v>
      </c>
      <c r="CL77" s="740">
        <v>15.96</v>
      </c>
      <c r="CM77" s="740">
        <v>16.05</v>
      </c>
      <c r="CN77" s="740">
        <v>16.14</v>
      </c>
      <c r="CO77" s="740">
        <v>16.22</v>
      </c>
      <c r="CP77" s="740">
        <v>16.309999999999999</v>
      </c>
      <c r="CQ77" s="740">
        <v>16.399999999999999</v>
      </c>
      <c r="CR77" s="740">
        <v>16.48</v>
      </c>
      <c r="CS77" s="740">
        <v>16.57</v>
      </c>
      <c r="CT77" s="740">
        <v>16.66</v>
      </c>
      <c r="CU77" s="740">
        <v>16.739999999999998</v>
      </c>
      <c r="CV77" s="740">
        <v>16.829999999999998</v>
      </c>
      <c r="CW77" s="740">
        <v>16.91</v>
      </c>
      <c r="CX77" s="740">
        <v>17</v>
      </c>
      <c r="CY77" s="740">
        <v>17.079999999999998</v>
      </c>
      <c r="CZ77" s="740">
        <v>17.170000000000002</v>
      </c>
      <c r="DA77" s="740">
        <v>17.25</v>
      </c>
      <c r="DB77" s="740">
        <v>17.329999999999998</v>
      </c>
      <c r="DC77" s="740">
        <v>17.420000000000002</v>
      </c>
      <c r="DD77" s="740">
        <v>17.5</v>
      </c>
      <c r="DE77" s="740">
        <v>17.579999999999998</v>
      </c>
      <c r="DF77" s="740">
        <v>17.66</v>
      </c>
      <c r="DG77" s="740">
        <v>17.739999999999998</v>
      </c>
      <c r="DH77" s="740">
        <v>17.829999999999998</v>
      </c>
      <c r="DI77" s="740">
        <v>17.91</v>
      </c>
      <c r="DJ77" s="740">
        <v>17.989999999999998</v>
      </c>
      <c r="DK77" s="740">
        <v>18.07</v>
      </c>
      <c r="DL77" s="740">
        <v>18.149999999999999</v>
      </c>
      <c r="DM77" s="740">
        <v>18.23</v>
      </c>
      <c r="DN77" s="740">
        <v>18.309999999999999</v>
      </c>
      <c r="DO77" s="740">
        <v>18.39</v>
      </c>
      <c r="DP77" s="740">
        <v>18.46</v>
      </c>
      <c r="DQ77" s="740">
        <v>18.54</v>
      </c>
      <c r="DR77" s="740">
        <v>18.62</v>
      </c>
    </row>
    <row r="78" spans="1:122">
      <c r="A78" s="906">
        <v>76</v>
      </c>
      <c r="B78" s="92"/>
      <c r="C78" s="92"/>
      <c r="D78" s="92"/>
      <c r="E78" s="92"/>
      <c r="F78" s="92"/>
      <c r="G78" s="92"/>
      <c r="H78" s="92"/>
      <c r="I78" s="92"/>
      <c r="J78" s="92"/>
      <c r="K78" s="92"/>
      <c r="L78" s="92"/>
      <c r="M78" s="92"/>
      <c r="N78" s="92"/>
      <c r="O78" s="92"/>
      <c r="P78" s="92"/>
      <c r="Q78" s="92"/>
      <c r="R78" s="92"/>
      <c r="S78" s="92"/>
      <c r="T78" s="92"/>
      <c r="U78" s="92"/>
      <c r="V78" s="740"/>
      <c r="W78" s="740">
        <v>9.18</v>
      </c>
      <c r="X78" s="740">
        <v>9.3000000000000007</v>
      </c>
      <c r="Y78" s="740">
        <v>9.4</v>
      </c>
      <c r="Z78" s="740">
        <v>9.56</v>
      </c>
      <c r="AA78" s="740">
        <v>9.61</v>
      </c>
      <c r="AB78" s="740">
        <v>9.7100000000000009</v>
      </c>
      <c r="AC78" s="740">
        <v>9.75</v>
      </c>
      <c r="AD78" s="740">
        <v>9.77</v>
      </c>
      <c r="AE78" s="740">
        <v>9.83</v>
      </c>
      <c r="AF78" s="740">
        <v>9.9499999999999993</v>
      </c>
      <c r="AG78" s="740">
        <v>10.050000000000001</v>
      </c>
      <c r="AH78" s="740">
        <v>10.15</v>
      </c>
      <c r="AI78" s="740">
        <v>10.27</v>
      </c>
      <c r="AJ78" s="740">
        <v>10.39</v>
      </c>
      <c r="AK78" s="740">
        <v>10.51</v>
      </c>
      <c r="AL78" s="740">
        <v>10.63</v>
      </c>
      <c r="AM78" s="740">
        <v>10.73</v>
      </c>
      <c r="AN78" s="740">
        <v>10.8</v>
      </c>
      <c r="AO78" s="740">
        <v>10.9</v>
      </c>
      <c r="AP78" s="740">
        <v>10.97</v>
      </c>
      <c r="AQ78" s="740">
        <v>11.05</v>
      </c>
      <c r="AR78" s="740">
        <v>11.14</v>
      </c>
      <c r="AS78" s="740">
        <v>11.22</v>
      </c>
      <c r="AT78" s="740">
        <v>11.31</v>
      </c>
      <c r="AU78" s="740">
        <v>11.4</v>
      </c>
      <c r="AV78" s="740">
        <v>11.48</v>
      </c>
      <c r="AW78" s="740">
        <v>11.57</v>
      </c>
      <c r="AX78" s="740">
        <v>11.66</v>
      </c>
      <c r="AY78" s="740">
        <v>11.75</v>
      </c>
      <c r="AZ78" s="740">
        <v>11.84</v>
      </c>
      <c r="BA78" s="740">
        <v>11.93</v>
      </c>
      <c r="BB78" s="740">
        <v>12.01</v>
      </c>
      <c r="BC78" s="740">
        <v>12.1</v>
      </c>
      <c r="BD78" s="740">
        <v>12.19</v>
      </c>
      <c r="BE78" s="740">
        <v>12.28</v>
      </c>
      <c r="BF78" s="740">
        <v>12.37</v>
      </c>
      <c r="BG78" s="740">
        <v>12.46</v>
      </c>
      <c r="BH78" s="740">
        <v>12.55</v>
      </c>
      <c r="BI78" s="740">
        <v>12.64</v>
      </c>
      <c r="BJ78" s="740">
        <v>12.73</v>
      </c>
      <c r="BK78" s="740">
        <v>12.82</v>
      </c>
      <c r="BL78" s="740">
        <v>12.91</v>
      </c>
      <c r="BM78" s="740">
        <v>13</v>
      </c>
      <c r="BN78" s="740">
        <v>13.09</v>
      </c>
      <c r="BO78" s="740">
        <v>13.18</v>
      </c>
      <c r="BP78" s="740">
        <v>13.27</v>
      </c>
      <c r="BQ78" s="740">
        <v>13.36</v>
      </c>
      <c r="BR78" s="740">
        <v>13.45</v>
      </c>
      <c r="BS78" s="740">
        <v>13.53</v>
      </c>
      <c r="BT78" s="852">
        <v>13.62</v>
      </c>
      <c r="BU78" s="740">
        <v>13.71</v>
      </c>
      <c r="BV78" s="740">
        <v>13.8</v>
      </c>
      <c r="BW78" s="740">
        <v>13.89</v>
      </c>
      <c r="BX78" s="740">
        <v>13.98</v>
      </c>
      <c r="BY78" s="740">
        <v>14.06</v>
      </c>
      <c r="BZ78" s="740">
        <v>14.15</v>
      </c>
      <c r="CA78" s="740">
        <v>14.24</v>
      </c>
      <c r="CB78" s="740">
        <v>14.33</v>
      </c>
      <c r="CC78" s="740">
        <v>14.41</v>
      </c>
      <c r="CD78" s="740">
        <v>14.5</v>
      </c>
      <c r="CE78" s="740">
        <v>14.59</v>
      </c>
      <c r="CF78" s="740">
        <v>14.68</v>
      </c>
      <c r="CG78" s="740">
        <v>14.76</v>
      </c>
      <c r="CH78" s="740">
        <v>14.85</v>
      </c>
      <c r="CI78" s="740">
        <v>14.93</v>
      </c>
      <c r="CJ78" s="740">
        <v>15.02</v>
      </c>
      <c r="CK78" s="740">
        <v>15.11</v>
      </c>
      <c r="CL78" s="740">
        <v>15.19</v>
      </c>
      <c r="CM78" s="740">
        <v>15.28</v>
      </c>
      <c r="CN78" s="740">
        <v>15.36</v>
      </c>
      <c r="CO78" s="740">
        <v>15.45</v>
      </c>
      <c r="CP78" s="740">
        <v>15.53</v>
      </c>
      <c r="CQ78" s="740">
        <v>15.61</v>
      </c>
      <c r="CR78" s="740">
        <v>15.7</v>
      </c>
      <c r="CS78" s="740">
        <v>15.78</v>
      </c>
      <c r="CT78" s="740">
        <v>15.86</v>
      </c>
      <c r="CU78" s="740">
        <v>15.95</v>
      </c>
      <c r="CV78" s="740">
        <v>16.03</v>
      </c>
      <c r="CW78" s="740">
        <v>16.11</v>
      </c>
      <c r="CX78" s="740">
        <v>16.190000000000001</v>
      </c>
      <c r="CY78" s="740">
        <v>16.28</v>
      </c>
      <c r="CZ78" s="740">
        <v>16.36</v>
      </c>
      <c r="DA78" s="740">
        <v>16.440000000000001</v>
      </c>
      <c r="DB78" s="740">
        <v>16.52</v>
      </c>
      <c r="DC78" s="740">
        <v>16.600000000000001</v>
      </c>
      <c r="DD78" s="740">
        <v>16.68</v>
      </c>
      <c r="DE78" s="740">
        <v>16.760000000000002</v>
      </c>
      <c r="DF78" s="740">
        <v>16.84</v>
      </c>
      <c r="DG78" s="740">
        <v>16.920000000000002</v>
      </c>
      <c r="DH78" s="740">
        <v>17</v>
      </c>
      <c r="DI78" s="740">
        <v>17.079999999999998</v>
      </c>
      <c r="DJ78" s="740">
        <v>17.16</v>
      </c>
      <c r="DK78" s="740">
        <v>17.23</v>
      </c>
      <c r="DL78" s="740">
        <v>17.309999999999999</v>
      </c>
      <c r="DM78" s="740">
        <v>17.39</v>
      </c>
      <c r="DN78" s="740">
        <v>17.47</v>
      </c>
      <c r="DO78" s="740">
        <v>17.54</v>
      </c>
      <c r="DP78" s="740">
        <v>17.62</v>
      </c>
      <c r="DQ78" s="740">
        <v>17.690000000000001</v>
      </c>
      <c r="DR78" s="740">
        <v>17.77</v>
      </c>
    </row>
    <row r="79" spans="1:122">
      <c r="A79" s="906">
        <v>77</v>
      </c>
      <c r="B79" s="92"/>
      <c r="C79" s="92"/>
      <c r="D79" s="92"/>
      <c r="E79" s="92"/>
      <c r="F79" s="92"/>
      <c r="G79" s="92"/>
      <c r="H79" s="92"/>
      <c r="I79" s="92"/>
      <c r="J79" s="92"/>
      <c r="K79" s="92"/>
      <c r="L79" s="92"/>
      <c r="M79" s="92"/>
      <c r="N79" s="92"/>
      <c r="O79" s="92"/>
      <c r="P79" s="92"/>
      <c r="Q79" s="92"/>
      <c r="R79" s="92"/>
      <c r="S79" s="92"/>
      <c r="T79" s="92"/>
      <c r="U79" s="92"/>
      <c r="V79" s="740"/>
      <c r="W79" s="740">
        <v>8.7200000000000006</v>
      </c>
      <c r="X79" s="740">
        <v>8.83</v>
      </c>
      <c r="Y79" s="740">
        <v>8.91</v>
      </c>
      <c r="Z79" s="740">
        <v>9.0500000000000007</v>
      </c>
      <c r="AA79" s="740">
        <v>9.1</v>
      </c>
      <c r="AB79" s="740">
        <v>9.1999999999999993</v>
      </c>
      <c r="AC79" s="740">
        <v>9.2200000000000006</v>
      </c>
      <c r="AD79" s="740">
        <v>9.24</v>
      </c>
      <c r="AE79" s="740">
        <v>9.3000000000000007</v>
      </c>
      <c r="AF79" s="740">
        <v>9.4</v>
      </c>
      <c r="AG79" s="740">
        <v>9.5</v>
      </c>
      <c r="AH79" s="740">
        <v>9.59</v>
      </c>
      <c r="AI79" s="740">
        <v>9.6999999999999993</v>
      </c>
      <c r="AJ79" s="740">
        <v>9.82</v>
      </c>
      <c r="AK79" s="740">
        <v>9.93</v>
      </c>
      <c r="AL79" s="740">
        <v>10.06</v>
      </c>
      <c r="AM79" s="740">
        <v>10.130000000000001</v>
      </c>
      <c r="AN79" s="740">
        <v>10.210000000000001</v>
      </c>
      <c r="AO79" s="740">
        <v>10.3</v>
      </c>
      <c r="AP79" s="740">
        <v>10.38</v>
      </c>
      <c r="AQ79" s="740">
        <v>10.46</v>
      </c>
      <c r="AR79" s="740">
        <v>10.54</v>
      </c>
      <c r="AS79" s="740">
        <v>10.62</v>
      </c>
      <c r="AT79" s="740">
        <v>10.7</v>
      </c>
      <c r="AU79" s="740">
        <v>10.79</v>
      </c>
      <c r="AV79" s="740">
        <v>10.87</v>
      </c>
      <c r="AW79" s="740">
        <v>10.95</v>
      </c>
      <c r="AX79" s="740">
        <v>11.04</v>
      </c>
      <c r="AY79" s="740">
        <v>11.12</v>
      </c>
      <c r="AZ79" s="740">
        <v>11.21</v>
      </c>
      <c r="BA79" s="740">
        <v>11.29</v>
      </c>
      <c r="BB79" s="740">
        <v>11.38</v>
      </c>
      <c r="BC79" s="740">
        <v>11.46</v>
      </c>
      <c r="BD79" s="740">
        <v>11.55</v>
      </c>
      <c r="BE79" s="740">
        <v>11.64</v>
      </c>
      <c r="BF79" s="740">
        <v>11.72</v>
      </c>
      <c r="BG79" s="740">
        <v>11.81</v>
      </c>
      <c r="BH79" s="740">
        <v>11.89</v>
      </c>
      <c r="BI79" s="740">
        <v>11.98</v>
      </c>
      <c r="BJ79" s="740">
        <v>12.07</v>
      </c>
      <c r="BK79" s="740">
        <v>12.15</v>
      </c>
      <c r="BL79" s="740">
        <v>12.24</v>
      </c>
      <c r="BM79" s="740">
        <v>12.32</v>
      </c>
      <c r="BN79" s="740">
        <v>12.41</v>
      </c>
      <c r="BO79" s="740">
        <v>12.49</v>
      </c>
      <c r="BP79" s="740">
        <v>12.58</v>
      </c>
      <c r="BQ79" s="740">
        <v>12.67</v>
      </c>
      <c r="BR79" s="740">
        <v>12.75</v>
      </c>
      <c r="BS79" s="740">
        <v>12.84</v>
      </c>
      <c r="BT79" s="852">
        <v>12.92</v>
      </c>
      <c r="BU79" s="740">
        <v>13.01</v>
      </c>
      <c r="BV79" s="740">
        <v>13.09</v>
      </c>
      <c r="BW79" s="740">
        <v>13.18</v>
      </c>
      <c r="BX79" s="740">
        <v>13.26</v>
      </c>
      <c r="BY79" s="740">
        <v>13.35</v>
      </c>
      <c r="BZ79" s="740">
        <v>13.43</v>
      </c>
      <c r="CA79" s="740">
        <v>13.51</v>
      </c>
      <c r="CB79" s="740">
        <v>13.6</v>
      </c>
      <c r="CC79" s="740">
        <v>13.68</v>
      </c>
      <c r="CD79" s="740">
        <v>13.77</v>
      </c>
      <c r="CE79" s="740">
        <v>13.85</v>
      </c>
      <c r="CF79" s="740">
        <v>13.93</v>
      </c>
      <c r="CG79" s="740">
        <v>14.02</v>
      </c>
      <c r="CH79" s="740">
        <v>14.1</v>
      </c>
      <c r="CI79" s="740">
        <v>14.18</v>
      </c>
      <c r="CJ79" s="740">
        <v>14.27</v>
      </c>
      <c r="CK79" s="740">
        <v>14.35</v>
      </c>
      <c r="CL79" s="740">
        <v>14.43</v>
      </c>
      <c r="CM79" s="740">
        <v>14.51</v>
      </c>
      <c r="CN79" s="740">
        <v>14.59</v>
      </c>
      <c r="CO79" s="740">
        <v>14.68</v>
      </c>
      <c r="CP79" s="740">
        <v>14.76</v>
      </c>
      <c r="CQ79" s="740">
        <v>14.84</v>
      </c>
      <c r="CR79" s="740">
        <v>14.92</v>
      </c>
      <c r="CS79" s="740">
        <v>15</v>
      </c>
      <c r="CT79" s="740">
        <v>15.08</v>
      </c>
      <c r="CU79" s="740">
        <v>15.16</v>
      </c>
      <c r="CV79" s="740">
        <v>15.24</v>
      </c>
      <c r="CW79" s="740">
        <v>15.32</v>
      </c>
      <c r="CX79" s="740">
        <v>15.4</v>
      </c>
      <c r="CY79" s="740">
        <v>15.48</v>
      </c>
      <c r="CZ79" s="740">
        <v>15.56</v>
      </c>
      <c r="DA79" s="740">
        <v>15.64</v>
      </c>
      <c r="DB79" s="740">
        <v>15.72</v>
      </c>
      <c r="DC79" s="740">
        <v>15.79</v>
      </c>
      <c r="DD79" s="740">
        <v>15.87</v>
      </c>
      <c r="DE79" s="740">
        <v>15.95</v>
      </c>
      <c r="DF79" s="740">
        <v>16.03</v>
      </c>
      <c r="DG79" s="740">
        <v>16.100000000000001</v>
      </c>
      <c r="DH79" s="740">
        <v>16.18</v>
      </c>
      <c r="DI79" s="740">
        <v>16.260000000000002</v>
      </c>
      <c r="DJ79" s="740">
        <v>16.329999999999998</v>
      </c>
      <c r="DK79" s="740">
        <v>16.41</v>
      </c>
      <c r="DL79" s="740">
        <v>16.48</v>
      </c>
      <c r="DM79" s="740">
        <v>16.559999999999999</v>
      </c>
      <c r="DN79" s="740">
        <v>16.63</v>
      </c>
      <c r="DO79" s="740">
        <v>16.71</v>
      </c>
      <c r="DP79" s="740">
        <v>16.78</v>
      </c>
      <c r="DQ79" s="740">
        <v>16.850000000000001</v>
      </c>
      <c r="DR79" s="740">
        <v>16.93</v>
      </c>
    </row>
    <row r="80" spans="1:122">
      <c r="A80" s="906">
        <v>78</v>
      </c>
      <c r="B80" s="92"/>
      <c r="C80" s="92"/>
      <c r="D80" s="92"/>
      <c r="E80" s="92"/>
      <c r="F80" s="92"/>
      <c r="G80" s="92"/>
      <c r="H80" s="92"/>
      <c r="I80" s="92"/>
      <c r="J80" s="92"/>
      <c r="K80" s="92"/>
      <c r="L80" s="92"/>
      <c r="M80" s="92"/>
      <c r="N80" s="92"/>
      <c r="O80" s="92"/>
      <c r="P80" s="92"/>
      <c r="Q80" s="92"/>
      <c r="R80" s="92"/>
      <c r="S80" s="92"/>
      <c r="T80" s="92"/>
      <c r="U80" s="92"/>
      <c r="V80" s="740"/>
      <c r="W80" s="740">
        <v>8.27</v>
      </c>
      <c r="X80" s="740">
        <v>8.36</v>
      </c>
      <c r="Y80" s="740">
        <v>8.42</v>
      </c>
      <c r="Z80" s="740">
        <v>8.56</v>
      </c>
      <c r="AA80" s="740">
        <v>8.61</v>
      </c>
      <c r="AB80" s="740">
        <v>8.6999999999999993</v>
      </c>
      <c r="AC80" s="740">
        <v>8.7200000000000006</v>
      </c>
      <c r="AD80" s="740">
        <v>8.73</v>
      </c>
      <c r="AE80" s="740">
        <v>8.77</v>
      </c>
      <c r="AF80" s="740">
        <v>8.8699999999999992</v>
      </c>
      <c r="AG80" s="740">
        <v>8.9700000000000006</v>
      </c>
      <c r="AH80" s="740">
        <v>9.0399999999999991</v>
      </c>
      <c r="AI80" s="740">
        <v>9.16</v>
      </c>
      <c r="AJ80" s="740">
        <v>9.27</v>
      </c>
      <c r="AK80" s="740">
        <v>9.3800000000000008</v>
      </c>
      <c r="AL80" s="740">
        <v>9.4700000000000006</v>
      </c>
      <c r="AM80" s="740">
        <v>9.56</v>
      </c>
      <c r="AN80" s="740">
        <v>9.6300000000000008</v>
      </c>
      <c r="AO80" s="740">
        <v>9.7200000000000006</v>
      </c>
      <c r="AP80" s="740">
        <v>9.7899999999999991</v>
      </c>
      <c r="AQ80" s="740">
        <v>9.8699999999999992</v>
      </c>
      <c r="AR80" s="740">
        <v>9.9499999999999993</v>
      </c>
      <c r="AS80" s="740">
        <v>10.029999999999999</v>
      </c>
      <c r="AT80" s="740">
        <v>10.11</v>
      </c>
      <c r="AU80" s="740">
        <v>10.19</v>
      </c>
      <c r="AV80" s="740">
        <v>10.27</v>
      </c>
      <c r="AW80" s="740">
        <v>10.35</v>
      </c>
      <c r="AX80" s="740">
        <v>10.43</v>
      </c>
      <c r="AY80" s="740">
        <v>10.51</v>
      </c>
      <c r="AZ80" s="740">
        <v>10.59</v>
      </c>
      <c r="BA80" s="740">
        <v>10.67</v>
      </c>
      <c r="BB80" s="740">
        <v>10.75</v>
      </c>
      <c r="BC80" s="740">
        <v>10.83</v>
      </c>
      <c r="BD80" s="740">
        <v>10.92</v>
      </c>
      <c r="BE80" s="740">
        <v>11</v>
      </c>
      <c r="BF80" s="740">
        <v>11.08</v>
      </c>
      <c r="BG80" s="740">
        <v>11.16</v>
      </c>
      <c r="BH80" s="740">
        <v>11.24</v>
      </c>
      <c r="BI80" s="740">
        <v>11.33</v>
      </c>
      <c r="BJ80" s="740">
        <v>11.41</v>
      </c>
      <c r="BK80" s="740">
        <v>11.49</v>
      </c>
      <c r="BL80" s="740">
        <v>11.57</v>
      </c>
      <c r="BM80" s="740">
        <v>11.66</v>
      </c>
      <c r="BN80" s="740">
        <v>11.74</v>
      </c>
      <c r="BO80" s="740">
        <v>11.82</v>
      </c>
      <c r="BP80" s="740">
        <v>11.9</v>
      </c>
      <c r="BQ80" s="740">
        <v>11.98</v>
      </c>
      <c r="BR80" s="740">
        <v>12.07</v>
      </c>
      <c r="BS80" s="740">
        <v>12.15</v>
      </c>
      <c r="BT80" s="852">
        <v>12.23</v>
      </c>
      <c r="BU80" s="740">
        <v>12.31</v>
      </c>
      <c r="BV80" s="740">
        <v>12.39</v>
      </c>
      <c r="BW80" s="740">
        <v>12.47</v>
      </c>
      <c r="BX80" s="740">
        <v>12.56</v>
      </c>
      <c r="BY80" s="740">
        <v>12.64</v>
      </c>
      <c r="BZ80" s="740">
        <v>12.72</v>
      </c>
      <c r="CA80" s="740">
        <v>12.8</v>
      </c>
      <c r="CB80" s="740">
        <v>12.88</v>
      </c>
      <c r="CC80" s="740">
        <v>12.96</v>
      </c>
      <c r="CD80" s="740">
        <v>13.04</v>
      </c>
      <c r="CE80" s="740">
        <v>13.12</v>
      </c>
      <c r="CF80" s="740">
        <v>13.2</v>
      </c>
      <c r="CG80" s="740">
        <v>13.28</v>
      </c>
      <c r="CH80" s="740">
        <v>13.36</v>
      </c>
      <c r="CI80" s="740">
        <v>13.44</v>
      </c>
      <c r="CJ80" s="740">
        <v>13.52</v>
      </c>
      <c r="CK80" s="740">
        <v>13.6</v>
      </c>
      <c r="CL80" s="740">
        <v>13.68</v>
      </c>
      <c r="CM80" s="740">
        <v>13.76</v>
      </c>
      <c r="CN80" s="740">
        <v>13.84</v>
      </c>
      <c r="CO80" s="740">
        <v>13.92</v>
      </c>
      <c r="CP80" s="740">
        <v>14</v>
      </c>
      <c r="CQ80" s="740">
        <v>14.07</v>
      </c>
      <c r="CR80" s="740">
        <v>14.15</v>
      </c>
      <c r="CS80" s="740">
        <v>14.23</v>
      </c>
      <c r="CT80" s="740">
        <v>14.31</v>
      </c>
      <c r="CU80" s="740">
        <v>14.39</v>
      </c>
      <c r="CV80" s="740">
        <v>14.46</v>
      </c>
      <c r="CW80" s="740">
        <v>14.54</v>
      </c>
      <c r="CX80" s="740">
        <v>14.62</v>
      </c>
      <c r="CY80" s="740">
        <v>14.69</v>
      </c>
      <c r="CZ80" s="740">
        <v>14.77</v>
      </c>
      <c r="DA80" s="740">
        <v>14.85</v>
      </c>
      <c r="DB80" s="740">
        <v>14.92</v>
      </c>
      <c r="DC80" s="740">
        <v>15</v>
      </c>
      <c r="DD80" s="740">
        <v>15.07</v>
      </c>
      <c r="DE80" s="740">
        <v>15.15</v>
      </c>
      <c r="DF80" s="740">
        <v>15.22</v>
      </c>
      <c r="DG80" s="740">
        <v>15.3</v>
      </c>
      <c r="DH80" s="740">
        <v>15.37</v>
      </c>
      <c r="DI80" s="740">
        <v>15.44</v>
      </c>
      <c r="DJ80" s="740">
        <v>15.52</v>
      </c>
      <c r="DK80" s="740">
        <v>15.59</v>
      </c>
      <c r="DL80" s="740">
        <v>15.66</v>
      </c>
      <c r="DM80" s="740">
        <v>15.74</v>
      </c>
      <c r="DN80" s="740">
        <v>15.81</v>
      </c>
      <c r="DO80" s="740">
        <v>15.88</v>
      </c>
      <c r="DP80" s="740">
        <v>15.95</v>
      </c>
      <c r="DQ80" s="740">
        <v>16.02</v>
      </c>
      <c r="DR80" s="740">
        <v>16.09</v>
      </c>
    </row>
    <row r="81" spans="1:122">
      <c r="A81" s="906">
        <v>79</v>
      </c>
      <c r="B81" s="92"/>
      <c r="C81" s="92"/>
      <c r="D81" s="92"/>
      <c r="E81" s="92"/>
      <c r="F81" s="92"/>
      <c r="G81" s="92"/>
      <c r="H81" s="92"/>
      <c r="I81" s="92"/>
      <c r="J81" s="92"/>
      <c r="K81" s="92"/>
      <c r="L81" s="92"/>
      <c r="M81" s="92"/>
      <c r="N81" s="92"/>
      <c r="O81" s="92"/>
      <c r="P81" s="92"/>
      <c r="Q81" s="92"/>
      <c r="R81" s="92"/>
      <c r="S81" s="92"/>
      <c r="T81" s="92"/>
      <c r="U81" s="92"/>
      <c r="V81" s="740"/>
      <c r="W81" s="740">
        <v>7.83</v>
      </c>
      <c r="X81" s="740">
        <v>7.89</v>
      </c>
      <c r="Y81" s="740">
        <v>7.96</v>
      </c>
      <c r="Z81" s="740">
        <v>8.09</v>
      </c>
      <c r="AA81" s="740">
        <v>8.1300000000000008</v>
      </c>
      <c r="AB81" s="740">
        <v>8.1999999999999993</v>
      </c>
      <c r="AC81" s="740">
        <v>8.2200000000000006</v>
      </c>
      <c r="AD81" s="740">
        <v>8.2200000000000006</v>
      </c>
      <c r="AE81" s="740">
        <v>8.27</v>
      </c>
      <c r="AF81" s="740">
        <v>8.36</v>
      </c>
      <c r="AG81" s="740">
        <v>8.4499999999999993</v>
      </c>
      <c r="AH81" s="740">
        <v>8.52</v>
      </c>
      <c r="AI81" s="740">
        <v>8.6300000000000008</v>
      </c>
      <c r="AJ81" s="740">
        <v>8.73</v>
      </c>
      <c r="AK81" s="740">
        <v>8.81</v>
      </c>
      <c r="AL81" s="740">
        <v>8.92</v>
      </c>
      <c r="AM81" s="740">
        <v>8.99</v>
      </c>
      <c r="AN81" s="740">
        <v>9.07</v>
      </c>
      <c r="AO81" s="740">
        <v>9.15</v>
      </c>
      <c r="AP81" s="740">
        <v>9.2200000000000006</v>
      </c>
      <c r="AQ81" s="740">
        <v>9.3000000000000007</v>
      </c>
      <c r="AR81" s="740">
        <v>9.3699999999999992</v>
      </c>
      <c r="AS81" s="740">
        <v>9.4499999999999993</v>
      </c>
      <c r="AT81" s="740">
        <v>9.52</v>
      </c>
      <c r="AU81" s="740">
        <v>9.6</v>
      </c>
      <c r="AV81" s="740">
        <v>9.67</v>
      </c>
      <c r="AW81" s="740">
        <v>9.75</v>
      </c>
      <c r="AX81" s="740">
        <v>9.82</v>
      </c>
      <c r="AY81" s="740">
        <v>9.9</v>
      </c>
      <c r="AZ81" s="740">
        <v>9.98</v>
      </c>
      <c r="BA81" s="740">
        <v>10.06</v>
      </c>
      <c r="BB81" s="740">
        <v>10.14</v>
      </c>
      <c r="BC81" s="740">
        <v>10.210000000000001</v>
      </c>
      <c r="BD81" s="740">
        <v>10.29</v>
      </c>
      <c r="BE81" s="740">
        <v>10.37</v>
      </c>
      <c r="BF81" s="740">
        <v>10.45</v>
      </c>
      <c r="BG81" s="740">
        <v>10.53</v>
      </c>
      <c r="BH81" s="740">
        <v>10.61</v>
      </c>
      <c r="BI81" s="740">
        <v>10.69</v>
      </c>
      <c r="BJ81" s="740">
        <v>10.76</v>
      </c>
      <c r="BK81" s="740">
        <v>10.84</v>
      </c>
      <c r="BL81" s="740">
        <v>10.92</v>
      </c>
      <c r="BM81" s="740">
        <v>11</v>
      </c>
      <c r="BN81" s="740">
        <v>11.08</v>
      </c>
      <c r="BO81" s="740">
        <v>11.16</v>
      </c>
      <c r="BP81" s="740">
        <v>11.24</v>
      </c>
      <c r="BQ81" s="740">
        <v>11.31</v>
      </c>
      <c r="BR81" s="740">
        <v>11.39</v>
      </c>
      <c r="BS81" s="740">
        <v>11.47</v>
      </c>
      <c r="BT81" s="852">
        <v>11.55</v>
      </c>
      <c r="BU81" s="740">
        <v>11.63</v>
      </c>
      <c r="BV81" s="740">
        <v>11.71</v>
      </c>
      <c r="BW81" s="740">
        <v>11.78</v>
      </c>
      <c r="BX81" s="740">
        <v>11.86</v>
      </c>
      <c r="BY81" s="740">
        <v>11.94</v>
      </c>
      <c r="BZ81" s="740">
        <v>12.02</v>
      </c>
      <c r="CA81" s="740">
        <v>12.1</v>
      </c>
      <c r="CB81" s="740">
        <v>12.17</v>
      </c>
      <c r="CC81" s="740">
        <v>12.25</v>
      </c>
      <c r="CD81" s="740">
        <v>12.33</v>
      </c>
      <c r="CE81" s="740">
        <v>12.41</v>
      </c>
      <c r="CF81" s="740">
        <v>12.48</v>
      </c>
      <c r="CG81" s="740">
        <v>12.56</v>
      </c>
      <c r="CH81" s="740">
        <v>12.64</v>
      </c>
      <c r="CI81" s="740">
        <v>12.71</v>
      </c>
      <c r="CJ81" s="740">
        <v>12.79</v>
      </c>
      <c r="CK81" s="740">
        <v>12.87</v>
      </c>
      <c r="CL81" s="740">
        <v>12.94</v>
      </c>
      <c r="CM81" s="740">
        <v>13.02</v>
      </c>
      <c r="CN81" s="740">
        <v>13.1</v>
      </c>
      <c r="CO81" s="740">
        <v>13.17</v>
      </c>
      <c r="CP81" s="740">
        <v>13.25</v>
      </c>
      <c r="CQ81" s="740">
        <v>13.32</v>
      </c>
      <c r="CR81" s="740">
        <v>13.4</v>
      </c>
      <c r="CS81" s="740">
        <v>13.47</v>
      </c>
      <c r="CT81" s="740">
        <v>13.55</v>
      </c>
      <c r="CU81" s="740">
        <v>13.62</v>
      </c>
      <c r="CV81" s="740">
        <v>13.7</v>
      </c>
      <c r="CW81" s="740">
        <v>13.77</v>
      </c>
      <c r="CX81" s="740">
        <v>13.84</v>
      </c>
      <c r="CY81" s="740">
        <v>13.92</v>
      </c>
      <c r="CZ81" s="740">
        <v>13.99</v>
      </c>
      <c r="DA81" s="740">
        <v>14.07</v>
      </c>
      <c r="DB81" s="740">
        <v>14.14</v>
      </c>
      <c r="DC81" s="740">
        <v>14.21</v>
      </c>
      <c r="DD81" s="740">
        <v>14.28</v>
      </c>
      <c r="DE81" s="740">
        <v>14.36</v>
      </c>
      <c r="DF81" s="740">
        <v>14.43</v>
      </c>
      <c r="DG81" s="740">
        <v>14.5</v>
      </c>
      <c r="DH81" s="740">
        <v>14.57</v>
      </c>
      <c r="DI81" s="740">
        <v>14.64</v>
      </c>
      <c r="DJ81" s="740">
        <v>14.71</v>
      </c>
      <c r="DK81" s="740">
        <v>14.78</v>
      </c>
      <c r="DL81" s="740">
        <v>14.86</v>
      </c>
      <c r="DM81" s="740">
        <v>14.93</v>
      </c>
      <c r="DN81" s="740">
        <v>15</v>
      </c>
      <c r="DO81" s="740">
        <v>15.07</v>
      </c>
      <c r="DP81" s="740">
        <v>15.13</v>
      </c>
      <c r="DQ81" s="740">
        <v>15.2</v>
      </c>
      <c r="DR81" s="740">
        <v>15.27</v>
      </c>
    </row>
    <row r="82" spans="1:122">
      <c r="A82" s="906">
        <v>80</v>
      </c>
      <c r="B82" s="92"/>
      <c r="C82" s="92"/>
      <c r="D82" s="92"/>
      <c r="E82" s="92"/>
      <c r="F82" s="92"/>
      <c r="G82" s="92"/>
      <c r="H82" s="92"/>
      <c r="I82" s="92"/>
      <c r="J82" s="92"/>
      <c r="K82" s="92"/>
      <c r="L82" s="92"/>
      <c r="M82" s="92"/>
      <c r="N82" s="92"/>
      <c r="O82" s="92"/>
      <c r="P82" s="92"/>
      <c r="Q82" s="92"/>
      <c r="R82" s="92"/>
      <c r="S82" s="92"/>
      <c r="T82" s="92"/>
      <c r="U82" s="92"/>
      <c r="V82" s="740"/>
      <c r="W82" s="740">
        <v>7.38</v>
      </c>
      <c r="X82" s="740">
        <v>7.43</v>
      </c>
      <c r="Y82" s="740">
        <v>7.51</v>
      </c>
      <c r="Z82" s="740">
        <v>7.62</v>
      </c>
      <c r="AA82" s="740">
        <v>7.65</v>
      </c>
      <c r="AB82" s="740">
        <v>7.71</v>
      </c>
      <c r="AC82" s="740">
        <v>7.71</v>
      </c>
      <c r="AD82" s="740">
        <v>7.72</v>
      </c>
      <c r="AE82" s="740">
        <v>7.78</v>
      </c>
      <c r="AF82" s="740">
        <v>7.86</v>
      </c>
      <c r="AG82" s="740">
        <v>7.94</v>
      </c>
      <c r="AH82" s="740">
        <v>8.01</v>
      </c>
      <c r="AI82" s="740">
        <v>8.1199999999999992</v>
      </c>
      <c r="AJ82" s="740">
        <v>8.1999999999999993</v>
      </c>
      <c r="AK82" s="740">
        <v>8.2799999999999994</v>
      </c>
      <c r="AL82" s="740">
        <v>8.3699999999999992</v>
      </c>
      <c r="AM82" s="740">
        <v>8.4499999999999993</v>
      </c>
      <c r="AN82" s="740">
        <v>8.5299999999999994</v>
      </c>
      <c r="AO82" s="740">
        <v>8.6</v>
      </c>
      <c r="AP82" s="740">
        <v>8.66</v>
      </c>
      <c r="AQ82" s="740">
        <v>8.73</v>
      </c>
      <c r="AR82" s="740">
        <v>8.8000000000000007</v>
      </c>
      <c r="AS82" s="740">
        <v>8.8800000000000008</v>
      </c>
      <c r="AT82" s="740">
        <v>8.9499999999999993</v>
      </c>
      <c r="AU82" s="740">
        <v>9.02</v>
      </c>
      <c r="AV82" s="740">
        <v>9.09</v>
      </c>
      <c r="AW82" s="740">
        <v>9.16</v>
      </c>
      <c r="AX82" s="740">
        <v>9.24</v>
      </c>
      <c r="AY82" s="740">
        <v>9.31</v>
      </c>
      <c r="AZ82" s="740">
        <v>9.3800000000000008</v>
      </c>
      <c r="BA82" s="740">
        <v>9.4600000000000009</v>
      </c>
      <c r="BB82" s="740">
        <v>9.5299999999999994</v>
      </c>
      <c r="BC82" s="740">
        <v>9.61</v>
      </c>
      <c r="BD82" s="740">
        <v>9.68</v>
      </c>
      <c r="BE82" s="740">
        <v>9.76</v>
      </c>
      <c r="BF82" s="740">
        <v>9.83</v>
      </c>
      <c r="BG82" s="740">
        <v>9.91</v>
      </c>
      <c r="BH82" s="740">
        <v>9.98</v>
      </c>
      <c r="BI82" s="740">
        <v>10.06</v>
      </c>
      <c r="BJ82" s="740">
        <v>10.130000000000001</v>
      </c>
      <c r="BK82" s="740">
        <v>10.210000000000001</v>
      </c>
      <c r="BL82" s="740">
        <v>10.28</v>
      </c>
      <c r="BM82" s="740">
        <v>10.36</v>
      </c>
      <c r="BN82" s="740">
        <v>10.43</v>
      </c>
      <c r="BO82" s="740">
        <v>10.51</v>
      </c>
      <c r="BP82" s="740">
        <v>10.58</v>
      </c>
      <c r="BQ82" s="740">
        <v>10.66</v>
      </c>
      <c r="BR82" s="740">
        <v>10.73</v>
      </c>
      <c r="BS82" s="740">
        <v>10.81</v>
      </c>
      <c r="BT82" s="852">
        <v>10.88</v>
      </c>
      <c r="BU82" s="740">
        <v>10.96</v>
      </c>
      <c r="BV82" s="740">
        <v>11.03</v>
      </c>
      <c r="BW82" s="740">
        <v>11.11</v>
      </c>
      <c r="BX82" s="740">
        <v>11.18</v>
      </c>
      <c r="BY82" s="740">
        <v>11.26</v>
      </c>
      <c r="BZ82" s="740">
        <v>11.33</v>
      </c>
      <c r="CA82" s="740">
        <v>11.41</v>
      </c>
      <c r="CB82" s="740">
        <v>11.48</v>
      </c>
      <c r="CC82" s="740">
        <v>11.55</v>
      </c>
      <c r="CD82" s="740">
        <v>11.63</v>
      </c>
      <c r="CE82" s="740">
        <v>11.7</v>
      </c>
      <c r="CF82" s="740">
        <v>11.78</v>
      </c>
      <c r="CG82" s="740">
        <v>11.85</v>
      </c>
      <c r="CH82" s="740">
        <v>11.92</v>
      </c>
      <c r="CI82" s="740">
        <v>12</v>
      </c>
      <c r="CJ82" s="740">
        <v>12.07</v>
      </c>
      <c r="CK82" s="740">
        <v>12.14</v>
      </c>
      <c r="CL82" s="740">
        <v>12.22</v>
      </c>
      <c r="CM82" s="740">
        <v>12.29</v>
      </c>
      <c r="CN82" s="740">
        <v>12.36</v>
      </c>
      <c r="CO82" s="740">
        <v>12.44</v>
      </c>
      <c r="CP82" s="740">
        <v>12.51</v>
      </c>
      <c r="CQ82" s="740">
        <v>12.58</v>
      </c>
      <c r="CR82" s="740">
        <v>12.65</v>
      </c>
      <c r="CS82" s="740">
        <v>12.73</v>
      </c>
      <c r="CT82" s="740">
        <v>12.8</v>
      </c>
      <c r="CU82" s="740">
        <v>12.87</v>
      </c>
      <c r="CV82" s="740">
        <v>12.94</v>
      </c>
      <c r="CW82" s="740">
        <v>13.01</v>
      </c>
      <c r="CX82" s="740">
        <v>13.08</v>
      </c>
      <c r="CY82" s="740">
        <v>13.16</v>
      </c>
      <c r="CZ82" s="740">
        <v>13.23</v>
      </c>
      <c r="DA82" s="740">
        <v>13.3</v>
      </c>
      <c r="DB82" s="740">
        <v>13.37</v>
      </c>
      <c r="DC82" s="740">
        <v>13.44</v>
      </c>
      <c r="DD82" s="740">
        <v>13.51</v>
      </c>
      <c r="DE82" s="740">
        <v>13.58</v>
      </c>
      <c r="DF82" s="740">
        <v>13.65</v>
      </c>
      <c r="DG82" s="740">
        <v>13.72</v>
      </c>
      <c r="DH82" s="740">
        <v>13.79</v>
      </c>
      <c r="DI82" s="740">
        <v>13.85</v>
      </c>
      <c r="DJ82" s="740">
        <v>13.92</v>
      </c>
      <c r="DK82" s="740">
        <v>13.99</v>
      </c>
      <c r="DL82" s="740">
        <v>14.06</v>
      </c>
      <c r="DM82" s="740">
        <v>14.13</v>
      </c>
      <c r="DN82" s="740">
        <v>14.19</v>
      </c>
      <c r="DO82" s="740">
        <v>14.26</v>
      </c>
      <c r="DP82" s="740">
        <v>14.33</v>
      </c>
      <c r="DQ82" s="740">
        <v>14.39</v>
      </c>
      <c r="DR82" s="740">
        <v>14.46</v>
      </c>
    </row>
    <row r="83" spans="1:122">
      <c r="A83" s="906">
        <v>81</v>
      </c>
      <c r="B83" s="92"/>
      <c r="C83" s="92"/>
      <c r="D83" s="92"/>
      <c r="E83" s="92"/>
      <c r="F83" s="92"/>
      <c r="G83" s="92"/>
      <c r="H83" s="92"/>
      <c r="I83" s="92"/>
      <c r="J83" s="92"/>
      <c r="K83" s="92"/>
      <c r="L83" s="92"/>
      <c r="M83" s="92"/>
      <c r="N83" s="92"/>
      <c r="O83" s="92"/>
      <c r="P83" s="92"/>
      <c r="Q83" s="92"/>
      <c r="R83" s="92"/>
      <c r="S83" s="92"/>
      <c r="T83" s="92"/>
      <c r="U83" s="92"/>
      <c r="V83" s="740"/>
      <c r="W83" s="740">
        <v>6.95</v>
      </c>
      <c r="X83" s="740">
        <v>7.01</v>
      </c>
      <c r="Y83" s="740">
        <v>7.07</v>
      </c>
      <c r="Z83" s="740">
        <v>7.16</v>
      </c>
      <c r="AA83" s="740">
        <v>7.17</v>
      </c>
      <c r="AB83" s="740">
        <v>7.23</v>
      </c>
      <c r="AC83" s="740">
        <v>7.24</v>
      </c>
      <c r="AD83" s="740">
        <v>7.25</v>
      </c>
      <c r="AE83" s="740">
        <v>7.29</v>
      </c>
      <c r="AF83" s="740">
        <v>7.37</v>
      </c>
      <c r="AG83" s="740">
        <v>7.45</v>
      </c>
      <c r="AH83" s="740">
        <v>7.51</v>
      </c>
      <c r="AI83" s="740">
        <v>7.6</v>
      </c>
      <c r="AJ83" s="740">
        <v>7.69</v>
      </c>
      <c r="AK83" s="740">
        <v>7.76</v>
      </c>
      <c r="AL83" s="740">
        <v>7.85</v>
      </c>
      <c r="AM83" s="740">
        <v>7.92</v>
      </c>
      <c r="AN83" s="740">
        <v>7.99</v>
      </c>
      <c r="AO83" s="740">
        <v>8.0500000000000007</v>
      </c>
      <c r="AP83" s="740">
        <v>8.1199999999999992</v>
      </c>
      <c r="AQ83" s="740">
        <v>8.19</v>
      </c>
      <c r="AR83" s="740">
        <v>8.25</v>
      </c>
      <c r="AS83" s="740">
        <v>8.32</v>
      </c>
      <c r="AT83" s="740">
        <v>8.39</v>
      </c>
      <c r="AU83" s="740">
        <v>8.4600000000000009</v>
      </c>
      <c r="AV83" s="740">
        <v>8.52</v>
      </c>
      <c r="AW83" s="740">
        <v>8.59</v>
      </c>
      <c r="AX83" s="740">
        <v>8.66</v>
      </c>
      <c r="AY83" s="740">
        <v>8.73</v>
      </c>
      <c r="AZ83" s="740">
        <v>8.81</v>
      </c>
      <c r="BA83" s="740">
        <v>8.8800000000000008</v>
      </c>
      <c r="BB83" s="740">
        <v>8.9499999999999993</v>
      </c>
      <c r="BC83" s="740">
        <v>9.02</v>
      </c>
      <c r="BD83" s="740">
        <v>9.09</v>
      </c>
      <c r="BE83" s="740">
        <v>9.16</v>
      </c>
      <c r="BF83" s="740">
        <v>9.23</v>
      </c>
      <c r="BG83" s="740">
        <v>9.3000000000000007</v>
      </c>
      <c r="BH83" s="740">
        <v>9.3699999999999992</v>
      </c>
      <c r="BI83" s="740">
        <v>9.4499999999999993</v>
      </c>
      <c r="BJ83" s="740">
        <v>9.52</v>
      </c>
      <c r="BK83" s="740">
        <v>9.59</v>
      </c>
      <c r="BL83" s="740">
        <v>9.66</v>
      </c>
      <c r="BM83" s="740">
        <v>9.73</v>
      </c>
      <c r="BN83" s="740">
        <v>9.8000000000000007</v>
      </c>
      <c r="BO83" s="740">
        <v>9.8699999999999992</v>
      </c>
      <c r="BP83" s="740">
        <v>9.9499999999999993</v>
      </c>
      <c r="BQ83" s="740">
        <v>10.02</v>
      </c>
      <c r="BR83" s="740">
        <v>10.09</v>
      </c>
      <c r="BS83" s="740">
        <v>10.16</v>
      </c>
      <c r="BT83" s="852">
        <v>10.23</v>
      </c>
      <c r="BU83" s="740">
        <v>10.3</v>
      </c>
      <c r="BV83" s="740">
        <v>10.37</v>
      </c>
      <c r="BW83" s="740">
        <v>10.45</v>
      </c>
      <c r="BX83" s="740">
        <v>10.52</v>
      </c>
      <c r="BY83" s="740">
        <v>10.59</v>
      </c>
      <c r="BZ83" s="740">
        <v>10.66</v>
      </c>
      <c r="CA83" s="740">
        <v>10.73</v>
      </c>
      <c r="CB83" s="740">
        <v>10.8</v>
      </c>
      <c r="CC83" s="740">
        <v>10.87</v>
      </c>
      <c r="CD83" s="740">
        <v>10.94</v>
      </c>
      <c r="CE83" s="740">
        <v>11.02</v>
      </c>
      <c r="CF83" s="740">
        <v>11.09</v>
      </c>
      <c r="CG83" s="740">
        <v>11.16</v>
      </c>
      <c r="CH83" s="740">
        <v>11.23</v>
      </c>
      <c r="CI83" s="740">
        <v>11.3</v>
      </c>
      <c r="CJ83" s="740">
        <v>11.37</v>
      </c>
      <c r="CK83" s="740">
        <v>11.44</v>
      </c>
      <c r="CL83" s="740">
        <v>11.51</v>
      </c>
      <c r="CM83" s="740">
        <v>11.58</v>
      </c>
      <c r="CN83" s="740">
        <v>11.65</v>
      </c>
      <c r="CO83" s="740">
        <v>11.72</v>
      </c>
      <c r="CP83" s="740">
        <v>11.79</v>
      </c>
      <c r="CQ83" s="740">
        <v>11.86</v>
      </c>
      <c r="CR83" s="740">
        <v>11.93</v>
      </c>
      <c r="CS83" s="740">
        <v>12</v>
      </c>
      <c r="CT83" s="740">
        <v>12.07</v>
      </c>
      <c r="CU83" s="740">
        <v>12.13</v>
      </c>
      <c r="CV83" s="740">
        <v>12.2</v>
      </c>
      <c r="CW83" s="740">
        <v>12.27</v>
      </c>
      <c r="CX83" s="740">
        <v>12.34</v>
      </c>
      <c r="CY83" s="740">
        <v>12.41</v>
      </c>
      <c r="CZ83" s="740">
        <v>12.48</v>
      </c>
      <c r="DA83" s="740">
        <v>12.54</v>
      </c>
      <c r="DB83" s="740">
        <v>12.61</v>
      </c>
      <c r="DC83" s="740">
        <v>12.68</v>
      </c>
      <c r="DD83" s="740">
        <v>12.75</v>
      </c>
      <c r="DE83" s="740">
        <v>12.81</v>
      </c>
      <c r="DF83" s="740">
        <v>12.88</v>
      </c>
      <c r="DG83" s="740">
        <v>12.95</v>
      </c>
      <c r="DH83" s="740">
        <v>13.01</v>
      </c>
      <c r="DI83" s="740">
        <v>13.08</v>
      </c>
      <c r="DJ83" s="740">
        <v>13.14</v>
      </c>
      <c r="DK83" s="740">
        <v>13.21</v>
      </c>
      <c r="DL83" s="740">
        <v>13.28</v>
      </c>
      <c r="DM83" s="740">
        <v>13.34</v>
      </c>
      <c r="DN83" s="740">
        <v>13.41</v>
      </c>
      <c r="DO83" s="740">
        <v>13.47</v>
      </c>
      <c r="DP83" s="740">
        <v>13.54</v>
      </c>
      <c r="DQ83" s="740">
        <v>13.6</v>
      </c>
      <c r="DR83" s="740">
        <v>13.66</v>
      </c>
    </row>
    <row r="84" spans="1:122">
      <c r="A84" s="906">
        <v>82</v>
      </c>
      <c r="B84" s="92"/>
      <c r="C84" s="92"/>
      <c r="D84" s="92"/>
      <c r="E84" s="92"/>
      <c r="F84" s="92"/>
      <c r="G84" s="92"/>
      <c r="H84" s="92"/>
      <c r="I84" s="92"/>
      <c r="J84" s="92"/>
      <c r="K84" s="92"/>
      <c r="L84" s="92"/>
      <c r="M84" s="92"/>
      <c r="N84" s="92"/>
      <c r="O84" s="92"/>
      <c r="P84" s="92"/>
      <c r="Q84" s="92"/>
      <c r="R84" s="92"/>
      <c r="S84" s="92"/>
      <c r="T84" s="92"/>
      <c r="U84" s="92"/>
      <c r="V84" s="740"/>
      <c r="W84" s="740">
        <v>6.54</v>
      </c>
      <c r="X84" s="740">
        <v>6.58</v>
      </c>
      <c r="Y84" s="740">
        <v>6.64</v>
      </c>
      <c r="Z84" s="740">
        <v>6.71</v>
      </c>
      <c r="AA84" s="740">
        <v>6.71</v>
      </c>
      <c r="AB84" s="740">
        <v>6.77</v>
      </c>
      <c r="AC84" s="740">
        <v>6.79</v>
      </c>
      <c r="AD84" s="740">
        <v>6.79</v>
      </c>
      <c r="AE84" s="740">
        <v>6.83</v>
      </c>
      <c r="AF84" s="740">
        <v>6.89</v>
      </c>
      <c r="AG84" s="740">
        <v>6.99</v>
      </c>
      <c r="AH84" s="740">
        <v>7.03</v>
      </c>
      <c r="AI84" s="740">
        <v>7.13</v>
      </c>
      <c r="AJ84" s="740">
        <v>7.2</v>
      </c>
      <c r="AK84" s="740">
        <v>7.28</v>
      </c>
      <c r="AL84" s="740">
        <v>7.35</v>
      </c>
      <c r="AM84" s="740">
        <v>7.41</v>
      </c>
      <c r="AN84" s="740">
        <v>7.47</v>
      </c>
      <c r="AO84" s="740">
        <v>7.53</v>
      </c>
      <c r="AP84" s="740">
        <v>7.59</v>
      </c>
      <c r="AQ84" s="740">
        <v>7.66</v>
      </c>
      <c r="AR84" s="740">
        <v>7.72</v>
      </c>
      <c r="AS84" s="740">
        <v>7.78</v>
      </c>
      <c r="AT84" s="740">
        <v>7.85</v>
      </c>
      <c r="AU84" s="740">
        <v>7.91</v>
      </c>
      <c r="AV84" s="740">
        <v>7.98</v>
      </c>
      <c r="AW84" s="740">
        <v>8.0399999999999991</v>
      </c>
      <c r="AX84" s="740">
        <v>8.11</v>
      </c>
      <c r="AY84" s="740">
        <v>8.18</v>
      </c>
      <c r="AZ84" s="740">
        <v>8.24</v>
      </c>
      <c r="BA84" s="740">
        <v>8.31</v>
      </c>
      <c r="BB84" s="740">
        <v>8.3800000000000008</v>
      </c>
      <c r="BC84" s="740">
        <v>8.4499999999999993</v>
      </c>
      <c r="BD84" s="740">
        <v>8.51</v>
      </c>
      <c r="BE84" s="740">
        <v>8.58</v>
      </c>
      <c r="BF84" s="740">
        <v>8.65</v>
      </c>
      <c r="BG84" s="740">
        <v>8.7200000000000006</v>
      </c>
      <c r="BH84" s="740">
        <v>8.7799999999999994</v>
      </c>
      <c r="BI84" s="740">
        <v>8.85</v>
      </c>
      <c r="BJ84" s="740">
        <v>8.92</v>
      </c>
      <c r="BK84" s="740">
        <v>8.99</v>
      </c>
      <c r="BL84" s="740">
        <v>9.06</v>
      </c>
      <c r="BM84" s="740">
        <v>9.1199999999999992</v>
      </c>
      <c r="BN84" s="740">
        <v>9.19</v>
      </c>
      <c r="BO84" s="740">
        <v>9.26</v>
      </c>
      <c r="BP84" s="740">
        <v>9.33</v>
      </c>
      <c r="BQ84" s="740">
        <v>9.4</v>
      </c>
      <c r="BR84" s="740">
        <v>9.4600000000000009</v>
      </c>
      <c r="BS84" s="740">
        <v>9.5299999999999994</v>
      </c>
      <c r="BT84" s="852">
        <v>9.6</v>
      </c>
      <c r="BU84" s="740">
        <v>9.67</v>
      </c>
      <c r="BV84" s="740">
        <v>9.74</v>
      </c>
      <c r="BW84" s="740">
        <v>9.8000000000000007</v>
      </c>
      <c r="BX84" s="740">
        <v>9.8699999999999992</v>
      </c>
      <c r="BY84" s="740">
        <v>9.94</v>
      </c>
      <c r="BZ84" s="740">
        <v>10.01</v>
      </c>
      <c r="CA84" s="740">
        <v>10.08</v>
      </c>
      <c r="CB84" s="740">
        <v>10.14</v>
      </c>
      <c r="CC84" s="740">
        <v>10.210000000000001</v>
      </c>
      <c r="CD84" s="740">
        <v>10.28</v>
      </c>
      <c r="CE84" s="740">
        <v>10.35</v>
      </c>
      <c r="CF84" s="740">
        <v>10.41</v>
      </c>
      <c r="CG84" s="740">
        <v>10.48</v>
      </c>
      <c r="CH84" s="740">
        <v>10.55</v>
      </c>
      <c r="CI84" s="740">
        <v>10.62</v>
      </c>
      <c r="CJ84" s="740">
        <v>10.68</v>
      </c>
      <c r="CK84" s="740">
        <v>10.75</v>
      </c>
      <c r="CL84" s="740">
        <v>10.82</v>
      </c>
      <c r="CM84" s="740">
        <v>10.88</v>
      </c>
      <c r="CN84" s="740">
        <v>10.95</v>
      </c>
      <c r="CO84" s="740">
        <v>11.02</v>
      </c>
      <c r="CP84" s="740">
        <v>11.08</v>
      </c>
      <c r="CQ84" s="740">
        <v>11.15</v>
      </c>
      <c r="CR84" s="740">
        <v>11.22</v>
      </c>
      <c r="CS84" s="740">
        <v>11.28</v>
      </c>
      <c r="CT84" s="740">
        <v>11.35</v>
      </c>
      <c r="CU84" s="740">
        <v>11.42</v>
      </c>
      <c r="CV84" s="740">
        <v>11.48</v>
      </c>
      <c r="CW84" s="740">
        <v>11.55</v>
      </c>
      <c r="CX84" s="740">
        <v>11.61</v>
      </c>
      <c r="CY84" s="740">
        <v>11.68</v>
      </c>
      <c r="CZ84" s="740">
        <v>11.74</v>
      </c>
      <c r="DA84" s="740">
        <v>11.81</v>
      </c>
      <c r="DB84" s="740">
        <v>11.87</v>
      </c>
      <c r="DC84" s="740">
        <v>11.94</v>
      </c>
      <c r="DD84" s="740">
        <v>12</v>
      </c>
      <c r="DE84" s="740">
        <v>12.07</v>
      </c>
      <c r="DF84" s="740">
        <v>12.13</v>
      </c>
      <c r="DG84" s="740">
        <v>12.19</v>
      </c>
      <c r="DH84" s="740">
        <v>12.26</v>
      </c>
      <c r="DI84" s="740">
        <v>12.32</v>
      </c>
      <c r="DJ84" s="740">
        <v>12.38</v>
      </c>
      <c r="DK84" s="740">
        <v>12.45</v>
      </c>
      <c r="DL84" s="740">
        <v>12.51</v>
      </c>
      <c r="DM84" s="740">
        <v>12.57</v>
      </c>
      <c r="DN84" s="740">
        <v>12.63</v>
      </c>
      <c r="DO84" s="740">
        <v>12.7</v>
      </c>
      <c r="DP84" s="740">
        <v>12.76</v>
      </c>
      <c r="DQ84" s="740">
        <v>12.82</v>
      </c>
      <c r="DR84" s="740">
        <v>12.88</v>
      </c>
    </row>
    <row r="85" spans="1:122">
      <c r="A85" s="906">
        <v>83</v>
      </c>
      <c r="B85" s="92"/>
      <c r="C85" s="92"/>
      <c r="D85" s="92"/>
      <c r="E85" s="92"/>
      <c r="F85" s="92"/>
      <c r="G85" s="92"/>
      <c r="H85" s="92"/>
      <c r="I85" s="92"/>
      <c r="J85" s="92"/>
      <c r="K85" s="92"/>
      <c r="L85" s="92"/>
      <c r="M85" s="92"/>
      <c r="N85" s="92"/>
      <c r="O85" s="92"/>
      <c r="P85" s="92"/>
      <c r="Q85" s="92"/>
      <c r="R85" s="92"/>
      <c r="S85" s="92"/>
      <c r="T85" s="92"/>
      <c r="U85" s="92"/>
      <c r="V85" s="740"/>
      <c r="W85" s="740">
        <v>6.13</v>
      </c>
      <c r="X85" s="740">
        <v>6.17</v>
      </c>
      <c r="Y85" s="740">
        <v>6.21</v>
      </c>
      <c r="Z85" s="740">
        <v>6.26</v>
      </c>
      <c r="AA85" s="740">
        <v>6.28</v>
      </c>
      <c r="AB85" s="740">
        <v>6.34</v>
      </c>
      <c r="AC85" s="740">
        <v>6.33</v>
      </c>
      <c r="AD85" s="740">
        <v>6.34</v>
      </c>
      <c r="AE85" s="740">
        <v>6.38</v>
      </c>
      <c r="AF85" s="740">
        <v>6.46</v>
      </c>
      <c r="AG85" s="740">
        <v>6.53</v>
      </c>
      <c r="AH85" s="740">
        <v>6.57</v>
      </c>
      <c r="AI85" s="740">
        <v>6.66</v>
      </c>
      <c r="AJ85" s="740">
        <v>6.73</v>
      </c>
      <c r="AK85" s="740">
        <v>6.8</v>
      </c>
      <c r="AL85" s="740">
        <v>6.86</v>
      </c>
      <c r="AM85" s="740">
        <v>6.91</v>
      </c>
      <c r="AN85" s="740">
        <v>6.97</v>
      </c>
      <c r="AO85" s="740">
        <v>7.03</v>
      </c>
      <c r="AP85" s="740">
        <v>7.09</v>
      </c>
      <c r="AQ85" s="740">
        <v>7.15</v>
      </c>
      <c r="AR85" s="740">
        <v>7.21</v>
      </c>
      <c r="AS85" s="740">
        <v>7.27</v>
      </c>
      <c r="AT85" s="740">
        <v>7.33</v>
      </c>
      <c r="AU85" s="740">
        <v>7.39</v>
      </c>
      <c r="AV85" s="740">
        <v>7.45</v>
      </c>
      <c r="AW85" s="740">
        <v>7.51</v>
      </c>
      <c r="AX85" s="740">
        <v>7.58</v>
      </c>
      <c r="AY85" s="740">
        <v>7.64</v>
      </c>
      <c r="AZ85" s="740">
        <v>7.7</v>
      </c>
      <c r="BA85" s="740">
        <v>7.77</v>
      </c>
      <c r="BB85" s="740">
        <v>7.83</v>
      </c>
      <c r="BC85" s="740">
        <v>7.89</v>
      </c>
      <c r="BD85" s="740">
        <v>7.96</v>
      </c>
      <c r="BE85" s="740">
        <v>8.02</v>
      </c>
      <c r="BF85" s="740">
        <v>8.09</v>
      </c>
      <c r="BG85" s="740">
        <v>8.15</v>
      </c>
      <c r="BH85" s="740">
        <v>8.2100000000000009</v>
      </c>
      <c r="BI85" s="740">
        <v>8.2799999999999994</v>
      </c>
      <c r="BJ85" s="740">
        <v>8.34</v>
      </c>
      <c r="BK85" s="740">
        <v>8.41</v>
      </c>
      <c r="BL85" s="740">
        <v>8.4700000000000006</v>
      </c>
      <c r="BM85" s="740">
        <v>8.5399999999999991</v>
      </c>
      <c r="BN85" s="740">
        <v>8.6</v>
      </c>
      <c r="BO85" s="740">
        <v>8.67</v>
      </c>
      <c r="BP85" s="740">
        <v>8.73</v>
      </c>
      <c r="BQ85" s="740">
        <v>8.7899999999999991</v>
      </c>
      <c r="BR85" s="740">
        <v>8.86</v>
      </c>
      <c r="BS85" s="740">
        <v>8.92</v>
      </c>
      <c r="BT85" s="852">
        <v>8.99</v>
      </c>
      <c r="BU85" s="740">
        <v>9.0500000000000007</v>
      </c>
      <c r="BV85" s="740">
        <v>9.1199999999999992</v>
      </c>
      <c r="BW85" s="740">
        <v>9.18</v>
      </c>
      <c r="BX85" s="740">
        <v>9.25</v>
      </c>
      <c r="BY85" s="740">
        <v>9.31</v>
      </c>
      <c r="BZ85" s="740">
        <v>9.3800000000000008</v>
      </c>
      <c r="CA85" s="740">
        <v>9.44</v>
      </c>
      <c r="CB85" s="740">
        <v>9.5</v>
      </c>
      <c r="CC85" s="740">
        <v>9.57</v>
      </c>
      <c r="CD85" s="740">
        <v>9.6300000000000008</v>
      </c>
      <c r="CE85" s="740">
        <v>9.6999999999999993</v>
      </c>
      <c r="CF85" s="740">
        <v>9.76</v>
      </c>
      <c r="CG85" s="740">
        <v>9.83</v>
      </c>
      <c r="CH85" s="740">
        <v>9.89</v>
      </c>
      <c r="CI85" s="740">
        <v>9.9499999999999993</v>
      </c>
      <c r="CJ85" s="740">
        <v>10.02</v>
      </c>
      <c r="CK85" s="740">
        <v>10.08</v>
      </c>
      <c r="CL85" s="740">
        <v>10.15</v>
      </c>
      <c r="CM85" s="740">
        <v>10.210000000000001</v>
      </c>
      <c r="CN85" s="740">
        <v>10.27</v>
      </c>
      <c r="CO85" s="740">
        <v>10.34</v>
      </c>
      <c r="CP85" s="740">
        <v>10.4</v>
      </c>
      <c r="CQ85" s="740">
        <v>10.46</v>
      </c>
      <c r="CR85" s="740">
        <v>10.53</v>
      </c>
      <c r="CS85" s="740">
        <v>10.59</v>
      </c>
      <c r="CT85" s="740">
        <v>10.65</v>
      </c>
      <c r="CU85" s="740">
        <v>10.72</v>
      </c>
      <c r="CV85" s="740">
        <v>10.78</v>
      </c>
      <c r="CW85" s="740">
        <v>10.84</v>
      </c>
      <c r="CX85" s="740">
        <v>10.9</v>
      </c>
      <c r="CY85" s="740">
        <v>10.97</v>
      </c>
      <c r="CZ85" s="740">
        <v>11.03</v>
      </c>
      <c r="DA85" s="740">
        <v>11.09</v>
      </c>
      <c r="DB85" s="740">
        <v>11.15</v>
      </c>
      <c r="DC85" s="740">
        <v>11.21</v>
      </c>
      <c r="DD85" s="740">
        <v>11.28</v>
      </c>
      <c r="DE85" s="740">
        <v>11.34</v>
      </c>
      <c r="DF85" s="740">
        <v>11.4</v>
      </c>
      <c r="DG85" s="740">
        <v>11.46</v>
      </c>
      <c r="DH85" s="740">
        <v>11.52</v>
      </c>
      <c r="DI85" s="740">
        <v>11.58</v>
      </c>
      <c r="DJ85" s="740">
        <v>11.64</v>
      </c>
      <c r="DK85" s="740">
        <v>11.7</v>
      </c>
      <c r="DL85" s="740">
        <v>11.76</v>
      </c>
      <c r="DM85" s="740">
        <v>11.82</v>
      </c>
      <c r="DN85" s="740">
        <v>11.88</v>
      </c>
      <c r="DO85" s="740">
        <v>11.94</v>
      </c>
      <c r="DP85" s="740">
        <v>12</v>
      </c>
      <c r="DQ85" s="740">
        <v>12.06</v>
      </c>
      <c r="DR85" s="740">
        <v>12.12</v>
      </c>
    </row>
    <row r="86" spans="1:122">
      <c r="A86" s="906">
        <v>84</v>
      </c>
      <c r="B86" s="92"/>
      <c r="C86" s="92"/>
      <c r="D86" s="92"/>
      <c r="E86" s="92"/>
      <c r="F86" s="92"/>
      <c r="G86" s="92"/>
      <c r="H86" s="92"/>
      <c r="I86" s="92"/>
      <c r="J86" s="92"/>
      <c r="K86" s="92"/>
      <c r="L86" s="92"/>
      <c r="M86" s="92"/>
      <c r="N86" s="92"/>
      <c r="O86" s="92"/>
      <c r="P86" s="92"/>
      <c r="Q86" s="92"/>
      <c r="R86" s="92"/>
      <c r="S86" s="92"/>
      <c r="T86" s="92"/>
      <c r="U86" s="92"/>
      <c r="V86" s="740"/>
      <c r="W86" s="740">
        <v>5.74</v>
      </c>
      <c r="X86" s="740">
        <v>5.77</v>
      </c>
      <c r="Y86" s="740">
        <v>5.79</v>
      </c>
      <c r="Z86" s="740">
        <v>5.84</v>
      </c>
      <c r="AA86" s="740">
        <v>5.85</v>
      </c>
      <c r="AB86" s="740">
        <v>5.9</v>
      </c>
      <c r="AC86" s="740">
        <v>5.9</v>
      </c>
      <c r="AD86" s="740">
        <v>5.92</v>
      </c>
      <c r="AE86" s="740">
        <v>5.97</v>
      </c>
      <c r="AF86" s="740">
        <v>6.02</v>
      </c>
      <c r="AG86" s="740">
        <v>6.1</v>
      </c>
      <c r="AH86" s="740">
        <v>6.13</v>
      </c>
      <c r="AI86" s="740">
        <v>6.22</v>
      </c>
      <c r="AJ86" s="740">
        <v>6.28</v>
      </c>
      <c r="AK86" s="740">
        <v>6.34</v>
      </c>
      <c r="AL86" s="740">
        <v>6.39</v>
      </c>
      <c r="AM86" s="740">
        <v>6.44</v>
      </c>
      <c r="AN86" s="740">
        <v>6.5</v>
      </c>
      <c r="AO86" s="740">
        <v>6.55</v>
      </c>
      <c r="AP86" s="740">
        <v>6.61</v>
      </c>
      <c r="AQ86" s="740">
        <v>6.66</v>
      </c>
      <c r="AR86" s="740">
        <v>6.72</v>
      </c>
      <c r="AS86" s="740">
        <v>6.77</v>
      </c>
      <c r="AT86" s="740">
        <v>6.83</v>
      </c>
      <c r="AU86" s="740">
        <v>6.89</v>
      </c>
      <c r="AV86" s="740">
        <v>6.95</v>
      </c>
      <c r="AW86" s="740">
        <v>7.01</v>
      </c>
      <c r="AX86" s="740">
        <v>7.07</v>
      </c>
      <c r="AY86" s="740">
        <v>7.13</v>
      </c>
      <c r="AZ86" s="740">
        <v>7.19</v>
      </c>
      <c r="BA86" s="740">
        <v>7.25</v>
      </c>
      <c r="BB86" s="740">
        <v>7.31</v>
      </c>
      <c r="BC86" s="740">
        <v>7.37</v>
      </c>
      <c r="BD86" s="740">
        <v>7.43</v>
      </c>
      <c r="BE86" s="740">
        <v>7.49</v>
      </c>
      <c r="BF86" s="740">
        <v>7.55</v>
      </c>
      <c r="BG86" s="740">
        <v>7.61</v>
      </c>
      <c r="BH86" s="740">
        <v>7.67</v>
      </c>
      <c r="BI86" s="740">
        <v>7.73</v>
      </c>
      <c r="BJ86" s="740">
        <v>7.79</v>
      </c>
      <c r="BK86" s="740">
        <v>7.85</v>
      </c>
      <c r="BL86" s="740">
        <v>7.91</v>
      </c>
      <c r="BM86" s="740">
        <v>7.97</v>
      </c>
      <c r="BN86" s="740">
        <v>8.0299999999999994</v>
      </c>
      <c r="BO86" s="740">
        <v>8.1</v>
      </c>
      <c r="BP86" s="740">
        <v>8.16</v>
      </c>
      <c r="BQ86" s="740">
        <v>8.2200000000000006</v>
      </c>
      <c r="BR86" s="740">
        <v>8.2799999999999994</v>
      </c>
      <c r="BS86" s="740">
        <v>8.34</v>
      </c>
      <c r="BT86" s="852">
        <v>8.4</v>
      </c>
      <c r="BU86" s="740">
        <v>8.4600000000000009</v>
      </c>
      <c r="BV86" s="740">
        <v>8.52</v>
      </c>
      <c r="BW86" s="740">
        <v>8.58</v>
      </c>
      <c r="BX86" s="740">
        <v>8.65</v>
      </c>
      <c r="BY86" s="740">
        <v>8.7100000000000009</v>
      </c>
      <c r="BZ86" s="740">
        <v>8.77</v>
      </c>
      <c r="CA86" s="740">
        <v>8.83</v>
      </c>
      <c r="CB86" s="740">
        <v>8.89</v>
      </c>
      <c r="CC86" s="740">
        <v>8.9499999999999993</v>
      </c>
      <c r="CD86" s="740">
        <v>9.01</v>
      </c>
      <c r="CE86" s="740">
        <v>9.07</v>
      </c>
      <c r="CF86" s="740">
        <v>9.1300000000000008</v>
      </c>
      <c r="CG86" s="740">
        <v>9.19</v>
      </c>
      <c r="CH86" s="740">
        <v>9.26</v>
      </c>
      <c r="CI86" s="740">
        <v>9.32</v>
      </c>
      <c r="CJ86" s="740">
        <v>9.3800000000000008</v>
      </c>
      <c r="CK86" s="740">
        <v>9.44</v>
      </c>
      <c r="CL86" s="740">
        <v>9.5</v>
      </c>
      <c r="CM86" s="740">
        <v>9.56</v>
      </c>
      <c r="CN86" s="740">
        <v>9.6199999999999992</v>
      </c>
      <c r="CO86" s="740">
        <v>9.68</v>
      </c>
      <c r="CP86" s="740">
        <v>9.74</v>
      </c>
      <c r="CQ86" s="740">
        <v>9.8000000000000007</v>
      </c>
      <c r="CR86" s="740">
        <v>9.86</v>
      </c>
      <c r="CS86" s="740">
        <v>9.92</v>
      </c>
      <c r="CT86" s="740">
        <v>9.98</v>
      </c>
      <c r="CU86" s="740">
        <v>10.039999999999999</v>
      </c>
      <c r="CV86" s="740">
        <v>10.1</v>
      </c>
      <c r="CW86" s="740">
        <v>10.16</v>
      </c>
      <c r="CX86" s="740">
        <v>10.220000000000001</v>
      </c>
      <c r="CY86" s="740">
        <v>10.28</v>
      </c>
      <c r="CZ86" s="740">
        <v>10.34</v>
      </c>
      <c r="DA86" s="740">
        <v>10.4</v>
      </c>
      <c r="DB86" s="740">
        <v>10.45</v>
      </c>
      <c r="DC86" s="740">
        <v>10.51</v>
      </c>
      <c r="DD86" s="740">
        <v>10.57</v>
      </c>
      <c r="DE86" s="740">
        <v>10.63</v>
      </c>
      <c r="DF86" s="740">
        <v>10.69</v>
      </c>
      <c r="DG86" s="740">
        <v>10.75</v>
      </c>
      <c r="DH86" s="740">
        <v>10.8</v>
      </c>
      <c r="DI86" s="740">
        <v>10.86</v>
      </c>
      <c r="DJ86" s="740">
        <v>10.92</v>
      </c>
      <c r="DK86" s="740">
        <v>10.98</v>
      </c>
      <c r="DL86" s="740">
        <v>11.03</v>
      </c>
      <c r="DM86" s="740">
        <v>11.09</v>
      </c>
      <c r="DN86" s="740">
        <v>11.15</v>
      </c>
      <c r="DO86" s="740">
        <v>11.2</v>
      </c>
      <c r="DP86" s="740">
        <v>11.26</v>
      </c>
      <c r="DQ86" s="740">
        <v>11.32</v>
      </c>
      <c r="DR86" s="740">
        <v>11.37</v>
      </c>
    </row>
    <row r="87" spans="1:122">
      <c r="A87" s="906">
        <v>85</v>
      </c>
      <c r="B87" s="92"/>
      <c r="C87" s="92"/>
      <c r="D87" s="92"/>
      <c r="E87" s="92"/>
      <c r="F87" s="92"/>
      <c r="G87" s="92"/>
      <c r="H87" s="92"/>
      <c r="I87" s="92"/>
      <c r="J87" s="92"/>
      <c r="K87" s="92"/>
      <c r="L87" s="92"/>
      <c r="M87" s="92"/>
      <c r="N87" s="92"/>
      <c r="O87" s="92"/>
      <c r="P87" s="92"/>
      <c r="Q87" s="92"/>
      <c r="R87" s="92"/>
      <c r="S87" s="92"/>
      <c r="T87" s="92"/>
      <c r="U87" s="92"/>
      <c r="V87" s="740"/>
      <c r="W87" s="740">
        <v>5.36</v>
      </c>
      <c r="X87" s="740">
        <v>5.36</v>
      </c>
      <c r="Y87" s="740">
        <v>5.39</v>
      </c>
      <c r="Z87" s="740">
        <v>5.44</v>
      </c>
      <c r="AA87" s="740">
        <v>5.44</v>
      </c>
      <c r="AB87" s="740">
        <v>5.49</v>
      </c>
      <c r="AC87" s="740">
        <v>5.49</v>
      </c>
      <c r="AD87" s="740">
        <v>5.52</v>
      </c>
      <c r="AE87" s="740">
        <v>5.55</v>
      </c>
      <c r="AF87" s="740">
        <v>5.63</v>
      </c>
      <c r="AG87" s="740">
        <v>5.68</v>
      </c>
      <c r="AH87" s="740">
        <v>5.72</v>
      </c>
      <c r="AI87" s="740">
        <v>5.8</v>
      </c>
      <c r="AJ87" s="740">
        <v>5.85</v>
      </c>
      <c r="AK87" s="740">
        <v>5.9</v>
      </c>
      <c r="AL87" s="740">
        <v>5.94</v>
      </c>
      <c r="AM87" s="740">
        <v>6</v>
      </c>
      <c r="AN87" s="740">
        <v>6.05</v>
      </c>
      <c r="AO87" s="740">
        <v>6.1</v>
      </c>
      <c r="AP87" s="740">
        <v>6.15</v>
      </c>
      <c r="AQ87" s="740">
        <v>6.2</v>
      </c>
      <c r="AR87" s="740">
        <v>6.25</v>
      </c>
      <c r="AS87" s="740">
        <v>6.31</v>
      </c>
      <c r="AT87" s="740">
        <v>6.36</v>
      </c>
      <c r="AU87" s="740">
        <v>6.42</v>
      </c>
      <c r="AV87" s="740">
        <v>6.47</v>
      </c>
      <c r="AW87" s="740">
        <v>6.53</v>
      </c>
      <c r="AX87" s="740">
        <v>6.58</v>
      </c>
      <c r="AY87" s="740">
        <v>6.64</v>
      </c>
      <c r="AZ87" s="740">
        <v>6.7</v>
      </c>
      <c r="BA87" s="740">
        <v>6.75</v>
      </c>
      <c r="BB87" s="740">
        <v>6.81</v>
      </c>
      <c r="BC87" s="740">
        <v>6.87</v>
      </c>
      <c r="BD87" s="740">
        <v>6.92</v>
      </c>
      <c r="BE87" s="740">
        <v>6.98</v>
      </c>
      <c r="BF87" s="740">
        <v>7.04</v>
      </c>
      <c r="BG87" s="740">
        <v>7.09</v>
      </c>
      <c r="BH87" s="740">
        <v>7.15</v>
      </c>
      <c r="BI87" s="740">
        <v>7.21</v>
      </c>
      <c r="BJ87" s="740">
        <v>7.26</v>
      </c>
      <c r="BK87" s="740">
        <v>7.32</v>
      </c>
      <c r="BL87" s="740">
        <v>7.38</v>
      </c>
      <c r="BM87" s="740">
        <v>7.44</v>
      </c>
      <c r="BN87" s="740">
        <v>7.49</v>
      </c>
      <c r="BO87" s="740">
        <v>7.55</v>
      </c>
      <c r="BP87" s="740">
        <v>7.61</v>
      </c>
      <c r="BQ87" s="740">
        <v>7.67</v>
      </c>
      <c r="BR87" s="740">
        <v>7.72</v>
      </c>
      <c r="BS87" s="740">
        <v>7.78</v>
      </c>
      <c r="BT87" s="852">
        <v>7.84</v>
      </c>
      <c r="BU87" s="740">
        <v>7.9</v>
      </c>
      <c r="BV87" s="740">
        <v>7.95</v>
      </c>
      <c r="BW87" s="740">
        <v>8.01</v>
      </c>
      <c r="BX87" s="740">
        <v>8.07</v>
      </c>
      <c r="BY87" s="740">
        <v>8.1300000000000008</v>
      </c>
      <c r="BZ87" s="740">
        <v>8.18</v>
      </c>
      <c r="CA87" s="740">
        <v>8.24</v>
      </c>
      <c r="CB87" s="740">
        <v>8.3000000000000007</v>
      </c>
      <c r="CC87" s="740">
        <v>8.36</v>
      </c>
      <c r="CD87" s="740">
        <v>8.42</v>
      </c>
      <c r="CE87" s="740">
        <v>8.4700000000000006</v>
      </c>
      <c r="CF87" s="740">
        <v>8.5299999999999994</v>
      </c>
      <c r="CG87" s="740">
        <v>8.59</v>
      </c>
      <c r="CH87" s="740">
        <v>8.65</v>
      </c>
      <c r="CI87" s="740">
        <v>8.6999999999999993</v>
      </c>
      <c r="CJ87" s="740">
        <v>8.76</v>
      </c>
      <c r="CK87" s="740">
        <v>8.82</v>
      </c>
      <c r="CL87" s="740">
        <v>8.8699999999999992</v>
      </c>
      <c r="CM87" s="740">
        <v>8.93</v>
      </c>
      <c r="CN87" s="740">
        <v>8.99</v>
      </c>
      <c r="CO87" s="740">
        <v>9.0500000000000007</v>
      </c>
      <c r="CP87" s="740">
        <v>9.1</v>
      </c>
      <c r="CQ87" s="740">
        <v>9.16</v>
      </c>
      <c r="CR87" s="740">
        <v>9.2200000000000006</v>
      </c>
      <c r="CS87" s="740">
        <v>9.27</v>
      </c>
      <c r="CT87" s="740">
        <v>9.33</v>
      </c>
      <c r="CU87" s="740">
        <v>9.39</v>
      </c>
      <c r="CV87" s="740">
        <v>9.44</v>
      </c>
      <c r="CW87" s="740">
        <v>9.5</v>
      </c>
      <c r="CX87" s="740">
        <v>9.56</v>
      </c>
      <c r="CY87" s="740">
        <v>9.61</v>
      </c>
      <c r="CZ87" s="740">
        <v>9.67</v>
      </c>
      <c r="DA87" s="740">
        <v>9.7200000000000006</v>
      </c>
      <c r="DB87" s="740">
        <v>9.7799999999999994</v>
      </c>
      <c r="DC87" s="740">
        <v>9.84</v>
      </c>
      <c r="DD87" s="740">
        <v>9.89</v>
      </c>
      <c r="DE87" s="740">
        <v>9.9499999999999993</v>
      </c>
      <c r="DF87" s="740">
        <v>10</v>
      </c>
      <c r="DG87" s="740">
        <v>10.06</v>
      </c>
      <c r="DH87" s="740">
        <v>10.11</v>
      </c>
      <c r="DI87" s="740">
        <v>10.17</v>
      </c>
      <c r="DJ87" s="740">
        <v>10.220000000000001</v>
      </c>
      <c r="DK87" s="740">
        <v>10.28</v>
      </c>
      <c r="DL87" s="740">
        <v>10.33</v>
      </c>
      <c r="DM87" s="740">
        <v>10.38</v>
      </c>
      <c r="DN87" s="740">
        <v>10.44</v>
      </c>
      <c r="DO87" s="740">
        <v>10.49</v>
      </c>
      <c r="DP87" s="740">
        <v>10.55</v>
      </c>
      <c r="DQ87" s="740">
        <v>10.6</v>
      </c>
      <c r="DR87" s="740">
        <v>10.65</v>
      </c>
    </row>
    <row r="88" spans="1:122">
      <c r="A88" s="906">
        <v>86</v>
      </c>
      <c r="B88" s="92"/>
      <c r="C88" s="92"/>
      <c r="D88" s="92"/>
      <c r="E88" s="92"/>
      <c r="F88" s="92"/>
      <c r="G88" s="92"/>
      <c r="H88" s="92"/>
      <c r="I88" s="92"/>
      <c r="J88" s="92"/>
      <c r="K88" s="92"/>
      <c r="L88" s="92"/>
      <c r="M88" s="92"/>
      <c r="N88" s="92"/>
      <c r="O88" s="92"/>
      <c r="P88" s="92"/>
      <c r="Q88" s="92"/>
      <c r="R88" s="92"/>
      <c r="S88" s="92"/>
      <c r="T88" s="92"/>
      <c r="U88" s="92"/>
      <c r="V88" s="740"/>
      <c r="W88" s="740">
        <v>4.9800000000000004</v>
      </c>
      <c r="X88" s="740">
        <v>4.9800000000000004</v>
      </c>
      <c r="Y88" s="740">
        <v>5.0199999999999996</v>
      </c>
      <c r="Z88" s="740">
        <v>5.04</v>
      </c>
      <c r="AA88" s="740">
        <v>5.0599999999999996</v>
      </c>
      <c r="AB88" s="740">
        <v>5.0999999999999996</v>
      </c>
      <c r="AC88" s="740">
        <v>5.13</v>
      </c>
      <c r="AD88" s="740">
        <v>5.13</v>
      </c>
      <c r="AE88" s="740">
        <v>5.18</v>
      </c>
      <c r="AF88" s="740">
        <v>5.23</v>
      </c>
      <c r="AG88" s="740">
        <v>5.3</v>
      </c>
      <c r="AH88" s="740">
        <v>5.34</v>
      </c>
      <c r="AI88" s="740">
        <v>5.39</v>
      </c>
      <c r="AJ88" s="740">
        <v>5.44</v>
      </c>
      <c r="AK88" s="740">
        <v>5.48</v>
      </c>
      <c r="AL88" s="740">
        <v>5.53</v>
      </c>
      <c r="AM88" s="740">
        <v>5.57</v>
      </c>
      <c r="AN88" s="740">
        <v>5.62</v>
      </c>
      <c r="AO88" s="740">
        <v>5.67</v>
      </c>
      <c r="AP88" s="740">
        <v>5.72</v>
      </c>
      <c r="AQ88" s="740">
        <v>5.77</v>
      </c>
      <c r="AR88" s="740">
        <v>5.82</v>
      </c>
      <c r="AS88" s="740">
        <v>5.87</v>
      </c>
      <c r="AT88" s="740">
        <v>5.92</v>
      </c>
      <c r="AU88" s="740">
        <v>5.97</v>
      </c>
      <c r="AV88" s="740">
        <v>6.02</v>
      </c>
      <c r="AW88" s="740">
        <v>6.08</v>
      </c>
      <c r="AX88" s="740">
        <v>6.13</v>
      </c>
      <c r="AY88" s="740">
        <v>6.18</v>
      </c>
      <c r="AZ88" s="740">
        <v>6.23</v>
      </c>
      <c r="BA88" s="740">
        <v>6.29</v>
      </c>
      <c r="BB88" s="740">
        <v>6.34</v>
      </c>
      <c r="BC88" s="740">
        <v>6.39</v>
      </c>
      <c r="BD88" s="740">
        <v>6.45</v>
      </c>
      <c r="BE88" s="740">
        <v>6.5</v>
      </c>
      <c r="BF88" s="740">
        <v>6.55</v>
      </c>
      <c r="BG88" s="740">
        <v>6.61</v>
      </c>
      <c r="BH88" s="740">
        <v>6.66</v>
      </c>
      <c r="BI88" s="740">
        <v>6.71</v>
      </c>
      <c r="BJ88" s="740">
        <v>6.77</v>
      </c>
      <c r="BK88" s="740">
        <v>6.82</v>
      </c>
      <c r="BL88" s="740">
        <v>6.87</v>
      </c>
      <c r="BM88" s="740">
        <v>6.93</v>
      </c>
      <c r="BN88" s="740">
        <v>6.98</v>
      </c>
      <c r="BO88" s="740">
        <v>7.03</v>
      </c>
      <c r="BP88" s="740">
        <v>7.09</v>
      </c>
      <c r="BQ88" s="740">
        <v>7.14</v>
      </c>
      <c r="BR88" s="740">
        <v>7.2</v>
      </c>
      <c r="BS88" s="740">
        <v>7.25</v>
      </c>
      <c r="BT88" s="852">
        <v>7.3</v>
      </c>
      <c r="BU88" s="740">
        <v>7.36</v>
      </c>
      <c r="BV88" s="740">
        <v>7.41</v>
      </c>
      <c r="BW88" s="740">
        <v>7.47</v>
      </c>
      <c r="BX88" s="740">
        <v>7.52</v>
      </c>
      <c r="BY88" s="740">
        <v>7.57</v>
      </c>
      <c r="BZ88" s="740">
        <v>7.63</v>
      </c>
      <c r="CA88" s="740">
        <v>7.68</v>
      </c>
      <c r="CB88" s="740">
        <v>7.74</v>
      </c>
      <c r="CC88" s="740">
        <v>7.79</v>
      </c>
      <c r="CD88" s="740">
        <v>7.85</v>
      </c>
      <c r="CE88" s="740">
        <v>7.9</v>
      </c>
      <c r="CF88" s="740">
        <v>7.95</v>
      </c>
      <c r="CG88" s="740">
        <v>8.01</v>
      </c>
      <c r="CH88" s="740">
        <v>8.06</v>
      </c>
      <c r="CI88" s="740">
        <v>8.1199999999999992</v>
      </c>
      <c r="CJ88" s="740">
        <v>8.17</v>
      </c>
      <c r="CK88" s="740">
        <v>8.2200000000000006</v>
      </c>
      <c r="CL88" s="740">
        <v>8.2799999999999994</v>
      </c>
      <c r="CM88" s="740">
        <v>8.33</v>
      </c>
      <c r="CN88" s="740">
        <v>8.39</v>
      </c>
      <c r="CO88" s="740">
        <v>8.44</v>
      </c>
      <c r="CP88" s="740">
        <v>8.49</v>
      </c>
      <c r="CQ88" s="740">
        <v>8.5500000000000007</v>
      </c>
      <c r="CR88" s="740">
        <v>8.6</v>
      </c>
      <c r="CS88" s="740">
        <v>8.65</v>
      </c>
      <c r="CT88" s="740">
        <v>8.7100000000000009</v>
      </c>
      <c r="CU88" s="740">
        <v>8.76</v>
      </c>
      <c r="CV88" s="740">
        <v>8.81</v>
      </c>
      <c r="CW88" s="740">
        <v>8.8699999999999992</v>
      </c>
      <c r="CX88" s="740">
        <v>8.92</v>
      </c>
      <c r="CY88" s="740">
        <v>8.9700000000000006</v>
      </c>
      <c r="CZ88" s="740">
        <v>9.02</v>
      </c>
      <c r="DA88" s="740">
        <v>9.08</v>
      </c>
      <c r="DB88" s="740">
        <v>9.1300000000000008</v>
      </c>
      <c r="DC88" s="740">
        <v>9.18</v>
      </c>
      <c r="DD88" s="740">
        <v>9.23</v>
      </c>
      <c r="DE88" s="740">
        <v>9.2899999999999991</v>
      </c>
      <c r="DF88" s="740">
        <v>9.34</v>
      </c>
      <c r="DG88" s="740">
        <v>9.39</v>
      </c>
      <c r="DH88" s="740">
        <v>9.44</v>
      </c>
      <c r="DI88" s="740">
        <v>9.49</v>
      </c>
      <c r="DJ88" s="740">
        <v>9.5500000000000007</v>
      </c>
      <c r="DK88" s="740">
        <v>9.6</v>
      </c>
      <c r="DL88" s="740">
        <v>9.65</v>
      </c>
      <c r="DM88" s="740">
        <v>9.6999999999999993</v>
      </c>
      <c r="DN88" s="740">
        <v>9.75</v>
      </c>
      <c r="DO88" s="740">
        <v>9.8000000000000007</v>
      </c>
      <c r="DP88" s="740">
        <v>9.85</v>
      </c>
      <c r="DQ88" s="740">
        <v>9.9</v>
      </c>
      <c r="DR88" s="740">
        <v>9.9499999999999993</v>
      </c>
    </row>
    <row r="89" spans="1:122">
      <c r="A89" s="906">
        <v>87</v>
      </c>
      <c r="B89" s="92"/>
      <c r="C89" s="92"/>
      <c r="D89" s="92"/>
      <c r="E89" s="92"/>
      <c r="F89" s="92"/>
      <c r="G89" s="92"/>
      <c r="H89" s="92"/>
      <c r="I89" s="92"/>
      <c r="J89" s="92"/>
      <c r="K89" s="92"/>
      <c r="L89" s="92"/>
      <c r="M89" s="92"/>
      <c r="N89" s="92"/>
      <c r="O89" s="92"/>
      <c r="P89" s="92"/>
      <c r="Q89" s="92"/>
      <c r="R89" s="92"/>
      <c r="S89" s="92"/>
      <c r="T89" s="92"/>
      <c r="U89" s="92"/>
      <c r="V89" s="740"/>
      <c r="W89" s="740">
        <v>4.6399999999999997</v>
      </c>
      <c r="X89" s="740">
        <v>4.62</v>
      </c>
      <c r="Y89" s="740">
        <v>4.6399999999999997</v>
      </c>
      <c r="Z89" s="740">
        <v>4.68</v>
      </c>
      <c r="AA89" s="740">
        <v>4.7</v>
      </c>
      <c r="AB89" s="740">
        <v>4.76</v>
      </c>
      <c r="AC89" s="740">
        <v>4.74</v>
      </c>
      <c r="AD89" s="740">
        <v>4.78</v>
      </c>
      <c r="AE89" s="740">
        <v>4.8</v>
      </c>
      <c r="AF89" s="740">
        <v>4.88</v>
      </c>
      <c r="AG89" s="740">
        <v>4.93</v>
      </c>
      <c r="AH89" s="740">
        <v>4.97</v>
      </c>
      <c r="AI89" s="740">
        <v>5.01</v>
      </c>
      <c r="AJ89" s="740">
        <v>5.05</v>
      </c>
      <c r="AK89" s="740">
        <v>5.09</v>
      </c>
      <c r="AL89" s="740">
        <v>5.14</v>
      </c>
      <c r="AM89" s="740">
        <v>5.18</v>
      </c>
      <c r="AN89" s="740">
        <v>5.23</v>
      </c>
      <c r="AO89" s="740">
        <v>5.27</v>
      </c>
      <c r="AP89" s="740">
        <v>5.32</v>
      </c>
      <c r="AQ89" s="740">
        <v>5.36</v>
      </c>
      <c r="AR89" s="740">
        <v>5.41</v>
      </c>
      <c r="AS89" s="740">
        <v>5.46</v>
      </c>
      <c r="AT89" s="740">
        <v>5.5</v>
      </c>
      <c r="AU89" s="740">
        <v>5.55</v>
      </c>
      <c r="AV89" s="740">
        <v>5.6</v>
      </c>
      <c r="AW89" s="740">
        <v>5.65</v>
      </c>
      <c r="AX89" s="740">
        <v>5.7</v>
      </c>
      <c r="AY89" s="740">
        <v>5.75</v>
      </c>
      <c r="AZ89" s="740">
        <v>5.8</v>
      </c>
      <c r="BA89" s="740">
        <v>5.85</v>
      </c>
      <c r="BB89" s="740">
        <v>5.9</v>
      </c>
      <c r="BC89" s="740">
        <v>5.95</v>
      </c>
      <c r="BD89" s="740">
        <v>5.99</v>
      </c>
      <c r="BE89" s="740">
        <v>6.04</v>
      </c>
      <c r="BF89" s="740">
        <v>6.09</v>
      </c>
      <c r="BG89" s="740">
        <v>6.14</v>
      </c>
      <c r="BH89" s="740">
        <v>6.19</v>
      </c>
      <c r="BI89" s="740">
        <v>6.24</v>
      </c>
      <c r="BJ89" s="740">
        <v>6.29</v>
      </c>
      <c r="BK89" s="740">
        <v>6.34</v>
      </c>
      <c r="BL89" s="740">
        <v>6.39</v>
      </c>
      <c r="BM89" s="740">
        <v>6.44</v>
      </c>
      <c r="BN89" s="740">
        <v>6.49</v>
      </c>
      <c r="BO89" s="740">
        <v>6.54</v>
      </c>
      <c r="BP89" s="740">
        <v>6.6</v>
      </c>
      <c r="BQ89" s="740">
        <v>6.65</v>
      </c>
      <c r="BR89" s="740">
        <v>6.7</v>
      </c>
      <c r="BS89" s="740">
        <v>6.75</v>
      </c>
      <c r="BT89" s="852">
        <v>6.8</v>
      </c>
      <c r="BU89" s="740">
        <v>6.85</v>
      </c>
      <c r="BV89" s="740">
        <v>6.9</v>
      </c>
      <c r="BW89" s="740">
        <v>6.95</v>
      </c>
      <c r="BX89" s="740">
        <v>7</v>
      </c>
      <c r="BY89" s="740">
        <v>7.05</v>
      </c>
      <c r="BZ89" s="740">
        <v>7.1</v>
      </c>
      <c r="CA89" s="740">
        <v>7.15</v>
      </c>
      <c r="CB89" s="740">
        <v>7.2</v>
      </c>
      <c r="CC89" s="740">
        <v>7.25</v>
      </c>
      <c r="CD89" s="740">
        <v>7.3</v>
      </c>
      <c r="CE89" s="740">
        <v>7.35</v>
      </c>
      <c r="CF89" s="740">
        <v>7.4</v>
      </c>
      <c r="CG89" s="740">
        <v>7.46</v>
      </c>
      <c r="CH89" s="740">
        <v>7.51</v>
      </c>
      <c r="CI89" s="740">
        <v>7.56</v>
      </c>
      <c r="CJ89" s="740">
        <v>7.61</v>
      </c>
      <c r="CK89" s="740">
        <v>7.66</v>
      </c>
      <c r="CL89" s="740">
        <v>7.71</v>
      </c>
      <c r="CM89" s="740">
        <v>7.76</v>
      </c>
      <c r="CN89" s="740">
        <v>7.81</v>
      </c>
      <c r="CO89" s="740">
        <v>7.86</v>
      </c>
      <c r="CP89" s="740">
        <v>7.91</v>
      </c>
      <c r="CQ89" s="740">
        <v>7.96</v>
      </c>
      <c r="CR89" s="740">
        <v>8.01</v>
      </c>
      <c r="CS89" s="740">
        <v>8.06</v>
      </c>
      <c r="CT89" s="740">
        <v>8.11</v>
      </c>
      <c r="CU89" s="740">
        <v>8.16</v>
      </c>
      <c r="CV89" s="740">
        <v>8.2100000000000009</v>
      </c>
      <c r="CW89" s="740">
        <v>8.26</v>
      </c>
      <c r="CX89" s="740">
        <v>8.31</v>
      </c>
      <c r="CY89" s="740">
        <v>8.36</v>
      </c>
      <c r="CZ89" s="740">
        <v>8.41</v>
      </c>
      <c r="DA89" s="740">
        <v>8.4600000000000009</v>
      </c>
      <c r="DB89" s="740">
        <v>8.51</v>
      </c>
      <c r="DC89" s="740">
        <v>8.56</v>
      </c>
      <c r="DD89" s="740">
        <v>8.61</v>
      </c>
      <c r="DE89" s="740">
        <v>8.65</v>
      </c>
      <c r="DF89" s="740">
        <v>8.6999999999999993</v>
      </c>
      <c r="DG89" s="740">
        <v>8.75</v>
      </c>
      <c r="DH89" s="740">
        <v>8.8000000000000007</v>
      </c>
      <c r="DI89" s="740">
        <v>8.85</v>
      </c>
      <c r="DJ89" s="740">
        <v>8.9</v>
      </c>
      <c r="DK89" s="740">
        <v>8.9499999999999993</v>
      </c>
      <c r="DL89" s="740">
        <v>8.99</v>
      </c>
      <c r="DM89" s="740">
        <v>9.0399999999999991</v>
      </c>
      <c r="DN89" s="740">
        <v>9.09</v>
      </c>
      <c r="DO89" s="740">
        <v>9.14</v>
      </c>
      <c r="DP89" s="740">
        <v>9.19</v>
      </c>
      <c r="DQ89" s="740">
        <v>9.23</v>
      </c>
      <c r="DR89" s="740">
        <v>9.2799999999999994</v>
      </c>
    </row>
    <row r="90" spans="1:122">
      <c r="A90" s="906">
        <v>88</v>
      </c>
      <c r="B90" s="92"/>
      <c r="C90" s="92"/>
      <c r="D90" s="92"/>
      <c r="E90" s="92"/>
      <c r="F90" s="92"/>
      <c r="G90" s="92"/>
      <c r="H90" s="92"/>
      <c r="I90" s="92"/>
      <c r="J90" s="92"/>
      <c r="K90" s="92"/>
      <c r="L90" s="92"/>
      <c r="M90" s="92"/>
      <c r="N90" s="92"/>
      <c r="O90" s="92"/>
      <c r="P90" s="92"/>
      <c r="Q90" s="92"/>
      <c r="R90" s="92"/>
      <c r="S90" s="92"/>
      <c r="T90" s="92"/>
      <c r="U90" s="92"/>
      <c r="V90" s="740"/>
      <c r="W90" s="740">
        <v>4.3099999999999996</v>
      </c>
      <c r="X90" s="740">
        <v>4.2699999999999996</v>
      </c>
      <c r="Y90" s="740">
        <v>4.3099999999999996</v>
      </c>
      <c r="Z90" s="740">
        <v>4.34</v>
      </c>
      <c r="AA90" s="740">
        <v>4.38</v>
      </c>
      <c r="AB90" s="740">
        <v>4.4000000000000004</v>
      </c>
      <c r="AC90" s="740">
        <v>4.41</v>
      </c>
      <c r="AD90" s="740">
        <v>4.43</v>
      </c>
      <c r="AE90" s="740">
        <v>4.4800000000000004</v>
      </c>
      <c r="AF90" s="740">
        <v>4.53</v>
      </c>
      <c r="AG90" s="740">
        <v>4.58</v>
      </c>
      <c r="AH90" s="740">
        <v>4.62</v>
      </c>
      <c r="AI90" s="740">
        <v>4.6500000000000004</v>
      </c>
      <c r="AJ90" s="740">
        <v>4.6900000000000004</v>
      </c>
      <c r="AK90" s="740">
        <v>4.7300000000000004</v>
      </c>
      <c r="AL90" s="740">
        <v>4.7699999999999996</v>
      </c>
      <c r="AM90" s="740">
        <v>4.8099999999999996</v>
      </c>
      <c r="AN90" s="740">
        <v>4.8499999999999996</v>
      </c>
      <c r="AO90" s="740">
        <v>4.9000000000000004</v>
      </c>
      <c r="AP90" s="740">
        <v>4.9400000000000004</v>
      </c>
      <c r="AQ90" s="740">
        <v>4.9800000000000004</v>
      </c>
      <c r="AR90" s="740">
        <v>5.03</v>
      </c>
      <c r="AS90" s="740">
        <v>5.07</v>
      </c>
      <c r="AT90" s="740">
        <v>5.12</v>
      </c>
      <c r="AU90" s="740">
        <v>5.16</v>
      </c>
      <c r="AV90" s="740">
        <v>5.21</v>
      </c>
      <c r="AW90" s="740">
        <v>5.25</v>
      </c>
      <c r="AX90" s="740">
        <v>5.3</v>
      </c>
      <c r="AY90" s="740">
        <v>5.34</v>
      </c>
      <c r="AZ90" s="740">
        <v>5.39</v>
      </c>
      <c r="BA90" s="740">
        <v>5.43</v>
      </c>
      <c r="BB90" s="740">
        <v>5.48</v>
      </c>
      <c r="BC90" s="740">
        <v>5.52</v>
      </c>
      <c r="BD90" s="740">
        <v>5.57</v>
      </c>
      <c r="BE90" s="740">
        <v>5.62</v>
      </c>
      <c r="BF90" s="740">
        <v>5.66</v>
      </c>
      <c r="BG90" s="740">
        <v>5.71</v>
      </c>
      <c r="BH90" s="740">
        <v>5.76</v>
      </c>
      <c r="BI90" s="740">
        <v>5.8</v>
      </c>
      <c r="BJ90" s="740">
        <v>5.85</v>
      </c>
      <c r="BK90" s="740">
        <v>5.9</v>
      </c>
      <c r="BL90" s="740">
        <v>5.94</v>
      </c>
      <c r="BM90" s="740">
        <v>5.99</v>
      </c>
      <c r="BN90" s="740">
        <v>6.04</v>
      </c>
      <c r="BO90" s="740">
        <v>6.08</v>
      </c>
      <c r="BP90" s="740">
        <v>6.13</v>
      </c>
      <c r="BQ90" s="740">
        <v>6.18</v>
      </c>
      <c r="BR90" s="740">
        <v>6.22</v>
      </c>
      <c r="BS90" s="740">
        <v>6.27</v>
      </c>
      <c r="BT90" s="852">
        <v>6.32</v>
      </c>
      <c r="BU90" s="740">
        <v>6.36</v>
      </c>
      <c r="BV90" s="740">
        <v>6.41</v>
      </c>
      <c r="BW90" s="740">
        <v>6.46</v>
      </c>
      <c r="BX90" s="740">
        <v>6.51</v>
      </c>
      <c r="BY90" s="740">
        <v>6.55</v>
      </c>
      <c r="BZ90" s="740">
        <v>6.6</v>
      </c>
      <c r="CA90" s="740">
        <v>6.65</v>
      </c>
      <c r="CB90" s="740">
        <v>6.69</v>
      </c>
      <c r="CC90" s="740">
        <v>6.74</v>
      </c>
      <c r="CD90" s="740">
        <v>6.79</v>
      </c>
      <c r="CE90" s="740">
        <v>6.84</v>
      </c>
      <c r="CF90" s="740">
        <v>6.88</v>
      </c>
      <c r="CG90" s="740">
        <v>6.93</v>
      </c>
      <c r="CH90" s="740">
        <v>6.98</v>
      </c>
      <c r="CI90" s="740">
        <v>7.02</v>
      </c>
      <c r="CJ90" s="740">
        <v>7.07</v>
      </c>
      <c r="CK90" s="740">
        <v>7.12</v>
      </c>
      <c r="CL90" s="740">
        <v>7.16</v>
      </c>
      <c r="CM90" s="740">
        <v>7.21</v>
      </c>
      <c r="CN90" s="740">
        <v>7.26</v>
      </c>
      <c r="CO90" s="740">
        <v>7.31</v>
      </c>
      <c r="CP90" s="740">
        <v>7.35</v>
      </c>
      <c r="CQ90" s="740">
        <v>7.4</v>
      </c>
      <c r="CR90" s="740">
        <v>7.45</v>
      </c>
      <c r="CS90" s="740">
        <v>7.49</v>
      </c>
      <c r="CT90" s="740">
        <v>7.54</v>
      </c>
      <c r="CU90" s="740">
        <v>7.59</v>
      </c>
      <c r="CV90" s="740">
        <v>7.63</v>
      </c>
      <c r="CW90" s="740">
        <v>7.68</v>
      </c>
      <c r="CX90" s="740">
        <v>7.73</v>
      </c>
      <c r="CY90" s="740">
        <v>7.77</v>
      </c>
      <c r="CZ90" s="740">
        <v>7.82</v>
      </c>
      <c r="DA90" s="740">
        <v>7.86</v>
      </c>
      <c r="DB90" s="740">
        <v>7.91</v>
      </c>
      <c r="DC90" s="740">
        <v>7.96</v>
      </c>
      <c r="DD90" s="740">
        <v>8</v>
      </c>
      <c r="DE90" s="740">
        <v>8.0500000000000007</v>
      </c>
      <c r="DF90" s="740">
        <v>8.09</v>
      </c>
      <c r="DG90" s="740">
        <v>8.14</v>
      </c>
      <c r="DH90" s="740">
        <v>8.18</v>
      </c>
      <c r="DI90" s="740">
        <v>8.23</v>
      </c>
      <c r="DJ90" s="740">
        <v>8.27</v>
      </c>
      <c r="DK90" s="740">
        <v>8.32</v>
      </c>
      <c r="DL90" s="740">
        <v>8.36</v>
      </c>
      <c r="DM90" s="740">
        <v>8.41</v>
      </c>
      <c r="DN90" s="740">
        <v>8.4499999999999993</v>
      </c>
      <c r="DO90" s="740">
        <v>8.5</v>
      </c>
      <c r="DP90" s="740">
        <v>8.5399999999999991</v>
      </c>
      <c r="DQ90" s="740">
        <v>8.59</v>
      </c>
      <c r="DR90" s="740">
        <v>8.6300000000000008</v>
      </c>
    </row>
    <row r="91" spans="1:122">
      <c r="A91" s="906">
        <v>89</v>
      </c>
      <c r="B91" s="92"/>
      <c r="C91" s="92"/>
      <c r="D91" s="92"/>
      <c r="E91" s="92"/>
      <c r="F91" s="92"/>
      <c r="G91" s="92"/>
      <c r="H91" s="92"/>
      <c r="I91" s="92"/>
      <c r="J91" s="92"/>
      <c r="K91" s="92"/>
      <c r="L91" s="92"/>
      <c r="M91" s="92"/>
      <c r="N91" s="92"/>
      <c r="O91" s="92"/>
      <c r="P91" s="92"/>
      <c r="Q91" s="92"/>
      <c r="R91" s="92"/>
      <c r="S91" s="92"/>
      <c r="T91" s="92"/>
      <c r="U91" s="92"/>
      <c r="V91" s="740"/>
      <c r="W91" s="740">
        <v>3.96</v>
      </c>
      <c r="X91" s="740">
        <v>3.95</v>
      </c>
      <c r="Y91" s="740">
        <v>3.99</v>
      </c>
      <c r="Z91" s="740">
        <v>4.04</v>
      </c>
      <c r="AA91" s="740">
        <v>4.04</v>
      </c>
      <c r="AB91" s="740">
        <v>4.09</v>
      </c>
      <c r="AC91" s="740">
        <v>4.08</v>
      </c>
      <c r="AD91" s="740">
        <v>4.13</v>
      </c>
      <c r="AE91" s="740">
        <v>4.18</v>
      </c>
      <c r="AF91" s="740">
        <v>4.22</v>
      </c>
      <c r="AG91" s="740">
        <v>4.25</v>
      </c>
      <c r="AH91" s="740">
        <v>4.29</v>
      </c>
      <c r="AI91" s="740">
        <v>4.32</v>
      </c>
      <c r="AJ91" s="740">
        <v>4.3600000000000003</v>
      </c>
      <c r="AK91" s="740">
        <v>4.3899999999999997</v>
      </c>
      <c r="AL91" s="740">
        <v>4.43</v>
      </c>
      <c r="AM91" s="740">
        <v>4.47</v>
      </c>
      <c r="AN91" s="740">
        <v>4.51</v>
      </c>
      <c r="AO91" s="740">
        <v>4.55</v>
      </c>
      <c r="AP91" s="740">
        <v>4.59</v>
      </c>
      <c r="AQ91" s="740">
        <v>4.63</v>
      </c>
      <c r="AR91" s="740">
        <v>4.67</v>
      </c>
      <c r="AS91" s="740">
        <v>4.71</v>
      </c>
      <c r="AT91" s="740">
        <v>4.75</v>
      </c>
      <c r="AU91" s="740">
        <v>4.79</v>
      </c>
      <c r="AV91" s="740">
        <v>4.83</v>
      </c>
      <c r="AW91" s="740">
        <v>4.88</v>
      </c>
      <c r="AX91" s="740">
        <v>4.92</v>
      </c>
      <c r="AY91" s="740">
        <v>4.96</v>
      </c>
      <c r="AZ91" s="740">
        <v>5</v>
      </c>
      <c r="BA91" s="740">
        <v>5.04</v>
      </c>
      <c r="BB91" s="740">
        <v>5.09</v>
      </c>
      <c r="BC91" s="740">
        <v>5.13</v>
      </c>
      <c r="BD91" s="740">
        <v>5.17</v>
      </c>
      <c r="BE91" s="740">
        <v>5.21</v>
      </c>
      <c r="BF91" s="740">
        <v>5.26</v>
      </c>
      <c r="BG91" s="740">
        <v>5.3</v>
      </c>
      <c r="BH91" s="740">
        <v>5.34</v>
      </c>
      <c r="BI91" s="740">
        <v>5.39</v>
      </c>
      <c r="BJ91" s="740">
        <v>5.43</v>
      </c>
      <c r="BK91" s="740">
        <v>5.47</v>
      </c>
      <c r="BL91" s="740">
        <v>5.52</v>
      </c>
      <c r="BM91" s="740">
        <v>5.56</v>
      </c>
      <c r="BN91" s="740">
        <v>5.6</v>
      </c>
      <c r="BO91" s="740">
        <v>5.65</v>
      </c>
      <c r="BP91" s="740">
        <v>5.69</v>
      </c>
      <c r="BQ91" s="740">
        <v>5.73</v>
      </c>
      <c r="BR91" s="740">
        <v>5.78</v>
      </c>
      <c r="BS91" s="740">
        <v>5.82</v>
      </c>
      <c r="BT91" s="852">
        <v>5.86</v>
      </c>
      <c r="BU91" s="740">
        <v>5.91</v>
      </c>
      <c r="BV91" s="740">
        <v>5.95</v>
      </c>
      <c r="BW91" s="740">
        <v>5.99</v>
      </c>
      <c r="BX91" s="740">
        <v>6.04</v>
      </c>
      <c r="BY91" s="740">
        <v>6.08</v>
      </c>
      <c r="BZ91" s="740">
        <v>6.12</v>
      </c>
      <c r="CA91" s="740">
        <v>6.17</v>
      </c>
      <c r="CB91" s="740">
        <v>6.21</v>
      </c>
      <c r="CC91" s="740">
        <v>6.26</v>
      </c>
      <c r="CD91" s="740">
        <v>6.3</v>
      </c>
      <c r="CE91" s="740">
        <v>6.34</v>
      </c>
      <c r="CF91" s="740">
        <v>6.39</v>
      </c>
      <c r="CG91" s="740">
        <v>6.43</v>
      </c>
      <c r="CH91" s="740">
        <v>6.47</v>
      </c>
      <c r="CI91" s="740">
        <v>6.52</v>
      </c>
      <c r="CJ91" s="740">
        <v>6.56</v>
      </c>
      <c r="CK91" s="740">
        <v>6.6</v>
      </c>
      <c r="CL91" s="740">
        <v>6.65</v>
      </c>
      <c r="CM91" s="740">
        <v>6.69</v>
      </c>
      <c r="CN91" s="740">
        <v>6.73</v>
      </c>
      <c r="CO91" s="740">
        <v>6.78</v>
      </c>
      <c r="CP91" s="740">
        <v>6.82</v>
      </c>
      <c r="CQ91" s="740">
        <v>6.87</v>
      </c>
      <c r="CR91" s="740">
        <v>6.91</v>
      </c>
      <c r="CS91" s="740">
        <v>6.95</v>
      </c>
      <c r="CT91" s="740">
        <v>7</v>
      </c>
      <c r="CU91" s="740">
        <v>7.04</v>
      </c>
      <c r="CV91" s="740">
        <v>7.08</v>
      </c>
      <c r="CW91" s="740">
        <v>7.12</v>
      </c>
      <c r="CX91" s="740">
        <v>7.17</v>
      </c>
      <c r="CY91" s="740">
        <v>7.21</v>
      </c>
      <c r="CZ91" s="740">
        <v>7.25</v>
      </c>
      <c r="DA91" s="740">
        <v>7.3</v>
      </c>
      <c r="DB91" s="740">
        <v>7.34</v>
      </c>
      <c r="DC91" s="740">
        <v>7.38</v>
      </c>
      <c r="DD91" s="740">
        <v>7.42</v>
      </c>
      <c r="DE91" s="740">
        <v>7.47</v>
      </c>
      <c r="DF91" s="740">
        <v>7.51</v>
      </c>
      <c r="DG91" s="740">
        <v>7.55</v>
      </c>
      <c r="DH91" s="740">
        <v>7.59</v>
      </c>
      <c r="DI91" s="740">
        <v>7.64</v>
      </c>
      <c r="DJ91" s="740">
        <v>7.68</v>
      </c>
      <c r="DK91" s="740">
        <v>7.72</v>
      </c>
      <c r="DL91" s="740">
        <v>7.76</v>
      </c>
      <c r="DM91" s="740">
        <v>7.8</v>
      </c>
      <c r="DN91" s="740">
        <v>7.84</v>
      </c>
      <c r="DO91" s="740">
        <v>7.89</v>
      </c>
      <c r="DP91" s="740">
        <v>7.93</v>
      </c>
      <c r="DQ91" s="740">
        <v>7.97</v>
      </c>
      <c r="DR91" s="740">
        <v>8.01</v>
      </c>
    </row>
    <row r="92" spans="1:122">
      <c r="A92" s="906">
        <v>90</v>
      </c>
      <c r="B92" s="92"/>
      <c r="C92" s="92"/>
      <c r="D92" s="92"/>
      <c r="E92" s="92"/>
      <c r="F92" s="92"/>
      <c r="G92" s="92"/>
      <c r="H92" s="92"/>
      <c r="I92" s="92"/>
      <c r="J92" s="92"/>
      <c r="K92" s="92"/>
      <c r="L92" s="92"/>
      <c r="M92" s="92"/>
      <c r="N92" s="92"/>
      <c r="O92" s="92"/>
      <c r="P92" s="92"/>
      <c r="Q92" s="92"/>
      <c r="R92" s="92"/>
      <c r="S92" s="92"/>
      <c r="T92" s="92"/>
      <c r="U92" s="92"/>
      <c r="V92" s="740"/>
      <c r="W92" s="740">
        <v>3.67</v>
      </c>
      <c r="X92" s="740">
        <v>3.65</v>
      </c>
      <c r="Y92" s="740">
        <v>3.72</v>
      </c>
      <c r="Z92" s="740">
        <v>3.72</v>
      </c>
      <c r="AA92" s="740">
        <v>3.75</v>
      </c>
      <c r="AB92" s="740">
        <v>3.78</v>
      </c>
      <c r="AC92" s="740">
        <v>3.8</v>
      </c>
      <c r="AD92" s="740">
        <v>3.85</v>
      </c>
      <c r="AE92" s="740">
        <v>3.88</v>
      </c>
      <c r="AF92" s="740">
        <v>3.91</v>
      </c>
      <c r="AG92" s="740">
        <v>3.95</v>
      </c>
      <c r="AH92" s="740">
        <v>3.98</v>
      </c>
      <c r="AI92" s="740">
        <v>4.01</v>
      </c>
      <c r="AJ92" s="740">
        <v>4.05</v>
      </c>
      <c r="AK92" s="740">
        <v>4.08</v>
      </c>
      <c r="AL92" s="740">
        <v>4.1100000000000003</v>
      </c>
      <c r="AM92" s="740">
        <v>4.1500000000000004</v>
      </c>
      <c r="AN92" s="740">
        <v>4.18</v>
      </c>
      <c r="AO92" s="740">
        <v>4.22</v>
      </c>
      <c r="AP92" s="740">
        <v>4.25</v>
      </c>
      <c r="AQ92" s="740">
        <v>4.29</v>
      </c>
      <c r="AR92" s="740">
        <v>4.33</v>
      </c>
      <c r="AS92" s="740">
        <v>4.37</v>
      </c>
      <c r="AT92" s="740">
        <v>4.41</v>
      </c>
      <c r="AU92" s="740">
        <v>4.45</v>
      </c>
      <c r="AV92" s="740">
        <v>4.4800000000000004</v>
      </c>
      <c r="AW92" s="740">
        <v>4.5199999999999996</v>
      </c>
      <c r="AX92" s="740">
        <v>4.5599999999999996</v>
      </c>
      <c r="AY92" s="740">
        <v>4.5999999999999996</v>
      </c>
      <c r="AZ92" s="740">
        <v>4.6399999999999997</v>
      </c>
      <c r="BA92" s="740">
        <v>4.68</v>
      </c>
      <c r="BB92" s="740">
        <v>4.72</v>
      </c>
      <c r="BC92" s="740">
        <v>4.76</v>
      </c>
      <c r="BD92" s="740">
        <v>4.8</v>
      </c>
      <c r="BE92" s="740">
        <v>4.84</v>
      </c>
      <c r="BF92" s="740">
        <v>4.87</v>
      </c>
      <c r="BG92" s="740">
        <v>4.91</v>
      </c>
      <c r="BH92" s="740">
        <v>4.95</v>
      </c>
      <c r="BI92" s="740">
        <v>4.99</v>
      </c>
      <c r="BJ92" s="740">
        <v>5.03</v>
      </c>
      <c r="BK92" s="740">
        <v>5.07</v>
      </c>
      <c r="BL92" s="740">
        <v>5.1100000000000003</v>
      </c>
      <c r="BM92" s="740">
        <v>5.15</v>
      </c>
      <c r="BN92" s="740">
        <v>5.19</v>
      </c>
      <c r="BO92" s="740">
        <v>5.23</v>
      </c>
      <c r="BP92" s="740">
        <v>5.27</v>
      </c>
      <c r="BQ92" s="740">
        <v>5.31</v>
      </c>
      <c r="BR92" s="740">
        <v>5.35</v>
      </c>
      <c r="BS92" s="740">
        <v>5.39</v>
      </c>
      <c r="BT92" s="852">
        <v>5.43</v>
      </c>
      <c r="BU92" s="740">
        <v>5.47</v>
      </c>
      <c r="BV92" s="740">
        <v>5.51</v>
      </c>
      <c r="BW92" s="740">
        <v>5.55</v>
      </c>
      <c r="BX92" s="740">
        <v>5.59</v>
      </c>
      <c r="BY92" s="740">
        <v>5.63</v>
      </c>
      <c r="BZ92" s="740">
        <v>5.67</v>
      </c>
      <c r="CA92" s="740">
        <v>5.71</v>
      </c>
      <c r="CB92" s="740">
        <v>5.75</v>
      </c>
      <c r="CC92" s="740">
        <v>5.79</v>
      </c>
      <c r="CD92" s="740">
        <v>5.83</v>
      </c>
      <c r="CE92" s="740">
        <v>5.87</v>
      </c>
      <c r="CF92" s="740">
        <v>5.91</v>
      </c>
      <c r="CG92" s="740">
        <v>5.96</v>
      </c>
      <c r="CH92" s="740">
        <v>6</v>
      </c>
      <c r="CI92" s="740">
        <v>6.04</v>
      </c>
      <c r="CJ92" s="740">
        <v>6.08</v>
      </c>
      <c r="CK92" s="740">
        <v>6.12</v>
      </c>
      <c r="CL92" s="740">
        <v>6.16</v>
      </c>
      <c r="CM92" s="740">
        <v>6.2</v>
      </c>
      <c r="CN92" s="740">
        <v>6.24</v>
      </c>
      <c r="CO92" s="740">
        <v>6.28</v>
      </c>
      <c r="CP92" s="740">
        <v>6.32</v>
      </c>
      <c r="CQ92" s="740">
        <v>6.36</v>
      </c>
      <c r="CR92" s="740">
        <v>6.4</v>
      </c>
      <c r="CS92" s="740">
        <v>6.44</v>
      </c>
      <c r="CT92" s="740">
        <v>6.48</v>
      </c>
      <c r="CU92" s="740">
        <v>6.52</v>
      </c>
      <c r="CV92" s="740">
        <v>6.56</v>
      </c>
      <c r="CW92" s="740">
        <v>6.59</v>
      </c>
      <c r="CX92" s="740">
        <v>6.63</v>
      </c>
      <c r="CY92" s="740">
        <v>6.67</v>
      </c>
      <c r="CZ92" s="740">
        <v>6.71</v>
      </c>
      <c r="DA92" s="740">
        <v>6.75</v>
      </c>
      <c r="DB92" s="740">
        <v>6.79</v>
      </c>
      <c r="DC92" s="740">
        <v>6.83</v>
      </c>
      <c r="DD92" s="740">
        <v>6.87</v>
      </c>
      <c r="DE92" s="740">
        <v>6.91</v>
      </c>
      <c r="DF92" s="740">
        <v>6.95</v>
      </c>
      <c r="DG92" s="740">
        <v>6.99</v>
      </c>
      <c r="DH92" s="740">
        <v>7.03</v>
      </c>
      <c r="DI92" s="740">
        <v>7.07</v>
      </c>
      <c r="DJ92" s="740">
        <v>7.1</v>
      </c>
      <c r="DK92" s="740">
        <v>7.14</v>
      </c>
      <c r="DL92" s="740">
        <v>7.18</v>
      </c>
      <c r="DM92" s="740">
        <v>7.22</v>
      </c>
      <c r="DN92" s="740">
        <v>7.26</v>
      </c>
      <c r="DO92" s="740">
        <v>7.3</v>
      </c>
      <c r="DP92" s="740">
        <v>7.33</v>
      </c>
      <c r="DQ92" s="740">
        <v>7.37</v>
      </c>
      <c r="DR92" s="740">
        <v>7.41</v>
      </c>
    </row>
    <row r="93" spans="1:122">
      <c r="A93" s="906">
        <v>91</v>
      </c>
      <c r="B93" s="92"/>
      <c r="C93" s="92"/>
      <c r="D93" s="92"/>
      <c r="E93" s="92"/>
      <c r="F93" s="92"/>
      <c r="G93" s="92"/>
      <c r="H93" s="92"/>
      <c r="I93" s="92"/>
      <c r="J93" s="92"/>
      <c r="K93" s="92"/>
      <c r="L93" s="92"/>
      <c r="M93" s="92"/>
      <c r="N93" s="92"/>
      <c r="O93" s="92"/>
      <c r="P93" s="92"/>
      <c r="Q93" s="92"/>
      <c r="R93" s="92"/>
      <c r="S93" s="92"/>
      <c r="T93" s="92"/>
      <c r="U93" s="92"/>
      <c r="V93" s="740"/>
      <c r="W93" s="740">
        <v>3.39</v>
      </c>
      <c r="X93" s="740">
        <v>3.39</v>
      </c>
      <c r="Y93" s="740">
        <v>3.42</v>
      </c>
      <c r="Z93" s="740">
        <v>3.43</v>
      </c>
      <c r="AA93" s="740">
        <v>3.45</v>
      </c>
      <c r="AB93" s="740">
        <v>3.52</v>
      </c>
      <c r="AC93" s="740">
        <v>3.55</v>
      </c>
      <c r="AD93" s="740">
        <v>3.57</v>
      </c>
      <c r="AE93" s="740">
        <v>3.6</v>
      </c>
      <c r="AF93" s="740">
        <v>3.63</v>
      </c>
      <c r="AG93" s="740">
        <v>3.66</v>
      </c>
      <c r="AH93" s="740">
        <v>3.69</v>
      </c>
      <c r="AI93" s="740">
        <v>3.72</v>
      </c>
      <c r="AJ93" s="740">
        <v>3.75</v>
      </c>
      <c r="AK93" s="740">
        <v>3.78</v>
      </c>
      <c r="AL93" s="740">
        <v>3.81</v>
      </c>
      <c r="AM93" s="740">
        <v>3.84</v>
      </c>
      <c r="AN93" s="740">
        <v>3.88</v>
      </c>
      <c r="AO93" s="740">
        <v>3.91</v>
      </c>
      <c r="AP93" s="740">
        <v>3.95</v>
      </c>
      <c r="AQ93" s="740">
        <v>3.98</v>
      </c>
      <c r="AR93" s="740">
        <v>4.0199999999999996</v>
      </c>
      <c r="AS93" s="740">
        <v>4.05</v>
      </c>
      <c r="AT93" s="740">
        <v>4.09</v>
      </c>
      <c r="AU93" s="740">
        <v>4.12</v>
      </c>
      <c r="AV93" s="740">
        <v>4.16</v>
      </c>
      <c r="AW93" s="740">
        <v>4.1900000000000004</v>
      </c>
      <c r="AX93" s="740">
        <v>4.2300000000000004</v>
      </c>
      <c r="AY93" s="740">
        <v>4.26</v>
      </c>
      <c r="AZ93" s="740">
        <v>4.3</v>
      </c>
      <c r="BA93" s="740">
        <v>4.34</v>
      </c>
      <c r="BB93" s="740">
        <v>4.37</v>
      </c>
      <c r="BC93" s="740">
        <v>4.41</v>
      </c>
      <c r="BD93" s="740">
        <v>4.4400000000000004</v>
      </c>
      <c r="BE93" s="740">
        <v>4.4800000000000004</v>
      </c>
      <c r="BF93" s="740">
        <v>4.51</v>
      </c>
      <c r="BG93" s="740">
        <v>4.55</v>
      </c>
      <c r="BH93" s="740">
        <v>4.59</v>
      </c>
      <c r="BI93" s="740">
        <v>4.62</v>
      </c>
      <c r="BJ93" s="740">
        <v>4.66</v>
      </c>
      <c r="BK93" s="740">
        <v>4.7</v>
      </c>
      <c r="BL93" s="740">
        <v>4.7300000000000004</v>
      </c>
      <c r="BM93" s="740">
        <v>4.7699999999999996</v>
      </c>
      <c r="BN93" s="740">
        <v>4.8099999999999996</v>
      </c>
      <c r="BO93" s="740">
        <v>4.84</v>
      </c>
      <c r="BP93" s="740">
        <v>4.88</v>
      </c>
      <c r="BQ93" s="740">
        <v>4.92</v>
      </c>
      <c r="BR93" s="740">
        <v>4.95</v>
      </c>
      <c r="BS93" s="740">
        <v>4.99</v>
      </c>
      <c r="BT93" s="852">
        <v>5.03</v>
      </c>
      <c r="BU93" s="740">
        <v>5.0599999999999996</v>
      </c>
      <c r="BV93" s="740">
        <v>5.0999999999999996</v>
      </c>
      <c r="BW93" s="740">
        <v>5.14</v>
      </c>
      <c r="BX93" s="740">
        <v>5.17</v>
      </c>
      <c r="BY93" s="740">
        <v>5.21</v>
      </c>
      <c r="BZ93" s="740">
        <v>5.25</v>
      </c>
      <c r="CA93" s="740">
        <v>5.28</v>
      </c>
      <c r="CB93" s="740">
        <v>5.32</v>
      </c>
      <c r="CC93" s="740">
        <v>5.36</v>
      </c>
      <c r="CD93" s="740">
        <v>5.39</v>
      </c>
      <c r="CE93" s="740">
        <v>5.43</v>
      </c>
      <c r="CF93" s="740">
        <v>5.47</v>
      </c>
      <c r="CG93" s="740">
        <v>5.5</v>
      </c>
      <c r="CH93" s="740">
        <v>5.54</v>
      </c>
      <c r="CI93" s="740">
        <v>5.58</v>
      </c>
      <c r="CJ93" s="740">
        <v>5.61</v>
      </c>
      <c r="CK93" s="740">
        <v>5.65</v>
      </c>
      <c r="CL93" s="740">
        <v>5.69</v>
      </c>
      <c r="CM93" s="740">
        <v>5.72</v>
      </c>
      <c r="CN93" s="740">
        <v>5.76</v>
      </c>
      <c r="CO93" s="740">
        <v>5.8</v>
      </c>
      <c r="CP93" s="740">
        <v>5.83</v>
      </c>
      <c r="CQ93" s="740">
        <v>5.87</v>
      </c>
      <c r="CR93" s="740">
        <v>5.91</v>
      </c>
      <c r="CS93" s="740">
        <v>5.94</v>
      </c>
      <c r="CT93" s="740">
        <v>5.98</v>
      </c>
      <c r="CU93" s="740">
        <v>6.02</v>
      </c>
      <c r="CV93" s="740">
        <v>6.05</v>
      </c>
      <c r="CW93" s="740">
        <v>6.09</v>
      </c>
      <c r="CX93" s="740">
        <v>6.13</v>
      </c>
      <c r="CY93" s="740">
        <v>6.16</v>
      </c>
      <c r="CZ93" s="740">
        <v>6.2</v>
      </c>
      <c r="DA93" s="740">
        <v>6.23</v>
      </c>
      <c r="DB93" s="740">
        <v>6.27</v>
      </c>
      <c r="DC93" s="740">
        <v>6.31</v>
      </c>
      <c r="DD93" s="740">
        <v>6.34</v>
      </c>
      <c r="DE93" s="740">
        <v>6.38</v>
      </c>
      <c r="DF93" s="740">
        <v>6.41</v>
      </c>
      <c r="DG93" s="740">
        <v>6.45</v>
      </c>
      <c r="DH93" s="740">
        <v>6.48</v>
      </c>
      <c r="DI93" s="740">
        <v>6.52</v>
      </c>
      <c r="DJ93" s="740">
        <v>6.56</v>
      </c>
      <c r="DK93" s="740">
        <v>6.59</v>
      </c>
      <c r="DL93" s="740">
        <v>6.63</v>
      </c>
      <c r="DM93" s="740">
        <v>6.66</v>
      </c>
      <c r="DN93" s="740">
        <v>6.7</v>
      </c>
      <c r="DO93" s="740">
        <v>6.73</v>
      </c>
      <c r="DP93" s="740">
        <v>6.77</v>
      </c>
      <c r="DQ93" s="740">
        <v>6.8</v>
      </c>
      <c r="DR93" s="740">
        <v>6.83</v>
      </c>
    </row>
    <row r="94" spans="1:122">
      <c r="A94" s="906">
        <v>92</v>
      </c>
      <c r="B94" s="92"/>
      <c r="C94" s="92"/>
      <c r="D94" s="92"/>
      <c r="E94" s="92"/>
      <c r="F94" s="92"/>
      <c r="G94" s="92"/>
      <c r="H94" s="92"/>
      <c r="I94" s="92"/>
      <c r="J94" s="92"/>
      <c r="K94" s="92"/>
      <c r="L94" s="92"/>
      <c r="M94" s="92"/>
      <c r="N94" s="92"/>
      <c r="O94" s="92"/>
      <c r="P94" s="92"/>
      <c r="Q94" s="92"/>
      <c r="R94" s="92"/>
      <c r="S94" s="92"/>
      <c r="T94" s="92"/>
      <c r="U94" s="92"/>
      <c r="V94" s="740"/>
      <c r="W94" s="740">
        <v>3.17</v>
      </c>
      <c r="X94" s="740">
        <v>3.12</v>
      </c>
      <c r="Y94" s="740">
        <v>3.19</v>
      </c>
      <c r="Z94" s="740">
        <v>3.16</v>
      </c>
      <c r="AA94" s="740">
        <v>3.21</v>
      </c>
      <c r="AB94" s="740">
        <v>3.26</v>
      </c>
      <c r="AC94" s="740">
        <v>3.29</v>
      </c>
      <c r="AD94" s="740">
        <v>3.32</v>
      </c>
      <c r="AE94" s="740">
        <v>3.34</v>
      </c>
      <c r="AF94" s="740">
        <v>3.37</v>
      </c>
      <c r="AG94" s="740">
        <v>3.4</v>
      </c>
      <c r="AH94" s="740">
        <v>3.42</v>
      </c>
      <c r="AI94" s="740">
        <v>3.45</v>
      </c>
      <c r="AJ94" s="740">
        <v>3.48</v>
      </c>
      <c r="AK94" s="740">
        <v>3.51</v>
      </c>
      <c r="AL94" s="740">
        <v>3.53</v>
      </c>
      <c r="AM94" s="740">
        <v>3.56</v>
      </c>
      <c r="AN94" s="740">
        <v>3.59</v>
      </c>
      <c r="AO94" s="740">
        <v>3.63</v>
      </c>
      <c r="AP94" s="740">
        <v>3.66</v>
      </c>
      <c r="AQ94" s="740">
        <v>3.69</v>
      </c>
      <c r="AR94" s="740">
        <v>3.72</v>
      </c>
      <c r="AS94" s="740">
        <v>3.75</v>
      </c>
      <c r="AT94" s="740">
        <v>3.79</v>
      </c>
      <c r="AU94" s="740">
        <v>3.82</v>
      </c>
      <c r="AV94" s="740">
        <v>3.85</v>
      </c>
      <c r="AW94" s="740">
        <v>3.88</v>
      </c>
      <c r="AX94" s="740">
        <v>3.91</v>
      </c>
      <c r="AY94" s="740">
        <v>3.95</v>
      </c>
      <c r="AZ94" s="740">
        <v>3.98</v>
      </c>
      <c r="BA94" s="740">
        <v>4.01</v>
      </c>
      <c r="BB94" s="740">
        <v>4.05</v>
      </c>
      <c r="BC94" s="740">
        <v>4.08</v>
      </c>
      <c r="BD94" s="740">
        <v>4.1100000000000003</v>
      </c>
      <c r="BE94" s="740">
        <v>4.1399999999999997</v>
      </c>
      <c r="BF94" s="740">
        <v>4.18</v>
      </c>
      <c r="BG94" s="740">
        <v>4.21</v>
      </c>
      <c r="BH94" s="740">
        <v>4.24</v>
      </c>
      <c r="BI94" s="740">
        <v>4.28</v>
      </c>
      <c r="BJ94" s="740">
        <v>4.3099999999999996</v>
      </c>
      <c r="BK94" s="740">
        <v>4.34</v>
      </c>
      <c r="BL94" s="740">
        <v>4.38</v>
      </c>
      <c r="BM94" s="740">
        <v>4.41</v>
      </c>
      <c r="BN94" s="740">
        <v>4.4400000000000004</v>
      </c>
      <c r="BO94" s="740">
        <v>4.47</v>
      </c>
      <c r="BP94" s="740">
        <v>4.51</v>
      </c>
      <c r="BQ94" s="740">
        <v>4.54</v>
      </c>
      <c r="BR94" s="740">
        <v>4.58</v>
      </c>
      <c r="BS94" s="740">
        <v>4.6100000000000003</v>
      </c>
      <c r="BT94" s="852">
        <v>4.6399999999999997</v>
      </c>
      <c r="BU94" s="740">
        <v>4.68</v>
      </c>
      <c r="BV94" s="740">
        <v>4.71</v>
      </c>
      <c r="BW94" s="740">
        <v>4.74</v>
      </c>
      <c r="BX94" s="740">
        <v>4.78</v>
      </c>
      <c r="BY94" s="740">
        <v>4.8099999999999996</v>
      </c>
      <c r="BZ94" s="740">
        <v>4.84</v>
      </c>
      <c r="CA94" s="740">
        <v>4.88</v>
      </c>
      <c r="CB94" s="740">
        <v>4.91</v>
      </c>
      <c r="CC94" s="740">
        <v>4.9400000000000004</v>
      </c>
      <c r="CD94" s="740">
        <v>4.9800000000000004</v>
      </c>
      <c r="CE94" s="740">
        <v>5.01</v>
      </c>
      <c r="CF94" s="740">
        <v>5.04</v>
      </c>
      <c r="CG94" s="740">
        <v>5.08</v>
      </c>
      <c r="CH94" s="740">
        <v>5.1100000000000003</v>
      </c>
      <c r="CI94" s="740">
        <v>5.14</v>
      </c>
      <c r="CJ94" s="740">
        <v>5.18</v>
      </c>
      <c r="CK94" s="740">
        <v>5.21</v>
      </c>
      <c r="CL94" s="740">
        <v>5.24</v>
      </c>
      <c r="CM94" s="740">
        <v>5.28</v>
      </c>
      <c r="CN94" s="740">
        <v>5.31</v>
      </c>
      <c r="CO94" s="740">
        <v>5.34</v>
      </c>
      <c r="CP94" s="740">
        <v>5.38</v>
      </c>
      <c r="CQ94" s="740">
        <v>5.41</v>
      </c>
      <c r="CR94" s="740">
        <v>5.44</v>
      </c>
      <c r="CS94" s="740">
        <v>5.48</v>
      </c>
      <c r="CT94" s="740">
        <v>5.51</v>
      </c>
      <c r="CU94" s="740">
        <v>5.54</v>
      </c>
      <c r="CV94" s="740">
        <v>5.58</v>
      </c>
      <c r="CW94" s="740">
        <v>5.61</v>
      </c>
      <c r="CX94" s="740">
        <v>5.64</v>
      </c>
      <c r="CY94" s="740">
        <v>5.67</v>
      </c>
      <c r="CZ94" s="740">
        <v>5.71</v>
      </c>
      <c r="DA94" s="740">
        <v>5.74</v>
      </c>
      <c r="DB94" s="740">
        <v>5.77</v>
      </c>
      <c r="DC94" s="740">
        <v>5.8</v>
      </c>
      <c r="DD94" s="740">
        <v>5.84</v>
      </c>
      <c r="DE94" s="740">
        <v>5.87</v>
      </c>
      <c r="DF94" s="740">
        <v>5.9</v>
      </c>
      <c r="DG94" s="740">
        <v>5.93</v>
      </c>
      <c r="DH94" s="740">
        <v>5.97</v>
      </c>
      <c r="DI94" s="740">
        <v>6</v>
      </c>
      <c r="DJ94" s="740">
        <v>6.03</v>
      </c>
      <c r="DK94" s="740">
        <v>6.06</v>
      </c>
      <c r="DL94" s="740">
        <v>6.09</v>
      </c>
      <c r="DM94" s="740">
        <v>6.13</v>
      </c>
      <c r="DN94" s="740">
        <v>6.16</v>
      </c>
      <c r="DO94" s="740">
        <v>6.19</v>
      </c>
      <c r="DP94" s="740">
        <v>6.22</v>
      </c>
      <c r="DQ94" s="740">
        <v>6.25</v>
      </c>
      <c r="DR94" s="740">
        <v>6.28</v>
      </c>
    </row>
    <row r="95" spans="1:122">
      <c r="A95" s="906">
        <v>93</v>
      </c>
      <c r="B95" s="92"/>
      <c r="C95" s="92"/>
      <c r="D95" s="92"/>
      <c r="E95" s="92"/>
      <c r="F95" s="92"/>
      <c r="G95" s="92"/>
      <c r="H95" s="92"/>
      <c r="I95" s="92"/>
      <c r="J95" s="92"/>
      <c r="K95" s="92"/>
      <c r="L95" s="92"/>
      <c r="M95" s="92"/>
      <c r="N95" s="92"/>
      <c r="O95" s="92"/>
      <c r="P95" s="92"/>
      <c r="Q95" s="92"/>
      <c r="R95" s="92"/>
      <c r="S95" s="92"/>
      <c r="T95" s="92"/>
      <c r="U95" s="92"/>
      <c r="V95" s="740"/>
      <c r="W95" s="740">
        <v>2.93</v>
      </c>
      <c r="X95" s="740">
        <v>2.92</v>
      </c>
      <c r="Y95" s="740">
        <v>2.94</v>
      </c>
      <c r="Z95" s="740">
        <v>2.95</v>
      </c>
      <c r="AA95" s="740">
        <v>3.01</v>
      </c>
      <c r="AB95" s="740">
        <v>3.03</v>
      </c>
      <c r="AC95" s="740">
        <v>3.05</v>
      </c>
      <c r="AD95" s="740">
        <v>3.08</v>
      </c>
      <c r="AE95" s="740">
        <v>3.1</v>
      </c>
      <c r="AF95" s="740">
        <v>3.13</v>
      </c>
      <c r="AG95" s="740">
        <v>3.15</v>
      </c>
      <c r="AH95" s="740">
        <v>3.18</v>
      </c>
      <c r="AI95" s="740">
        <v>3.2</v>
      </c>
      <c r="AJ95" s="740">
        <v>3.22</v>
      </c>
      <c r="AK95" s="740">
        <v>3.25</v>
      </c>
      <c r="AL95" s="740">
        <v>3.27</v>
      </c>
      <c r="AM95" s="740">
        <v>3.3</v>
      </c>
      <c r="AN95" s="740">
        <v>3.33</v>
      </c>
      <c r="AO95" s="740">
        <v>3.36</v>
      </c>
      <c r="AP95" s="740">
        <v>3.39</v>
      </c>
      <c r="AQ95" s="740">
        <v>3.42</v>
      </c>
      <c r="AR95" s="740">
        <v>3.45</v>
      </c>
      <c r="AS95" s="740">
        <v>3.48</v>
      </c>
      <c r="AT95" s="740">
        <v>3.51</v>
      </c>
      <c r="AU95" s="740">
        <v>3.53</v>
      </c>
      <c r="AV95" s="740">
        <v>3.56</v>
      </c>
      <c r="AW95" s="740">
        <v>3.59</v>
      </c>
      <c r="AX95" s="740">
        <v>3.62</v>
      </c>
      <c r="AY95" s="740">
        <v>3.65</v>
      </c>
      <c r="AZ95" s="740">
        <v>3.68</v>
      </c>
      <c r="BA95" s="740">
        <v>3.71</v>
      </c>
      <c r="BB95" s="740">
        <v>3.74</v>
      </c>
      <c r="BC95" s="740">
        <v>3.77</v>
      </c>
      <c r="BD95" s="740">
        <v>3.8</v>
      </c>
      <c r="BE95" s="740">
        <v>3.83</v>
      </c>
      <c r="BF95" s="740">
        <v>3.86</v>
      </c>
      <c r="BG95" s="740">
        <v>3.89</v>
      </c>
      <c r="BH95" s="740">
        <v>3.92</v>
      </c>
      <c r="BI95" s="740">
        <v>3.95</v>
      </c>
      <c r="BJ95" s="740">
        <v>3.98</v>
      </c>
      <c r="BK95" s="740">
        <v>4.01</v>
      </c>
      <c r="BL95" s="740">
        <v>4.04</v>
      </c>
      <c r="BM95" s="740">
        <v>4.07</v>
      </c>
      <c r="BN95" s="740">
        <v>4.0999999999999996</v>
      </c>
      <c r="BO95" s="740">
        <v>4.13</v>
      </c>
      <c r="BP95" s="740">
        <v>4.16</v>
      </c>
      <c r="BQ95" s="740">
        <v>4.1900000000000004</v>
      </c>
      <c r="BR95" s="740">
        <v>4.22</v>
      </c>
      <c r="BS95" s="740">
        <v>4.25</v>
      </c>
      <c r="BT95" s="852">
        <v>4.28</v>
      </c>
      <c r="BU95" s="740">
        <v>4.3099999999999996</v>
      </c>
      <c r="BV95" s="740">
        <v>4.34</v>
      </c>
      <c r="BW95" s="740">
        <v>4.37</v>
      </c>
      <c r="BX95" s="740">
        <v>4.4000000000000004</v>
      </c>
      <c r="BY95" s="740">
        <v>4.43</v>
      </c>
      <c r="BZ95" s="740">
        <v>4.46</v>
      </c>
      <c r="CA95" s="740">
        <v>4.49</v>
      </c>
      <c r="CB95" s="740">
        <v>4.5199999999999996</v>
      </c>
      <c r="CC95" s="740">
        <v>4.55</v>
      </c>
      <c r="CD95" s="740">
        <v>4.58</v>
      </c>
      <c r="CE95" s="740">
        <v>4.6100000000000003</v>
      </c>
      <c r="CF95" s="740">
        <v>4.6399999999999997</v>
      </c>
      <c r="CG95" s="740">
        <v>4.67</v>
      </c>
      <c r="CH95" s="740">
        <v>4.7</v>
      </c>
      <c r="CI95" s="740">
        <v>4.7300000000000004</v>
      </c>
      <c r="CJ95" s="740">
        <v>4.76</v>
      </c>
      <c r="CK95" s="740">
        <v>4.79</v>
      </c>
      <c r="CL95" s="740">
        <v>4.82</v>
      </c>
      <c r="CM95" s="740">
        <v>4.8499999999999996</v>
      </c>
      <c r="CN95" s="740">
        <v>4.88</v>
      </c>
      <c r="CO95" s="740">
        <v>4.91</v>
      </c>
      <c r="CP95" s="740">
        <v>4.9400000000000004</v>
      </c>
      <c r="CQ95" s="740">
        <v>4.97</v>
      </c>
      <c r="CR95" s="740">
        <v>5</v>
      </c>
      <c r="CS95" s="740">
        <v>5.03</v>
      </c>
      <c r="CT95" s="740">
        <v>5.0599999999999996</v>
      </c>
      <c r="CU95" s="740">
        <v>5.09</v>
      </c>
      <c r="CV95" s="740">
        <v>5.12</v>
      </c>
      <c r="CW95" s="740">
        <v>5.15</v>
      </c>
      <c r="CX95" s="740">
        <v>5.18</v>
      </c>
      <c r="CY95" s="740">
        <v>5.21</v>
      </c>
      <c r="CZ95" s="740">
        <v>5.24</v>
      </c>
      <c r="DA95" s="740">
        <v>5.27</v>
      </c>
      <c r="DB95" s="740">
        <v>5.3</v>
      </c>
      <c r="DC95" s="740">
        <v>5.33</v>
      </c>
      <c r="DD95" s="740">
        <v>5.36</v>
      </c>
      <c r="DE95" s="740">
        <v>5.38</v>
      </c>
      <c r="DF95" s="740">
        <v>5.41</v>
      </c>
      <c r="DG95" s="740">
        <v>5.44</v>
      </c>
      <c r="DH95" s="740">
        <v>5.47</v>
      </c>
      <c r="DI95" s="740">
        <v>5.5</v>
      </c>
      <c r="DJ95" s="740">
        <v>5.53</v>
      </c>
      <c r="DK95" s="740">
        <v>5.56</v>
      </c>
      <c r="DL95" s="740">
        <v>5.59</v>
      </c>
      <c r="DM95" s="740">
        <v>5.61</v>
      </c>
      <c r="DN95" s="740">
        <v>5.64</v>
      </c>
      <c r="DO95" s="740">
        <v>5.67</v>
      </c>
      <c r="DP95" s="740">
        <v>5.7</v>
      </c>
      <c r="DQ95" s="740">
        <v>5.73</v>
      </c>
      <c r="DR95" s="740">
        <v>5.76</v>
      </c>
    </row>
    <row r="96" spans="1:122">
      <c r="A96" s="906">
        <v>94</v>
      </c>
      <c r="B96" s="92"/>
      <c r="C96" s="92"/>
      <c r="D96" s="92"/>
      <c r="E96" s="92"/>
      <c r="F96" s="92"/>
      <c r="G96" s="92"/>
      <c r="H96" s="92"/>
      <c r="I96" s="92"/>
      <c r="J96" s="92"/>
      <c r="K96" s="92"/>
      <c r="L96" s="92"/>
      <c r="M96" s="92"/>
      <c r="N96" s="92"/>
      <c r="O96" s="92"/>
      <c r="P96" s="92"/>
      <c r="Q96" s="92"/>
      <c r="R96" s="92"/>
      <c r="S96" s="92"/>
      <c r="T96" s="92"/>
      <c r="U96" s="92"/>
      <c r="V96" s="740"/>
      <c r="W96" s="740">
        <v>2.77</v>
      </c>
      <c r="X96" s="740">
        <v>2.67</v>
      </c>
      <c r="Y96" s="740">
        <v>2.73</v>
      </c>
      <c r="Z96" s="740">
        <v>2.76</v>
      </c>
      <c r="AA96" s="740">
        <v>2.79</v>
      </c>
      <c r="AB96" s="740">
        <v>2.81</v>
      </c>
      <c r="AC96" s="740">
        <v>2.84</v>
      </c>
      <c r="AD96" s="740">
        <v>2.86</v>
      </c>
      <c r="AE96" s="740">
        <v>2.88</v>
      </c>
      <c r="AF96" s="740">
        <v>2.9</v>
      </c>
      <c r="AG96" s="740">
        <v>2.92</v>
      </c>
      <c r="AH96" s="740">
        <v>2.95</v>
      </c>
      <c r="AI96" s="740">
        <v>2.97</v>
      </c>
      <c r="AJ96" s="740">
        <v>2.99</v>
      </c>
      <c r="AK96" s="740">
        <v>3.01</v>
      </c>
      <c r="AL96" s="740">
        <v>3.04</v>
      </c>
      <c r="AM96" s="740">
        <v>3.06</v>
      </c>
      <c r="AN96" s="740">
        <v>3.09</v>
      </c>
      <c r="AO96" s="740">
        <v>3.11</v>
      </c>
      <c r="AP96" s="740">
        <v>3.14</v>
      </c>
      <c r="AQ96" s="740">
        <v>3.17</v>
      </c>
      <c r="AR96" s="740">
        <v>3.19</v>
      </c>
      <c r="AS96" s="740">
        <v>3.22</v>
      </c>
      <c r="AT96" s="740">
        <v>3.25</v>
      </c>
      <c r="AU96" s="740">
        <v>3.27</v>
      </c>
      <c r="AV96" s="740">
        <v>3.3</v>
      </c>
      <c r="AW96" s="740">
        <v>3.32</v>
      </c>
      <c r="AX96" s="740">
        <v>3.35</v>
      </c>
      <c r="AY96" s="740">
        <v>3.38</v>
      </c>
      <c r="AZ96" s="740">
        <v>3.4</v>
      </c>
      <c r="BA96" s="740">
        <v>3.43</v>
      </c>
      <c r="BB96" s="740">
        <v>3.46</v>
      </c>
      <c r="BC96" s="740">
        <v>3.48</v>
      </c>
      <c r="BD96" s="740">
        <v>3.51</v>
      </c>
      <c r="BE96" s="740">
        <v>3.54</v>
      </c>
      <c r="BF96" s="740">
        <v>3.56</v>
      </c>
      <c r="BG96" s="740">
        <v>3.59</v>
      </c>
      <c r="BH96" s="740">
        <v>3.62</v>
      </c>
      <c r="BI96" s="740">
        <v>3.64</v>
      </c>
      <c r="BJ96" s="740">
        <v>3.67</v>
      </c>
      <c r="BK96" s="740">
        <v>3.7</v>
      </c>
      <c r="BL96" s="740">
        <v>3.73</v>
      </c>
      <c r="BM96" s="740">
        <v>3.75</v>
      </c>
      <c r="BN96" s="740">
        <v>3.78</v>
      </c>
      <c r="BO96" s="740">
        <v>3.81</v>
      </c>
      <c r="BP96" s="740">
        <v>3.83</v>
      </c>
      <c r="BQ96" s="740">
        <v>3.86</v>
      </c>
      <c r="BR96" s="740">
        <v>3.89</v>
      </c>
      <c r="BS96" s="740">
        <v>3.91</v>
      </c>
      <c r="BT96" s="852">
        <v>3.94</v>
      </c>
      <c r="BU96" s="740">
        <v>3.97</v>
      </c>
      <c r="BV96" s="740">
        <v>3.99</v>
      </c>
      <c r="BW96" s="740">
        <v>4.0199999999999996</v>
      </c>
      <c r="BX96" s="740">
        <v>4.05</v>
      </c>
      <c r="BY96" s="740">
        <v>4.08</v>
      </c>
      <c r="BZ96" s="740">
        <v>4.0999999999999996</v>
      </c>
      <c r="CA96" s="740">
        <v>4.13</v>
      </c>
      <c r="CB96" s="740">
        <v>4.16</v>
      </c>
      <c r="CC96" s="740">
        <v>4.18</v>
      </c>
      <c r="CD96" s="740">
        <v>4.21</v>
      </c>
      <c r="CE96" s="740">
        <v>4.24</v>
      </c>
      <c r="CF96" s="740">
        <v>4.26</v>
      </c>
      <c r="CG96" s="740">
        <v>4.29</v>
      </c>
      <c r="CH96" s="740">
        <v>4.32</v>
      </c>
      <c r="CI96" s="740">
        <v>4.34</v>
      </c>
      <c r="CJ96" s="740">
        <v>4.37</v>
      </c>
      <c r="CK96" s="740">
        <v>4.4000000000000004</v>
      </c>
      <c r="CL96" s="740">
        <v>4.42</v>
      </c>
      <c r="CM96" s="740">
        <v>4.45</v>
      </c>
      <c r="CN96" s="740">
        <v>4.4800000000000004</v>
      </c>
      <c r="CO96" s="740">
        <v>4.5</v>
      </c>
      <c r="CP96" s="740">
        <v>4.53</v>
      </c>
      <c r="CQ96" s="740">
        <v>4.5599999999999996</v>
      </c>
      <c r="CR96" s="740">
        <v>4.58</v>
      </c>
      <c r="CS96" s="740">
        <v>4.6100000000000003</v>
      </c>
      <c r="CT96" s="740">
        <v>4.6399999999999997</v>
      </c>
      <c r="CU96" s="740">
        <v>4.66</v>
      </c>
      <c r="CV96" s="740">
        <v>4.6900000000000004</v>
      </c>
      <c r="CW96" s="740">
        <v>4.72</v>
      </c>
      <c r="CX96" s="740">
        <v>4.74</v>
      </c>
      <c r="CY96" s="740">
        <v>4.7699999999999996</v>
      </c>
      <c r="CZ96" s="740">
        <v>4.79</v>
      </c>
      <c r="DA96" s="740">
        <v>4.82</v>
      </c>
      <c r="DB96" s="740">
        <v>4.8499999999999996</v>
      </c>
      <c r="DC96" s="740">
        <v>4.87</v>
      </c>
      <c r="DD96" s="740">
        <v>4.9000000000000004</v>
      </c>
      <c r="DE96" s="740">
        <v>4.92</v>
      </c>
      <c r="DF96" s="740">
        <v>4.95</v>
      </c>
      <c r="DG96" s="740">
        <v>4.97</v>
      </c>
      <c r="DH96" s="740">
        <v>5</v>
      </c>
      <c r="DI96" s="740">
        <v>5.03</v>
      </c>
      <c r="DJ96" s="740">
        <v>5.05</v>
      </c>
      <c r="DK96" s="740">
        <v>5.08</v>
      </c>
      <c r="DL96" s="740">
        <v>5.0999999999999996</v>
      </c>
      <c r="DM96" s="740">
        <v>5.13</v>
      </c>
      <c r="DN96" s="740">
        <v>5.15</v>
      </c>
      <c r="DO96" s="740">
        <v>5.18</v>
      </c>
      <c r="DP96" s="740">
        <v>5.2</v>
      </c>
      <c r="DQ96" s="740">
        <v>5.23</v>
      </c>
      <c r="DR96" s="740">
        <v>5.25</v>
      </c>
    </row>
    <row r="97" spans="1:122">
      <c r="A97" s="906">
        <v>95</v>
      </c>
      <c r="B97" s="92"/>
      <c r="C97" s="92"/>
      <c r="D97" s="92"/>
      <c r="E97" s="92"/>
      <c r="F97" s="92"/>
      <c r="G97" s="92"/>
      <c r="H97" s="92"/>
      <c r="I97" s="92"/>
      <c r="J97" s="92"/>
      <c r="K97" s="92"/>
      <c r="L97" s="92"/>
      <c r="M97" s="92"/>
      <c r="N97" s="92"/>
      <c r="O97" s="92"/>
      <c r="P97" s="92"/>
      <c r="Q97" s="92"/>
      <c r="R97" s="92"/>
      <c r="S97" s="92"/>
      <c r="T97" s="92"/>
      <c r="U97" s="92"/>
      <c r="V97" s="740"/>
      <c r="W97" s="740">
        <v>2.58</v>
      </c>
      <c r="X97" s="740">
        <v>2.4900000000000002</v>
      </c>
      <c r="Y97" s="740">
        <v>2.54</v>
      </c>
      <c r="Z97" s="740">
        <v>2.57</v>
      </c>
      <c r="AA97" s="740">
        <v>2.6</v>
      </c>
      <c r="AB97" s="740">
        <v>2.62</v>
      </c>
      <c r="AC97" s="740">
        <v>2.64</v>
      </c>
      <c r="AD97" s="740">
        <v>2.66</v>
      </c>
      <c r="AE97" s="740">
        <v>2.68</v>
      </c>
      <c r="AF97" s="740">
        <v>2.7</v>
      </c>
      <c r="AG97" s="740">
        <v>2.72</v>
      </c>
      <c r="AH97" s="740">
        <v>2.74</v>
      </c>
      <c r="AI97" s="740">
        <v>2.76</v>
      </c>
      <c r="AJ97" s="740">
        <v>2.78</v>
      </c>
      <c r="AK97" s="740">
        <v>2.8</v>
      </c>
      <c r="AL97" s="740">
        <v>2.82</v>
      </c>
      <c r="AM97" s="740">
        <v>2.84</v>
      </c>
      <c r="AN97" s="740">
        <v>2.87</v>
      </c>
      <c r="AO97" s="740">
        <v>2.89</v>
      </c>
      <c r="AP97" s="740">
        <v>2.91</v>
      </c>
      <c r="AQ97" s="740">
        <v>2.94</v>
      </c>
      <c r="AR97" s="740">
        <v>2.96</v>
      </c>
      <c r="AS97" s="740">
        <v>2.98</v>
      </c>
      <c r="AT97" s="740">
        <v>3.01</v>
      </c>
      <c r="AU97" s="740">
        <v>3.03</v>
      </c>
      <c r="AV97" s="740">
        <v>3.05</v>
      </c>
      <c r="AW97" s="740">
        <v>3.08</v>
      </c>
      <c r="AX97" s="740">
        <v>3.1</v>
      </c>
      <c r="AY97" s="740">
        <v>3.12</v>
      </c>
      <c r="AZ97" s="740">
        <v>3.15</v>
      </c>
      <c r="BA97" s="740">
        <v>3.17</v>
      </c>
      <c r="BB97" s="740">
        <v>3.2</v>
      </c>
      <c r="BC97" s="740">
        <v>3.22</v>
      </c>
      <c r="BD97" s="740">
        <v>3.24</v>
      </c>
      <c r="BE97" s="740">
        <v>3.27</v>
      </c>
      <c r="BF97" s="740">
        <v>3.29</v>
      </c>
      <c r="BG97" s="740">
        <v>3.31</v>
      </c>
      <c r="BH97" s="740">
        <v>3.34</v>
      </c>
      <c r="BI97" s="740">
        <v>3.36</v>
      </c>
      <c r="BJ97" s="740">
        <v>3.39</v>
      </c>
      <c r="BK97" s="740">
        <v>3.41</v>
      </c>
      <c r="BL97" s="740">
        <v>3.43</v>
      </c>
      <c r="BM97" s="740">
        <v>3.46</v>
      </c>
      <c r="BN97" s="740">
        <v>3.48</v>
      </c>
      <c r="BO97" s="740">
        <v>3.5</v>
      </c>
      <c r="BP97" s="740">
        <v>3.53</v>
      </c>
      <c r="BQ97" s="740">
        <v>3.55</v>
      </c>
      <c r="BR97" s="740">
        <v>3.58</v>
      </c>
      <c r="BS97" s="740">
        <v>3.6</v>
      </c>
      <c r="BT97" s="852">
        <v>3.62</v>
      </c>
      <c r="BU97" s="740">
        <v>3.65</v>
      </c>
      <c r="BV97" s="740">
        <v>3.67</v>
      </c>
      <c r="BW97" s="740">
        <v>3.69</v>
      </c>
      <c r="BX97" s="740">
        <v>3.72</v>
      </c>
      <c r="BY97" s="740">
        <v>3.74</v>
      </c>
      <c r="BZ97" s="740">
        <v>3.77</v>
      </c>
      <c r="CA97" s="740">
        <v>3.79</v>
      </c>
      <c r="CB97" s="740">
        <v>3.81</v>
      </c>
      <c r="CC97" s="740">
        <v>3.84</v>
      </c>
      <c r="CD97" s="740">
        <v>3.86</v>
      </c>
      <c r="CE97" s="740">
        <v>3.88</v>
      </c>
      <c r="CF97" s="740">
        <v>3.91</v>
      </c>
      <c r="CG97" s="740">
        <v>3.93</v>
      </c>
      <c r="CH97" s="740">
        <v>3.96</v>
      </c>
      <c r="CI97" s="740">
        <v>3.98</v>
      </c>
      <c r="CJ97" s="740">
        <v>4</v>
      </c>
      <c r="CK97" s="740">
        <v>4.03</v>
      </c>
      <c r="CL97" s="740">
        <v>4.05</v>
      </c>
      <c r="CM97" s="740">
        <v>4.07</v>
      </c>
      <c r="CN97" s="740">
        <v>4.0999999999999996</v>
      </c>
      <c r="CO97" s="740">
        <v>4.12</v>
      </c>
      <c r="CP97" s="740">
        <v>4.1399999999999997</v>
      </c>
      <c r="CQ97" s="740">
        <v>4.17</v>
      </c>
      <c r="CR97" s="740">
        <v>4.1900000000000004</v>
      </c>
      <c r="CS97" s="740">
        <v>4.21</v>
      </c>
      <c r="CT97" s="740">
        <v>4.2300000000000004</v>
      </c>
      <c r="CU97" s="740">
        <v>4.26</v>
      </c>
      <c r="CV97" s="740">
        <v>4.28</v>
      </c>
      <c r="CW97" s="740">
        <v>4.3</v>
      </c>
      <c r="CX97" s="740">
        <v>4.33</v>
      </c>
      <c r="CY97" s="740">
        <v>4.3499999999999996</v>
      </c>
      <c r="CZ97" s="740">
        <v>4.37</v>
      </c>
      <c r="DA97" s="740">
        <v>4.3899999999999997</v>
      </c>
      <c r="DB97" s="740">
        <v>4.42</v>
      </c>
      <c r="DC97" s="740">
        <v>4.4400000000000004</v>
      </c>
      <c r="DD97" s="740">
        <v>4.46</v>
      </c>
      <c r="DE97" s="740">
        <v>4.4800000000000004</v>
      </c>
      <c r="DF97" s="740">
        <v>4.51</v>
      </c>
      <c r="DG97" s="740">
        <v>4.53</v>
      </c>
      <c r="DH97" s="740">
        <v>4.55</v>
      </c>
      <c r="DI97" s="740">
        <v>4.57</v>
      </c>
      <c r="DJ97" s="740">
        <v>4.5999999999999996</v>
      </c>
      <c r="DK97" s="740">
        <v>4.62</v>
      </c>
      <c r="DL97" s="740">
        <v>4.6399999999999997</v>
      </c>
      <c r="DM97" s="740">
        <v>4.66</v>
      </c>
      <c r="DN97" s="740">
        <v>4.68</v>
      </c>
      <c r="DO97" s="740">
        <v>4.71</v>
      </c>
      <c r="DP97" s="740">
        <v>4.7300000000000004</v>
      </c>
      <c r="DQ97" s="740">
        <v>4.75</v>
      </c>
      <c r="DR97" s="740">
        <v>4.7699999999999996</v>
      </c>
    </row>
    <row r="98" spans="1:122">
      <c r="A98" s="906">
        <v>96</v>
      </c>
      <c r="B98" s="92"/>
      <c r="C98" s="92"/>
      <c r="D98" s="92"/>
      <c r="E98" s="92"/>
      <c r="F98" s="92"/>
      <c r="G98" s="92"/>
      <c r="H98" s="92"/>
      <c r="I98" s="92"/>
      <c r="J98" s="92"/>
      <c r="K98" s="92"/>
      <c r="L98" s="92"/>
      <c r="M98" s="92"/>
      <c r="N98" s="92"/>
      <c r="O98" s="92"/>
      <c r="P98" s="92"/>
      <c r="Q98" s="92"/>
      <c r="R98" s="92"/>
      <c r="S98" s="92"/>
      <c r="T98" s="92"/>
      <c r="U98" s="92"/>
      <c r="V98" s="740"/>
      <c r="W98" s="740">
        <v>2.41</v>
      </c>
      <c r="X98" s="740">
        <v>2.33</v>
      </c>
      <c r="Y98" s="740">
        <v>2.38</v>
      </c>
      <c r="Z98" s="740">
        <v>2.4</v>
      </c>
      <c r="AA98" s="740">
        <v>2.4300000000000002</v>
      </c>
      <c r="AB98" s="740">
        <v>2.4500000000000002</v>
      </c>
      <c r="AC98" s="740">
        <v>2.46</v>
      </c>
      <c r="AD98" s="740">
        <v>2.48</v>
      </c>
      <c r="AE98" s="740">
        <v>2.5</v>
      </c>
      <c r="AF98" s="740">
        <v>2.52</v>
      </c>
      <c r="AG98" s="740">
        <v>2.54</v>
      </c>
      <c r="AH98" s="740">
        <v>2.5499999999999998</v>
      </c>
      <c r="AI98" s="740">
        <v>2.57</v>
      </c>
      <c r="AJ98" s="740">
        <v>2.59</v>
      </c>
      <c r="AK98" s="740">
        <v>2.61</v>
      </c>
      <c r="AL98" s="740">
        <v>2.63</v>
      </c>
      <c r="AM98" s="740">
        <v>2.65</v>
      </c>
      <c r="AN98" s="740">
        <v>2.67</v>
      </c>
      <c r="AO98" s="740">
        <v>2.69</v>
      </c>
      <c r="AP98" s="740">
        <v>2.71</v>
      </c>
      <c r="AQ98" s="740">
        <v>2.73</v>
      </c>
      <c r="AR98" s="740">
        <v>2.75</v>
      </c>
      <c r="AS98" s="740">
        <v>2.77</v>
      </c>
      <c r="AT98" s="740">
        <v>2.79</v>
      </c>
      <c r="AU98" s="740">
        <v>2.81</v>
      </c>
      <c r="AV98" s="740">
        <v>2.84</v>
      </c>
      <c r="AW98" s="740">
        <v>2.86</v>
      </c>
      <c r="AX98" s="740">
        <v>2.88</v>
      </c>
      <c r="AY98" s="740">
        <v>2.9</v>
      </c>
      <c r="AZ98" s="740">
        <v>2.92</v>
      </c>
      <c r="BA98" s="740">
        <v>2.94</v>
      </c>
      <c r="BB98" s="740">
        <v>2.96</v>
      </c>
      <c r="BC98" s="740">
        <v>2.98</v>
      </c>
      <c r="BD98" s="740">
        <v>3</v>
      </c>
      <c r="BE98" s="740">
        <v>3.03</v>
      </c>
      <c r="BF98" s="740">
        <v>3.05</v>
      </c>
      <c r="BG98" s="740">
        <v>3.07</v>
      </c>
      <c r="BH98" s="740">
        <v>3.09</v>
      </c>
      <c r="BI98" s="740">
        <v>3.11</v>
      </c>
      <c r="BJ98" s="740">
        <v>3.13</v>
      </c>
      <c r="BK98" s="740">
        <v>3.15</v>
      </c>
      <c r="BL98" s="740">
        <v>3.17</v>
      </c>
      <c r="BM98" s="740">
        <v>3.2</v>
      </c>
      <c r="BN98" s="740">
        <v>3.22</v>
      </c>
      <c r="BO98" s="740">
        <v>3.24</v>
      </c>
      <c r="BP98" s="740">
        <v>3.26</v>
      </c>
      <c r="BQ98" s="740">
        <v>3.28</v>
      </c>
      <c r="BR98" s="740">
        <v>3.3</v>
      </c>
      <c r="BS98" s="740">
        <v>3.32</v>
      </c>
      <c r="BT98" s="852">
        <v>3.34</v>
      </c>
      <c r="BU98" s="740">
        <v>3.37</v>
      </c>
      <c r="BV98" s="740">
        <v>3.39</v>
      </c>
      <c r="BW98" s="740">
        <v>3.41</v>
      </c>
      <c r="BX98" s="740">
        <v>3.43</v>
      </c>
      <c r="BY98" s="740">
        <v>3.45</v>
      </c>
      <c r="BZ98" s="740">
        <v>3.47</v>
      </c>
      <c r="CA98" s="740">
        <v>3.49</v>
      </c>
      <c r="CB98" s="740">
        <v>3.51</v>
      </c>
      <c r="CC98" s="740">
        <v>3.53</v>
      </c>
      <c r="CD98" s="740">
        <v>3.55</v>
      </c>
      <c r="CE98" s="740">
        <v>3.58</v>
      </c>
      <c r="CF98" s="740">
        <v>3.6</v>
      </c>
      <c r="CG98" s="740">
        <v>3.62</v>
      </c>
      <c r="CH98" s="740">
        <v>3.64</v>
      </c>
      <c r="CI98" s="740">
        <v>3.66</v>
      </c>
      <c r="CJ98" s="740">
        <v>3.68</v>
      </c>
      <c r="CK98" s="740">
        <v>3.7</v>
      </c>
      <c r="CL98" s="740">
        <v>3.72</v>
      </c>
      <c r="CM98" s="740">
        <v>3.74</v>
      </c>
      <c r="CN98" s="740">
        <v>3.76</v>
      </c>
      <c r="CO98" s="740">
        <v>3.78</v>
      </c>
      <c r="CP98" s="740">
        <v>3.8</v>
      </c>
      <c r="CQ98" s="740">
        <v>3.82</v>
      </c>
      <c r="CR98" s="740">
        <v>3.84</v>
      </c>
      <c r="CS98" s="740">
        <v>3.86</v>
      </c>
      <c r="CT98" s="740">
        <v>3.88</v>
      </c>
      <c r="CU98" s="740">
        <v>3.9</v>
      </c>
      <c r="CV98" s="740">
        <v>3.92</v>
      </c>
      <c r="CW98" s="740">
        <v>3.94</v>
      </c>
      <c r="CX98" s="740">
        <v>3.96</v>
      </c>
      <c r="CY98" s="740">
        <v>3.98</v>
      </c>
      <c r="CZ98" s="740">
        <v>4</v>
      </c>
      <c r="DA98" s="740">
        <v>4.0199999999999996</v>
      </c>
      <c r="DB98" s="740">
        <v>4.04</v>
      </c>
      <c r="DC98" s="740">
        <v>4.0599999999999996</v>
      </c>
      <c r="DD98" s="740">
        <v>4.08</v>
      </c>
      <c r="DE98" s="740">
        <v>4.0999999999999996</v>
      </c>
      <c r="DF98" s="740">
        <v>4.12</v>
      </c>
      <c r="DG98" s="740">
        <v>4.1399999999999997</v>
      </c>
      <c r="DH98" s="740">
        <v>4.16</v>
      </c>
      <c r="DI98" s="740">
        <v>4.18</v>
      </c>
      <c r="DJ98" s="740">
        <v>4.2</v>
      </c>
      <c r="DK98" s="740">
        <v>4.22</v>
      </c>
      <c r="DL98" s="740">
        <v>4.24</v>
      </c>
      <c r="DM98" s="740">
        <v>4.26</v>
      </c>
      <c r="DN98" s="740">
        <v>4.28</v>
      </c>
      <c r="DO98" s="740">
        <v>4.3</v>
      </c>
      <c r="DP98" s="740">
        <v>4.32</v>
      </c>
      <c r="DQ98" s="740">
        <v>4.33</v>
      </c>
      <c r="DR98" s="740">
        <v>4.3499999999999996</v>
      </c>
    </row>
    <row r="99" spans="1:122">
      <c r="A99" s="906">
        <v>97</v>
      </c>
      <c r="B99" s="92"/>
      <c r="C99" s="92"/>
      <c r="D99" s="92"/>
      <c r="E99" s="92"/>
      <c r="F99" s="92"/>
      <c r="G99" s="92"/>
      <c r="H99" s="92"/>
      <c r="I99" s="92"/>
      <c r="J99" s="92"/>
      <c r="K99" s="92"/>
      <c r="L99" s="92"/>
      <c r="M99" s="92"/>
      <c r="N99" s="92"/>
      <c r="O99" s="92"/>
      <c r="P99" s="92"/>
      <c r="Q99" s="92"/>
      <c r="R99" s="92"/>
      <c r="S99" s="92"/>
      <c r="T99" s="92"/>
      <c r="U99" s="92"/>
      <c r="V99" s="740"/>
      <c r="W99" s="740">
        <v>2.25</v>
      </c>
      <c r="X99" s="740">
        <v>2.1800000000000002</v>
      </c>
      <c r="Y99" s="740">
        <v>2.23</v>
      </c>
      <c r="Z99" s="740">
        <v>2.25</v>
      </c>
      <c r="AA99" s="740">
        <v>2.27</v>
      </c>
      <c r="AB99" s="740">
        <v>2.29</v>
      </c>
      <c r="AC99" s="740">
        <v>2.31</v>
      </c>
      <c r="AD99" s="740">
        <v>2.3199999999999998</v>
      </c>
      <c r="AE99" s="740">
        <v>2.34</v>
      </c>
      <c r="AF99" s="740">
        <v>2.35</v>
      </c>
      <c r="AG99" s="740">
        <v>2.37</v>
      </c>
      <c r="AH99" s="740">
        <v>2.39</v>
      </c>
      <c r="AI99" s="740">
        <v>2.4</v>
      </c>
      <c r="AJ99" s="740">
        <v>2.42</v>
      </c>
      <c r="AK99" s="740">
        <v>2.44</v>
      </c>
      <c r="AL99" s="740">
        <v>2.4500000000000002</v>
      </c>
      <c r="AM99" s="740">
        <v>2.4700000000000002</v>
      </c>
      <c r="AN99" s="740">
        <v>2.4900000000000002</v>
      </c>
      <c r="AO99" s="740">
        <v>2.5099999999999998</v>
      </c>
      <c r="AP99" s="740">
        <v>2.5299999999999998</v>
      </c>
      <c r="AQ99" s="740">
        <v>2.5499999999999998</v>
      </c>
      <c r="AR99" s="740">
        <v>2.57</v>
      </c>
      <c r="AS99" s="740">
        <v>2.58</v>
      </c>
      <c r="AT99" s="740">
        <v>2.6</v>
      </c>
      <c r="AU99" s="740">
        <v>2.62</v>
      </c>
      <c r="AV99" s="740">
        <v>2.64</v>
      </c>
      <c r="AW99" s="740">
        <v>2.66</v>
      </c>
      <c r="AX99" s="740">
        <v>2.68</v>
      </c>
      <c r="AY99" s="740">
        <v>2.7</v>
      </c>
      <c r="AZ99" s="740">
        <v>2.72</v>
      </c>
      <c r="BA99" s="740">
        <v>2.74</v>
      </c>
      <c r="BB99" s="740">
        <v>2.76</v>
      </c>
      <c r="BC99" s="740">
        <v>2.78</v>
      </c>
      <c r="BD99" s="740">
        <v>2.79</v>
      </c>
      <c r="BE99" s="740">
        <v>2.81</v>
      </c>
      <c r="BF99" s="740">
        <v>2.83</v>
      </c>
      <c r="BG99" s="740">
        <v>2.85</v>
      </c>
      <c r="BH99" s="740">
        <v>2.87</v>
      </c>
      <c r="BI99" s="740">
        <v>2.89</v>
      </c>
      <c r="BJ99" s="740">
        <v>2.91</v>
      </c>
      <c r="BK99" s="740">
        <v>2.93</v>
      </c>
      <c r="BL99" s="740">
        <v>2.95</v>
      </c>
      <c r="BM99" s="740">
        <v>2.97</v>
      </c>
      <c r="BN99" s="740">
        <v>2.98</v>
      </c>
      <c r="BO99" s="740">
        <v>3</v>
      </c>
      <c r="BP99" s="740">
        <v>3.02</v>
      </c>
      <c r="BQ99" s="740">
        <v>3.04</v>
      </c>
      <c r="BR99" s="740">
        <v>3.06</v>
      </c>
      <c r="BS99" s="740">
        <v>3.08</v>
      </c>
      <c r="BT99" s="852">
        <v>3.1</v>
      </c>
      <c r="BU99" s="740">
        <v>3.12</v>
      </c>
      <c r="BV99" s="740">
        <v>3.14</v>
      </c>
      <c r="BW99" s="740">
        <v>3.15</v>
      </c>
      <c r="BX99" s="740">
        <v>3.17</v>
      </c>
      <c r="BY99" s="740">
        <v>3.19</v>
      </c>
      <c r="BZ99" s="740">
        <v>3.21</v>
      </c>
      <c r="CA99" s="740">
        <v>3.23</v>
      </c>
      <c r="CB99" s="740">
        <v>3.25</v>
      </c>
      <c r="CC99" s="740">
        <v>3.27</v>
      </c>
      <c r="CD99" s="740">
        <v>3.29</v>
      </c>
      <c r="CE99" s="740">
        <v>3.3</v>
      </c>
      <c r="CF99" s="740">
        <v>3.32</v>
      </c>
      <c r="CG99" s="740">
        <v>3.34</v>
      </c>
      <c r="CH99" s="740">
        <v>3.36</v>
      </c>
      <c r="CI99" s="740">
        <v>3.38</v>
      </c>
      <c r="CJ99" s="740">
        <v>3.4</v>
      </c>
      <c r="CK99" s="740">
        <v>3.41</v>
      </c>
      <c r="CL99" s="740">
        <v>3.43</v>
      </c>
      <c r="CM99" s="740">
        <v>3.45</v>
      </c>
      <c r="CN99" s="740">
        <v>3.47</v>
      </c>
      <c r="CO99" s="740">
        <v>3.49</v>
      </c>
      <c r="CP99" s="740">
        <v>3.51</v>
      </c>
      <c r="CQ99" s="740">
        <v>3.52</v>
      </c>
      <c r="CR99" s="740">
        <v>3.54</v>
      </c>
      <c r="CS99" s="740">
        <v>3.56</v>
      </c>
      <c r="CT99" s="740">
        <v>3.58</v>
      </c>
      <c r="CU99" s="740">
        <v>3.6</v>
      </c>
      <c r="CV99" s="740">
        <v>3.61</v>
      </c>
      <c r="CW99" s="740">
        <v>3.63</v>
      </c>
      <c r="CX99" s="740">
        <v>3.65</v>
      </c>
      <c r="CY99" s="740">
        <v>3.67</v>
      </c>
      <c r="CZ99" s="740">
        <v>3.68</v>
      </c>
      <c r="DA99" s="740">
        <v>3.7</v>
      </c>
      <c r="DB99" s="740">
        <v>3.72</v>
      </c>
      <c r="DC99" s="740">
        <v>3.74</v>
      </c>
      <c r="DD99" s="740">
        <v>3.75</v>
      </c>
      <c r="DE99" s="740">
        <v>3.77</v>
      </c>
      <c r="DF99" s="740">
        <v>3.79</v>
      </c>
      <c r="DG99" s="740">
        <v>3.81</v>
      </c>
      <c r="DH99" s="740">
        <v>3.82</v>
      </c>
      <c r="DI99" s="740">
        <v>3.84</v>
      </c>
      <c r="DJ99" s="740">
        <v>3.86</v>
      </c>
      <c r="DK99" s="740">
        <v>3.88</v>
      </c>
      <c r="DL99" s="740">
        <v>3.89</v>
      </c>
      <c r="DM99" s="740">
        <v>3.91</v>
      </c>
      <c r="DN99" s="740">
        <v>3.93</v>
      </c>
      <c r="DO99" s="740">
        <v>3.94</v>
      </c>
      <c r="DP99" s="740">
        <v>3.96</v>
      </c>
      <c r="DQ99" s="740">
        <v>3.98</v>
      </c>
      <c r="DR99" s="740">
        <v>3.99</v>
      </c>
    </row>
    <row r="100" spans="1:122">
      <c r="A100" s="906">
        <v>98</v>
      </c>
      <c r="B100" s="92"/>
      <c r="C100" s="92"/>
      <c r="D100" s="92"/>
      <c r="E100" s="92"/>
      <c r="F100" s="92"/>
      <c r="G100" s="92"/>
      <c r="H100" s="92"/>
      <c r="I100" s="92"/>
      <c r="J100" s="92"/>
      <c r="K100" s="92"/>
      <c r="L100" s="92"/>
      <c r="M100" s="92"/>
      <c r="N100" s="92"/>
      <c r="O100" s="92"/>
      <c r="P100" s="92"/>
      <c r="Q100" s="92"/>
      <c r="R100" s="92"/>
      <c r="S100" s="92"/>
      <c r="T100" s="92"/>
      <c r="U100" s="92"/>
      <c r="V100" s="740"/>
      <c r="W100" s="740">
        <v>2.12</v>
      </c>
      <c r="X100" s="740">
        <v>2.0499999999999998</v>
      </c>
      <c r="Y100" s="740">
        <v>2.09</v>
      </c>
      <c r="Z100" s="740">
        <v>2.11</v>
      </c>
      <c r="AA100" s="740">
        <v>2.13</v>
      </c>
      <c r="AB100" s="740">
        <v>2.15</v>
      </c>
      <c r="AC100" s="740">
        <v>2.16</v>
      </c>
      <c r="AD100" s="740">
        <v>2.1800000000000002</v>
      </c>
      <c r="AE100" s="740">
        <v>2.19</v>
      </c>
      <c r="AF100" s="740">
        <v>2.21</v>
      </c>
      <c r="AG100" s="740">
        <v>2.2200000000000002</v>
      </c>
      <c r="AH100" s="740">
        <v>2.2400000000000002</v>
      </c>
      <c r="AI100" s="740">
        <v>2.25</v>
      </c>
      <c r="AJ100" s="740">
        <v>2.27</v>
      </c>
      <c r="AK100" s="740">
        <v>2.2799999999999998</v>
      </c>
      <c r="AL100" s="740">
        <v>2.2999999999999998</v>
      </c>
      <c r="AM100" s="740">
        <v>2.3199999999999998</v>
      </c>
      <c r="AN100" s="740">
        <v>2.33</v>
      </c>
      <c r="AO100" s="740">
        <v>2.35</v>
      </c>
      <c r="AP100" s="740">
        <v>2.37</v>
      </c>
      <c r="AQ100" s="740">
        <v>2.38</v>
      </c>
      <c r="AR100" s="740">
        <v>2.4</v>
      </c>
      <c r="AS100" s="740">
        <v>2.42</v>
      </c>
      <c r="AT100" s="740">
        <v>2.44</v>
      </c>
      <c r="AU100" s="740">
        <v>2.4500000000000002</v>
      </c>
      <c r="AV100" s="740">
        <v>2.4700000000000002</v>
      </c>
      <c r="AW100" s="740">
        <v>2.4900000000000002</v>
      </c>
      <c r="AX100" s="740">
        <v>2.5</v>
      </c>
      <c r="AY100" s="740">
        <v>2.52</v>
      </c>
      <c r="AZ100" s="740">
        <v>2.54</v>
      </c>
      <c r="BA100" s="740">
        <v>2.56</v>
      </c>
      <c r="BB100" s="740">
        <v>2.57</v>
      </c>
      <c r="BC100" s="740">
        <v>2.59</v>
      </c>
      <c r="BD100" s="740">
        <v>2.61</v>
      </c>
      <c r="BE100" s="740">
        <v>2.63</v>
      </c>
      <c r="BF100" s="740">
        <v>2.64</v>
      </c>
      <c r="BG100" s="740">
        <v>2.66</v>
      </c>
      <c r="BH100" s="740">
        <v>2.68</v>
      </c>
      <c r="BI100" s="740">
        <v>2.69</v>
      </c>
      <c r="BJ100" s="740">
        <v>2.71</v>
      </c>
      <c r="BK100" s="740">
        <v>2.73</v>
      </c>
      <c r="BL100" s="740">
        <v>2.75</v>
      </c>
      <c r="BM100" s="740">
        <v>2.76</v>
      </c>
      <c r="BN100" s="740">
        <v>2.78</v>
      </c>
      <c r="BO100" s="740">
        <v>2.8</v>
      </c>
      <c r="BP100" s="740">
        <v>2.81</v>
      </c>
      <c r="BQ100" s="740">
        <v>2.83</v>
      </c>
      <c r="BR100" s="740">
        <v>2.85</v>
      </c>
      <c r="BS100" s="740">
        <v>2.86</v>
      </c>
      <c r="BT100" s="852">
        <v>2.88</v>
      </c>
      <c r="BU100" s="740">
        <v>2.9</v>
      </c>
      <c r="BV100" s="740">
        <v>2.92</v>
      </c>
      <c r="BW100" s="740">
        <v>2.93</v>
      </c>
      <c r="BX100" s="740">
        <v>2.95</v>
      </c>
      <c r="BY100" s="740">
        <v>2.97</v>
      </c>
      <c r="BZ100" s="740">
        <v>2.98</v>
      </c>
      <c r="CA100" s="740">
        <v>3</v>
      </c>
      <c r="CB100" s="740">
        <v>3.02</v>
      </c>
      <c r="CC100" s="740">
        <v>3.03</v>
      </c>
      <c r="CD100" s="740">
        <v>3.05</v>
      </c>
      <c r="CE100" s="740">
        <v>3.07</v>
      </c>
      <c r="CF100" s="740">
        <v>3.08</v>
      </c>
      <c r="CG100" s="740">
        <v>3.1</v>
      </c>
      <c r="CH100" s="740">
        <v>3.12</v>
      </c>
      <c r="CI100" s="740">
        <v>3.13</v>
      </c>
      <c r="CJ100" s="740">
        <v>3.15</v>
      </c>
      <c r="CK100" s="740">
        <v>3.17</v>
      </c>
      <c r="CL100" s="740">
        <v>3.18</v>
      </c>
      <c r="CM100" s="740">
        <v>3.2</v>
      </c>
      <c r="CN100" s="740">
        <v>3.22</v>
      </c>
      <c r="CO100" s="740">
        <v>3.23</v>
      </c>
      <c r="CP100" s="740">
        <v>3.25</v>
      </c>
      <c r="CQ100" s="740">
        <v>3.26</v>
      </c>
      <c r="CR100" s="740">
        <v>3.28</v>
      </c>
      <c r="CS100" s="740">
        <v>3.3</v>
      </c>
      <c r="CT100" s="740">
        <v>3.31</v>
      </c>
      <c r="CU100" s="740">
        <v>3.33</v>
      </c>
      <c r="CV100" s="740">
        <v>3.34</v>
      </c>
      <c r="CW100" s="740">
        <v>3.36</v>
      </c>
      <c r="CX100" s="740">
        <v>3.38</v>
      </c>
      <c r="CY100" s="740">
        <v>3.39</v>
      </c>
      <c r="CZ100" s="740">
        <v>3.41</v>
      </c>
      <c r="DA100" s="740">
        <v>3.42</v>
      </c>
      <c r="DB100" s="740">
        <v>3.44</v>
      </c>
      <c r="DC100" s="740">
        <v>3.45</v>
      </c>
      <c r="DD100" s="740">
        <v>3.47</v>
      </c>
      <c r="DE100" s="740">
        <v>3.48</v>
      </c>
      <c r="DF100" s="740">
        <v>3.5</v>
      </c>
      <c r="DG100" s="740">
        <v>3.52</v>
      </c>
      <c r="DH100" s="740">
        <v>3.53</v>
      </c>
      <c r="DI100" s="740">
        <v>3.55</v>
      </c>
      <c r="DJ100" s="740">
        <v>3.56</v>
      </c>
      <c r="DK100" s="740">
        <v>3.58</v>
      </c>
      <c r="DL100" s="740">
        <v>3.59</v>
      </c>
      <c r="DM100" s="740">
        <v>3.61</v>
      </c>
      <c r="DN100" s="740">
        <v>3.62</v>
      </c>
      <c r="DO100" s="740">
        <v>3.64</v>
      </c>
      <c r="DP100" s="740">
        <v>3.65</v>
      </c>
      <c r="DQ100" s="740">
        <v>3.67</v>
      </c>
      <c r="DR100" s="740">
        <v>3.68</v>
      </c>
    </row>
    <row r="101" spans="1:122">
      <c r="A101" s="906">
        <v>99</v>
      </c>
      <c r="B101" s="92"/>
      <c r="C101" s="92"/>
      <c r="D101" s="92"/>
      <c r="E101" s="92"/>
      <c r="F101" s="92"/>
      <c r="G101" s="92"/>
      <c r="H101" s="92"/>
      <c r="I101" s="92"/>
      <c r="J101" s="92"/>
      <c r="K101" s="92"/>
      <c r="L101" s="92"/>
      <c r="M101" s="92"/>
      <c r="N101" s="92"/>
      <c r="O101" s="92"/>
      <c r="P101" s="92"/>
      <c r="Q101" s="92"/>
      <c r="R101" s="92"/>
      <c r="S101" s="92"/>
      <c r="T101" s="92"/>
      <c r="U101" s="92"/>
      <c r="V101" s="740"/>
      <c r="W101" s="740">
        <v>2</v>
      </c>
      <c r="X101" s="740">
        <v>1.94</v>
      </c>
      <c r="Y101" s="740">
        <v>1.97</v>
      </c>
      <c r="Z101" s="740">
        <v>1.99</v>
      </c>
      <c r="AA101" s="740">
        <v>2.0099999999999998</v>
      </c>
      <c r="AB101" s="740">
        <v>2.02</v>
      </c>
      <c r="AC101" s="740">
        <v>2.04</v>
      </c>
      <c r="AD101" s="740">
        <v>2.0499999999999998</v>
      </c>
      <c r="AE101" s="740">
        <v>2.0699999999999998</v>
      </c>
      <c r="AF101" s="740">
        <v>2.08</v>
      </c>
      <c r="AG101" s="740">
        <v>2.09</v>
      </c>
      <c r="AH101" s="740">
        <v>2.11</v>
      </c>
      <c r="AI101" s="740">
        <v>2.12</v>
      </c>
      <c r="AJ101" s="740">
        <v>2.13</v>
      </c>
      <c r="AK101" s="740">
        <v>2.15</v>
      </c>
      <c r="AL101" s="740">
        <v>2.16</v>
      </c>
      <c r="AM101" s="740">
        <v>2.1800000000000002</v>
      </c>
      <c r="AN101" s="740">
        <v>2.19</v>
      </c>
      <c r="AO101" s="740">
        <v>2.21</v>
      </c>
      <c r="AP101" s="740">
        <v>2.2200000000000002</v>
      </c>
      <c r="AQ101" s="740">
        <v>2.2400000000000002</v>
      </c>
      <c r="AR101" s="740">
        <v>2.2599999999999998</v>
      </c>
      <c r="AS101" s="740">
        <v>2.27</v>
      </c>
      <c r="AT101" s="740">
        <v>2.29</v>
      </c>
      <c r="AU101" s="740">
        <v>2.2999999999999998</v>
      </c>
      <c r="AV101" s="740">
        <v>2.3199999999999998</v>
      </c>
      <c r="AW101" s="740">
        <v>2.33</v>
      </c>
      <c r="AX101" s="740">
        <v>2.35</v>
      </c>
      <c r="AY101" s="740">
        <v>2.37</v>
      </c>
      <c r="AZ101" s="740">
        <v>2.38</v>
      </c>
      <c r="BA101" s="740">
        <v>2.4</v>
      </c>
      <c r="BB101" s="740">
        <v>2.41</v>
      </c>
      <c r="BC101" s="740">
        <v>2.4300000000000002</v>
      </c>
      <c r="BD101" s="740">
        <v>2.44</v>
      </c>
      <c r="BE101" s="740">
        <v>2.46</v>
      </c>
      <c r="BF101" s="740">
        <v>2.4700000000000002</v>
      </c>
      <c r="BG101" s="740">
        <v>2.4900000000000002</v>
      </c>
      <c r="BH101" s="740">
        <v>2.5099999999999998</v>
      </c>
      <c r="BI101" s="740">
        <v>2.52</v>
      </c>
      <c r="BJ101" s="740">
        <v>2.54</v>
      </c>
      <c r="BK101" s="740">
        <v>2.5499999999999998</v>
      </c>
      <c r="BL101" s="740">
        <v>2.57</v>
      </c>
      <c r="BM101" s="740">
        <v>2.58</v>
      </c>
      <c r="BN101" s="740">
        <v>2.6</v>
      </c>
      <c r="BO101" s="740">
        <v>2.62</v>
      </c>
      <c r="BP101" s="740">
        <v>2.63</v>
      </c>
      <c r="BQ101" s="740">
        <v>2.65</v>
      </c>
      <c r="BR101" s="740">
        <v>2.66</v>
      </c>
      <c r="BS101" s="740">
        <v>2.68</v>
      </c>
      <c r="BT101" s="852">
        <v>2.69</v>
      </c>
      <c r="BU101" s="740">
        <v>2.71</v>
      </c>
      <c r="BV101" s="740">
        <v>2.72</v>
      </c>
      <c r="BW101" s="740">
        <v>2.74</v>
      </c>
      <c r="BX101" s="740">
        <v>2.75</v>
      </c>
      <c r="BY101" s="740">
        <v>2.77</v>
      </c>
      <c r="BZ101" s="740">
        <v>2.78</v>
      </c>
      <c r="CA101" s="740">
        <v>2.8</v>
      </c>
      <c r="CB101" s="740">
        <v>2.81</v>
      </c>
      <c r="CC101" s="740">
        <v>2.83</v>
      </c>
      <c r="CD101" s="740">
        <v>2.84</v>
      </c>
      <c r="CE101" s="740">
        <v>2.86</v>
      </c>
      <c r="CF101" s="740">
        <v>2.87</v>
      </c>
      <c r="CG101" s="740">
        <v>2.89</v>
      </c>
      <c r="CH101" s="740">
        <v>2.9</v>
      </c>
      <c r="CI101" s="740">
        <v>2.92</v>
      </c>
      <c r="CJ101" s="740">
        <v>2.93</v>
      </c>
      <c r="CK101" s="740">
        <v>2.95</v>
      </c>
      <c r="CL101" s="740">
        <v>2.96</v>
      </c>
      <c r="CM101" s="740">
        <v>2.98</v>
      </c>
      <c r="CN101" s="740">
        <v>2.99</v>
      </c>
      <c r="CO101" s="740">
        <v>3.01</v>
      </c>
      <c r="CP101" s="740">
        <v>3.02</v>
      </c>
      <c r="CQ101" s="740">
        <v>3.04</v>
      </c>
      <c r="CR101" s="740">
        <v>3.05</v>
      </c>
      <c r="CS101" s="740">
        <v>3.07</v>
      </c>
      <c r="CT101" s="740">
        <v>3.08</v>
      </c>
      <c r="CU101" s="740">
        <v>3.09</v>
      </c>
      <c r="CV101" s="740">
        <v>3.11</v>
      </c>
      <c r="CW101" s="740">
        <v>3.12</v>
      </c>
      <c r="CX101" s="740">
        <v>3.14</v>
      </c>
      <c r="CY101" s="740">
        <v>3.15</v>
      </c>
      <c r="CZ101" s="740">
        <v>3.17</v>
      </c>
      <c r="DA101" s="740">
        <v>3.18</v>
      </c>
      <c r="DB101" s="740">
        <v>3.19</v>
      </c>
      <c r="DC101" s="740">
        <v>3.21</v>
      </c>
      <c r="DD101" s="740">
        <v>3.22</v>
      </c>
      <c r="DE101" s="740">
        <v>3.23</v>
      </c>
      <c r="DF101" s="740">
        <v>3.25</v>
      </c>
      <c r="DG101" s="740">
        <v>3.26</v>
      </c>
      <c r="DH101" s="740">
        <v>3.28</v>
      </c>
      <c r="DI101" s="740">
        <v>3.29</v>
      </c>
      <c r="DJ101" s="740">
        <v>3.3</v>
      </c>
      <c r="DK101" s="740">
        <v>3.32</v>
      </c>
      <c r="DL101" s="740">
        <v>3.33</v>
      </c>
      <c r="DM101" s="740">
        <v>3.34</v>
      </c>
      <c r="DN101" s="740">
        <v>3.36</v>
      </c>
      <c r="DO101" s="740">
        <v>3.37</v>
      </c>
      <c r="DP101" s="740">
        <v>3.38</v>
      </c>
      <c r="DQ101" s="740">
        <v>3.4</v>
      </c>
      <c r="DR101" s="740">
        <v>3.41</v>
      </c>
    </row>
    <row r="102" spans="1:122">
      <c r="A102" s="906">
        <v>100</v>
      </c>
      <c r="B102" s="92"/>
      <c r="C102" s="92"/>
      <c r="D102" s="92"/>
      <c r="E102" s="92"/>
      <c r="F102" s="92"/>
      <c r="G102" s="92"/>
      <c r="H102" s="92"/>
      <c r="I102" s="92"/>
      <c r="J102" s="92"/>
      <c r="K102" s="92"/>
      <c r="L102" s="92"/>
      <c r="M102" s="92"/>
      <c r="N102" s="92"/>
      <c r="O102" s="92"/>
      <c r="P102" s="92"/>
      <c r="Q102" s="92"/>
      <c r="R102" s="92"/>
      <c r="S102" s="92"/>
      <c r="T102" s="92"/>
      <c r="U102" s="92"/>
      <c r="V102" s="740"/>
      <c r="W102" s="740">
        <v>1.89</v>
      </c>
      <c r="X102" s="740">
        <v>1.83</v>
      </c>
      <c r="Y102" s="740">
        <v>1.87</v>
      </c>
      <c r="Z102" s="740">
        <v>1.88</v>
      </c>
      <c r="AA102" s="740">
        <v>1.9</v>
      </c>
      <c r="AB102" s="740">
        <v>1.91</v>
      </c>
      <c r="AC102" s="740">
        <v>1.93</v>
      </c>
      <c r="AD102" s="740">
        <v>1.94</v>
      </c>
      <c r="AE102" s="740">
        <v>1.95</v>
      </c>
      <c r="AF102" s="740">
        <v>1.96</v>
      </c>
      <c r="AG102" s="740">
        <v>1.98</v>
      </c>
      <c r="AH102" s="740">
        <v>1.99</v>
      </c>
      <c r="AI102" s="740">
        <v>2</v>
      </c>
      <c r="AJ102" s="740">
        <v>2.0099999999999998</v>
      </c>
      <c r="AK102" s="740">
        <v>2.0299999999999998</v>
      </c>
      <c r="AL102" s="740">
        <v>2.04</v>
      </c>
      <c r="AM102" s="740">
        <v>2.0499999999999998</v>
      </c>
      <c r="AN102" s="740">
        <v>2.0699999999999998</v>
      </c>
      <c r="AO102" s="740">
        <v>2.08</v>
      </c>
      <c r="AP102" s="740">
        <v>2.1</v>
      </c>
      <c r="AQ102" s="740">
        <v>2.11</v>
      </c>
      <c r="AR102" s="740">
        <v>2.13</v>
      </c>
      <c r="AS102" s="740">
        <v>2.14</v>
      </c>
      <c r="AT102" s="740">
        <v>2.15</v>
      </c>
      <c r="AU102" s="740">
        <v>2.17</v>
      </c>
      <c r="AV102" s="740">
        <v>2.1800000000000002</v>
      </c>
      <c r="AW102" s="740">
        <v>2.2000000000000002</v>
      </c>
      <c r="AX102" s="740">
        <v>2.21</v>
      </c>
      <c r="AY102" s="740">
        <v>2.23</v>
      </c>
      <c r="AZ102" s="740">
        <v>2.2400000000000002</v>
      </c>
      <c r="BA102" s="740">
        <v>2.2599999999999998</v>
      </c>
      <c r="BB102" s="740">
        <v>2.27</v>
      </c>
      <c r="BC102" s="740">
        <v>2.2799999999999998</v>
      </c>
      <c r="BD102" s="740">
        <v>2.2999999999999998</v>
      </c>
      <c r="BE102" s="740">
        <v>2.31</v>
      </c>
      <c r="BF102" s="740">
        <v>2.33</v>
      </c>
      <c r="BG102" s="740">
        <v>2.34</v>
      </c>
      <c r="BH102" s="740">
        <v>2.36</v>
      </c>
      <c r="BI102" s="740">
        <v>2.37</v>
      </c>
      <c r="BJ102" s="740">
        <v>2.38</v>
      </c>
      <c r="BK102" s="740">
        <v>2.4</v>
      </c>
      <c r="BL102" s="740">
        <v>2.41</v>
      </c>
      <c r="BM102" s="740">
        <v>2.4300000000000002</v>
      </c>
      <c r="BN102" s="740">
        <v>2.44</v>
      </c>
      <c r="BO102" s="740">
        <v>2.46</v>
      </c>
      <c r="BP102" s="740">
        <v>2.4700000000000002</v>
      </c>
      <c r="BQ102" s="740">
        <v>2.48</v>
      </c>
      <c r="BR102" s="740">
        <v>2.5</v>
      </c>
      <c r="BS102" s="740">
        <v>2.5099999999999998</v>
      </c>
      <c r="BT102" s="852">
        <v>2.5299999999999998</v>
      </c>
      <c r="BU102" s="740">
        <v>2.54</v>
      </c>
      <c r="BV102" s="740">
        <v>2.5499999999999998</v>
      </c>
      <c r="BW102" s="740">
        <v>2.57</v>
      </c>
      <c r="BX102" s="740">
        <v>2.58</v>
      </c>
      <c r="BY102" s="740">
        <v>2.6</v>
      </c>
      <c r="BZ102" s="740">
        <v>2.61</v>
      </c>
      <c r="CA102" s="740">
        <v>2.62</v>
      </c>
      <c r="CB102" s="740">
        <v>2.64</v>
      </c>
      <c r="CC102" s="740">
        <v>2.65</v>
      </c>
      <c r="CD102" s="740">
        <v>2.66</v>
      </c>
      <c r="CE102" s="740">
        <v>2.68</v>
      </c>
      <c r="CF102" s="740">
        <v>2.69</v>
      </c>
      <c r="CG102" s="740">
        <v>2.7</v>
      </c>
      <c r="CH102" s="740">
        <v>2.72</v>
      </c>
      <c r="CI102" s="740">
        <v>2.73</v>
      </c>
      <c r="CJ102" s="740">
        <v>2.75</v>
      </c>
      <c r="CK102" s="740">
        <v>2.76</v>
      </c>
      <c r="CL102" s="740">
        <v>2.77</v>
      </c>
      <c r="CM102" s="740">
        <v>2.79</v>
      </c>
      <c r="CN102" s="740">
        <v>2.8</v>
      </c>
      <c r="CO102" s="740">
        <v>2.81</v>
      </c>
      <c r="CP102" s="740">
        <v>2.83</v>
      </c>
      <c r="CQ102" s="740">
        <v>2.84</v>
      </c>
      <c r="CR102" s="740">
        <v>2.85</v>
      </c>
      <c r="CS102" s="740">
        <v>2.86</v>
      </c>
      <c r="CT102" s="740">
        <v>2.88</v>
      </c>
      <c r="CU102" s="740">
        <v>2.89</v>
      </c>
      <c r="CV102" s="740">
        <v>2.9</v>
      </c>
      <c r="CW102" s="740">
        <v>2.92</v>
      </c>
      <c r="CX102" s="740">
        <v>2.93</v>
      </c>
      <c r="CY102" s="740">
        <v>2.94</v>
      </c>
      <c r="CZ102" s="740">
        <v>2.95</v>
      </c>
      <c r="DA102" s="740">
        <v>2.97</v>
      </c>
      <c r="DB102" s="740">
        <v>2.98</v>
      </c>
      <c r="DC102" s="740">
        <v>2.99</v>
      </c>
      <c r="DD102" s="740">
        <v>3.01</v>
      </c>
      <c r="DE102" s="740">
        <v>3.02</v>
      </c>
      <c r="DF102" s="740">
        <v>3.03</v>
      </c>
      <c r="DG102" s="740">
        <v>3.04</v>
      </c>
      <c r="DH102" s="740">
        <v>3.05</v>
      </c>
      <c r="DI102" s="740">
        <v>3.07</v>
      </c>
      <c r="DJ102" s="740">
        <v>3.08</v>
      </c>
      <c r="DK102" s="740">
        <v>3.09</v>
      </c>
      <c r="DL102" s="740">
        <v>3.1</v>
      </c>
      <c r="DM102" s="740">
        <v>3.12</v>
      </c>
      <c r="DN102" s="740">
        <v>3.13</v>
      </c>
      <c r="DO102" s="740">
        <v>3.14</v>
      </c>
      <c r="DP102" s="740">
        <v>3.15</v>
      </c>
      <c r="DQ102" s="740">
        <v>3.16</v>
      </c>
      <c r="DR102" s="740">
        <v>3.18</v>
      </c>
    </row>
    <row r="104" spans="1:122">
      <c r="B104" s="5" t="s">
        <v>373</v>
      </c>
    </row>
  </sheetData>
  <phoneticPr fontId="60"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1953</v>
      </c>
      <c r="B2" s="2094" t="s">
        <v>7</v>
      </c>
      <c r="C2" s="2095" t="s">
        <v>0</v>
      </c>
      <c r="D2" s="2095" t="s">
        <v>1</v>
      </c>
      <c r="E2" s="2095" t="s">
        <v>2</v>
      </c>
      <c r="F2" s="2095" t="s">
        <v>1698</v>
      </c>
      <c r="G2" s="2095" t="s">
        <v>1952</v>
      </c>
      <c r="H2" s="4019" t="s">
        <v>5</v>
      </c>
      <c r="I2" s="4020"/>
      <c r="J2" s="4021"/>
      <c r="K2" s="2105" t="s">
        <v>7</v>
      </c>
      <c r="L2" s="2106" t="s">
        <v>0</v>
      </c>
      <c r="M2" s="2106" t="s">
        <v>1</v>
      </c>
      <c r="N2" s="2106" t="s">
        <v>2</v>
      </c>
      <c r="O2" s="2106" t="s">
        <v>1698</v>
      </c>
      <c r="P2" s="2106" t="str">
        <f>+G2</f>
        <v>Anwartschafts-barwert
Altersrente</v>
      </c>
      <c r="Q2" s="4022" t="s">
        <v>6</v>
      </c>
      <c r="R2" s="4023"/>
      <c r="S2" s="4024"/>
      <c r="T2" s="2110" t="s">
        <v>7</v>
      </c>
      <c r="U2" s="2111" t="s">
        <v>0</v>
      </c>
      <c r="V2" s="2111" t="s">
        <v>1</v>
      </c>
      <c r="W2" s="2111" t="s">
        <v>2</v>
      </c>
      <c r="X2" s="2111" t="s">
        <v>1698</v>
      </c>
      <c r="Y2" s="2111" t="str">
        <f>+P2</f>
        <v>Anwartschafts-barwert
Altersrente</v>
      </c>
      <c r="Z2" s="4025" t="s">
        <v>310</v>
      </c>
      <c r="AA2" s="4026"/>
      <c r="AB2" s="4027"/>
    </row>
    <row r="3" spans="1:28" s="2" customFormat="1" ht="13.5">
      <c r="A3" s="60">
        <v>43111</v>
      </c>
      <c r="B3" s="2096"/>
      <c r="C3" s="2089" t="s">
        <v>17</v>
      </c>
      <c r="D3" s="2089" t="s">
        <v>18</v>
      </c>
      <c r="E3" s="2089" t="s">
        <v>24</v>
      </c>
      <c r="F3" s="2089"/>
      <c r="G3" s="2089"/>
      <c r="H3" s="1108" t="s">
        <v>8</v>
      </c>
      <c r="I3" s="1108" t="s">
        <v>9</v>
      </c>
      <c r="J3" s="2097" t="s">
        <v>10</v>
      </c>
      <c r="K3" s="2107"/>
      <c r="L3" s="1109" t="s">
        <v>19</v>
      </c>
      <c r="M3" s="1109" t="s">
        <v>20</v>
      </c>
      <c r="N3" s="1109" t="s">
        <v>26</v>
      </c>
      <c r="O3" s="1109"/>
      <c r="P3" s="1109"/>
      <c r="Q3" s="1109" t="s">
        <v>8</v>
      </c>
      <c r="R3" s="1109" t="s">
        <v>9</v>
      </c>
      <c r="S3" s="2108" t="s">
        <v>10</v>
      </c>
      <c r="T3" s="2127"/>
      <c r="U3" s="2128" t="s">
        <v>19</v>
      </c>
      <c r="V3" s="2128" t="s">
        <v>20</v>
      </c>
      <c r="W3" s="2128" t="s">
        <v>26</v>
      </c>
      <c r="X3" s="2128" t="s">
        <v>27</v>
      </c>
      <c r="Y3" s="2128"/>
      <c r="Z3" s="2128" t="s">
        <v>8</v>
      </c>
      <c r="AA3" s="2128" t="s">
        <v>9</v>
      </c>
      <c r="AB3" s="2129" t="s">
        <v>10</v>
      </c>
    </row>
    <row r="4" spans="1:28">
      <c r="B4" s="2098">
        <v>20</v>
      </c>
      <c r="C4" s="2090">
        <v>0.26900000000000002</v>
      </c>
      <c r="D4" s="2090">
        <v>4.8979999999999997</v>
      </c>
      <c r="E4" s="2090">
        <v>0.53200000000000003</v>
      </c>
      <c r="F4" s="2090">
        <v>0.53200000000000003</v>
      </c>
      <c r="G4" s="2090">
        <v>4.6289999999999996</v>
      </c>
      <c r="H4" s="2091">
        <v>5.8111903218837774E-2</v>
      </c>
      <c r="I4" s="2091">
        <v>0.11492763015770147</v>
      </c>
      <c r="J4" s="2099">
        <v>0.17303953337653924</v>
      </c>
      <c r="K4" s="2098">
        <v>20</v>
      </c>
      <c r="L4" s="2090">
        <v>0.28100000000000003</v>
      </c>
      <c r="M4" s="2090">
        <v>5.665</v>
      </c>
      <c r="N4" s="2092">
        <v>0.13200000000000001</v>
      </c>
      <c r="O4" s="2090">
        <v>0.13200000000000001</v>
      </c>
      <c r="P4" s="2090">
        <v>5.3840000000000003</v>
      </c>
      <c r="Q4" s="2091">
        <v>5.2191679049034177E-2</v>
      </c>
      <c r="R4" s="2091">
        <v>2.4517087667161961E-2</v>
      </c>
      <c r="S4" s="2099">
        <v>7.6708766716196142E-2</v>
      </c>
      <c r="T4" s="2098">
        <v>20</v>
      </c>
      <c r="U4" s="1707">
        <v>0.27500000000000002</v>
      </c>
      <c r="V4" s="1707">
        <v>5.2814999999999994</v>
      </c>
      <c r="W4" s="1707">
        <v>0.33200000000000002</v>
      </c>
      <c r="X4" s="1707">
        <v>0.33200000000000002</v>
      </c>
      <c r="Y4" s="1707">
        <v>5.0065</v>
      </c>
      <c r="Z4" s="2093">
        <v>5.5151791133935979E-2</v>
      </c>
      <c r="AA4" s="2093">
        <v>6.9722358912431712E-2</v>
      </c>
      <c r="AB4" s="2114">
        <v>0.12487415004636769</v>
      </c>
    </row>
    <row r="5" spans="1:28">
      <c r="B5" s="89">
        <v>21</v>
      </c>
      <c r="C5" s="1">
        <v>0.31</v>
      </c>
      <c r="D5" s="1">
        <v>5.0469999999999997</v>
      </c>
      <c r="E5" s="1">
        <v>0.61899999999999999</v>
      </c>
      <c r="F5" s="1">
        <v>0.61899999999999999</v>
      </c>
      <c r="G5" s="1">
        <v>4.7370000000000001</v>
      </c>
      <c r="H5" s="742">
        <v>6.5442263035676587E-2</v>
      </c>
      <c r="I5" s="742">
        <v>0.13067342199704454</v>
      </c>
      <c r="J5" s="2100">
        <v>0.19611568503272114</v>
      </c>
      <c r="K5" s="89">
        <v>21</v>
      </c>
      <c r="L5" s="1">
        <v>0.33800000000000002</v>
      </c>
      <c r="M5" s="1">
        <v>5.8339999999999996</v>
      </c>
      <c r="N5" s="1427">
        <v>0.16</v>
      </c>
      <c r="O5" s="1">
        <v>0.16</v>
      </c>
      <c r="P5" s="1">
        <v>5.4959999999999996</v>
      </c>
      <c r="Q5" s="742">
        <v>6.1499272197962161E-2</v>
      </c>
      <c r="R5" s="742">
        <v>2.9112081513828242E-2</v>
      </c>
      <c r="S5" s="2100">
        <v>9.061135371179041E-2</v>
      </c>
      <c r="T5" s="89">
        <v>21</v>
      </c>
      <c r="U5" s="741">
        <v>0.32400000000000001</v>
      </c>
      <c r="V5" s="741">
        <v>5.4405000000000001</v>
      </c>
      <c r="W5" s="741">
        <v>0.38950000000000001</v>
      </c>
      <c r="X5" s="741">
        <v>0.38950000000000001</v>
      </c>
      <c r="Y5" s="741">
        <v>5.1165000000000003</v>
      </c>
      <c r="Z5" s="2088">
        <v>6.3470767616819371E-2</v>
      </c>
      <c r="AA5" s="2088">
        <v>7.9892751755436392E-2</v>
      </c>
      <c r="AB5" s="2115">
        <v>0.14336351937225578</v>
      </c>
    </row>
    <row r="6" spans="1:28">
      <c r="B6" s="2098">
        <v>22</v>
      </c>
      <c r="C6" s="2090">
        <v>0.35199999999999998</v>
      </c>
      <c r="D6" s="2090">
        <v>5.1989999999999998</v>
      </c>
      <c r="E6" s="2090">
        <v>0.71099999999999997</v>
      </c>
      <c r="F6" s="2090">
        <v>0.71099999999999997</v>
      </c>
      <c r="G6" s="2090">
        <v>4.8469999999999995</v>
      </c>
      <c r="H6" s="2091">
        <v>7.2622240561171864E-2</v>
      </c>
      <c r="I6" s="2091">
        <v>0.14668867340623065</v>
      </c>
      <c r="J6" s="2099">
        <v>0.21931091396740252</v>
      </c>
      <c r="K6" s="2098">
        <v>22</v>
      </c>
      <c r="L6" s="2090">
        <v>0.39</v>
      </c>
      <c r="M6" s="2090">
        <v>6.008</v>
      </c>
      <c r="N6" s="2092">
        <v>0.185</v>
      </c>
      <c r="O6" s="2090">
        <v>0.185</v>
      </c>
      <c r="P6" s="2090">
        <v>5.6180000000000003</v>
      </c>
      <c r="Q6" s="2091">
        <v>6.9419722321110711E-2</v>
      </c>
      <c r="R6" s="2091">
        <v>3.2929868280526874E-2</v>
      </c>
      <c r="S6" s="2099">
        <v>0.10234959060163759</v>
      </c>
      <c r="T6" s="2098">
        <v>22</v>
      </c>
      <c r="U6" s="1707">
        <v>0.371</v>
      </c>
      <c r="V6" s="1707">
        <v>5.6035000000000004</v>
      </c>
      <c r="W6" s="1707">
        <v>0.44799999999999995</v>
      </c>
      <c r="X6" s="1707">
        <v>0.44799999999999995</v>
      </c>
      <c r="Y6" s="1707">
        <v>5.2324999999999999</v>
      </c>
      <c r="Z6" s="2093">
        <v>7.1020981441141287E-2</v>
      </c>
      <c r="AA6" s="2093">
        <v>8.9809270843378766E-2</v>
      </c>
      <c r="AB6" s="2114">
        <v>0.16083025228452005</v>
      </c>
    </row>
    <row r="7" spans="1:28">
      <c r="B7" s="89">
        <v>23</v>
      </c>
      <c r="C7" s="1">
        <v>0.39500000000000002</v>
      </c>
      <c r="D7" s="1">
        <v>5.3550000000000004</v>
      </c>
      <c r="E7" s="1">
        <v>0.80800000000000005</v>
      </c>
      <c r="F7" s="1">
        <v>0.80800000000000005</v>
      </c>
      <c r="G7" s="1">
        <v>4.9600000000000009</v>
      </c>
      <c r="H7" s="742">
        <v>7.9637096774193533E-2</v>
      </c>
      <c r="I7" s="742">
        <v>0.16290322580645158</v>
      </c>
      <c r="J7" s="2100">
        <v>0.24254032258064512</v>
      </c>
      <c r="K7" s="89">
        <v>23</v>
      </c>
      <c r="L7" s="1">
        <v>0.434</v>
      </c>
      <c r="M7" s="1">
        <v>6.1859999999999999</v>
      </c>
      <c r="N7" s="1427">
        <v>0.20699999999999999</v>
      </c>
      <c r="O7" s="1">
        <v>0.20699999999999999</v>
      </c>
      <c r="P7" s="1">
        <v>5.7519999999999998</v>
      </c>
      <c r="Q7" s="742">
        <v>7.545201668984701E-2</v>
      </c>
      <c r="R7" s="742">
        <v>3.5987482614742695E-2</v>
      </c>
      <c r="S7" s="2100">
        <v>0.11143949930458971</v>
      </c>
      <c r="T7" s="89">
        <v>23</v>
      </c>
      <c r="U7" s="741">
        <v>0.41449999999999998</v>
      </c>
      <c r="V7" s="741">
        <v>5.7705000000000002</v>
      </c>
      <c r="W7" s="741">
        <v>0.50750000000000006</v>
      </c>
      <c r="X7" s="741">
        <v>0.50750000000000006</v>
      </c>
      <c r="Y7" s="741">
        <v>5.3559999999999999</v>
      </c>
      <c r="Z7" s="2088">
        <v>7.7544556732020264E-2</v>
      </c>
      <c r="AA7" s="2088">
        <v>9.9445354210597137E-2</v>
      </c>
      <c r="AB7" s="2115">
        <v>0.1769899109426174</v>
      </c>
    </row>
    <row r="8" spans="1:28">
      <c r="B8" s="2098">
        <v>24</v>
      </c>
      <c r="C8" s="2090">
        <v>0.434</v>
      </c>
      <c r="D8" s="2090">
        <v>5.5149999999999997</v>
      </c>
      <c r="E8" s="2090">
        <v>0.89600000000000002</v>
      </c>
      <c r="F8" s="2090">
        <v>0.89600000000000002</v>
      </c>
      <c r="G8" s="2090">
        <v>5.0809999999999995</v>
      </c>
      <c r="H8" s="2091">
        <v>8.5416256642393232E-2</v>
      </c>
      <c r="I8" s="2091">
        <v>0.17634323951977959</v>
      </c>
      <c r="J8" s="2099">
        <v>0.26175949616217281</v>
      </c>
      <c r="K8" s="2098">
        <v>24</v>
      </c>
      <c r="L8" s="2090">
        <v>0.47299999999999998</v>
      </c>
      <c r="M8" s="2090">
        <v>6.3680000000000003</v>
      </c>
      <c r="N8" s="2092">
        <v>0.22700000000000001</v>
      </c>
      <c r="O8" s="2090">
        <v>0.22700000000000001</v>
      </c>
      <c r="P8" s="2090">
        <v>5.8950000000000005</v>
      </c>
      <c r="Q8" s="2091">
        <v>8.0237489397794737E-2</v>
      </c>
      <c r="R8" s="2091">
        <v>3.8507209499575909E-2</v>
      </c>
      <c r="S8" s="2099">
        <v>0.11874469889737065</v>
      </c>
      <c r="T8" s="2098">
        <v>24</v>
      </c>
      <c r="U8" s="1707">
        <v>0.45350000000000001</v>
      </c>
      <c r="V8" s="1707">
        <v>5.9414999999999996</v>
      </c>
      <c r="W8" s="1707">
        <v>0.5615</v>
      </c>
      <c r="X8" s="1707">
        <v>0.5615</v>
      </c>
      <c r="Y8" s="1707">
        <v>5.4879999999999995</v>
      </c>
      <c r="Z8" s="2093">
        <v>8.2826873020093977E-2</v>
      </c>
      <c r="AA8" s="2093">
        <v>0.10742522450967776</v>
      </c>
      <c r="AB8" s="2114">
        <v>0.19025209752977174</v>
      </c>
    </row>
    <row r="9" spans="1:28">
      <c r="B9" s="89">
        <v>25</v>
      </c>
      <c r="C9" s="1">
        <v>0.46800000000000003</v>
      </c>
      <c r="D9" s="1">
        <v>5.6779999999999999</v>
      </c>
      <c r="E9" s="1">
        <v>0.97899999999999998</v>
      </c>
      <c r="F9" s="1">
        <v>0.97899999999999998</v>
      </c>
      <c r="G9" s="1">
        <v>5.21</v>
      </c>
      <c r="H9" s="742">
        <v>8.9827255278310952E-2</v>
      </c>
      <c r="I9" s="742">
        <v>0.18790786948176583</v>
      </c>
      <c r="J9" s="2100">
        <v>0.27773512476007678</v>
      </c>
      <c r="K9" s="89">
        <v>25</v>
      </c>
      <c r="L9" s="1">
        <v>0.51200000000000001</v>
      </c>
      <c r="M9" s="1">
        <v>6.5549999999999997</v>
      </c>
      <c r="N9" s="1427">
        <v>0.248</v>
      </c>
      <c r="O9" s="1">
        <v>0.248</v>
      </c>
      <c r="P9" s="1">
        <v>6.0429999999999993</v>
      </c>
      <c r="Q9" s="742">
        <v>8.4726129405924222E-2</v>
      </c>
      <c r="R9" s="742">
        <v>4.1039218930994541E-2</v>
      </c>
      <c r="S9" s="2100">
        <v>0.12576534833691877</v>
      </c>
      <c r="T9" s="89">
        <v>25</v>
      </c>
      <c r="U9" s="741">
        <v>0.49</v>
      </c>
      <c r="V9" s="741">
        <v>6.1165000000000003</v>
      </c>
      <c r="W9" s="741">
        <v>0.61349999999999993</v>
      </c>
      <c r="X9" s="741">
        <v>0.61349999999999993</v>
      </c>
      <c r="Y9" s="741">
        <v>5.6265000000000001</v>
      </c>
      <c r="Z9" s="2088">
        <v>8.7276692342117587E-2</v>
      </c>
      <c r="AA9" s="2088">
        <v>0.11447354420638019</v>
      </c>
      <c r="AB9" s="2115">
        <v>0.20175023654849777</v>
      </c>
    </row>
    <row r="10" spans="1:28">
      <c r="B10" s="2098">
        <v>26</v>
      </c>
      <c r="C10" s="2090">
        <v>0.499</v>
      </c>
      <c r="D10" s="2090">
        <v>5.8460000000000001</v>
      </c>
      <c r="E10" s="2090">
        <v>1.0569999999999999</v>
      </c>
      <c r="F10" s="2090">
        <v>1.0569999999999999</v>
      </c>
      <c r="G10" s="2090">
        <v>5.3470000000000004</v>
      </c>
      <c r="H10" s="2091">
        <v>9.3323358892837091E-2</v>
      </c>
      <c r="I10" s="2091">
        <v>0.19768094258462687</v>
      </c>
      <c r="J10" s="2099">
        <v>0.29100430147746398</v>
      </c>
      <c r="K10" s="2098">
        <v>26</v>
      </c>
      <c r="L10" s="2090">
        <v>0.55000000000000004</v>
      </c>
      <c r="M10" s="2090">
        <v>6.7450000000000001</v>
      </c>
      <c r="N10" s="2092">
        <v>0.26800000000000002</v>
      </c>
      <c r="O10" s="2090">
        <v>0.26800000000000002</v>
      </c>
      <c r="P10" s="2090">
        <v>6.1950000000000003</v>
      </c>
      <c r="Q10" s="2091">
        <v>8.8781275221953185E-2</v>
      </c>
      <c r="R10" s="2091">
        <v>4.3260694108151733E-2</v>
      </c>
      <c r="S10" s="2099">
        <v>0.13204196933010492</v>
      </c>
      <c r="T10" s="2098">
        <v>26</v>
      </c>
      <c r="U10" s="1707">
        <v>0.52449999999999997</v>
      </c>
      <c r="V10" s="1707">
        <v>6.2955000000000005</v>
      </c>
      <c r="W10" s="1707">
        <v>0.66249999999999998</v>
      </c>
      <c r="X10" s="1707">
        <v>0.66249999999999998</v>
      </c>
      <c r="Y10" s="1707">
        <v>5.7710000000000008</v>
      </c>
      <c r="Z10" s="2093">
        <v>9.1052317057395138E-2</v>
      </c>
      <c r="AA10" s="2093">
        <v>0.1204708183463893</v>
      </c>
      <c r="AB10" s="2114">
        <v>0.21152313540378445</v>
      </c>
    </row>
    <row r="11" spans="1:28">
      <c r="B11" s="89">
        <v>27</v>
      </c>
      <c r="C11" s="1">
        <v>0.52600000000000002</v>
      </c>
      <c r="D11" s="1">
        <v>6.0170000000000003</v>
      </c>
      <c r="E11" s="1">
        <v>1.133</v>
      </c>
      <c r="F11" s="1">
        <v>1.133</v>
      </c>
      <c r="G11" s="1">
        <v>5.4910000000000005</v>
      </c>
      <c r="H11" s="742">
        <v>9.5793116008013102E-2</v>
      </c>
      <c r="I11" s="742">
        <v>0.20633764341649971</v>
      </c>
      <c r="J11" s="2100">
        <v>0.30213075942451284</v>
      </c>
      <c r="K11" s="89">
        <v>27</v>
      </c>
      <c r="L11" s="1">
        <v>0.58599999999999997</v>
      </c>
      <c r="M11" s="1">
        <v>6.94</v>
      </c>
      <c r="N11" s="1427">
        <v>0.28799999999999998</v>
      </c>
      <c r="O11" s="1">
        <v>0.28799999999999998</v>
      </c>
      <c r="P11" s="1">
        <v>6.3540000000000001</v>
      </c>
      <c r="Q11" s="742">
        <v>9.2225369845766444E-2</v>
      </c>
      <c r="R11" s="742">
        <v>4.5325779036827191E-2</v>
      </c>
      <c r="S11" s="2100">
        <v>0.13755114888259362</v>
      </c>
      <c r="T11" s="89">
        <v>27</v>
      </c>
      <c r="U11" s="741">
        <v>0.55600000000000005</v>
      </c>
      <c r="V11" s="741">
        <v>6.4785000000000004</v>
      </c>
      <c r="W11" s="741">
        <v>0.71050000000000002</v>
      </c>
      <c r="X11" s="741">
        <v>0.71050000000000002</v>
      </c>
      <c r="Y11" s="741">
        <v>5.9225000000000003</v>
      </c>
      <c r="Z11" s="2088">
        <v>9.400924292688978E-2</v>
      </c>
      <c r="AA11" s="2088">
        <v>0.12583171122666345</v>
      </c>
      <c r="AB11" s="2115">
        <v>0.21984095415355323</v>
      </c>
    </row>
    <row r="12" spans="1:28">
      <c r="B12" s="2098">
        <v>28</v>
      </c>
      <c r="C12" s="2090">
        <v>0.55200000000000005</v>
      </c>
      <c r="D12" s="2090">
        <v>6.1920000000000002</v>
      </c>
      <c r="E12" s="2090">
        <v>1.2070000000000001</v>
      </c>
      <c r="F12" s="2090">
        <v>1.2070000000000001</v>
      </c>
      <c r="G12" s="2090">
        <v>5.6400000000000006</v>
      </c>
      <c r="H12" s="2091">
        <v>9.7872340425531917E-2</v>
      </c>
      <c r="I12" s="2091">
        <v>0.21400709219858155</v>
      </c>
      <c r="J12" s="2099">
        <v>0.31187943262411344</v>
      </c>
      <c r="K12" s="2098">
        <v>28</v>
      </c>
      <c r="L12" s="2090">
        <v>0.621</v>
      </c>
      <c r="M12" s="2090">
        <v>7.1379999999999999</v>
      </c>
      <c r="N12" s="2092">
        <v>0.308</v>
      </c>
      <c r="O12" s="2090">
        <v>0.308</v>
      </c>
      <c r="P12" s="2090">
        <v>6.5169999999999995</v>
      </c>
      <c r="Q12" s="2091">
        <v>9.5289243516955668E-2</v>
      </c>
      <c r="R12" s="2091">
        <v>4.7261009667024706E-2</v>
      </c>
      <c r="S12" s="2099">
        <v>0.14255025318398037</v>
      </c>
      <c r="T12" s="2098">
        <v>28</v>
      </c>
      <c r="U12" s="1707">
        <v>0.58650000000000002</v>
      </c>
      <c r="V12" s="1707">
        <v>6.665</v>
      </c>
      <c r="W12" s="1707">
        <v>0.75750000000000006</v>
      </c>
      <c r="X12" s="1707">
        <v>0.75750000000000006</v>
      </c>
      <c r="Y12" s="1707">
        <v>6.0785</v>
      </c>
      <c r="Z12" s="2093">
        <v>9.6580791971243793E-2</v>
      </c>
      <c r="AA12" s="2093">
        <v>0.13063405093280311</v>
      </c>
      <c r="AB12" s="2114">
        <v>0.22721484290404692</v>
      </c>
    </row>
    <row r="13" spans="1:28">
      <c r="B13" s="89">
        <v>29</v>
      </c>
      <c r="C13" s="1">
        <v>0.57499999999999996</v>
      </c>
      <c r="D13" s="1">
        <v>6.3710000000000004</v>
      </c>
      <c r="E13" s="1">
        <v>1.28</v>
      </c>
      <c r="F13" s="1">
        <v>1.28</v>
      </c>
      <c r="G13" s="1">
        <v>5.7960000000000003</v>
      </c>
      <c r="H13" s="742">
        <v>9.9206349206349201E-2</v>
      </c>
      <c r="I13" s="742">
        <v>0.22084195997239475</v>
      </c>
      <c r="J13" s="2100">
        <v>0.32004830917874394</v>
      </c>
      <c r="K13" s="89">
        <v>29</v>
      </c>
      <c r="L13" s="1">
        <v>0.65400000000000003</v>
      </c>
      <c r="M13" s="1">
        <v>7.3410000000000002</v>
      </c>
      <c r="N13" s="1427">
        <v>0.32800000000000001</v>
      </c>
      <c r="O13" s="1">
        <v>0.32800000000000001</v>
      </c>
      <c r="P13" s="1">
        <v>6.6870000000000003</v>
      </c>
      <c r="Q13" s="742">
        <v>9.7801704800358907E-2</v>
      </c>
      <c r="R13" s="742">
        <v>4.9050396291311499E-2</v>
      </c>
      <c r="S13" s="2100">
        <v>0.14685210109167041</v>
      </c>
      <c r="T13" s="89">
        <v>29</v>
      </c>
      <c r="U13" s="741">
        <v>0.61450000000000005</v>
      </c>
      <c r="V13" s="741">
        <v>6.8559999999999999</v>
      </c>
      <c r="W13" s="741">
        <v>0.80400000000000005</v>
      </c>
      <c r="X13" s="741">
        <v>0.80400000000000005</v>
      </c>
      <c r="Y13" s="741">
        <v>6.2415000000000003</v>
      </c>
      <c r="Z13" s="2088">
        <v>9.8504027003354061E-2</v>
      </c>
      <c r="AA13" s="2088">
        <v>0.13494617813185311</v>
      </c>
      <c r="AB13" s="2115">
        <v>0.23345020513520717</v>
      </c>
    </row>
    <row r="14" spans="1:28">
      <c r="B14" s="2098">
        <v>30</v>
      </c>
      <c r="C14" s="2090">
        <v>0.59699999999999998</v>
      </c>
      <c r="D14" s="2090">
        <v>6.5549999999999997</v>
      </c>
      <c r="E14" s="2090">
        <v>1.3520000000000001</v>
      </c>
      <c r="F14" s="2090">
        <v>1.3520000000000001</v>
      </c>
      <c r="G14" s="2090">
        <v>5.9580000000000002</v>
      </c>
      <c r="H14" s="2091">
        <v>0.10020140986908357</v>
      </c>
      <c r="I14" s="2091">
        <v>0.22692178583417255</v>
      </c>
      <c r="J14" s="2099">
        <v>0.3271231957032561</v>
      </c>
      <c r="K14" s="2098">
        <v>30</v>
      </c>
      <c r="L14" s="2090">
        <v>0.68500000000000005</v>
      </c>
      <c r="M14" s="2090">
        <v>7.5469999999999997</v>
      </c>
      <c r="N14" s="2092">
        <v>0.34699999999999998</v>
      </c>
      <c r="O14" s="2090">
        <v>0.34699999999999998</v>
      </c>
      <c r="P14" s="2090">
        <v>6.8620000000000001</v>
      </c>
      <c r="Q14" s="2091">
        <v>9.982512387059167E-2</v>
      </c>
      <c r="R14" s="2091">
        <v>5.0568347420577087E-2</v>
      </c>
      <c r="S14" s="2099">
        <v>0.15039347129116876</v>
      </c>
      <c r="T14" s="2098">
        <v>30</v>
      </c>
      <c r="U14" s="1707">
        <v>0.64100000000000001</v>
      </c>
      <c r="V14" s="1707">
        <v>7.0510000000000002</v>
      </c>
      <c r="W14" s="1707">
        <v>0.84950000000000003</v>
      </c>
      <c r="X14" s="1707">
        <v>0.84950000000000003</v>
      </c>
      <c r="Y14" s="1707">
        <v>6.41</v>
      </c>
      <c r="Z14" s="2093">
        <v>0.10001326686983762</v>
      </c>
      <c r="AA14" s="2093">
        <v>0.13874506662737482</v>
      </c>
      <c r="AB14" s="2114">
        <v>0.23875833349721243</v>
      </c>
    </row>
    <row r="15" spans="1:28">
      <c r="B15" s="89">
        <v>31</v>
      </c>
      <c r="C15" s="1">
        <v>0.61699999999999999</v>
      </c>
      <c r="D15" s="1">
        <v>6.7430000000000003</v>
      </c>
      <c r="E15" s="1">
        <v>1.423</v>
      </c>
      <c r="F15" s="1">
        <v>1.423</v>
      </c>
      <c r="G15" s="1">
        <v>6.1260000000000003</v>
      </c>
      <c r="H15" s="742">
        <v>0.10071825008161932</v>
      </c>
      <c r="I15" s="742">
        <v>0.23228860594188702</v>
      </c>
      <c r="J15" s="2100">
        <v>0.33300685602350633</v>
      </c>
      <c r="K15" s="89">
        <v>31</v>
      </c>
      <c r="L15" s="1">
        <v>0.71299999999999997</v>
      </c>
      <c r="M15" s="1">
        <v>7.758</v>
      </c>
      <c r="N15" s="1427">
        <v>0.36599999999999999</v>
      </c>
      <c r="O15" s="1">
        <v>0.36599999999999999</v>
      </c>
      <c r="P15" s="1">
        <v>7.0449999999999999</v>
      </c>
      <c r="Q15" s="742">
        <v>0.10120652945351312</v>
      </c>
      <c r="R15" s="742">
        <v>5.1951738821859474E-2</v>
      </c>
      <c r="S15" s="2100">
        <v>0.1531582682753726</v>
      </c>
      <c r="T15" s="89">
        <v>31</v>
      </c>
      <c r="U15" s="741">
        <v>0.66500000000000004</v>
      </c>
      <c r="V15" s="741">
        <v>7.2505000000000006</v>
      </c>
      <c r="W15" s="741">
        <v>0.89450000000000007</v>
      </c>
      <c r="X15" s="741">
        <v>0.89450000000000007</v>
      </c>
      <c r="Y15" s="741">
        <v>6.5854999999999997</v>
      </c>
      <c r="Z15" s="2088">
        <v>0.10096238976756622</v>
      </c>
      <c r="AA15" s="2088">
        <v>0.14212017238187324</v>
      </c>
      <c r="AB15" s="2115">
        <v>0.24308256214943946</v>
      </c>
    </row>
    <row r="16" spans="1:28">
      <c r="B16" s="2098">
        <v>32</v>
      </c>
      <c r="C16" s="2090">
        <v>0.63700000000000001</v>
      </c>
      <c r="D16" s="2090">
        <v>6.9370000000000003</v>
      </c>
      <c r="E16" s="2090">
        <v>1.494</v>
      </c>
      <c r="F16" s="2090">
        <v>1.494</v>
      </c>
      <c r="G16" s="2090">
        <v>6.3000000000000007</v>
      </c>
      <c r="H16" s="2091">
        <v>0.1011111111111111</v>
      </c>
      <c r="I16" s="2091">
        <v>0.23714285714285713</v>
      </c>
      <c r="J16" s="2099">
        <v>0.33825396825396825</v>
      </c>
      <c r="K16" s="2098">
        <v>32</v>
      </c>
      <c r="L16" s="2090">
        <v>0.73899999999999999</v>
      </c>
      <c r="M16" s="2090">
        <v>7.9740000000000002</v>
      </c>
      <c r="N16" s="2092">
        <v>0.38500000000000001</v>
      </c>
      <c r="O16" s="2090">
        <v>0.38500000000000001</v>
      </c>
      <c r="P16" s="2090">
        <v>7.2350000000000003</v>
      </c>
      <c r="Q16" s="2091">
        <v>0.10214236351071181</v>
      </c>
      <c r="R16" s="2091">
        <v>5.3213545266067724E-2</v>
      </c>
      <c r="S16" s="2099">
        <v>0.15535590877677952</v>
      </c>
      <c r="T16" s="2098">
        <v>32</v>
      </c>
      <c r="U16" s="1707">
        <v>0.68799999999999994</v>
      </c>
      <c r="V16" s="1707">
        <v>7.4555000000000007</v>
      </c>
      <c r="W16" s="1707">
        <v>0.9395</v>
      </c>
      <c r="X16" s="1707">
        <v>0.9395</v>
      </c>
      <c r="Y16" s="1707">
        <v>6.7675000000000001</v>
      </c>
      <c r="Z16" s="2093">
        <v>0.10162673731091146</v>
      </c>
      <c r="AA16" s="2093">
        <v>0.14517820120446243</v>
      </c>
      <c r="AB16" s="2114">
        <v>0.24680493851537388</v>
      </c>
    </row>
    <row r="17" spans="2:28">
      <c r="B17" s="89">
        <v>33</v>
      </c>
      <c r="C17" s="1">
        <v>0.65400000000000003</v>
      </c>
      <c r="D17" s="1">
        <v>7.1349999999999998</v>
      </c>
      <c r="E17" s="1">
        <v>1.5660000000000001</v>
      </c>
      <c r="F17" s="1">
        <v>1.5660000000000001</v>
      </c>
      <c r="G17" s="1">
        <v>6.4809999999999999</v>
      </c>
      <c r="H17" s="742">
        <v>0.10091035334053387</v>
      </c>
      <c r="I17" s="742">
        <v>0.24162937818237928</v>
      </c>
      <c r="J17" s="2100">
        <v>0.34253973152291317</v>
      </c>
      <c r="K17" s="89">
        <v>33</v>
      </c>
      <c r="L17" s="1">
        <v>0.76200000000000001</v>
      </c>
      <c r="M17" s="1">
        <v>8.1940000000000008</v>
      </c>
      <c r="N17" s="1427">
        <v>0.40200000000000002</v>
      </c>
      <c r="O17" s="1">
        <v>0.40200000000000002</v>
      </c>
      <c r="P17" s="1">
        <v>7.4320000000000004</v>
      </c>
      <c r="Q17" s="742">
        <v>0.10252960172228202</v>
      </c>
      <c r="R17" s="742">
        <v>5.4090419806243274E-2</v>
      </c>
      <c r="S17" s="2100">
        <v>0.15662002152852531</v>
      </c>
      <c r="T17" s="89">
        <v>33</v>
      </c>
      <c r="U17" s="741">
        <v>0.70799999999999996</v>
      </c>
      <c r="V17" s="741">
        <v>7.6645000000000003</v>
      </c>
      <c r="W17" s="741">
        <v>0.98399999999999999</v>
      </c>
      <c r="X17" s="741">
        <v>0.98399999999999999</v>
      </c>
      <c r="Y17" s="741">
        <v>6.9565000000000001</v>
      </c>
      <c r="Z17" s="2088">
        <v>0.10171997753140795</v>
      </c>
      <c r="AA17" s="2088">
        <v>0.14785989899431129</v>
      </c>
      <c r="AB17" s="2115">
        <v>0.24957987652571922</v>
      </c>
    </row>
    <row r="18" spans="2:28">
      <c r="B18" s="2098">
        <v>34</v>
      </c>
      <c r="C18" s="2090">
        <v>0.67</v>
      </c>
      <c r="D18" s="2090">
        <v>7.3390000000000004</v>
      </c>
      <c r="E18" s="2090">
        <v>1.637</v>
      </c>
      <c r="F18" s="2090">
        <v>1.637</v>
      </c>
      <c r="G18" s="2090">
        <v>6.6690000000000005</v>
      </c>
      <c r="H18" s="2091">
        <v>0.10046483730694257</v>
      </c>
      <c r="I18" s="2091">
        <v>0.2454640875693507</v>
      </c>
      <c r="J18" s="2099">
        <v>0.34592892487629329</v>
      </c>
      <c r="K18" s="2098">
        <v>34</v>
      </c>
      <c r="L18" s="2090">
        <v>0.78200000000000003</v>
      </c>
      <c r="M18" s="2090">
        <v>8.4190000000000005</v>
      </c>
      <c r="N18" s="2092">
        <v>0.42</v>
      </c>
      <c r="O18" s="2090">
        <v>0.42</v>
      </c>
      <c r="P18" s="2090">
        <v>7.6370000000000005</v>
      </c>
      <c r="Q18" s="2091">
        <v>0.1023962288856881</v>
      </c>
      <c r="R18" s="2091">
        <v>5.4995417048579277E-2</v>
      </c>
      <c r="S18" s="2099">
        <v>0.15739164593426738</v>
      </c>
      <c r="T18" s="2098">
        <v>34</v>
      </c>
      <c r="U18" s="1707">
        <v>0.72599999999999998</v>
      </c>
      <c r="V18" s="1707">
        <v>7.8790000000000004</v>
      </c>
      <c r="W18" s="1707">
        <v>1.0285</v>
      </c>
      <c r="X18" s="1707">
        <v>1.0285</v>
      </c>
      <c r="Y18" s="1707">
        <v>7.1530000000000005</v>
      </c>
      <c r="Z18" s="2093">
        <v>0.10143053309631533</v>
      </c>
      <c r="AA18" s="2093">
        <v>0.15022975230896499</v>
      </c>
      <c r="AB18" s="2114">
        <v>0.25166028540528035</v>
      </c>
    </row>
    <row r="19" spans="2:28">
      <c r="B19" s="89">
        <v>35</v>
      </c>
      <c r="C19" s="1">
        <v>0.68400000000000005</v>
      </c>
      <c r="D19" s="1">
        <v>7.5469999999999997</v>
      </c>
      <c r="E19" s="1">
        <v>1.7090000000000001</v>
      </c>
      <c r="F19" s="1">
        <v>1.7090000000000001</v>
      </c>
      <c r="G19" s="1">
        <v>6.8629999999999995</v>
      </c>
      <c r="H19" s="742">
        <v>9.9664869590558078E-2</v>
      </c>
      <c r="I19" s="742">
        <v>0.24901646510272479</v>
      </c>
      <c r="J19" s="2100">
        <v>0.34868133469328288</v>
      </c>
      <c r="K19" s="89">
        <v>35</v>
      </c>
      <c r="L19" s="1">
        <v>0.79800000000000004</v>
      </c>
      <c r="M19" s="1">
        <v>8.6470000000000002</v>
      </c>
      <c r="N19" s="1427">
        <v>0.437</v>
      </c>
      <c r="O19" s="1">
        <v>0.437</v>
      </c>
      <c r="P19" s="1">
        <v>7.8490000000000002</v>
      </c>
      <c r="Q19" s="742">
        <v>0.10166900242069053</v>
      </c>
      <c r="R19" s="742">
        <v>5.5675882277997198E-2</v>
      </c>
      <c r="S19" s="2100">
        <v>0.15734488469868774</v>
      </c>
      <c r="T19" s="89">
        <v>35</v>
      </c>
      <c r="U19" s="741">
        <v>0.7410000000000001</v>
      </c>
      <c r="V19" s="741">
        <v>8.0969999999999995</v>
      </c>
      <c r="W19" s="741">
        <v>1.073</v>
      </c>
      <c r="X19" s="741">
        <v>1.073</v>
      </c>
      <c r="Y19" s="741">
        <v>7.3559999999999999</v>
      </c>
      <c r="Z19" s="2088">
        <v>0.10066693600562431</v>
      </c>
      <c r="AA19" s="2088">
        <v>0.15234617369036099</v>
      </c>
      <c r="AB19" s="2115">
        <v>0.25301310969598534</v>
      </c>
    </row>
    <row r="20" spans="2:28">
      <c r="B20" s="2098">
        <v>36</v>
      </c>
      <c r="C20" s="2090">
        <v>0.69499999999999995</v>
      </c>
      <c r="D20" s="2090">
        <v>7.7590000000000003</v>
      </c>
      <c r="E20" s="2090">
        <v>1.7809999999999999</v>
      </c>
      <c r="F20" s="2090">
        <v>1.7809999999999999</v>
      </c>
      <c r="G20" s="2090">
        <v>7.0640000000000001</v>
      </c>
      <c r="H20" s="2091">
        <v>9.838618346545866E-2</v>
      </c>
      <c r="I20" s="2091">
        <v>0.25212344280860699</v>
      </c>
      <c r="J20" s="2099">
        <v>0.35050962627406568</v>
      </c>
      <c r="K20" s="2098">
        <v>36</v>
      </c>
      <c r="L20" s="2090">
        <v>0.81</v>
      </c>
      <c r="M20" s="2090">
        <v>8.8800000000000008</v>
      </c>
      <c r="N20" s="2092">
        <v>0.45300000000000001</v>
      </c>
      <c r="O20" s="2090">
        <v>0.45300000000000001</v>
      </c>
      <c r="P20" s="2090">
        <v>8.07</v>
      </c>
      <c r="Q20" s="2091">
        <v>0.10037174721189591</v>
      </c>
      <c r="R20" s="2091">
        <v>5.6133828996282525E-2</v>
      </c>
      <c r="S20" s="2099">
        <v>0.15650557620817845</v>
      </c>
      <c r="T20" s="2098">
        <v>36</v>
      </c>
      <c r="U20" s="1707">
        <v>0.75249999999999995</v>
      </c>
      <c r="V20" s="1707">
        <v>8.3195000000000014</v>
      </c>
      <c r="W20" s="1707">
        <v>1.117</v>
      </c>
      <c r="X20" s="1707">
        <v>1.117</v>
      </c>
      <c r="Y20" s="1707">
        <v>7.5670000000000002</v>
      </c>
      <c r="Z20" s="2093">
        <v>9.9378965338677294E-2</v>
      </c>
      <c r="AA20" s="2093">
        <v>0.15412863590244474</v>
      </c>
      <c r="AB20" s="2114">
        <v>0.25350760124112204</v>
      </c>
    </row>
    <row r="21" spans="2:28">
      <c r="B21" s="89">
        <v>37</v>
      </c>
      <c r="C21" s="1">
        <v>0.70099999999999996</v>
      </c>
      <c r="D21" s="1">
        <v>7.9740000000000002</v>
      </c>
      <c r="E21" s="1">
        <v>1.853</v>
      </c>
      <c r="F21" s="1">
        <v>1.853</v>
      </c>
      <c r="G21" s="1">
        <v>7.2730000000000006</v>
      </c>
      <c r="H21" s="742">
        <v>9.6383885604289829E-2</v>
      </c>
      <c r="I21" s="742">
        <v>0.25477794582703145</v>
      </c>
      <c r="J21" s="2100">
        <v>0.35116183143132129</v>
      </c>
      <c r="K21" s="89">
        <v>37</v>
      </c>
      <c r="L21" s="1">
        <v>0.81599999999999995</v>
      </c>
      <c r="M21" s="1">
        <v>9.1150000000000002</v>
      </c>
      <c r="N21" s="1427">
        <v>0.46899999999999997</v>
      </c>
      <c r="O21" s="1">
        <v>0.46899999999999997</v>
      </c>
      <c r="P21" s="1">
        <v>8.2989999999999995</v>
      </c>
      <c r="Q21" s="742">
        <v>9.8325099409567421E-2</v>
      </c>
      <c r="R21" s="742">
        <v>5.6512832871430295E-2</v>
      </c>
      <c r="S21" s="2100">
        <v>0.15483793228099771</v>
      </c>
      <c r="T21" s="89">
        <v>37</v>
      </c>
      <c r="U21" s="741">
        <v>0.75849999999999995</v>
      </c>
      <c r="V21" s="741">
        <v>8.5444999999999993</v>
      </c>
      <c r="W21" s="741">
        <v>1.161</v>
      </c>
      <c r="X21" s="741">
        <v>1.161</v>
      </c>
      <c r="Y21" s="741">
        <v>7.7859999999999996</v>
      </c>
      <c r="Z21" s="2088">
        <v>9.7354492506928625E-2</v>
      </c>
      <c r="AA21" s="2088">
        <v>0.15564538934923086</v>
      </c>
      <c r="AB21" s="2115">
        <v>0.25299988185615951</v>
      </c>
    </row>
    <row r="22" spans="2:28">
      <c r="B22" s="2098">
        <v>38</v>
      </c>
      <c r="C22" s="2090">
        <v>0.70099999999999996</v>
      </c>
      <c r="D22" s="2090">
        <v>8.1920000000000002</v>
      </c>
      <c r="E22" s="2090">
        <v>1.925</v>
      </c>
      <c r="F22" s="2090">
        <v>1.925</v>
      </c>
      <c r="G22" s="2090">
        <v>7.4910000000000005</v>
      </c>
      <c r="H22" s="2091">
        <v>9.3578961420371101E-2</v>
      </c>
      <c r="I22" s="2091">
        <v>0.25697503671071953</v>
      </c>
      <c r="J22" s="2099">
        <v>0.35055399813109062</v>
      </c>
      <c r="K22" s="2098">
        <v>38</v>
      </c>
      <c r="L22" s="2090">
        <v>0.81599999999999995</v>
      </c>
      <c r="M22" s="2090">
        <v>9.3539999999999992</v>
      </c>
      <c r="N22" s="2092">
        <v>0.48299999999999998</v>
      </c>
      <c r="O22" s="2090">
        <v>0.48299999999999998</v>
      </c>
      <c r="P22" s="2090">
        <v>8.5379999999999985</v>
      </c>
      <c r="Q22" s="2091">
        <v>9.5572733661278997E-2</v>
      </c>
      <c r="R22" s="2091">
        <v>5.6570625439212936E-2</v>
      </c>
      <c r="S22" s="2099">
        <v>0.15214335910049193</v>
      </c>
      <c r="T22" s="2098">
        <v>38</v>
      </c>
      <c r="U22" s="1707">
        <v>0.75849999999999995</v>
      </c>
      <c r="V22" s="1707">
        <v>8.7729999999999997</v>
      </c>
      <c r="W22" s="1707">
        <v>1.204</v>
      </c>
      <c r="X22" s="1707">
        <v>1.204</v>
      </c>
      <c r="Y22" s="1707">
        <v>8.0145</v>
      </c>
      <c r="Z22" s="2093">
        <v>9.4575847540825042E-2</v>
      </c>
      <c r="AA22" s="2093">
        <v>0.15677283107496623</v>
      </c>
      <c r="AB22" s="2114">
        <v>0.25134867861579124</v>
      </c>
    </row>
    <row r="23" spans="2:28">
      <c r="B23" s="89">
        <v>39</v>
      </c>
      <c r="C23" s="1">
        <v>0.69599999999999995</v>
      </c>
      <c r="D23" s="1">
        <v>8.4139999999999997</v>
      </c>
      <c r="E23" s="1">
        <v>1.9970000000000001</v>
      </c>
      <c r="F23" s="1">
        <v>1.9970000000000001</v>
      </c>
      <c r="G23" s="1">
        <v>7.718</v>
      </c>
      <c r="H23" s="742">
        <v>9.0178802798652494E-2</v>
      </c>
      <c r="I23" s="742">
        <v>0.2587457890645245</v>
      </c>
      <c r="J23" s="2100">
        <v>0.34892459186317698</v>
      </c>
      <c r="K23" s="89">
        <v>39</v>
      </c>
      <c r="L23" s="1">
        <v>0.81</v>
      </c>
      <c r="M23" s="1">
        <v>9.5960000000000001</v>
      </c>
      <c r="N23" s="1427">
        <v>0.497</v>
      </c>
      <c r="O23" s="1">
        <v>0.497</v>
      </c>
      <c r="P23" s="1">
        <v>8.7859999999999996</v>
      </c>
      <c r="Q23" s="742">
        <v>9.2192123833371289E-2</v>
      </c>
      <c r="R23" s="742">
        <v>5.6567266105167317E-2</v>
      </c>
      <c r="S23" s="2100">
        <v>0.1487593899385386</v>
      </c>
      <c r="T23" s="89">
        <v>39</v>
      </c>
      <c r="U23" s="741">
        <v>0.753</v>
      </c>
      <c r="V23" s="741">
        <v>9.004999999999999</v>
      </c>
      <c r="W23" s="741">
        <v>1.2470000000000001</v>
      </c>
      <c r="X23" s="741">
        <v>1.2470000000000001</v>
      </c>
      <c r="Y23" s="741">
        <v>8.2519999999999989</v>
      </c>
      <c r="Z23" s="2088">
        <v>9.1185463316011892E-2</v>
      </c>
      <c r="AA23" s="2088">
        <v>0.15765652758484591</v>
      </c>
      <c r="AB23" s="2115">
        <v>0.24884199090085779</v>
      </c>
    </row>
    <row r="24" spans="2:28">
      <c r="B24" s="2098">
        <v>40</v>
      </c>
      <c r="C24" s="2090">
        <v>0.68799999999999994</v>
      </c>
      <c r="D24" s="2090">
        <v>8.64</v>
      </c>
      <c r="E24" s="2090">
        <v>2.069</v>
      </c>
      <c r="F24" s="2090">
        <v>2.069</v>
      </c>
      <c r="G24" s="2090">
        <v>7.9520000000000008</v>
      </c>
      <c r="H24" s="2091">
        <v>8.6519114688128756E-2</v>
      </c>
      <c r="I24" s="2091">
        <v>0.2601861167002012</v>
      </c>
      <c r="J24" s="2099">
        <v>0.34670523138832998</v>
      </c>
      <c r="K24" s="2098">
        <v>40</v>
      </c>
      <c r="L24" s="2090">
        <v>0.79800000000000004</v>
      </c>
      <c r="M24" s="2090">
        <v>9.8420000000000005</v>
      </c>
      <c r="N24" s="2092">
        <v>0.51100000000000001</v>
      </c>
      <c r="O24" s="2090">
        <v>0.51100000000000001</v>
      </c>
      <c r="P24" s="2090">
        <v>9.0440000000000005</v>
      </c>
      <c r="Q24" s="2091">
        <v>8.8235294117647065E-2</v>
      </c>
      <c r="R24" s="2091">
        <v>5.6501547987616099E-2</v>
      </c>
      <c r="S24" s="2099">
        <v>0.14473684210526316</v>
      </c>
      <c r="T24" s="2098">
        <v>40</v>
      </c>
      <c r="U24" s="1707">
        <v>0.74299999999999999</v>
      </c>
      <c r="V24" s="1707">
        <v>9.2409999999999997</v>
      </c>
      <c r="W24" s="1707">
        <v>1.29</v>
      </c>
      <c r="X24" s="1707">
        <v>1.29</v>
      </c>
      <c r="Y24" s="1707">
        <v>8.4980000000000011</v>
      </c>
      <c r="Z24" s="2093">
        <v>8.7377204402887904E-2</v>
      </c>
      <c r="AA24" s="2093">
        <v>0.15834383234390864</v>
      </c>
      <c r="AB24" s="2114">
        <v>0.24572103674679657</v>
      </c>
    </row>
    <row r="25" spans="2:28">
      <c r="B25" s="89">
        <v>41</v>
      </c>
      <c r="C25" s="1">
        <v>0.67700000000000005</v>
      </c>
      <c r="D25" s="1">
        <v>8.8729999999999993</v>
      </c>
      <c r="E25" s="1">
        <v>2.1429999999999998</v>
      </c>
      <c r="F25" s="1">
        <v>2.1429999999999998</v>
      </c>
      <c r="G25" s="1">
        <v>8.1959999999999997</v>
      </c>
      <c r="H25" s="742">
        <v>8.2601268911664236E-2</v>
      </c>
      <c r="I25" s="742">
        <v>0.26146900927281597</v>
      </c>
      <c r="J25" s="2100">
        <v>0.34407027818448022</v>
      </c>
      <c r="K25" s="89">
        <v>41</v>
      </c>
      <c r="L25" s="1">
        <v>0.78300000000000003</v>
      </c>
      <c r="M25" s="1">
        <v>10.095000000000001</v>
      </c>
      <c r="N25" s="1427">
        <v>0.52400000000000002</v>
      </c>
      <c r="O25" s="1">
        <v>0.52400000000000002</v>
      </c>
      <c r="P25" s="1">
        <v>9.3120000000000012</v>
      </c>
      <c r="Q25" s="742">
        <v>8.4085051546391745E-2</v>
      </c>
      <c r="R25" s="742">
        <v>5.6271477663230235E-2</v>
      </c>
      <c r="S25" s="2100">
        <v>0.14035652920962199</v>
      </c>
      <c r="T25" s="89">
        <v>41</v>
      </c>
      <c r="U25" s="741">
        <v>0.73</v>
      </c>
      <c r="V25" s="741">
        <v>9.484</v>
      </c>
      <c r="W25" s="741">
        <v>1.3334999999999999</v>
      </c>
      <c r="X25" s="741">
        <v>1.3334999999999999</v>
      </c>
      <c r="Y25" s="741">
        <v>8.7540000000000013</v>
      </c>
      <c r="Z25" s="2088">
        <v>8.334316022902799E-2</v>
      </c>
      <c r="AA25" s="2088">
        <v>0.15887024346802309</v>
      </c>
      <c r="AB25" s="2115">
        <v>0.24221340369705111</v>
      </c>
    </row>
    <row r="26" spans="2:28">
      <c r="B26" s="2098">
        <v>42</v>
      </c>
      <c r="C26" s="2090">
        <v>0.66500000000000004</v>
      </c>
      <c r="D26" s="2090">
        <v>9.1140000000000008</v>
      </c>
      <c r="E26" s="2090">
        <v>2.218</v>
      </c>
      <c r="F26" s="2090">
        <v>2.218</v>
      </c>
      <c r="G26" s="2090">
        <v>8.4490000000000016</v>
      </c>
      <c r="H26" s="2091">
        <v>7.8707539353769659E-2</v>
      </c>
      <c r="I26" s="2091">
        <v>0.26251627411527984</v>
      </c>
      <c r="J26" s="2099">
        <v>0.34122381346904951</v>
      </c>
      <c r="K26" s="2098">
        <v>42</v>
      </c>
      <c r="L26" s="2090">
        <v>0.76500000000000001</v>
      </c>
      <c r="M26" s="2090">
        <v>10.353999999999999</v>
      </c>
      <c r="N26" s="2092">
        <v>0.53700000000000003</v>
      </c>
      <c r="O26" s="2090">
        <v>0.53700000000000003</v>
      </c>
      <c r="P26" s="2090">
        <v>9.5889999999999986</v>
      </c>
      <c r="Q26" s="2091">
        <v>7.977891333820003E-2</v>
      </c>
      <c r="R26" s="2091">
        <v>5.6001668578579633E-2</v>
      </c>
      <c r="S26" s="2099">
        <v>0.13578058191677966</v>
      </c>
      <c r="T26" s="2098">
        <v>42</v>
      </c>
      <c r="U26" s="1707">
        <v>0.71500000000000008</v>
      </c>
      <c r="V26" s="1707">
        <v>9.734</v>
      </c>
      <c r="W26" s="1707">
        <v>1.3774999999999999</v>
      </c>
      <c r="X26" s="1707">
        <v>1.3774999999999999</v>
      </c>
      <c r="Y26" s="1707">
        <v>9.0190000000000001</v>
      </c>
      <c r="Z26" s="2093">
        <v>7.9243226345984852E-2</v>
      </c>
      <c r="AA26" s="2093">
        <v>0.15925897134692973</v>
      </c>
      <c r="AB26" s="2114">
        <v>0.23850219769291459</v>
      </c>
    </row>
    <row r="27" spans="2:28">
      <c r="B27" s="89">
        <v>43</v>
      </c>
      <c r="C27" s="1">
        <v>0.65300000000000002</v>
      </c>
      <c r="D27" s="1">
        <v>9.3640000000000008</v>
      </c>
      <c r="E27" s="1">
        <v>2.294</v>
      </c>
      <c r="F27" s="1">
        <v>2.294</v>
      </c>
      <c r="G27" s="1">
        <v>8.7110000000000003</v>
      </c>
      <c r="H27" s="742">
        <v>7.4962690850648606E-2</v>
      </c>
      <c r="I27" s="742">
        <v>0.26334519572953735</v>
      </c>
      <c r="J27" s="2100">
        <v>0.33830788658018596</v>
      </c>
      <c r="K27" s="89">
        <v>43</v>
      </c>
      <c r="L27" s="1">
        <v>0.745</v>
      </c>
      <c r="M27" s="1">
        <v>10.622</v>
      </c>
      <c r="N27" s="1427">
        <v>0.54900000000000004</v>
      </c>
      <c r="O27" s="1">
        <v>0.54900000000000004</v>
      </c>
      <c r="P27" s="1">
        <v>9.8770000000000007</v>
      </c>
      <c r="Q27" s="742">
        <v>7.5427761466032195E-2</v>
      </c>
      <c r="R27" s="742">
        <v>5.5583679254834463E-2</v>
      </c>
      <c r="S27" s="2100">
        <v>0.13101144072086665</v>
      </c>
      <c r="T27" s="89">
        <v>43</v>
      </c>
      <c r="U27" s="741">
        <v>0.69900000000000007</v>
      </c>
      <c r="V27" s="741">
        <v>9.9930000000000003</v>
      </c>
      <c r="W27" s="741">
        <v>1.4215</v>
      </c>
      <c r="X27" s="741">
        <v>1.4215</v>
      </c>
      <c r="Y27" s="741">
        <v>9.2940000000000005</v>
      </c>
      <c r="Z27" s="2088">
        <v>7.51952261583404E-2</v>
      </c>
      <c r="AA27" s="2088">
        <v>0.15946443749218592</v>
      </c>
      <c r="AB27" s="2115">
        <v>0.23465966365052632</v>
      </c>
    </row>
    <row r="28" spans="2:28">
      <c r="B28" s="2098">
        <v>44</v>
      </c>
      <c r="C28" s="2090">
        <v>0.64100000000000001</v>
      </c>
      <c r="D28" s="2090">
        <v>9.6219999999999999</v>
      </c>
      <c r="E28" s="2090">
        <v>2.37</v>
      </c>
      <c r="F28" s="2090">
        <v>2.37</v>
      </c>
      <c r="G28" s="2090">
        <v>8.9809999999999999</v>
      </c>
      <c r="H28" s="2091">
        <v>7.1372898340941987E-2</v>
      </c>
      <c r="I28" s="2091">
        <v>0.26389043536354528</v>
      </c>
      <c r="J28" s="2099">
        <v>0.33526333370448724</v>
      </c>
      <c r="K28" s="2098">
        <v>44</v>
      </c>
      <c r="L28" s="2090">
        <v>0.72299999999999998</v>
      </c>
      <c r="M28" s="2090">
        <v>10.898</v>
      </c>
      <c r="N28" s="2092">
        <v>0.56200000000000006</v>
      </c>
      <c r="O28" s="2090">
        <v>0.56200000000000006</v>
      </c>
      <c r="P28" s="2090">
        <v>10.174999999999999</v>
      </c>
      <c r="Q28" s="2091">
        <v>7.1056511056511062E-2</v>
      </c>
      <c r="R28" s="2091">
        <v>5.5233415233415246E-2</v>
      </c>
      <c r="S28" s="2099">
        <v>0.1262899262899263</v>
      </c>
      <c r="T28" s="2098">
        <v>44</v>
      </c>
      <c r="U28" s="1707">
        <v>0.68199999999999994</v>
      </c>
      <c r="V28" s="1707">
        <v>10.26</v>
      </c>
      <c r="W28" s="1707">
        <v>1.4660000000000002</v>
      </c>
      <c r="X28" s="1707">
        <v>1.4660000000000002</v>
      </c>
      <c r="Y28" s="1707">
        <v>9.5779999999999994</v>
      </c>
      <c r="Z28" s="2093">
        <v>7.1214704698726525E-2</v>
      </c>
      <c r="AA28" s="2093">
        <v>0.15956192529848026</v>
      </c>
      <c r="AB28" s="2114">
        <v>0.23077662999720677</v>
      </c>
    </row>
    <row r="29" spans="2:28">
      <c r="B29" s="89">
        <v>45</v>
      </c>
      <c r="C29" s="1">
        <v>0.627</v>
      </c>
      <c r="D29" s="1">
        <v>9.89</v>
      </c>
      <c r="E29" s="1">
        <v>2.4470000000000001</v>
      </c>
      <c r="F29" s="1">
        <v>2.4470000000000001</v>
      </c>
      <c r="G29" s="1">
        <v>9.2629999999999999</v>
      </c>
      <c r="H29" s="742">
        <v>6.7688653783871316E-2</v>
      </c>
      <c r="I29" s="742">
        <v>0.26416927561265252</v>
      </c>
      <c r="J29" s="2100">
        <v>0.33185792939652381</v>
      </c>
      <c r="K29" s="89">
        <v>45</v>
      </c>
      <c r="L29" s="1">
        <v>0.69899999999999995</v>
      </c>
      <c r="M29" s="1">
        <v>11.183</v>
      </c>
      <c r="N29" s="1427">
        <v>0.57399999999999995</v>
      </c>
      <c r="O29" s="1">
        <v>0.57399999999999995</v>
      </c>
      <c r="P29" s="1">
        <v>10.484</v>
      </c>
      <c r="Q29" s="742">
        <v>6.6673025562762306E-2</v>
      </c>
      <c r="R29" s="742">
        <v>5.475009538344143E-2</v>
      </c>
      <c r="S29" s="2100">
        <v>0.12142312094620374</v>
      </c>
      <c r="T29" s="89">
        <v>45</v>
      </c>
      <c r="U29" s="741">
        <v>0.66300000000000003</v>
      </c>
      <c r="V29" s="741">
        <v>10.5365</v>
      </c>
      <c r="W29" s="741">
        <v>1.5105</v>
      </c>
      <c r="X29" s="741">
        <v>1.5105</v>
      </c>
      <c r="Y29" s="741">
        <v>9.8734999999999999</v>
      </c>
      <c r="Z29" s="2088">
        <v>6.7180839673316811E-2</v>
      </c>
      <c r="AA29" s="2088">
        <v>0.15945968549804698</v>
      </c>
      <c r="AB29" s="2115">
        <v>0.22664052517136377</v>
      </c>
    </row>
    <row r="30" spans="2:28">
      <c r="B30" s="2098">
        <v>46</v>
      </c>
      <c r="C30" s="2090">
        <v>0.61199999999999999</v>
      </c>
      <c r="D30" s="2090">
        <v>10.167999999999999</v>
      </c>
      <c r="E30" s="2090">
        <v>2.524</v>
      </c>
      <c r="F30" s="2090">
        <v>2.524</v>
      </c>
      <c r="G30" s="2090">
        <v>9.5559999999999992</v>
      </c>
      <c r="H30" s="2091">
        <v>6.4043532858936797E-2</v>
      </c>
      <c r="I30" s="2091">
        <v>0.26412724989535374</v>
      </c>
      <c r="J30" s="2099">
        <v>0.32817078275429057</v>
      </c>
      <c r="K30" s="2098">
        <v>46</v>
      </c>
      <c r="L30" s="2090">
        <v>0.67300000000000004</v>
      </c>
      <c r="M30" s="2090">
        <v>11.478</v>
      </c>
      <c r="N30" s="2092">
        <v>0.58499999999999996</v>
      </c>
      <c r="O30" s="2090">
        <v>0.58499999999999996</v>
      </c>
      <c r="P30" s="2090">
        <v>10.805</v>
      </c>
      <c r="Q30" s="2091">
        <v>6.2285978713558544E-2</v>
      </c>
      <c r="R30" s="2091">
        <v>5.4141601110596946E-2</v>
      </c>
      <c r="S30" s="2099">
        <v>0.1164275798241555</v>
      </c>
      <c r="T30" s="2098">
        <v>46</v>
      </c>
      <c r="U30" s="1707">
        <v>0.64250000000000007</v>
      </c>
      <c r="V30" s="1707">
        <v>10.823</v>
      </c>
      <c r="W30" s="1707">
        <v>1.5545</v>
      </c>
      <c r="X30" s="1707">
        <v>1.5545</v>
      </c>
      <c r="Y30" s="1707">
        <v>10.180499999999999</v>
      </c>
      <c r="Z30" s="2093">
        <v>6.3164755786247667E-2</v>
      </c>
      <c r="AA30" s="2093">
        <v>0.15913442550297535</v>
      </c>
      <c r="AB30" s="2114">
        <v>0.22229918128922305</v>
      </c>
    </row>
    <row r="31" spans="2:28">
      <c r="B31" s="89">
        <v>47</v>
      </c>
      <c r="C31" s="1">
        <v>0.59399999999999997</v>
      </c>
      <c r="D31" s="1">
        <v>10.454000000000001</v>
      </c>
      <c r="E31" s="1">
        <v>2.6</v>
      </c>
      <c r="F31" s="1">
        <v>2.6</v>
      </c>
      <c r="G31" s="1">
        <v>9.8600000000000012</v>
      </c>
      <c r="H31" s="742">
        <v>6.0243407707910743E-2</v>
      </c>
      <c r="I31" s="742">
        <v>0.26369168356997968</v>
      </c>
      <c r="J31" s="2100">
        <v>0.32393509127789044</v>
      </c>
      <c r="K31" s="89">
        <v>47</v>
      </c>
      <c r="L31" s="1">
        <v>0.64600000000000002</v>
      </c>
      <c r="M31" s="1">
        <v>11.781000000000001</v>
      </c>
      <c r="N31" s="1427">
        <v>0.59699999999999998</v>
      </c>
      <c r="O31" s="1">
        <v>0.59699999999999998</v>
      </c>
      <c r="P31" s="1">
        <v>11.135</v>
      </c>
      <c r="Q31" s="742">
        <v>5.8015267175572524E-2</v>
      </c>
      <c r="R31" s="742">
        <v>5.3614728334081721E-2</v>
      </c>
      <c r="S31" s="2100">
        <v>0.11162999550965425</v>
      </c>
      <c r="T31" s="89">
        <v>47</v>
      </c>
      <c r="U31" s="741">
        <v>0.62</v>
      </c>
      <c r="V31" s="741">
        <v>11.1175</v>
      </c>
      <c r="W31" s="741">
        <v>1.5985</v>
      </c>
      <c r="X31" s="741">
        <v>1.5985</v>
      </c>
      <c r="Y31" s="741">
        <v>10.4975</v>
      </c>
      <c r="Z31" s="2088">
        <v>5.9129337441741633E-2</v>
      </c>
      <c r="AA31" s="2088">
        <v>0.1586532059520307</v>
      </c>
      <c r="AB31" s="2115">
        <v>0.21778254339377234</v>
      </c>
    </row>
    <row r="32" spans="2:28">
      <c r="B32" s="2098">
        <v>48</v>
      </c>
      <c r="C32" s="2090">
        <v>0.57299999999999995</v>
      </c>
      <c r="D32" s="2090">
        <v>10.75</v>
      </c>
      <c r="E32" s="2090">
        <v>2.6760000000000002</v>
      </c>
      <c r="F32" s="2090">
        <v>2.6760000000000002</v>
      </c>
      <c r="G32" s="2090">
        <v>10.177</v>
      </c>
      <c r="H32" s="2091">
        <v>5.6303429301365823E-2</v>
      </c>
      <c r="I32" s="2091">
        <v>0.26294585830794931</v>
      </c>
      <c r="J32" s="2099">
        <v>0.31924928760931515</v>
      </c>
      <c r="K32" s="2098">
        <v>48</v>
      </c>
      <c r="L32" s="2090">
        <v>0.61499999999999999</v>
      </c>
      <c r="M32" s="2090">
        <v>12.095000000000001</v>
      </c>
      <c r="N32" s="2092">
        <v>0.60699999999999998</v>
      </c>
      <c r="O32" s="2090">
        <v>0.60699999999999998</v>
      </c>
      <c r="P32" s="2090">
        <v>11.48</v>
      </c>
      <c r="Q32" s="2091">
        <v>5.3571428571428568E-2</v>
      </c>
      <c r="R32" s="2091">
        <v>5.2874564459930308E-2</v>
      </c>
      <c r="S32" s="2099">
        <v>0.10644599303135888</v>
      </c>
      <c r="T32" s="2098">
        <v>48</v>
      </c>
      <c r="U32" s="1707">
        <v>0.59399999999999997</v>
      </c>
      <c r="V32" s="1707">
        <v>11.422499999999999</v>
      </c>
      <c r="W32" s="1707">
        <v>1.6415000000000002</v>
      </c>
      <c r="X32" s="1707">
        <v>1.6415000000000002</v>
      </c>
      <c r="Y32" s="1707">
        <v>10.8285</v>
      </c>
      <c r="Z32" s="2093">
        <v>5.4937428936397192E-2</v>
      </c>
      <c r="AA32" s="2093">
        <v>0.15791021138393982</v>
      </c>
      <c r="AB32" s="2114">
        <v>0.21284764032033701</v>
      </c>
    </row>
    <row r="33" spans="2:28">
      <c r="B33" s="89">
        <v>49</v>
      </c>
      <c r="C33" s="1">
        <v>0.54800000000000004</v>
      </c>
      <c r="D33" s="1">
        <v>11.055</v>
      </c>
      <c r="E33" s="1">
        <v>2.75</v>
      </c>
      <c r="F33" s="1">
        <v>2.75</v>
      </c>
      <c r="G33" s="1">
        <v>10.507</v>
      </c>
      <c r="H33" s="742">
        <v>5.2155705719996198E-2</v>
      </c>
      <c r="I33" s="742">
        <v>0.2617302750547254</v>
      </c>
      <c r="J33" s="2100">
        <v>0.31388598077472163</v>
      </c>
      <c r="K33" s="89">
        <v>49</v>
      </c>
      <c r="L33" s="1">
        <v>0.58199999999999996</v>
      </c>
      <c r="M33" s="1">
        <v>12.417</v>
      </c>
      <c r="N33" s="1427">
        <v>0.61699999999999999</v>
      </c>
      <c r="O33" s="1">
        <v>0.61699999999999999</v>
      </c>
      <c r="P33" s="1">
        <v>11.834999999999999</v>
      </c>
      <c r="Q33" s="742">
        <v>4.9176172370088721E-2</v>
      </c>
      <c r="R33" s="742">
        <v>5.2133502323616396E-2</v>
      </c>
      <c r="S33" s="2100">
        <v>0.10130967469370511</v>
      </c>
      <c r="T33" s="89">
        <v>49</v>
      </c>
      <c r="U33" s="741">
        <v>0.56499999999999995</v>
      </c>
      <c r="V33" s="741">
        <v>11.736000000000001</v>
      </c>
      <c r="W33" s="741">
        <v>1.6835</v>
      </c>
      <c r="X33" s="741">
        <v>1.6835</v>
      </c>
      <c r="Y33" s="741">
        <v>11.170999999999999</v>
      </c>
      <c r="Z33" s="2088">
        <v>5.0665939045042463E-2</v>
      </c>
      <c r="AA33" s="2088">
        <v>0.15693188868917091</v>
      </c>
      <c r="AB33" s="2115">
        <v>0.20759782773421337</v>
      </c>
    </row>
    <row r="34" spans="2:28">
      <c r="B34" s="2098">
        <v>50</v>
      </c>
      <c r="C34" s="2090">
        <v>0.51900000000000002</v>
      </c>
      <c r="D34" s="2090">
        <v>11.37</v>
      </c>
      <c r="E34" s="2090">
        <v>2.8210000000000002</v>
      </c>
      <c r="F34" s="2090">
        <v>2.8210000000000002</v>
      </c>
      <c r="G34" s="2090">
        <v>10.850999999999999</v>
      </c>
      <c r="H34" s="2091">
        <v>4.7829693115841863E-2</v>
      </c>
      <c r="I34" s="2091">
        <v>0.25997603907473971</v>
      </c>
      <c r="J34" s="2099">
        <v>0.30780573219058155</v>
      </c>
      <c r="K34" s="2098">
        <v>50</v>
      </c>
      <c r="L34" s="2090">
        <v>0.54500000000000004</v>
      </c>
      <c r="M34" s="2090">
        <v>12.75</v>
      </c>
      <c r="N34" s="2092">
        <v>0.626</v>
      </c>
      <c r="O34" s="2090">
        <v>0.626</v>
      </c>
      <c r="P34" s="2090">
        <v>12.205</v>
      </c>
      <c r="Q34" s="2091">
        <v>4.4653830397378129E-2</v>
      </c>
      <c r="R34" s="2091">
        <v>5.1290454731667351E-2</v>
      </c>
      <c r="S34" s="2099">
        <v>9.5944285129045487E-2</v>
      </c>
      <c r="T34" s="2098">
        <v>50</v>
      </c>
      <c r="U34" s="1707">
        <v>0.53200000000000003</v>
      </c>
      <c r="V34" s="1707">
        <v>12.059999999999999</v>
      </c>
      <c r="W34" s="1707">
        <v>1.7235</v>
      </c>
      <c r="X34" s="1707">
        <v>1.7235</v>
      </c>
      <c r="Y34" s="1707">
        <v>11.527999999999999</v>
      </c>
      <c r="Z34" s="2093">
        <v>4.6241761756609996E-2</v>
      </c>
      <c r="AA34" s="2093">
        <v>0.15563324690320351</v>
      </c>
      <c r="AB34" s="2114">
        <v>0.2018750086598135</v>
      </c>
    </row>
    <row r="35" spans="2:28">
      <c r="B35" s="89">
        <v>51</v>
      </c>
      <c r="C35" s="1">
        <v>0.48499999999999999</v>
      </c>
      <c r="D35" s="1">
        <v>11.695</v>
      </c>
      <c r="E35" s="1">
        <v>2.891</v>
      </c>
      <c r="F35" s="1">
        <v>2.891</v>
      </c>
      <c r="G35" s="1">
        <v>11.21</v>
      </c>
      <c r="H35" s="742">
        <v>4.3264942016057087E-2</v>
      </c>
      <c r="I35" s="742">
        <v>0.25789473684210523</v>
      </c>
      <c r="J35" s="2100">
        <v>0.30115967885816231</v>
      </c>
      <c r="K35" s="89">
        <v>51</v>
      </c>
      <c r="L35" s="1">
        <v>0.504</v>
      </c>
      <c r="M35" s="1">
        <v>13.092000000000001</v>
      </c>
      <c r="N35" s="1427">
        <v>0.63300000000000001</v>
      </c>
      <c r="O35" s="1">
        <v>0.63300000000000001</v>
      </c>
      <c r="P35" s="1">
        <v>12.588000000000001</v>
      </c>
      <c r="Q35" s="742">
        <v>4.0038131553860816E-2</v>
      </c>
      <c r="R35" s="742">
        <v>5.0285986653956144E-2</v>
      </c>
      <c r="S35" s="2100">
        <v>9.0324118207816967E-2</v>
      </c>
      <c r="T35" s="89">
        <v>51</v>
      </c>
      <c r="U35" s="741">
        <v>0.4945</v>
      </c>
      <c r="V35" s="741">
        <v>12.3935</v>
      </c>
      <c r="W35" s="741">
        <v>1.762</v>
      </c>
      <c r="X35" s="741">
        <v>1.762</v>
      </c>
      <c r="Y35" s="741">
        <v>11.899000000000001</v>
      </c>
      <c r="Z35" s="2088">
        <v>4.1651536784958948E-2</v>
      </c>
      <c r="AA35" s="2088">
        <v>0.1540903617480307</v>
      </c>
      <c r="AB35" s="2115">
        <v>0.19574189853298962</v>
      </c>
    </row>
    <row r="36" spans="2:28">
      <c r="B36" s="2098">
        <v>52</v>
      </c>
      <c r="C36" s="2090">
        <v>0.44700000000000001</v>
      </c>
      <c r="D36" s="2090">
        <v>12.032</v>
      </c>
      <c r="E36" s="2090">
        <v>2.9590000000000001</v>
      </c>
      <c r="F36" s="2090">
        <v>2.9590000000000001</v>
      </c>
      <c r="G36" s="2090">
        <v>11.585000000000001</v>
      </c>
      <c r="H36" s="2091">
        <v>3.8584376348726801E-2</v>
      </c>
      <c r="I36" s="2091">
        <v>0.25541648683642643</v>
      </c>
      <c r="J36" s="2099">
        <v>0.29400086318515323</v>
      </c>
      <c r="K36" s="2098">
        <v>52</v>
      </c>
      <c r="L36" s="2090">
        <v>0.45900000000000002</v>
      </c>
      <c r="M36" s="2090">
        <v>13.445</v>
      </c>
      <c r="N36" s="2092">
        <v>0.64</v>
      </c>
      <c r="O36" s="2090">
        <v>0.64</v>
      </c>
      <c r="P36" s="2090">
        <v>12.986000000000001</v>
      </c>
      <c r="Q36" s="2091">
        <v>3.5345756969043587E-2</v>
      </c>
      <c r="R36" s="2091">
        <v>4.9283844139842908E-2</v>
      </c>
      <c r="S36" s="2099">
        <v>8.4629601108886496E-2</v>
      </c>
      <c r="T36" s="2098">
        <v>52</v>
      </c>
      <c r="U36" s="1707">
        <v>0.45300000000000001</v>
      </c>
      <c r="V36" s="1707">
        <v>12.7385</v>
      </c>
      <c r="W36" s="1707">
        <v>1.7995000000000001</v>
      </c>
      <c r="X36" s="1707">
        <v>1.7995000000000001</v>
      </c>
      <c r="Y36" s="1707">
        <v>12.285500000000001</v>
      </c>
      <c r="Z36" s="2093">
        <v>3.6965066658885194E-2</v>
      </c>
      <c r="AA36" s="2093">
        <v>0.15235016548813468</v>
      </c>
      <c r="AB36" s="2114">
        <v>0.18931523214701987</v>
      </c>
    </row>
    <row r="37" spans="2:28">
      <c r="B37" s="89">
        <v>53</v>
      </c>
      <c r="C37" s="1">
        <v>0.40500000000000003</v>
      </c>
      <c r="D37" s="1">
        <v>12.381</v>
      </c>
      <c r="E37" s="1">
        <v>3.0249999999999999</v>
      </c>
      <c r="F37" s="1">
        <v>3.0249999999999999</v>
      </c>
      <c r="G37" s="1">
        <v>11.976000000000001</v>
      </c>
      <c r="H37" s="742">
        <v>3.3817635270541081E-2</v>
      </c>
      <c r="I37" s="742">
        <v>0.2525885103540414</v>
      </c>
      <c r="J37" s="2100">
        <v>0.2864061456245825</v>
      </c>
      <c r="K37" s="89">
        <v>53</v>
      </c>
      <c r="L37" s="1">
        <v>0.41099999999999998</v>
      </c>
      <c r="M37" s="1">
        <v>13.808</v>
      </c>
      <c r="N37" s="1427">
        <v>0.64500000000000002</v>
      </c>
      <c r="O37" s="1">
        <v>0.64500000000000002</v>
      </c>
      <c r="P37" s="1">
        <v>13.397</v>
      </c>
      <c r="Q37" s="742">
        <v>3.0678510114204669E-2</v>
      </c>
      <c r="R37" s="742">
        <v>4.8145107113532884E-2</v>
      </c>
      <c r="S37" s="2100">
        <v>7.882361722773755E-2</v>
      </c>
      <c r="T37" s="89">
        <v>53</v>
      </c>
      <c r="U37" s="741">
        <v>0.40800000000000003</v>
      </c>
      <c r="V37" s="741">
        <v>13.0945</v>
      </c>
      <c r="W37" s="741">
        <v>1.835</v>
      </c>
      <c r="X37" s="741">
        <v>1.835</v>
      </c>
      <c r="Y37" s="741">
        <v>12.686500000000001</v>
      </c>
      <c r="Z37" s="2088">
        <v>3.2248072692372877E-2</v>
      </c>
      <c r="AA37" s="2088">
        <v>0.15036680873378713</v>
      </c>
      <c r="AB37" s="2115">
        <v>0.18261488142616003</v>
      </c>
    </row>
    <row r="38" spans="2:28">
      <c r="B38" s="2098">
        <v>54</v>
      </c>
      <c r="C38" s="2090">
        <v>0.35899999999999999</v>
      </c>
      <c r="D38" s="2090">
        <v>12.743</v>
      </c>
      <c r="E38" s="2090">
        <v>3.0880000000000001</v>
      </c>
      <c r="F38" s="2090">
        <v>3.0880000000000001</v>
      </c>
      <c r="G38" s="2090">
        <v>12.384</v>
      </c>
      <c r="H38" s="2091">
        <v>2.8989018087855294E-2</v>
      </c>
      <c r="I38" s="2091">
        <v>0.24935400516795866</v>
      </c>
      <c r="J38" s="2099">
        <v>0.27834302325581395</v>
      </c>
      <c r="K38" s="2098">
        <v>54</v>
      </c>
      <c r="L38" s="2090">
        <v>0.35799999999999998</v>
      </c>
      <c r="M38" s="2090">
        <v>14.182</v>
      </c>
      <c r="N38" s="2092">
        <v>0.65</v>
      </c>
      <c r="O38" s="2090">
        <v>0.65</v>
      </c>
      <c r="P38" s="2090">
        <v>13.824</v>
      </c>
      <c r="Q38" s="2091">
        <v>2.5896990740740741E-2</v>
      </c>
      <c r="R38" s="2091">
        <v>4.701967592592593E-2</v>
      </c>
      <c r="S38" s="2099">
        <v>7.2916666666666671E-2</v>
      </c>
      <c r="T38" s="2098">
        <v>54</v>
      </c>
      <c r="U38" s="1707">
        <v>0.35849999999999999</v>
      </c>
      <c r="V38" s="1707">
        <v>13.4625</v>
      </c>
      <c r="W38" s="1707">
        <v>1.869</v>
      </c>
      <c r="X38" s="1707">
        <v>1.869</v>
      </c>
      <c r="Y38" s="1707">
        <v>13.103999999999999</v>
      </c>
      <c r="Z38" s="2093">
        <v>2.744300441429802E-2</v>
      </c>
      <c r="AA38" s="2093">
        <v>0.14818684054694231</v>
      </c>
      <c r="AB38" s="2114">
        <v>0.17562984496124032</v>
      </c>
    </row>
    <row r="39" spans="2:28">
      <c r="B39" s="89">
        <v>55</v>
      </c>
      <c r="C39" s="1">
        <v>0.308</v>
      </c>
      <c r="D39" s="1">
        <v>13.118</v>
      </c>
      <c r="E39" s="1">
        <v>3.15</v>
      </c>
      <c r="F39" s="1">
        <v>3.15</v>
      </c>
      <c r="G39" s="1">
        <v>12.81</v>
      </c>
      <c r="H39" s="742">
        <v>2.4043715846994534E-2</v>
      </c>
      <c r="I39" s="742">
        <v>0.24590163934426229</v>
      </c>
      <c r="J39" s="2100">
        <v>0.26994535519125684</v>
      </c>
      <c r="K39" s="89">
        <v>55</v>
      </c>
      <c r="L39" s="1">
        <v>0.30299999999999999</v>
      </c>
      <c r="M39" s="1">
        <v>14.569000000000001</v>
      </c>
      <c r="N39" s="1427">
        <v>0.65300000000000002</v>
      </c>
      <c r="O39" s="1">
        <v>0.65300000000000002</v>
      </c>
      <c r="P39" s="1">
        <v>14.266</v>
      </c>
      <c r="Q39" s="742">
        <v>2.1239310248142435E-2</v>
      </c>
      <c r="R39" s="742">
        <v>4.577316697041918E-2</v>
      </c>
      <c r="S39" s="2100">
        <v>6.7012477218561614E-2</v>
      </c>
      <c r="T39" s="89">
        <v>55</v>
      </c>
      <c r="U39" s="741">
        <v>0.30549999999999999</v>
      </c>
      <c r="V39" s="741">
        <v>13.843500000000001</v>
      </c>
      <c r="W39" s="741">
        <v>1.9015</v>
      </c>
      <c r="X39" s="741">
        <v>1.9015</v>
      </c>
      <c r="Y39" s="741">
        <v>13.538</v>
      </c>
      <c r="Z39" s="2088">
        <v>2.2641513047568486E-2</v>
      </c>
      <c r="AA39" s="2088">
        <v>0.14583740315734073</v>
      </c>
      <c r="AB39" s="2115">
        <v>0.16847891620490923</v>
      </c>
    </row>
    <row r="40" spans="2:28">
      <c r="B40" s="2098">
        <v>56</v>
      </c>
      <c r="C40" s="2090">
        <v>0.254</v>
      </c>
      <c r="D40" s="2090">
        <v>13.506</v>
      </c>
      <c r="E40" s="2090">
        <v>3.2109999999999999</v>
      </c>
      <c r="F40" s="2090">
        <v>3.2109999999999999</v>
      </c>
      <c r="G40" s="2090">
        <v>13.252000000000001</v>
      </c>
      <c r="H40" s="2091">
        <v>1.916691820102626E-2</v>
      </c>
      <c r="I40" s="2091">
        <v>0.24230304859643825</v>
      </c>
      <c r="J40" s="2099">
        <v>0.26146996679746454</v>
      </c>
      <c r="K40" s="2098">
        <v>56</v>
      </c>
      <c r="L40" s="2090">
        <v>0.245</v>
      </c>
      <c r="M40" s="2090">
        <v>14.968999999999999</v>
      </c>
      <c r="N40" s="2092">
        <v>0.65500000000000003</v>
      </c>
      <c r="O40" s="2090">
        <v>0.65500000000000003</v>
      </c>
      <c r="P40" s="2090">
        <v>14.724</v>
      </c>
      <c r="Q40" s="2091">
        <v>1.6639500135832652E-2</v>
      </c>
      <c r="R40" s="2091">
        <v>4.4485194240695462E-2</v>
      </c>
      <c r="S40" s="2099">
        <v>6.1124694376528114E-2</v>
      </c>
      <c r="T40" s="2098">
        <v>56</v>
      </c>
      <c r="U40" s="1707">
        <v>0.2495</v>
      </c>
      <c r="V40" s="1707">
        <v>14.237500000000001</v>
      </c>
      <c r="W40" s="1707">
        <v>1.9329999999999998</v>
      </c>
      <c r="X40" s="1707">
        <v>1.9329999999999998</v>
      </c>
      <c r="Y40" s="1707">
        <v>13.988</v>
      </c>
      <c r="Z40" s="2093">
        <v>1.7903209168429454E-2</v>
      </c>
      <c r="AA40" s="2093">
        <v>0.14339412141856686</v>
      </c>
      <c r="AB40" s="2114">
        <v>0.16129733058699633</v>
      </c>
    </row>
    <row r="41" spans="2:28">
      <c r="B41" s="89">
        <v>57</v>
      </c>
      <c r="C41" s="1">
        <v>0.19800000000000001</v>
      </c>
      <c r="D41" s="1">
        <v>13.911</v>
      </c>
      <c r="E41" s="1">
        <v>3.2709999999999999</v>
      </c>
      <c r="F41" s="1">
        <v>3.2709999999999999</v>
      </c>
      <c r="G41" s="1">
        <v>13.712999999999999</v>
      </c>
      <c r="H41" s="742">
        <v>1.4438853642528988E-2</v>
      </c>
      <c r="I41" s="742">
        <v>0.23853277911470869</v>
      </c>
      <c r="J41" s="2100">
        <v>0.25297163275723766</v>
      </c>
      <c r="K41" s="89">
        <v>57</v>
      </c>
      <c r="L41" s="1">
        <v>0.187</v>
      </c>
      <c r="M41" s="1">
        <v>15.385</v>
      </c>
      <c r="N41" s="1427">
        <v>0.65700000000000003</v>
      </c>
      <c r="O41" s="1">
        <v>0.65700000000000003</v>
      </c>
      <c r="P41" s="1">
        <v>15.198</v>
      </c>
      <c r="Q41" s="742">
        <v>1.2304250559284116E-2</v>
      </c>
      <c r="R41" s="742">
        <v>4.3229372285827086E-2</v>
      </c>
      <c r="S41" s="2100">
        <v>5.5533622845111201E-2</v>
      </c>
      <c r="T41" s="89">
        <v>57</v>
      </c>
      <c r="U41" s="741">
        <v>0.1925</v>
      </c>
      <c r="V41" s="741">
        <v>14.648</v>
      </c>
      <c r="W41" s="741">
        <v>1.964</v>
      </c>
      <c r="X41" s="741">
        <v>1.964</v>
      </c>
      <c r="Y41" s="741">
        <v>14.455500000000001</v>
      </c>
      <c r="Z41" s="2088">
        <v>1.3371552100906552E-2</v>
      </c>
      <c r="AA41" s="2088">
        <v>0.14088107570026789</v>
      </c>
      <c r="AB41" s="2115">
        <v>0.15425262780117444</v>
      </c>
    </row>
    <row r="42" spans="2:28">
      <c r="B42" s="2098">
        <v>58</v>
      </c>
      <c r="C42" s="2090">
        <v>0.14299999999999999</v>
      </c>
      <c r="D42" s="2090">
        <v>14.332000000000001</v>
      </c>
      <c r="E42" s="2090">
        <v>3.3330000000000002</v>
      </c>
      <c r="F42" s="2090">
        <v>3.3330000000000002</v>
      </c>
      <c r="G42" s="2090">
        <v>14.189</v>
      </c>
      <c r="H42" s="2091">
        <v>1.0078229614490097E-2</v>
      </c>
      <c r="I42" s="2091">
        <v>0.23490027486080767</v>
      </c>
      <c r="J42" s="2099">
        <v>0.24497850447529776</v>
      </c>
      <c r="K42" s="2098">
        <v>58</v>
      </c>
      <c r="L42" s="2090">
        <v>0.13100000000000001</v>
      </c>
      <c r="M42" s="2090">
        <v>15.819000000000001</v>
      </c>
      <c r="N42" s="2092">
        <v>0.65800000000000003</v>
      </c>
      <c r="O42" s="2090">
        <v>0.65800000000000003</v>
      </c>
      <c r="P42" s="2090">
        <v>15.688000000000001</v>
      </c>
      <c r="Q42" s="2091">
        <v>8.35033146353901E-3</v>
      </c>
      <c r="R42" s="2091">
        <v>4.1942886282508925E-2</v>
      </c>
      <c r="S42" s="2099">
        <v>5.0293217746047933E-2</v>
      </c>
      <c r="T42" s="2098">
        <v>58</v>
      </c>
      <c r="U42" s="1707">
        <v>0.13700000000000001</v>
      </c>
      <c r="V42" s="1707">
        <v>15.075500000000002</v>
      </c>
      <c r="W42" s="1707">
        <v>1.9955000000000001</v>
      </c>
      <c r="X42" s="1707">
        <v>1.9955000000000001</v>
      </c>
      <c r="Y42" s="1707">
        <v>14.938500000000001</v>
      </c>
      <c r="Z42" s="2093">
        <v>9.2142805390145535E-3</v>
      </c>
      <c r="AA42" s="2093">
        <v>0.13842158057165829</v>
      </c>
      <c r="AB42" s="2114">
        <v>0.14763586111067284</v>
      </c>
    </row>
    <row r="43" spans="2:28">
      <c r="B43" s="89">
        <v>59</v>
      </c>
      <c r="C43" s="1">
        <v>9.2999999999999999E-2</v>
      </c>
      <c r="D43" s="1">
        <v>14.775</v>
      </c>
      <c r="E43" s="1">
        <v>3.3959999999999999</v>
      </c>
      <c r="F43" s="1">
        <v>3.3959999999999999</v>
      </c>
      <c r="G43" s="1">
        <v>14.682</v>
      </c>
      <c r="H43" s="742">
        <v>6.334286881896199E-3</v>
      </c>
      <c r="I43" s="742">
        <v>0.23130363710666121</v>
      </c>
      <c r="J43" s="2100">
        <v>0.2376379239885574</v>
      </c>
      <c r="K43" s="89">
        <v>59</v>
      </c>
      <c r="L43" s="1">
        <v>8.2000000000000003E-2</v>
      </c>
      <c r="M43" s="1">
        <v>16.276</v>
      </c>
      <c r="N43" s="1427">
        <v>0.66</v>
      </c>
      <c r="O43" s="1">
        <v>0.66</v>
      </c>
      <c r="P43" s="1">
        <v>16.193999999999999</v>
      </c>
      <c r="Q43" s="742">
        <v>5.0636038038779797E-3</v>
      </c>
      <c r="R43" s="742">
        <v>4.0755835494627642E-2</v>
      </c>
      <c r="S43" s="2100">
        <v>4.581943929850562E-2</v>
      </c>
      <c r="T43" s="89">
        <v>59</v>
      </c>
      <c r="U43" s="741">
        <v>8.7499999999999994E-2</v>
      </c>
      <c r="V43" s="741">
        <v>15.525500000000001</v>
      </c>
      <c r="W43" s="741">
        <v>2.028</v>
      </c>
      <c r="X43" s="741">
        <v>2.028</v>
      </c>
      <c r="Y43" s="741">
        <v>15.437999999999999</v>
      </c>
      <c r="Z43" s="2088">
        <v>5.6989453428870889E-3</v>
      </c>
      <c r="AA43" s="2088">
        <v>0.13602973630064444</v>
      </c>
      <c r="AB43" s="2115">
        <v>0.1417286816435315</v>
      </c>
    </row>
    <row r="44" spans="2:28">
      <c r="B44" s="2098">
        <v>60</v>
      </c>
      <c r="C44" s="2090">
        <v>5.1999999999999998E-2</v>
      </c>
      <c r="D44" s="2090">
        <v>15.241</v>
      </c>
      <c r="E44" s="2090">
        <v>3.4630000000000001</v>
      </c>
      <c r="F44" s="2090">
        <v>3.4630000000000001</v>
      </c>
      <c r="G44" s="2090">
        <v>15.189</v>
      </c>
      <c r="H44" s="2091">
        <v>3.4235301863190467E-3</v>
      </c>
      <c r="I44" s="2091">
        <v>0.22799394298505499</v>
      </c>
      <c r="J44" s="2099">
        <v>0.23141747317137404</v>
      </c>
      <c r="K44" s="2098">
        <v>60</v>
      </c>
      <c r="L44" s="2090">
        <v>4.3999999999999997E-2</v>
      </c>
      <c r="M44" s="2090">
        <v>16.759</v>
      </c>
      <c r="N44" s="2092">
        <v>0.66100000000000003</v>
      </c>
      <c r="O44" s="2090">
        <v>0.66100000000000003</v>
      </c>
      <c r="P44" s="2090">
        <v>16.715</v>
      </c>
      <c r="Q44" s="2091">
        <v>2.6323661381992222E-3</v>
      </c>
      <c r="R44" s="2091">
        <v>3.9545318576129231E-2</v>
      </c>
      <c r="S44" s="2099">
        <v>4.2177684714328451E-2</v>
      </c>
      <c r="T44" s="2098">
        <v>60</v>
      </c>
      <c r="U44" s="1707">
        <v>4.8000000000000001E-2</v>
      </c>
      <c r="V44" s="1707">
        <v>16</v>
      </c>
      <c r="W44" s="1707">
        <v>2.0620000000000003</v>
      </c>
      <c r="X44" s="1707">
        <v>2.0620000000000003</v>
      </c>
      <c r="Y44" s="1707">
        <v>15.952</v>
      </c>
      <c r="Z44" s="2093">
        <v>3.0279481622591344E-3</v>
      </c>
      <c r="AA44" s="2093">
        <v>0.13376963078059212</v>
      </c>
      <c r="AB44" s="2114">
        <v>0.13679757894285124</v>
      </c>
    </row>
    <row r="45" spans="2:28">
      <c r="B45" s="89">
        <v>61</v>
      </c>
      <c r="C45" s="1">
        <v>2.1999999999999999E-2</v>
      </c>
      <c r="D45" s="1">
        <v>15.734</v>
      </c>
      <c r="E45" s="1">
        <v>3.532</v>
      </c>
      <c r="F45" s="1">
        <v>3.532</v>
      </c>
      <c r="G45" s="1">
        <v>15.712</v>
      </c>
      <c r="H45" s="742">
        <v>1.4002036659877799E-3</v>
      </c>
      <c r="I45" s="742">
        <v>0.22479633401221996</v>
      </c>
      <c r="J45" s="2100">
        <v>0.22619653767820774</v>
      </c>
      <c r="K45" s="89">
        <v>61</v>
      </c>
      <c r="L45" s="1">
        <v>1.7000000000000001E-2</v>
      </c>
      <c r="M45" s="1">
        <v>17.271999999999998</v>
      </c>
      <c r="N45" s="1427">
        <v>0.66200000000000003</v>
      </c>
      <c r="O45" s="1">
        <v>0.66200000000000003</v>
      </c>
      <c r="P45" s="1">
        <v>17.254999999999999</v>
      </c>
      <c r="Q45" s="742">
        <v>9.8522167487684743E-4</v>
      </c>
      <c r="R45" s="742">
        <v>3.8365691104027821E-2</v>
      </c>
      <c r="S45" s="2100">
        <v>3.9350912778904672E-2</v>
      </c>
      <c r="T45" s="89">
        <v>61</v>
      </c>
      <c r="U45" s="741">
        <v>1.95E-2</v>
      </c>
      <c r="V45" s="741">
        <v>16.503</v>
      </c>
      <c r="W45" s="741">
        <v>2.097</v>
      </c>
      <c r="X45" s="741">
        <v>2.097</v>
      </c>
      <c r="Y45" s="741">
        <v>16.483499999999999</v>
      </c>
      <c r="Z45" s="2088">
        <v>1.1927126704323137E-3</v>
      </c>
      <c r="AA45" s="2088">
        <v>0.13158101255812388</v>
      </c>
      <c r="AB45" s="2115">
        <v>0.13277372522855621</v>
      </c>
    </row>
    <row r="46" spans="2:28">
      <c r="B46" s="2098">
        <v>62</v>
      </c>
      <c r="C46" s="2090">
        <v>5.0000000000000001E-3</v>
      </c>
      <c r="D46" s="2090">
        <v>16.257999999999999</v>
      </c>
      <c r="E46" s="2090">
        <v>3.5870000000000002</v>
      </c>
      <c r="F46" s="2090">
        <v>3.5870000000000002</v>
      </c>
      <c r="G46" s="2090">
        <v>16.253</v>
      </c>
      <c r="H46" s="2091">
        <v>3.0763551344367192E-4</v>
      </c>
      <c r="I46" s="2091">
        <v>0.22069771734449026</v>
      </c>
      <c r="J46" s="2099">
        <v>0.22100535285793393</v>
      </c>
      <c r="K46" s="2098">
        <v>62</v>
      </c>
      <c r="L46" s="2090">
        <v>4.0000000000000001E-3</v>
      </c>
      <c r="M46" s="2090">
        <v>17.815999999999999</v>
      </c>
      <c r="N46" s="2092">
        <v>0.66100000000000003</v>
      </c>
      <c r="O46" s="2090">
        <v>0.66100000000000003</v>
      </c>
      <c r="P46" s="2090">
        <v>17.811999999999998</v>
      </c>
      <c r="Q46" s="2091">
        <v>2.2456770716370989E-4</v>
      </c>
      <c r="R46" s="2091">
        <v>3.7109813608803062E-2</v>
      </c>
      <c r="S46" s="2099">
        <v>3.7334381315966773E-2</v>
      </c>
      <c r="T46" s="2098">
        <v>62</v>
      </c>
      <c r="U46" s="1707">
        <v>4.5000000000000005E-3</v>
      </c>
      <c r="V46" s="1707">
        <v>17.036999999999999</v>
      </c>
      <c r="W46" s="1707">
        <v>2.1240000000000001</v>
      </c>
      <c r="X46" s="1707">
        <v>2.1240000000000001</v>
      </c>
      <c r="Y46" s="1707">
        <v>17.032499999999999</v>
      </c>
      <c r="Z46" s="2093">
        <v>2.6610161030369092E-4</v>
      </c>
      <c r="AA46" s="2093">
        <v>0.12890376547664667</v>
      </c>
      <c r="AB46" s="2114">
        <v>0.12916986708695036</v>
      </c>
    </row>
    <row r="47" spans="2:28">
      <c r="B47" s="2119">
        <v>63</v>
      </c>
      <c r="C47" s="2120">
        <v>0</v>
      </c>
      <c r="D47" s="2120">
        <v>16.815000000000001</v>
      </c>
      <c r="E47" s="2120">
        <v>3.6419999999999999</v>
      </c>
      <c r="F47" s="2120">
        <v>3.6419999999999999</v>
      </c>
      <c r="G47" s="2120">
        <v>16.815000000000001</v>
      </c>
      <c r="H47" s="2121">
        <v>0</v>
      </c>
      <c r="I47" s="2121">
        <v>0.21659232827832289</v>
      </c>
      <c r="J47" s="2122">
        <v>0.21659232827832289</v>
      </c>
      <c r="K47" s="2119">
        <v>63</v>
      </c>
      <c r="L47" s="2120">
        <v>0</v>
      </c>
      <c r="M47" s="2120">
        <v>18.393000000000001</v>
      </c>
      <c r="N47" s="2123">
        <v>0.65900000000000003</v>
      </c>
      <c r="O47" s="2120">
        <v>0.65900000000000003</v>
      </c>
      <c r="P47" s="2120">
        <v>18.393000000000001</v>
      </c>
      <c r="Q47" s="2121">
        <v>0</v>
      </c>
      <c r="R47" s="2121">
        <v>3.5828847931278204E-2</v>
      </c>
      <c r="S47" s="2122">
        <v>3.5828847931278204E-2</v>
      </c>
      <c r="T47" s="2119">
        <v>63</v>
      </c>
      <c r="U47" s="2124">
        <v>0</v>
      </c>
      <c r="V47" s="2124">
        <v>17.603999999999999</v>
      </c>
      <c r="W47" s="2124">
        <v>2.1505000000000001</v>
      </c>
      <c r="X47" s="2124">
        <v>2.1505000000000001</v>
      </c>
      <c r="Y47" s="2124">
        <v>17.603999999999999</v>
      </c>
      <c r="Z47" s="2125">
        <v>0</v>
      </c>
      <c r="AA47" s="2125">
        <v>0.12621058810480054</v>
      </c>
      <c r="AB47" s="2126">
        <v>0.12621058810480054</v>
      </c>
    </row>
    <row r="48" spans="2:28">
      <c r="B48" s="2098">
        <v>64</v>
      </c>
      <c r="C48" s="2090">
        <v>0</v>
      </c>
      <c r="D48" s="2090">
        <v>16.154</v>
      </c>
      <c r="E48" s="2090">
        <v>3.7669999999999999</v>
      </c>
      <c r="F48" s="2090">
        <v>3.7669999999999999</v>
      </c>
      <c r="G48" s="2090">
        <v>16.154</v>
      </c>
      <c r="H48" s="2091">
        <v>0</v>
      </c>
      <c r="I48" s="2091">
        <v>0.23319301720935989</v>
      </c>
      <c r="J48" s="2099">
        <v>0.23319301720935989</v>
      </c>
      <c r="K48" s="2098">
        <v>64</v>
      </c>
      <c r="L48" s="2090">
        <v>0</v>
      </c>
      <c r="M48" s="2090">
        <v>18.010999999999999</v>
      </c>
      <c r="N48" s="2092">
        <v>0.64100000000000001</v>
      </c>
      <c r="O48" s="2090">
        <v>0.64100000000000001</v>
      </c>
      <c r="P48" s="2090">
        <v>18.010999999999999</v>
      </c>
      <c r="Q48" s="2091">
        <v>0</v>
      </c>
      <c r="R48" s="2091">
        <v>3.5589362056521016E-2</v>
      </c>
      <c r="S48" s="2099">
        <v>3.5589362056521016E-2</v>
      </c>
      <c r="T48" s="2098">
        <v>64</v>
      </c>
      <c r="U48" s="1707">
        <v>0</v>
      </c>
      <c r="V48" s="1707">
        <v>17.0825</v>
      </c>
      <c r="W48" s="1707">
        <v>2.2039999999999997</v>
      </c>
      <c r="X48" s="1707">
        <v>2.2039999999999997</v>
      </c>
      <c r="Y48" s="1707">
        <v>17.0825</v>
      </c>
      <c r="Z48" s="2093">
        <v>0</v>
      </c>
      <c r="AA48" s="2093">
        <v>0.13439118963294044</v>
      </c>
      <c r="AB48" s="2114">
        <v>0.13439118963294044</v>
      </c>
    </row>
    <row r="49" spans="2:28">
      <c r="B49" s="89">
        <v>65</v>
      </c>
      <c r="C49" s="1">
        <v>0</v>
      </c>
      <c r="D49" s="1">
        <v>15.77</v>
      </c>
      <c r="E49" s="1">
        <v>3.7749999999999999</v>
      </c>
      <c r="F49" s="1">
        <v>3.7749999999999999</v>
      </c>
      <c r="G49" s="1">
        <v>15.77</v>
      </c>
      <c r="H49" s="742">
        <v>0</v>
      </c>
      <c r="I49" s="742">
        <v>0.23937856689917564</v>
      </c>
      <c r="J49" s="2100">
        <v>0.23937856689917564</v>
      </c>
      <c r="K49" s="89">
        <v>65</v>
      </c>
      <c r="L49" s="1">
        <v>0</v>
      </c>
      <c r="M49" s="1">
        <v>17.619</v>
      </c>
      <c r="N49" s="1427">
        <v>0.623</v>
      </c>
      <c r="O49" s="1">
        <v>0.623</v>
      </c>
      <c r="P49" s="1">
        <v>17.619</v>
      </c>
      <c r="Q49" s="742">
        <v>0</v>
      </c>
      <c r="R49" s="742">
        <v>3.5359555025824392E-2</v>
      </c>
      <c r="S49" s="2100">
        <v>3.5359555025824392E-2</v>
      </c>
      <c r="T49" s="89">
        <v>65</v>
      </c>
      <c r="U49" s="741">
        <v>0</v>
      </c>
      <c r="V49" s="741">
        <v>16.694499999999998</v>
      </c>
      <c r="W49" s="741">
        <v>2.1989999999999998</v>
      </c>
      <c r="X49" s="741">
        <v>2.1989999999999998</v>
      </c>
      <c r="Y49" s="741">
        <v>16.694499999999998</v>
      </c>
      <c r="Z49" s="960">
        <v>0</v>
      </c>
      <c r="AA49" s="960">
        <v>0.13736906096250001</v>
      </c>
      <c r="AB49" s="961">
        <v>0.13736906096250001</v>
      </c>
    </row>
    <row r="50" spans="2:28">
      <c r="B50" s="2098">
        <v>66</v>
      </c>
      <c r="C50" s="2090"/>
      <c r="D50" s="2090">
        <v>15.379</v>
      </c>
      <c r="E50" s="2090">
        <v>3.778</v>
      </c>
      <c r="F50" s="2090">
        <v>3.778</v>
      </c>
      <c r="G50" s="2090">
        <v>15.379</v>
      </c>
      <c r="H50" s="2091">
        <v>0</v>
      </c>
      <c r="I50" s="2091">
        <v>0.24565966577800899</v>
      </c>
      <c r="J50" s="2099">
        <v>0.24565966577800899</v>
      </c>
      <c r="K50" s="2098">
        <v>66</v>
      </c>
      <c r="L50" s="2090">
        <v>0</v>
      </c>
      <c r="M50" s="2090">
        <v>17.216999999999999</v>
      </c>
      <c r="N50" s="2092">
        <v>0.60399999999999998</v>
      </c>
      <c r="O50" s="2090">
        <v>0.60399999999999998</v>
      </c>
      <c r="P50" s="2090">
        <v>17.216999999999999</v>
      </c>
      <c r="Q50" s="2091">
        <v>0</v>
      </c>
      <c r="R50" s="2091">
        <v>3.5081605390021489E-2</v>
      </c>
      <c r="S50" s="2099">
        <v>3.5081605390021489E-2</v>
      </c>
      <c r="T50" s="2098">
        <v>66</v>
      </c>
      <c r="U50" s="1707">
        <v>0</v>
      </c>
      <c r="V50" s="1707">
        <v>16.297999999999998</v>
      </c>
      <c r="W50" s="1707">
        <v>2.1909999999999998</v>
      </c>
      <c r="X50" s="1707">
        <v>2.1909999999999998</v>
      </c>
      <c r="Y50" s="1707">
        <v>16.297999999999998</v>
      </c>
      <c r="Z50" s="2093">
        <v>0</v>
      </c>
      <c r="AA50" s="2093">
        <v>0.14037063558401525</v>
      </c>
      <c r="AB50" s="2114">
        <v>0.14037063558401525</v>
      </c>
    </row>
    <row r="51" spans="2:28">
      <c r="B51" s="89">
        <v>67</v>
      </c>
      <c r="C51" s="1"/>
      <c r="D51" s="1">
        <v>14.98</v>
      </c>
      <c r="E51" s="1">
        <v>3.778</v>
      </c>
      <c r="F51" s="1">
        <v>3.778</v>
      </c>
      <c r="G51" s="1">
        <v>14.98</v>
      </c>
      <c r="H51" s="742">
        <v>0</v>
      </c>
      <c r="I51" s="742">
        <v>0.25220293724966619</v>
      </c>
      <c r="J51" s="2100">
        <v>0.25220293724966619</v>
      </c>
      <c r="K51" s="89">
        <v>67</v>
      </c>
      <c r="L51" s="1">
        <v>0</v>
      </c>
      <c r="M51" s="1">
        <v>16.803000000000001</v>
      </c>
      <c r="N51" s="1427">
        <v>0.58599999999999997</v>
      </c>
      <c r="O51" s="1">
        <v>0.58599999999999997</v>
      </c>
      <c r="P51" s="1">
        <v>16.803000000000001</v>
      </c>
      <c r="Q51" s="742">
        <v>0</v>
      </c>
      <c r="R51" s="742">
        <v>3.4874724751532464E-2</v>
      </c>
      <c r="S51" s="2100">
        <v>3.4874724751532464E-2</v>
      </c>
      <c r="T51" s="89">
        <v>67</v>
      </c>
      <c r="U51" s="741">
        <v>0</v>
      </c>
      <c r="V51" s="741">
        <v>15.891500000000001</v>
      </c>
      <c r="W51" s="741">
        <v>2.1819999999999999</v>
      </c>
      <c r="X51" s="741">
        <v>2.1819999999999999</v>
      </c>
      <c r="Y51" s="741">
        <v>15.891500000000001</v>
      </c>
      <c r="Z51" s="2088">
        <v>0</v>
      </c>
      <c r="AA51" s="2088">
        <v>0.14353883100059933</v>
      </c>
      <c r="AB51" s="2115">
        <v>0.14353883100059933</v>
      </c>
    </row>
    <row r="52" spans="2:28">
      <c r="B52" s="2098">
        <v>68</v>
      </c>
      <c r="C52" s="2090"/>
      <c r="D52" s="2090">
        <v>14.573</v>
      </c>
      <c r="E52" s="2090">
        <v>3.7770000000000001</v>
      </c>
      <c r="F52" s="2090">
        <v>3.7770000000000001</v>
      </c>
      <c r="G52" s="2090">
        <v>14.573</v>
      </c>
      <c r="H52" s="2091">
        <v>0</v>
      </c>
      <c r="I52" s="2091">
        <v>0.25917793179166954</v>
      </c>
      <c r="J52" s="2099">
        <v>0.25917793179166954</v>
      </c>
      <c r="K52" s="2098">
        <v>68</v>
      </c>
      <c r="L52" s="2090">
        <v>0</v>
      </c>
      <c r="M52" s="2090">
        <v>16.378</v>
      </c>
      <c r="N52" s="2092">
        <v>0.56699999999999995</v>
      </c>
      <c r="O52" s="2090">
        <v>0.56699999999999995</v>
      </c>
      <c r="P52" s="2090">
        <v>16.378</v>
      </c>
      <c r="Q52" s="2091">
        <v>0</v>
      </c>
      <c r="R52" s="2091">
        <v>3.4619611674197089E-2</v>
      </c>
      <c r="S52" s="2099">
        <v>3.4619611674197089E-2</v>
      </c>
      <c r="T52" s="2098">
        <v>68</v>
      </c>
      <c r="U52" s="1707">
        <v>0</v>
      </c>
      <c r="V52" s="1707">
        <v>15.4755</v>
      </c>
      <c r="W52" s="1707">
        <v>2.1720000000000002</v>
      </c>
      <c r="X52" s="1707">
        <v>2.1720000000000002</v>
      </c>
      <c r="Y52" s="1707">
        <v>15.4755</v>
      </c>
      <c r="Z52" s="2093">
        <v>0</v>
      </c>
      <c r="AA52" s="2093">
        <v>0.14689877173293331</v>
      </c>
      <c r="AB52" s="2114">
        <v>0.14689877173293331</v>
      </c>
    </row>
    <row r="53" spans="2:28">
      <c r="B53" s="89">
        <v>69</v>
      </c>
      <c r="C53" s="1"/>
      <c r="D53" s="1">
        <v>14.156000000000001</v>
      </c>
      <c r="E53" s="1">
        <v>3.7730000000000001</v>
      </c>
      <c r="F53" s="1">
        <v>3.7730000000000001</v>
      </c>
      <c r="G53" s="1">
        <v>14.156000000000001</v>
      </c>
      <c r="H53" s="742">
        <v>0</v>
      </c>
      <c r="I53" s="742">
        <v>0.26653009324667987</v>
      </c>
      <c r="J53" s="2100">
        <v>0.26653009324667987</v>
      </c>
      <c r="K53" s="89">
        <v>69</v>
      </c>
      <c r="L53" s="1">
        <v>0</v>
      </c>
      <c r="M53" s="1">
        <v>15.94</v>
      </c>
      <c r="N53" s="1427">
        <v>0.54900000000000004</v>
      </c>
      <c r="O53" s="1">
        <v>0.54900000000000004</v>
      </c>
      <c r="P53" s="1">
        <v>15.94</v>
      </c>
      <c r="Q53" s="742">
        <v>0</v>
      </c>
      <c r="R53" s="742">
        <v>3.4441656210790469E-2</v>
      </c>
      <c r="S53" s="2100">
        <v>3.4441656210790469E-2</v>
      </c>
      <c r="T53" s="89">
        <v>69</v>
      </c>
      <c r="U53" s="741">
        <v>0</v>
      </c>
      <c r="V53" s="741">
        <v>15.048</v>
      </c>
      <c r="W53" s="741">
        <v>2.161</v>
      </c>
      <c r="X53" s="741">
        <v>2.161</v>
      </c>
      <c r="Y53" s="741">
        <v>15.048</v>
      </c>
      <c r="Z53" s="2088">
        <v>0</v>
      </c>
      <c r="AA53" s="2088">
        <v>0.15048587472873518</v>
      </c>
      <c r="AB53" s="2115">
        <v>0.15048587472873518</v>
      </c>
    </row>
    <row r="54" spans="2:28">
      <c r="B54" s="2098">
        <v>70</v>
      </c>
      <c r="C54" s="2090"/>
      <c r="D54" s="2090">
        <v>13.728999999999999</v>
      </c>
      <c r="E54" s="2090">
        <v>3.7669999999999999</v>
      </c>
      <c r="F54" s="2090">
        <v>3.7669999999999999</v>
      </c>
      <c r="G54" s="2090">
        <v>13.728999999999999</v>
      </c>
      <c r="H54" s="2091">
        <v>0</v>
      </c>
      <c r="I54" s="2091">
        <v>0.27438269356835898</v>
      </c>
      <c r="J54" s="2099">
        <v>0.27438269356835898</v>
      </c>
      <c r="K54" s="2098">
        <v>70</v>
      </c>
      <c r="L54" s="2090">
        <v>0</v>
      </c>
      <c r="M54" s="2090">
        <v>15.49</v>
      </c>
      <c r="N54" s="2092">
        <v>0.53</v>
      </c>
      <c r="O54" s="2090">
        <v>0.53</v>
      </c>
      <c r="P54" s="2090">
        <v>15.49</v>
      </c>
      <c r="Q54" s="2091">
        <v>0</v>
      </c>
      <c r="R54" s="2091">
        <v>3.4215622982569402E-2</v>
      </c>
      <c r="S54" s="2099">
        <v>3.4215622982569402E-2</v>
      </c>
      <c r="T54" s="2098">
        <v>70</v>
      </c>
      <c r="U54" s="1707">
        <v>0</v>
      </c>
      <c r="V54" s="1707">
        <v>14.609500000000001</v>
      </c>
      <c r="W54" s="1707">
        <v>2.1484999999999999</v>
      </c>
      <c r="X54" s="1707">
        <v>2.1484999999999999</v>
      </c>
      <c r="Y54" s="1707">
        <v>14.609500000000001</v>
      </c>
      <c r="Z54" s="2093">
        <v>0</v>
      </c>
      <c r="AA54" s="2093">
        <v>0.1542991582754642</v>
      </c>
      <c r="AB54" s="2114">
        <v>0.1542991582754642</v>
      </c>
    </row>
    <row r="55" spans="2:28">
      <c r="B55" s="89">
        <v>71</v>
      </c>
      <c r="C55" s="1"/>
      <c r="D55" s="1">
        <v>13.292999999999999</v>
      </c>
      <c r="E55" s="1">
        <v>3.758</v>
      </c>
      <c r="F55" s="1">
        <v>3.758</v>
      </c>
      <c r="G55" s="1">
        <v>13.292999999999999</v>
      </c>
      <c r="H55" s="742">
        <v>0</v>
      </c>
      <c r="I55" s="742">
        <v>0.28270518317911686</v>
      </c>
      <c r="J55" s="2100">
        <v>0.28270518317911686</v>
      </c>
      <c r="K55" s="89">
        <v>71</v>
      </c>
      <c r="L55" s="1">
        <v>0</v>
      </c>
      <c r="M55" s="1">
        <v>15.026</v>
      </c>
      <c r="N55" s="1427">
        <v>0.51</v>
      </c>
      <c r="O55" s="1">
        <v>0.51</v>
      </c>
      <c r="P55" s="1">
        <v>15.026</v>
      </c>
      <c r="Q55" s="742">
        <v>0</v>
      </c>
      <c r="R55" s="742">
        <v>3.3941168641022229E-2</v>
      </c>
      <c r="S55" s="2100">
        <v>3.3941168641022229E-2</v>
      </c>
      <c r="T55" s="89">
        <v>71</v>
      </c>
      <c r="U55" s="741">
        <v>0</v>
      </c>
      <c r="V55" s="741">
        <v>14.1595</v>
      </c>
      <c r="W55" s="741">
        <v>2.1339999999999999</v>
      </c>
      <c r="X55" s="741">
        <v>2.1339999999999999</v>
      </c>
      <c r="Y55" s="741">
        <v>14.1595</v>
      </c>
      <c r="Z55" s="2088">
        <v>0</v>
      </c>
      <c r="AA55" s="2088">
        <v>0.15832317591006956</v>
      </c>
      <c r="AB55" s="2115">
        <v>0.15832317591006956</v>
      </c>
    </row>
    <row r="56" spans="2:28">
      <c r="B56" s="2098">
        <v>72</v>
      </c>
      <c r="C56" s="2090"/>
      <c r="D56" s="2090">
        <v>12.846</v>
      </c>
      <c r="E56" s="2090">
        <v>3.7469999999999999</v>
      </c>
      <c r="F56" s="2090">
        <v>3.7469999999999999</v>
      </c>
      <c r="G56" s="2090">
        <v>12.846</v>
      </c>
      <c r="H56" s="2091">
        <v>0</v>
      </c>
      <c r="I56" s="2091">
        <v>0.29168612797758053</v>
      </c>
      <c r="J56" s="2099">
        <v>0.29168612797758053</v>
      </c>
      <c r="K56" s="2098">
        <v>72</v>
      </c>
      <c r="L56" s="2090">
        <v>0</v>
      </c>
      <c r="M56" s="2090">
        <v>14.55</v>
      </c>
      <c r="N56" s="2092">
        <v>0.49099999999999999</v>
      </c>
      <c r="O56" s="2090">
        <v>0.49099999999999999</v>
      </c>
      <c r="P56" s="2090">
        <v>14.55</v>
      </c>
      <c r="Q56" s="2091">
        <v>0</v>
      </c>
      <c r="R56" s="2091">
        <v>3.3745704467353949E-2</v>
      </c>
      <c r="S56" s="2099">
        <v>3.3745704467353949E-2</v>
      </c>
      <c r="T56" s="2098">
        <v>72</v>
      </c>
      <c r="U56" s="1707">
        <v>0</v>
      </c>
      <c r="V56" s="1707">
        <v>13.698</v>
      </c>
      <c r="W56" s="1707">
        <v>2.1189999999999998</v>
      </c>
      <c r="X56" s="1707">
        <v>2.1189999999999998</v>
      </c>
      <c r="Y56" s="1707">
        <v>13.698</v>
      </c>
      <c r="Z56" s="2093">
        <v>0</v>
      </c>
      <c r="AA56" s="2093">
        <v>0.16271591622246723</v>
      </c>
      <c r="AB56" s="2114">
        <v>0.16271591622246723</v>
      </c>
    </row>
    <row r="57" spans="2:28">
      <c r="B57" s="89">
        <v>73</v>
      </c>
      <c r="C57" s="1"/>
      <c r="D57" s="1">
        <v>12.388999999999999</v>
      </c>
      <c r="E57" s="1">
        <v>3.7389999999999999</v>
      </c>
      <c r="F57" s="1">
        <v>3.7389999999999999</v>
      </c>
      <c r="G57" s="1">
        <v>12.388999999999999</v>
      </c>
      <c r="H57" s="742">
        <v>0</v>
      </c>
      <c r="I57" s="742">
        <v>0.30179998385664702</v>
      </c>
      <c r="J57" s="2100">
        <v>0.30179998385664702</v>
      </c>
      <c r="K57" s="89">
        <v>73</v>
      </c>
      <c r="L57" s="1">
        <v>0</v>
      </c>
      <c r="M57" s="1">
        <v>14.061999999999999</v>
      </c>
      <c r="N57" s="1427">
        <v>0.47199999999999998</v>
      </c>
      <c r="O57" s="1">
        <v>0.47199999999999998</v>
      </c>
      <c r="P57" s="1">
        <v>14.061999999999999</v>
      </c>
      <c r="Q57" s="742">
        <v>0</v>
      </c>
      <c r="R57" s="742">
        <v>3.3565637889347175E-2</v>
      </c>
      <c r="S57" s="2100">
        <v>3.3565637889347175E-2</v>
      </c>
      <c r="T57" s="89">
        <v>73</v>
      </c>
      <c r="U57" s="741">
        <v>0</v>
      </c>
      <c r="V57" s="741">
        <v>13.2255</v>
      </c>
      <c r="W57" s="741">
        <v>2.1055000000000001</v>
      </c>
      <c r="X57" s="741">
        <v>2.1055000000000001</v>
      </c>
      <c r="Y57" s="741">
        <v>13.2255</v>
      </c>
      <c r="Z57" s="2088">
        <v>0</v>
      </c>
      <c r="AA57" s="2088">
        <v>0.16768281087299711</v>
      </c>
      <c r="AB57" s="2115">
        <v>0.16768281087299711</v>
      </c>
    </row>
    <row r="58" spans="2:28">
      <c r="B58" s="2098">
        <v>74</v>
      </c>
      <c r="C58" s="2090"/>
      <c r="D58" s="2090">
        <v>11.923999999999999</v>
      </c>
      <c r="E58" s="2090">
        <v>3.7290000000000001</v>
      </c>
      <c r="F58" s="2090">
        <v>3.7290000000000001</v>
      </c>
      <c r="G58" s="2090">
        <v>11.923999999999999</v>
      </c>
      <c r="H58" s="2091">
        <v>0</v>
      </c>
      <c r="I58" s="2091">
        <v>0.3127306273062731</v>
      </c>
      <c r="J58" s="2099">
        <v>0.3127306273062731</v>
      </c>
      <c r="K58" s="2098">
        <v>74</v>
      </c>
      <c r="L58" s="2090">
        <v>0</v>
      </c>
      <c r="M58" s="2090">
        <v>13.561999999999999</v>
      </c>
      <c r="N58" s="2092">
        <v>0.45300000000000001</v>
      </c>
      <c r="O58" s="2090">
        <v>0.45300000000000001</v>
      </c>
      <c r="P58" s="2090">
        <v>13.561999999999999</v>
      </c>
      <c r="Q58" s="2091">
        <v>0</v>
      </c>
      <c r="R58" s="2091">
        <v>3.3402153074767738E-2</v>
      </c>
      <c r="S58" s="2099">
        <v>3.3402153074767738E-2</v>
      </c>
      <c r="T58" s="2098">
        <v>74</v>
      </c>
      <c r="U58" s="1707">
        <v>0</v>
      </c>
      <c r="V58" s="1707">
        <v>12.742999999999999</v>
      </c>
      <c r="W58" s="1707">
        <v>2.0910000000000002</v>
      </c>
      <c r="X58" s="1707">
        <v>2.0910000000000002</v>
      </c>
      <c r="Y58" s="1707">
        <v>12.742999999999999</v>
      </c>
      <c r="Z58" s="2093">
        <v>0</v>
      </c>
      <c r="AA58" s="2093">
        <v>0.17306639019052042</v>
      </c>
      <c r="AB58" s="2114">
        <v>0.17306639019052042</v>
      </c>
    </row>
    <row r="59" spans="2:28">
      <c r="B59" s="89">
        <v>75</v>
      </c>
      <c r="C59" s="1"/>
      <c r="D59" s="1">
        <v>11.45</v>
      </c>
      <c r="E59" s="1">
        <v>3.7160000000000002</v>
      </c>
      <c r="F59" s="1">
        <v>3.7160000000000002</v>
      </c>
      <c r="G59" s="1">
        <v>11.45</v>
      </c>
      <c r="H59" s="742">
        <v>0</v>
      </c>
      <c r="I59" s="742">
        <v>0.32454148471615724</v>
      </c>
      <c r="J59" s="2100">
        <v>0.32454148471615724</v>
      </c>
      <c r="K59" s="89">
        <v>75</v>
      </c>
      <c r="L59" s="1">
        <v>0</v>
      </c>
      <c r="M59" s="1">
        <v>13.051</v>
      </c>
      <c r="N59" s="1427">
        <v>0.434</v>
      </c>
      <c r="O59" s="1">
        <v>0.434</v>
      </c>
      <c r="P59" s="1">
        <v>13.051</v>
      </c>
      <c r="Q59" s="742">
        <v>0</v>
      </c>
      <c r="R59" s="742">
        <v>3.3254156769596199E-2</v>
      </c>
      <c r="S59" s="2100">
        <v>3.3254156769596199E-2</v>
      </c>
      <c r="T59" s="89">
        <v>75</v>
      </c>
      <c r="U59" s="741">
        <v>0</v>
      </c>
      <c r="V59" s="741">
        <v>12.250499999999999</v>
      </c>
      <c r="W59" s="741">
        <v>2.0750000000000002</v>
      </c>
      <c r="X59" s="741">
        <v>2.0750000000000002</v>
      </c>
      <c r="Y59" s="741">
        <v>12.250499999999999</v>
      </c>
      <c r="Z59" s="2088">
        <v>0</v>
      </c>
      <c r="AA59" s="2088">
        <v>0.17889782074287672</v>
      </c>
      <c r="AB59" s="2115">
        <v>0.17889782074287672</v>
      </c>
    </row>
    <row r="60" spans="2:28">
      <c r="B60" s="2098">
        <v>76</v>
      </c>
      <c r="C60" s="2090"/>
      <c r="D60" s="2090">
        <v>10.97</v>
      </c>
      <c r="E60" s="2090">
        <v>3.698</v>
      </c>
      <c r="F60" s="2090">
        <v>3.698</v>
      </c>
      <c r="G60" s="2090">
        <v>10.97</v>
      </c>
      <c r="H60" s="2091">
        <v>0</v>
      </c>
      <c r="I60" s="2091">
        <v>0.3371011850501367</v>
      </c>
      <c r="J60" s="2099">
        <v>0.3371011850501367</v>
      </c>
      <c r="K60" s="2098">
        <v>76</v>
      </c>
      <c r="L60" s="2090">
        <v>0</v>
      </c>
      <c r="M60" s="2090">
        <v>12.531000000000001</v>
      </c>
      <c r="N60" s="2092">
        <v>0.41399999999999998</v>
      </c>
      <c r="O60" s="2090">
        <v>0.41399999999999998</v>
      </c>
      <c r="P60" s="2090">
        <v>12.531000000000001</v>
      </c>
      <c r="Q60" s="2091">
        <v>0</v>
      </c>
      <c r="R60" s="2091">
        <v>3.3038065597318644E-2</v>
      </c>
      <c r="S60" s="2099">
        <v>3.3038065597318644E-2</v>
      </c>
      <c r="T60" s="2098">
        <v>76</v>
      </c>
      <c r="U60" s="1707">
        <v>0</v>
      </c>
      <c r="V60" s="1707">
        <v>11.750500000000001</v>
      </c>
      <c r="W60" s="1707">
        <v>2.056</v>
      </c>
      <c r="X60" s="1707">
        <v>2.056</v>
      </c>
      <c r="Y60" s="1707">
        <v>11.750500000000001</v>
      </c>
      <c r="Z60" s="2093">
        <v>0</v>
      </c>
      <c r="AA60" s="2093">
        <v>0.18506962532372767</v>
      </c>
      <c r="AB60" s="2114">
        <v>0.18506962532372767</v>
      </c>
    </row>
    <row r="61" spans="2:28">
      <c r="B61" s="89">
        <v>77</v>
      </c>
      <c r="C61" s="1"/>
      <c r="D61" s="1">
        <v>10.484999999999999</v>
      </c>
      <c r="E61" s="1">
        <v>3.6749999999999998</v>
      </c>
      <c r="F61" s="1">
        <v>3.6749999999999998</v>
      </c>
      <c r="G61" s="1">
        <v>10.484999999999999</v>
      </c>
      <c r="H61" s="742">
        <v>0</v>
      </c>
      <c r="I61" s="742">
        <v>0.35050071530758226</v>
      </c>
      <c r="J61" s="2100">
        <v>0.35050071530758226</v>
      </c>
      <c r="K61" s="89">
        <v>77</v>
      </c>
      <c r="L61" s="1">
        <v>0</v>
      </c>
      <c r="M61" s="1">
        <v>12.003</v>
      </c>
      <c r="N61" s="1427">
        <v>0.39300000000000002</v>
      </c>
      <c r="O61" s="1">
        <v>0.39300000000000002</v>
      </c>
      <c r="P61" s="1">
        <v>12.003</v>
      </c>
      <c r="Q61" s="742">
        <v>0</v>
      </c>
      <c r="R61" s="742">
        <v>3.2741814546363407E-2</v>
      </c>
      <c r="S61" s="2100">
        <v>3.2741814546363407E-2</v>
      </c>
      <c r="T61" s="89">
        <v>77</v>
      </c>
      <c r="U61" s="741">
        <v>0</v>
      </c>
      <c r="V61" s="741">
        <v>11.244</v>
      </c>
      <c r="W61" s="741">
        <v>2.0339999999999998</v>
      </c>
      <c r="X61" s="741">
        <v>2.0339999999999998</v>
      </c>
      <c r="Y61" s="741">
        <v>11.244</v>
      </c>
      <c r="Z61" s="2088">
        <v>0</v>
      </c>
      <c r="AA61" s="2088">
        <v>0.19162126492697285</v>
      </c>
      <c r="AB61" s="2115">
        <v>0.19162126492697285</v>
      </c>
    </row>
    <row r="62" spans="2:28">
      <c r="B62" s="2098">
        <v>78</v>
      </c>
      <c r="C62" s="2090"/>
      <c r="D62" s="2090">
        <v>9.9969999999999999</v>
      </c>
      <c r="E62" s="2090">
        <v>3.645</v>
      </c>
      <c r="F62" s="2090">
        <v>3.645</v>
      </c>
      <c r="G62" s="2090">
        <v>9.9969999999999999</v>
      </c>
      <c r="H62" s="2091">
        <v>0</v>
      </c>
      <c r="I62" s="2091">
        <v>0.36460938281484445</v>
      </c>
      <c r="J62" s="2099">
        <v>0.36460938281484445</v>
      </c>
      <c r="K62" s="2098">
        <v>78</v>
      </c>
      <c r="L62" s="2090">
        <v>0</v>
      </c>
      <c r="M62" s="2090">
        <v>11.47</v>
      </c>
      <c r="N62" s="2092">
        <v>0.371</v>
      </c>
      <c r="O62" s="2090">
        <v>0.371</v>
      </c>
      <c r="P62" s="2090">
        <v>11.47</v>
      </c>
      <c r="Q62" s="2091">
        <v>0</v>
      </c>
      <c r="R62" s="2091">
        <v>3.2345248474280733E-2</v>
      </c>
      <c r="S62" s="2099">
        <v>3.2345248474280733E-2</v>
      </c>
      <c r="T62" s="2098">
        <v>78</v>
      </c>
      <c r="U62" s="1707">
        <v>0</v>
      </c>
      <c r="V62" s="1707">
        <v>10.733499999999999</v>
      </c>
      <c r="W62" s="1707">
        <v>2.008</v>
      </c>
      <c r="X62" s="1707">
        <v>2.008</v>
      </c>
      <c r="Y62" s="1707">
        <v>10.733499999999999</v>
      </c>
      <c r="Z62" s="2093">
        <v>0</v>
      </c>
      <c r="AA62" s="2093">
        <v>0.19847731564456259</v>
      </c>
      <c r="AB62" s="2114">
        <v>0.19847731564456259</v>
      </c>
    </row>
    <row r="63" spans="2:28">
      <c r="B63" s="89">
        <v>79</v>
      </c>
      <c r="C63" s="1"/>
      <c r="D63" s="1">
        <v>9.5079999999999991</v>
      </c>
      <c r="E63" s="1">
        <v>3.6070000000000002</v>
      </c>
      <c r="F63" s="1">
        <v>3.6070000000000002</v>
      </c>
      <c r="G63" s="1">
        <v>9.5079999999999991</v>
      </c>
      <c r="H63" s="742">
        <v>0</v>
      </c>
      <c r="I63" s="742">
        <v>0.37936474547749272</v>
      </c>
      <c r="J63" s="2100">
        <v>0.37936474547749272</v>
      </c>
      <c r="K63" s="89">
        <v>79</v>
      </c>
      <c r="L63" s="1">
        <v>0</v>
      </c>
      <c r="M63" s="1">
        <v>10.932</v>
      </c>
      <c r="N63" s="1427">
        <v>0.34899999999999998</v>
      </c>
      <c r="O63" s="1">
        <v>0.34899999999999998</v>
      </c>
      <c r="P63" s="1">
        <v>10.932</v>
      </c>
      <c r="Q63" s="742">
        <v>0</v>
      </c>
      <c r="R63" s="742">
        <v>3.1924624954262709E-2</v>
      </c>
      <c r="S63" s="2100">
        <v>3.1924624954262709E-2</v>
      </c>
      <c r="T63" s="89">
        <v>79</v>
      </c>
      <c r="U63" s="741">
        <v>0</v>
      </c>
      <c r="V63" s="741">
        <v>10.219999999999999</v>
      </c>
      <c r="W63" s="741">
        <v>1.9780000000000002</v>
      </c>
      <c r="X63" s="741">
        <v>1.9780000000000002</v>
      </c>
      <c r="Y63" s="741">
        <v>10.219999999999999</v>
      </c>
      <c r="Z63" s="2088">
        <v>0</v>
      </c>
      <c r="AA63" s="2088">
        <v>0.2056446852158777</v>
      </c>
      <c r="AB63" s="2115">
        <v>0.2056446852158777</v>
      </c>
    </row>
    <row r="64" spans="2:28">
      <c r="B64" s="2098">
        <v>80</v>
      </c>
      <c r="C64" s="2090"/>
      <c r="D64" s="2090">
        <v>9.0210000000000008</v>
      </c>
      <c r="E64" s="2090">
        <v>3.5619999999999998</v>
      </c>
      <c r="F64" s="2090">
        <v>3.5619999999999998</v>
      </c>
      <c r="G64" s="2090">
        <v>9.0210000000000008</v>
      </c>
      <c r="H64" s="2091">
        <v>0</v>
      </c>
      <c r="I64" s="2091">
        <v>0.39485644607028042</v>
      </c>
      <c r="J64" s="2099">
        <v>0.39485644607028042</v>
      </c>
      <c r="K64" s="2098">
        <v>80</v>
      </c>
      <c r="L64" s="2090">
        <v>0</v>
      </c>
      <c r="M64" s="2090">
        <v>10.391999999999999</v>
      </c>
      <c r="N64" s="2092">
        <v>0.32700000000000001</v>
      </c>
      <c r="O64" s="2090">
        <v>0.32700000000000001</v>
      </c>
      <c r="P64" s="2090">
        <v>10.391999999999999</v>
      </c>
      <c r="Q64" s="2091">
        <v>0</v>
      </c>
      <c r="R64" s="2091">
        <v>3.1466512702078522E-2</v>
      </c>
      <c r="S64" s="2099">
        <v>3.1466512702078522E-2</v>
      </c>
      <c r="T64" s="2098">
        <v>80</v>
      </c>
      <c r="U64" s="1707">
        <v>0</v>
      </c>
      <c r="V64" s="1707">
        <v>9.7065000000000001</v>
      </c>
      <c r="W64" s="1707">
        <v>1.9444999999999999</v>
      </c>
      <c r="X64" s="1707">
        <v>1.9444999999999999</v>
      </c>
      <c r="Y64" s="1707">
        <v>9.7065000000000001</v>
      </c>
      <c r="Z64" s="2093">
        <v>0</v>
      </c>
      <c r="AA64" s="2093">
        <v>0.21316147938617946</v>
      </c>
      <c r="AB64" s="2114">
        <v>0.21316147938617946</v>
      </c>
    </row>
    <row r="65" spans="2:28">
      <c r="B65" s="89">
        <v>81</v>
      </c>
      <c r="C65" s="1"/>
      <c r="D65" s="1">
        <v>8.5380000000000003</v>
      </c>
      <c r="E65" s="1">
        <v>3.5070000000000001</v>
      </c>
      <c r="F65" s="1">
        <v>3.5070000000000001</v>
      </c>
      <c r="G65" s="1">
        <v>8.5380000000000003</v>
      </c>
      <c r="H65" s="742">
        <v>0</v>
      </c>
      <c r="I65" s="742">
        <v>0.4107519325368939</v>
      </c>
      <c r="J65" s="2100">
        <v>0.4107519325368939</v>
      </c>
      <c r="K65" s="89">
        <v>81</v>
      </c>
      <c r="L65" s="1">
        <v>0</v>
      </c>
      <c r="M65" s="1">
        <v>9.8529999999999998</v>
      </c>
      <c r="N65" s="1427">
        <v>0.30399999999999999</v>
      </c>
      <c r="O65" s="1">
        <v>0.30399999999999999</v>
      </c>
      <c r="P65" s="1">
        <v>9.8529999999999998</v>
      </c>
      <c r="Q65" s="742">
        <v>0</v>
      </c>
      <c r="R65" s="742">
        <v>3.0853547143002133E-2</v>
      </c>
      <c r="S65" s="2100">
        <v>3.0853547143002133E-2</v>
      </c>
      <c r="T65" s="89">
        <v>81</v>
      </c>
      <c r="U65" s="741">
        <v>0</v>
      </c>
      <c r="V65" s="741">
        <v>9.1954999999999991</v>
      </c>
      <c r="W65" s="741">
        <v>1.9055</v>
      </c>
      <c r="X65" s="741">
        <v>1.9055</v>
      </c>
      <c r="Y65" s="741">
        <v>9.1954999999999991</v>
      </c>
      <c r="Z65" s="2088">
        <v>0</v>
      </c>
      <c r="AA65" s="2088">
        <v>0.22080273983994803</v>
      </c>
      <c r="AB65" s="2115">
        <v>0.22080273983994803</v>
      </c>
    </row>
    <row r="66" spans="2:28">
      <c r="B66" s="2098">
        <v>82</v>
      </c>
      <c r="C66" s="2090"/>
      <c r="D66" s="2090">
        <v>8.0619999999999994</v>
      </c>
      <c r="E66" s="2090">
        <v>3.4260000000000002</v>
      </c>
      <c r="F66" s="2090">
        <v>3.4260000000000002</v>
      </c>
      <c r="G66" s="2090">
        <v>8.0619999999999994</v>
      </c>
      <c r="H66" s="2091">
        <v>0</v>
      </c>
      <c r="I66" s="2091">
        <v>0.42495658645497403</v>
      </c>
      <c r="J66" s="2099">
        <v>0.42495658645497403</v>
      </c>
      <c r="K66" s="2098">
        <v>82</v>
      </c>
      <c r="L66" s="2090">
        <v>0</v>
      </c>
      <c r="M66" s="2090">
        <v>9.3179999999999996</v>
      </c>
      <c r="N66" s="2092">
        <v>0.28100000000000003</v>
      </c>
      <c r="O66" s="2090">
        <v>0.28100000000000003</v>
      </c>
      <c r="P66" s="2090">
        <v>9.3179999999999996</v>
      </c>
      <c r="Q66" s="2091">
        <v>0</v>
      </c>
      <c r="R66" s="2091">
        <v>3.0156685984116766E-2</v>
      </c>
      <c r="S66" s="2099">
        <v>3.0156685984116766E-2</v>
      </c>
      <c r="T66" s="2098">
        <v>82</v>
      </c>
      <c r="U66" s="1707">
        <v>0</v>
      </c>
      <c r="V66" s="1707">
        <v>8.69</v>
      </c>
      <c r="W66" s="1707">
        <v>1.8535000000000001</v>
      </c>
      <c r="X66" s="1707">
        <v>1.8535000000000001</v>
      </c>
      <c r="Y66" s="1707">
        <v>8.69</v>
      </c>
      <c r="Z66" s="2093">
        <v>0</v>
      </c>
      <c r="AA66" s="2093">
        <v>0.22755663621954539</v>
      </c>
      <c r="AB66" s="2114">
        <v>0.22755663621954539</v>
      </c>
    </row>
    <row r="67" spans="2:28">
      <c r="B67" s="89">
        <v>83</v>
      </c>
      <c r="C67" s="1"/>
      <c r="D67" s="1">
        <v>7.5960000000000001</v>
      </c>
      <c r="E67" s="1">
        <v>3.3330000000000002</v>
      </c>
      <c r="F67" s="1">
        <v>3.3330000000000002</v>
      </c>
      <c r="G67" s="1">
        <v>7.5960000000000001</v>
      </c>
      <c r="H67" s="742">
        <v>0</v>
      </c>
      <c r="I67" s="742">
        <v>0.43878357030015802</v>
      </c>
      <c r="J67" s="2100">
        <v>0.43878357030015802</v>
      </c>
      <c r="K67" s="89">
        <v>83</v>
      </c>
      <c r="L67" s="1">
        <v>0</v>
      </c>
      <c r="M67" s="1">
        <v>8.7889999999999997</v>
      </c>
      <c r="N67" s="1427">
        <v>0.25800000000000001</v>
      </c>
      <c r="O67" s="1">
        <v>0.25800000000000001</v>
      </c>
      <c r="P67" s="1">
        <v>8.7889999999999997</v>
      </c>
      <c r="Q67" s="742">
        <v>0</v>
      </c>
      <c r="R67" s="742">
        <v>2.9354875412447381E-2</v>
      </c>
      <c r="S67" s="2100">
        <v>2.9354875412447381E-2</v>
      </c>
      <c r="T67" s="89">
        <v>83</v>
      </c>
      <c r="U67" s="741">
        <v>0</v>
      </c>
      <c r="V67" s="741">
        <v>8.192499999999999</v>
      </c>
      <c r="W67" s="741">
        <v>1.7955000000000001</v>
      </c>
      <c r="X67" s="741">
        <v>1.7955000000000001</v>
      </c>
      <c r="Y67" s="741">
        <v>8.192499999999999</v>
      </c>
      <c r="Z67" s="2088">
        <v>0</v>
      </c>
      <c r="AA67" s="2088">
        <v>0.23406922285630269</v>
      </c>
      <c r="AB67" s="2115">
        <v>0.23406922285630269</v>
      </c>
    </row>
    <row r="68" spans="2:28">
      <c r="B68" s="2098">
        <v>84</v>
      </c>
      <c r="C68" s="2090"/>
      <c r="D68" s="2090">
        <v>7.1429999999999998</v>
      </c>
      <c r="E68" s="2090">
        <v>3.2280000000000002</v>
      </c>
      <c r="F68" s="2090">
        <v>3.2280000000000002</v>
      </c>
      <c r="G68" s="2090">
        <v>7.1429999999999998</v>
      </c>
      <c r="H68" s="2091">
        <v>0</v>
      </c>
      <c r="I68" s="2091">
        <v>0.45191096178076445</v>
      </c>
      <c r="J68" s="2099">
        <v>0.45191096178076445</v>
      </c>
      <c r="K68" s="2098">
        <v>84</v>
      </c>
      <c r="L68" s="2090">
        <v>0</v>
      </c>
      <c r="M68" s="2090">
        <v>8.2710000000000008</v>
      </c>
      <c r="N68" s="2092">
        <v>0.23499999999999999</v>
      </c>
      <c r="O68" s="2090">
        <v>0.23499999999999999</v>
      </c>
      <c r="P68" s="2090">
        <v>8.2710000000000008</v>
      </c>
      <c r="Q68" s="2091">
        <v>0</v>
      </c>
      <c r="R68" s="2091">
        <v>2.8412525692177483E-2</v>
      </c>
      <c r="S68" s="2099">
        <v>2.8412525692177483E-2</v>
      </c>
      <c r="T68" s="2098">
        <v>84</v>
      </c>
      <c r="U68" s="1707">
        <v>0</v>
      </c>
      <c r="V68" s="1707">
        <v>7.7070000000000007</v>
      </c>
      <c r="W68" s="1707">
        <v>1.7315</v>
      </c>
      <c r="X68" s="1707">
        <v>1.7315</v>
      </c>
      <c r="Y68" s="1707">
        <v>7.7070000000000007</v>
      </c>
      <c r="Z68" s="2093">
        <v>0</v>
      </c>
      <c r="AA68" s="2093">
        <v>0.24016174373647098</v>
      </c>
      <c r="AB68" s="2114">
        <v>0.24016174373647098</v>
      </c>
    </row>
    <row r="69" spans="2:28">
      <c r="B69" s="89">
        <v>85</v>
      </c>
      <c r="C69" s="1"/>
      <c r="D69" s="1">
        <v>6.7080000000000002</v>
      </c>
      <c r="E69" s="1">
        <v>3.1139999999999999</v>
      </c>
      <c r="F69" s="1">
        <v>3.1139999999999999</v>
      </c>
      <c r="G69" s="1">
        <v>6.7080000000000002</v>
      </c>
      <c r="H69" s="742">
        <v>0</v>
      </c>
      <c r="I69" s="742">
        <v>0.46422182468694095</v>
      </c>
      <c r="J69" s="2100">
        <v>0.46422182468694095</v>
      </c>
      <c r="K69" s="89">
        <v>85</v>
      </c>
      <c r="L69" s="1">
        <v>0</v>
      </c>
      <c r="M69" s="1">
        <v>7.7679999999999998</v>
      </c>
      <c r="N69" s="1427">
        <v>0.21</v>
      </c>
      <c r="O69" s="1">
        <v>0.21</v>
      </c>
      <c r="P69" s="1">
        <v>7.7679999999999998</v>
      </c>
      <c r="Q69" s="742">
        <v>0</v>
      </c>
      <c r="R69" s="742">
        <v>2.7033985581874358E-2</v>
      </c>
      <c r="S69" s="2100">
        <v>2.7033985581874358E-2</v>
      </c>
      <c r="T69" s="89">
        <v>85</v>
      </c>
      <c r="U69" s="741">
        <v>0</v>
      </c>
      <c r="V69" s="741">
        <v>7.2379999999999995</v>
      </c>
      <c r="W69" s="741">
        <v>1.6619999999999999</v>
      </c>
      <c r="X69" s="741">
        <v>1.6619999999999999</v>
      </c>
      <c r="Y69" s="741">
        <v>7.2379999999999995</v>
      </c>
      <c r="Z69" s="2088">
        <v>0</v>
      </c>
      <c r="AA69" s="2088">
        <v>0.24562790513440766</v>
      </c>
      <c r="AB69" s="2115">
        <v>0.24562790513440766</v>
      </c>
    </row>
    <row r="70" spans="2:28">
      <c r="B70" s="2098">
        <v>86</v>
      </c>
      <c r="C70" s="2090"/>
      <c r="D70" s="2090">
        <v>6.2949999999999999</v>
      </c>
      <c r="E70" s="2090">
        <v>2.992</v>
      </c>
      <c r="F70" s="2090">
        <v>2.992</v>
      </c>
      <c r="G70" s="2090">
        <v>6.2949999999999999</v>
      </c>
      <c r="H70" s="2091">
        <v>0</v>
      </c>
      <c r="I70" s="2091">
        <v>0.47529785544082603</v>
      </c>
      <c r="J70" s="2099">
        <v>0.47529785544082603</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6.79</v>
      </c>
      <c r="W70" s="1707">
        <v>1.589</v>
      </c>
      <c r="X70" s="1707">
        <v>1.589</v>
      </c>
      <c r="Y70" s="1707">
        <v>6.79</v>
      </c>
      <c r="Z70" s="2093">
        <v>0</v>
      </c>
      <c r="AA70" s="2093">
        <v>0.25041488516722155</v>
      </c>
      <c r="AB70" s="2114">
        <v>0.25041488516722155</v>
      </c>
    </row>
    <row r="71" spans="2:28">
      <c r="B71" s="89">
        <v>87</v>
      </c>
      <c r="C71" s="1"/>
      <c r="D71" s="1">
        <v>5.9089999999999998</v>
      </c>
      <c r="E71" s="1">
        <v>2.8650000000000002</v>
      </c>
      <c r="F71" s="1">
        <v>2.8650000000000002</v>
      </c>
      <c r="G71" s="1">
        <v>5.9089999999999998</v>
      </c>
      <c r="H71" s="742">
        <v>0</v>
      </c>
      <c r="I71" s="742">
        <v>0.4848536131325098</v>
      </c>
      <c r="J71" s="2100">
        <v>0.4848536131325098</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6.3674999999999997</v>
      </c>
      <c r="W71" s="741">
        <v>1.5135000000000001</v>
      </c>
      <c r="X71" s="741">
        <v>1.5135000000000001</v>
      </c>
      <c r="Y71" s="741">
        <v>6.3674999999999997</v>
      </c>
      <c r="Z71" s="2088">
        <v>0</v>
      </c>
      <c r="AA71" s="2088">
        <v>0.25429319976871606</v>
      </c>
      <c r="AB71" s="2115">
        <v>0.25429319976871606</v>
      </c>
    </row>
    <row r="72" spans="2:28">
      <c r="B72" s="2098">
        <v>88</v>
      </c>
      <c r="C72" s="2090"/>
      <c r="D72" s="2090">
        <v>5.5570000000000004</v>
      </c>
      <c r="E72" s="2090">
        <v>2.7050000000000001</v>
      </c>
      <c r="F72" s="2090">
        <v>2.7050000000000001</v>
      </c>
      <c r="G72" s="2090">
        <v>5.5570000000000004</v>
      </c>
      <c r="H72" s="2091">
        <v>0</v>
      </c>
      <c r="I72" s="2091">
        <v>0.48677343890588443</v>
      </c>
      <c r="J72" s="2099">
        <v>0.48677343890588443</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5.9775</v>
      </c>
      <c r="W72" s="1707">
        <v>1.4225000000000001</v>
      </c>
      <c r="X72" s="1707">
        <v>1.4225000000000001</v>
      </c>
      <c r="Y72" s="1707">
        <v>5.9775</v>
      </c>
      <c r="Z72" s="2093">
        <v>0</v>
      </c>
      <c r="AA72" s="2093">
        <v>0.25432763849014134</v>
      </c>
      <c r="AB72" s="2114">
        <v>0.25432763849014134</v>
      </c>
    </row>
    <row r="73" spans="2:28">
      <c r="B73" s="89">
        <v>89</v>
      </c>
      <c r="C73" s="1"/>
      <c r="D73" s="1">
        <v>5.2469999999999999</v>
      </c>
      <c r="E73" s="1">
        <v>2.5379999999999998</v>
      </c>
      <c r="F73" s="1">
        <v>2.5379999999999998</v>
      </c>
      <c r="G73" s="1">
        <v>5.2469999999999999</v>
      </c>
      <c r="H73" s="742">
        <v>0</v>
      </c>
      <c r="I73" s="742">
        <v>0.483704974271012</v>
      </c>
      <c r="J73" s="2100">
        <v>0.483704974271012</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5.6269999999999998</v>
      </c>
      <c r="W73" s="741">
        <v>1.3274999999999999</v>
      </c>
      <c r="X73" s="741">
        <v>1.3274999999999999</v>
      </c>
      <c r="Y73" s="741">
        <v>5.6269999999999998</v>
      </c>
      <c r="Z73" s="2088">
        <v>0</v>
      </c>
      <c r="AA73" s="2088">
        <v>0.25159112539087475</v>
      </c>
      <c r="AB73" s="2115">
        <v>0.25159112539087475</v>
      </c>
    </row>
    <row r="74" spans="2:28">
      <c r="B74" s="2098">
        <v>90</v>
      </c>
      <c r="C74" s="2090"/>
      <c r="D74" s="2090">
        <v>4.9669999999999996</v>
      </c>
      <c r="E74" s="2090">
        <v>2.3759999999999999</v>
      </c>
      <c r="F74" s="2090">
        <v>2.3759999999999999</v>
      </c>
      <c r="G74" s="2090">
        <v>4.9669999999999996</v>
      </c>
      <c r="H74" s="2091">
        <v>0</v>
      </c>
      <c r="I74" s="2091">
        <v>0.47835715723776928</v>
      </c>
      <c r="J74" s="2099">
        <v>0.47835715723776928</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5.3109999999999999</v>
      </c>
      <c r="W74" s="1707">
        <v>1.2364999999999999</v>
      </c>
      <c r="X74" s="1707">
        <v>1.2364999999999999</v>
      </c>
      <c r="Y74" s="1707">
        <v>5.3109999999999999</v>
      </c>
      <c r="Z74" s="2093">
        <v>0</v>
      </c>
      <c r="AA74" s="2093">
        <v>0.24775505960915872</v>
      </c>
      <c r="AB74" s="2114">
        <v>0.24775505960915872</v>
      </c>
    </row>
    <row r="75" spans="2:28">
      <c r="B75" s="89">
        <v>91</v>
      </c>
      <c r="C75" s="1"/>
      <c r="D75" s="1">
        <v>4.7060000000000004</v>
      </c>
      <c r="E75" s="1">
        <v>2.1920000000000002</v>
      </c>
      <c r="F75" s="1">
        <v>2.1920000000000002</v>
      </c>
      <c r="G75" s="1">
        <v>4.7060000000000004</v>
      </c>
      <c r="H75" s="742">
        <v>0</v>
      </c>
      <c r="I75" s="742">
        <v>0.46578835529111773</v>
      </c>
      <c r="J75" s="2100">
        <v>0.46578835529111773</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5.0190000000000001</v>
      </c>
      <c r="W75" s="741">
        <v>1.1360000000000001</v>
      </c>
      <c r="X75" s="741">
        <v>1.1360000000000001</v>
      </c>
      <c r="Y75" s="741">
        <v>5.0190000000000001</v>
      </c>
      <c r="Z75" s="2088">
        <v>0</v>
      </c>
      <c r="AA75" s="2088">
        <v>0.24039605311442608</v>
      </c>
      <c r="AB75" s="2115">
        <v>0.24039605311442608</v>
      </c>
    </row>
    <row r="76" spans="2:28">
      <c r="B76" s="2098">
        <v>92</v>
      </c>
      <c r="C76" s="2090"/>
      <c r="D76" s="2090">
        <v>4.4630000000000001</v>
      </c>
      <c r="E76" s="2090">
        <v>2.024</v>
      </c>
      <c r="F76" s="2090">
        <v>2.024</v>
      </c>
      <c r="G76" s="2090">
        <v>4.4630000000000001</v>
      </c>
      <c r="H76" s="2091">
        <v>0</v>
      </c>
      <c r="I76" s="2091">
        <v>0.45350660990365227</v>
      </c>
      <c r="J76" s="2099">
        <v>0.45350660990365227</v>
      </c>
      <c r="K76" s="2098">
        <v>92</v>
      </c>
      <c r="L76" s="2090">
        <v>0</v>
      </c>
      <c r="M76" s="2090">
        <v>5.0289999999999999</v>
      </c>
      <c r="N76" s="2092">
        <v>6.5000000000000002E-2</v>
      </c>
      <c r="O76" s="2090">
        <v>6.5000000000000002E-2</v>
      </c>
      <c r="P76" s="2090">
        <v>5.0289999999999999</v>
      </c>
      <c r="Q76" s="2091">
        <v>0</v>
      </c>
      <c r="R76" s="2091">
        <v>1.2925034798170611E-2</v>
      </c>
      <c r="S76" s="2099">
        <v>1.2925034798170611E-2</v>
      </c>
      <c r="T76" s="2098">
        <v>92</v>
      </c>
      <c r="U76" s="1707">
        <v>0</v>
      </c>
      <c r="V76" s="1707">
        <v>4.7460000000000004</v>
      </c>
      <c r="W76" s="1707">
        <v>1.0445</v>
      </c>
      <c r="X76" s="1707">
        <v>1.0445</v>
      </c>
      <c r="Y76" s="1707">
        <v>4.7460000000000004</v>
      </c>
      <c r="Z76" s="2093">
        <v>0</v>
      </c>
      <c r="AA76" s="2093">
        <v>0.23321582235091143</v>
      </c>
      <c r="AB76" s="2114">
        <v>0.23321582235091143</v>
      </c>
    </row>
    <row r="77" spans="2:28">
      <c r="B77" s="89">
        <v>93</v>
      </c>
      <c r="C77" s="1"/>
      <c r="D77" s="1">
        <v>4.2380000000000004</v>
      </c>
      <c r="E77" s="1">
        <v>1.839</v>
      </c>
      <c r="F77" s="1">
        <v>1.839</v>
      </c>
      <c r="G77" s="1">
        <v>4.2380000000000004</v>
      </c>
      <c r="H77" s="742">
        <v>0</v>
      </c>
      <c r="I77" s="742">
        <v>0.43393109957527132</v>
      </c>
      <c r="J77" s="2100">
        <v>0.43393109957527132</v>
      </c>
      <c r="K77" s="89">
        <v>93</v>
      </c>
      <c r="L77" s="1">
        <v>0</v>
      </c>
      <c r="M77" s="1">
        <v>4.7469999999999999</v>
      </c>
      <c r="N77" s="1427">
        <v>5.2999999999999999E-2</v>
      </c>
      <c r="O77" s="1">
        <v>5.2999999999999999E-2</v>
      </c>
      <c r="P77" s="1">
        <v>4.7469999999999999</v>
      </c>
      <c r="Q77" s="742">
        <v>0</v>
      </c>
      <c r="R77" s="742">
        <v>1.1164946281862228E-2</v>
      </c>
      <c r="S77" s="2100">
        <v>1.1164946281862228E-2</v>
      </c>
      <c r="T77" s="89">
        <v>93</v>
      </c>
      <c r="U77" s="741">
        <v>0</v>
      </c>
      <c r="V77" s="741">
        <v>4.4924999999999997</v>
      </c>
      <c r="W77" s="741">
        <v>0.94599999999999995</v>
      </c>
      <c r="X77" s="741">
        <v>0.94599999999999995</v>
      </c>
      <c r="Y77" s="741">
        <v>4.4924999999999997</v>
      </c>
      <c r="Z77" s="2088">
        <v>0</v>
      </c>
      <c r="AA77" s="2088">
        <v>0.22254802292856676</v>
      </c>
      <c r="AB77" s="2115">
        <v>0.22254802292856676</v>
      </c>
    </row>
    <row r="78" spans="2:28">
      <c r="B78" s="2098">
        <v>94</v>
      </c>
      <c r="C78" s="2090"/>
      <c r="D78" s="2090">
        <v>4.0309999999999997</v>
      </c>
      <c r="E78" s="2090">
        <v>1.6739999999999999</v>
      </c>
      <c r="F78" s="2090">
        <v>1.6739999999999999</v>
      </c>
      <c r="G78" s="2090">
        <v>4.0309999999999997</v>
      </c>
      <c r="H78" s="2091">
        <v>0</v>
      </c>
      <c r="I78" s="2091">
        <v>0.41528156784916898</v>
      </c>
      <c r="J78" s="2099">
        <v>0.41528156784916898</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4.258</v>
      </c>
      <c r="W78" s="1707">
        <v>0.85799999999999998</v>
      </c>
      <c r="X78" s="1707">
        <v>0.85799999999999998</v>
      </c>
      <c r="Y78" s="1707">
        <v>4.258</v>
      </c>
      <c r="Z78" s="2093">
        <v>0</v>
      </c>
      <c r="AA78" s="2093">
        <v>0.21232305817207614</v>
      </c>
      <c r="AB78" s="2114">
        <v>0.21232305817207614</v>
      </c>
    </row>
    <row r="79" spans="2:28">
      <c r="B79" s="89">
        <v>95</v>
      </c>
      <c r="C79" s="1"/>
      <c r="D79" s="1">
        <v>3.8420000000000001</v>
      </c>
      <c r="E79" s="1">
        <v>1.528</v>
      </c>
      <c r="F79" s="1">
        <v>1.528</v>
      </c>
      <c r="G79" s="1">
        <v>3.8420000000000001</v>
      </c>
      <c r="H79" s="742">
        <v>0</v>
      </c>
      <c r="I79" s="742">
        <v>0.39770952628839146</v>
      </c>
      <c r="J79" s="2100">
        <v>0.39770952628839146</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4.0434999999999999</v>
      </c>
      <c r="W79" s="741">
        <v>0.78100000000000003</v>
      </c>
      <c r="X79" s="741">
        <v>0.78100000000000003</v>
      </c>
      <c r="Y79" s="741">
        <v>4.0434999999999999</v>
      </c>
      <c r="Z79" s="2088">
        <v>0</v>
      </c>
      <c r="AA79" s="2088">
        <v>0.20285947456940184</v>
      </c>
      <c r="AB79" s="2115">
        <v>0.20285947456940184</v>
      </c>
    </row>
    <row r="80" spans="2:28">
      <c r="B80" s="2098">
        <v>96</v>
      </c>
      <c r="C80" s="2090"/>
      <c r="D80" s="2090">
        <v>3.67</v>
      </c>
      <c r="E80" s="2090">
        <v>1.3640000000000001</v>
      </c>
      <c r="F80" s="2090">
        <v>1.3640000000000001</v>
      </c>
      <c r="G80" s="2090">
        <v>3.67</v>
      </c>
      <c r="H80" s="2091">
        <v>0</v>
      </c>
      <c r="I80" s="2091">
        <v>0.3716621253405995</v>
      </c>
      <c r="J80" s="2099">
        <v>0.3716621253405995</v>
      </c>
      <c r="K80" s="2098">
        <v>96</v>
      </c>
      <c r="L80" s="2090">
        <v>0</v>
      </c>
      <c r="M80" s="2090">
        <v>4.024</v>
      </c>
      <c r="N80" s="2092">
        <v>2.7E-2</v>
      </c>
      <c r="O80" s="2090">
        <v>2.7E-2</v>
      </c>
      <c r="P80" s="2090">
        <v>4.024</v>
      </c>
      <c r="Q80" s="2091">
        <v>0</v>
      </c>
      <c r="R80" s="2091">
        <v>6.7097415506958248E-3</v>
      </c>
      <c r="S80" s="2099">
        <v>6.7097415506958248E-3</v>
      </c>
      <c r="T80" s="2098">
        <v>96</v>
      </c>
      <c r="U80" s="1707">
        <v>0</v>
      </c>
      <c r="V80" s="1707">
        <v>3.847</v>
      </c>
      <c r="W80" s="1707">
        <v>0.69550000000000001</v>
      </c>
      <c r="X80" s="1707">
        <v>0.69550000000000001</v>
      </c>
      <c r="Y80" s="1707">
        <v>3.847</v>
      </c>
      <c r="Z80" s="2093">
        <v>0</v>
      </c>
      <c r="AA80" s="2093">
        <v>0.18918593344564766</v>
      </c>
      <c r="AB80" s="2114">
        <v>0.18918593344564766</v>
      </c>
    </row>
    <row r="81" spans="2:28">
      <c r="B81" s="89">
        <v>97</v>
      </c>
      <c r="C81" s="1"/>
      <c r="D81" s="1">
        <v>3.5129999999999999</v>
      </c>
      <c r="E81" s="1">
        <v>1.2110000000000001</v>
      </c>
      <c r="F81" s="1">
        <v>1.2110000000000001</v>
      </c>
      <c r="G81" s="1">
        <v>3.5129999999999999</v>
      </c>
      <c r="H81" s="742">
        <v>0</v>
      </c>
      <c r="I81" s="742">
        <v>0.34471961286649588</v>
      </c>
      <c r="J81" s="2100">
        <v>0.34471961286649588</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3.6684999999999999</v>
      </c>
      <c r="W81" s="741">
        <v>0.61599999999999999</v>
      </c>
      <c r="X81" s="741">
        <v>0.61599999999999999</v>
      </c>
      <c r="Y81" s="741">
        <v>3.6684999999999999</v>
      </c>
      <c r="Z81" s="2088">
        <v>0</v>
      </c>
      <c r="AA81" s="2088">
        <v>0.17510562233282953</v>
      </c>
      <c r="AB81" s="2115">
        <v>0.17510562233282953</v>
      </c>
    </row>
    <row r="82" spans="2:28">
      <c r="B82" s="2098">
        <v>98</v>
      </c>
      <c r="C82" s="2090"/>
      <c r="D82" s="2090">
        <v>3.371</v>
      </c>
      <c r="E82" s="2090">
        <v>1.038</v>
      </c>
      <c r="F82" s="2090">
        <v>1.038</v>
      </c>
      <c r="G82" s="2090">
        <v>3.371</v>
      </c>
      <c r="H82" s="2091">
        <v>0</v>
      </c>
      <c r="I82" s="2091">
        <v>0.30792049836843666</v>
      </c>
      <c r="J82" s="2099">
        <v>0.30792049836843666</v>
      </c>
      <c r="K82" s="2098">
        <v>98</v>
      </c>
      <c r="L82" s="2090">
        <v>0</v>
      </c>
      <c r="M82" s="2090">
        <v>3.6429999999999998</v>
      </c>
      <c r="N82" s="2092">
        <v>1.7000000000000001E-2</v>
      </c>
      <c r="O82" s="2090">
        <v>1.7000000000000001E-2</v>
      </c>
      <c r="P82" s="2090">
        <v>3.6429999999999998</v>
      </c>
      <c r="Q82" s="2091">
        <v>0</v>
      </c>
      <c r="R82" s="2091">
        <v>4.6664836673071652E-3</v>
      </c>
      <c r="S82" s="2099">
        <v>4.6664836673071652E-3</v>
      </c>
      <c r="T82" s="2098">
        <v>98</v>
      </c>
      <c r="U82" s="1707">
        <v>0</v>
      </c>
      <c r="V82" s="1707">
        <v>3.5069999999999997</v>
      </c>
      <c r="W82" s="1707">
        <v>0.52749999999999997</v>
      </c>
      <c r="X82" s="1707">
        <v>0.52749999999999997</v>
      </c>
      <c r="Y82" s="1707">
        <v>3.5069999999999997</v>
      </c>
      <c r="Z82" s="2093">
        <v>0</v>
      </c>
      <c r="AA82" s="2093">
        <v>0.15629349101787191</v>
      </c>
      <c r="AB82" s="2114">
        <v>0.15629349101787191</v>
      </c>
    </row>
    <row r="83" spans="2:28">
      <c r="B83" s="89">
        <v>99</v>
      </c>
      <c r="C83" s="1"/>
      <c r="D83" s="1">
        <v>3.2429999999999999</v>
      </c>
      <c r="E83" s="1">
        <v>0.84499999999999997</v>
      </c>
      <c r="F83" s="1">
        <v>0.84499999999999997</v>
      </c>
      <c r="G83" s="1">
        <v>3.2429999999999999</v>
      </c>
      <c r="H83" s="742">
        <v>0</v>
      </c>
      <c r="I83" s="742">
        <v>0.26056120875732347</v>
      </c>
      <c r="J83" s="2100">
        <v>0.26056120875732347</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3.3614999999999999</v>
      </c>
      <c r="W83" s="741">
        <v>0.42899999999999999</v>
      </c>
      <c r="X83" s="741">
        <v>0.42899999999999999</v>
      </c>
      <c r="Y83" s="741">
        <v>3.3614999999999999</v>
      </c>
      <c r="Z83" s="2088">
        <v>0</v>
      </c>
      <c r="AA83" s="2088">
        <v>0.13214842047061576</v>
      </c>
      <c r="AB83" s="2115">
        <v>0.13214842047061576</v>
      </c>
    </row>
    <row r="84" spans="2:28" ht="15" thickBot="1">
      <c r="B84" s="2101">
        <v>100</v>
      </c>
      <c r="C84" s="2102"/>
      <c r="D84" s="2102">
        <v>3.1269999999999998</v>
      </c>
      <c r="E84" s="2102">
        <v>0.67</v>
      </c>
      <c r="F84" s="2102">
        <v>0.67</v>
      </c>
      <c r="G84" s="2102">
        <v>3.1269999999999998</v>
      </c>
      <c r="H84" s="2103">
        <v>0</v>
      </c>
      <c r="I84" s="2103">
        <v>0.21426287176207229</v>
      </c>
      <c r="J84" s="2104">
        <v>0.21426287176207229</v>
      </c>
      <c r="K84" s="2101">
        <v>100</v>
      </c>
      <c r="L84" s="2102">
        <v>0</v>
      </c>
      <c r="M84" s="2102">
        <v>3.335</v>
      </c>
      <c r="N84" s="2109">
        <v>0.01</v>
      </c>
      <c r="O84" s="2102">
        <v>0.01</v>
      </c>
      <c r="P84" s="2102">
        <v>3.335</v>
      </c>
      <c r="Q84" s="2103">
        <v>0</v>
      </c>
      <c r="R84" s="2103">
        <v>2.9985007496251873E-3</v>
      </c>
      <c r="S84" s="2104">
        <v>2.9985007496251873E-3</v>
      </c>
      <c r="T84" s="2101">
        <v>100</v>
      </c>
      <c r="U84" s="2116">
        <v>0</v>
      </c>
      <c r="V84" s="2116">
        <v>3.2309999999999999</v>
      </c>
      <c r="W84" s="2116">
        <v>0.34</v>
      </c>
      <c r="X84" s="2116">
        <v>0.34</v>
      </c>
      <c r="Y84" s="2116">
        <v>3.2309999999999999</v>
      </c>
      <c r="Z84" s="2117">
        <v>0</v>
      </c>
      <c r="AA84" s="2117">
        <v>0.10863068625584874</v>
      </c>
      <c r="AB84" s="2118">
        <v>0.10863068625584874</v>
      </c>
    </row>
  </sheetData>
  <mergeCells count="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1954</v>
      </c>
      <c r="B2" s="4015" t="s">
        <v>7</v>
      </c>
      <c r="C2" s="2095" t="s">
        <v>0</v>
      </c>
      <c r="D2" s="2095" t="s">
        <v>1</v>
      </c>
      <c r="E2" s="2095" t="s">
        <v>2</v>
      </c>
      <c r="F2" s="2095" t="s">
        <v>1698</v>
      </c>
      <c r="G2" s="2095" t="s">
        <v>1952</v>
      </c>
      <c r="H2" s="4011" t="s">
        <v>5</v>
      </c>
      <c r="I2" s="4011"/>
      <c r="J2" s="4012"/>
      <c r="K2" s="2105"/>
      <c r="L2" s="2106" t="s">
        <v>0</v>
      </c>
      <c r="M2" s="2106" t="s">
        <v>1</v>
      </c>
      <c r="N2" s="2106" t="s">
        <v>2</v>
      </c>
      <c r="O2" s="2106" t="s">
        <v>1698</v>
      </c>
      <c r="P2" s="2106" t="str">
        <f>+G2</f>
        <v>Anwartschafts-barwert
Altersrente</v>
      </c>
      <c r="Q2" s="4013" t="s">
        <v>6</v>
      </c>
      <c r="R2" s="4013"/>
      <c r="S2" s="4014"/>
      <c r="T2" s="2110"/>
      <c r="U2" s="2111" t="s">
        <v>0</v>
      </c>
      <c r="V2" s="2111" t="s">
        <v>1</v>
      </c>
      <c r="W2" s="2111" t="s">
        <v>2</v>
      </c>
      <c r="X2" s="2111" t="s">
        <v>1698</v>
      </c>
      <c r="Y2" s="2111" t="str">
        <f>+G2</f>
        <v>Anwartschafts-barwert
Altersrente</v>
      </c>
      <c r="Z2" s="4017" t="s">
        <v>6</v>
      </c>
      <c r="AA2" s="4017"/>
      <c r="AB2" s="4018"/>
    </row>
    <row r="3" spans="1:28" s="2" customFormat="1" ht="13.5">
      <c r="A3" s="60">
        <v>43111</v>
      </c>
      <c r="B3" s="4016"/>
      <c r="C3" s="2089" t="s">
        <v>17</v>
      </c>
      <c r="D3" s="2089" t="s">
        <v>18</v>
      </c>
      <c r="E3" s="2089" t="s">
        <v>24</v>
      </c>
      <c r="F3" s="2089"/>
      <c r="G3" s="2089"/>
      <c r="H3" s="1108" t="s">
        <v>8</v>
      </c>
      <c r="I3" s="1108" t="s">
        <v>9</v>
      </c>
      <c r="J3" s="2097" t="s">
        <v>10</v>
      </c>
      <c r="K3" s="2107" t="s">
        <v>7</v>
      </c>
      <c r="L3" s="1109" t="s">
        <v>19</v>
      </c>
      <c r="M3" s="1109" t="s">
        <v>20</v>
      </c>
      <c r="N3" s="1109" t="s">
        <v>26</v>
      </c>
      <c r="O3" s="1109"/>
      <c r="P3" s="1109"/>
      <c r="Q3" s="1109" t="s">
        <v>8</v>
      </c>
      <c r="R3" s="1109" t="s">
        <v>9</v>
      </c>
      <c r="S3" s="2108" t="s">
        <v>10</v>
      </c>
      <c r="T3" s="2127" t="s">
        <v>7</v>
      </c>
      <c r="U3" s="2128" t="s">
        <v>19</v>
      </c>
      <c r="V3" s="2128" t="s">
        <v>20</v>
      </c>
      <c r="W3" s="2128" t="s">
        <v>26</v>
      </c>
      <c r="X3" s="2128" t="s">
        <v>27</v>
      </c>
      <c r="Y3" s="2128"/>
      <c r="Z3" s="2128" t="s">
        <v>8</v>
      </c>
      <c r="AA3" s="2128" t="s">
        <v>9</v>
      </c>
      <c r="AB3" s="2129" t="s">
        <v>10</v>
      </c>
    </row>
    <row r="4" spans="1:28">
      <c r="B4" s="2098">
        <v>20</v>
      </c>
      <c r="C4" s="2090">
        <v>0.26800000000000002</v>
      </c>
      <c r="D4" s="2090">
        <v>5.1230000000000002</v>
      </c>
      <c r="E4" s="2090">
        <v>0.53100000000000003</v>
      </c>
      <c r="F4" s="2090">
        <v>0.53100000000000003</v>
      </c>
      <c r="G4" s="2090">
        <v>4.8550000000000004</v>
      </c>
      <c r="H4" s="2091">
        <v>5.5200823892893922E-2</v>
      </c>
      <c r="I4" s="2091">
        <v>0.1093717816683831</v>
      </c>
      <c r="J4" s="2099">
        <v>0.16457260556127701</v>
      </c>
      <c r="K4" s="2098">
        <v>20</v>
      </c>
      <c r="L4" s="2090">
        <v>0.26800000000000002</v>
      </c>
      <c r="M4" s="2090">
        <v>5.8920000000000003</v>
      </c>
      <c r="N4" s="2092">
        <v>0.13200000000000001</v>
      </c>
      <c r="O4" s="2090">
        <v>0.13200000000000001</v>
      </c>
      <c r="P4" s="2090">
        <v>5.6240000000000006</v>
      </c>
      <c r="Q4" s="2091">
        <v>4.7652916073968703E-2</v>
      </c>
      <c r="R4" s="2091">
        <v>2.3470839260312942E-2</v>
      </c>
      <c r="S4" s="2099">
        <v>7.1123755334281641E-2</v>
      </c>
      <c r="T4" s="2098">
        <v>20</v>
      </c>
      <c r="U4" s="1707">
        <v>0.26800000000000002</v>
      </c>
      <c r="V4" s="1707">
        <v>5.5075000000000003</v>
      </c>
      <c r="W4" s="1707">
        <v>0.33150000000000002</v>
      </c>
      <c r="X4" s="1707">
        <v>0.49299999999999999</v>
      </c>
      <c r="Y4" s="1707">
        <v>5.8960000000000008</v>
      </c>
      <c r="Z4" s="2093">
        <v>4.9533799533799529E-2</v>
      </c>
      <c r="AA4" s="2093">
        <v>9.5765345765345747E-2</v>
      </c>
      <c r="AB4" s="2114">
        <v>0.14529914529914528</v>
      </c>
    </row>
    <row r="5" spans="1:28">
      <c r="B5" s="89">
        <v>21</v>
      </c>
      <c r="C5" s="1">
        <v>0.32100000000000001</v>
      </c>
      <c r="D5" s="1">
        <v>5.2789999999999999</v>
      </c>
      <c r="E5" s="1">
        <v>0.61699999999999999</v>
      </c>
      <c r="F5" s="1">
        <v>0.61699999999999999</v>
      </c>
      <c r="G5" s="1">
        <v>4.9580000000000002</v>
      </c>
      <c r="H5" s="742">
        <v>6.4743848325937881E-2</v>
      </c>
      <c r="I5" s="742">
        <v>0.12444534086325131</v>
      </c>
      <c r="J5" s="2100">
        <v>0.1891891891891892</v>
      </c>
      <c r="K5" s="89">
        <v>21</v>
      </c>
      <c r="L5" s="1">
        <v>0.32100000000000001</v>
      </c>
      <c r="M5" s="1">
        <v>6.0679999999999996</v>
      </c>
      <c r="N5" s="1427">
        <v>0.159</v>
      </c>
      <c r="O5" s="1">
        <v>0.159</v>
      </c>
      <c r="P5" s="1">
        <v>5.7469999999999999</v>
      </c>
      <c r="Q5" s="742">
        <v>5.5855228815033936E-2</v>
      </c>
      <c r="R5" s="742">
        <v>2.7666608665390641E-2</v>
      </c>
      <c r="S5" s="2100">
        <v>8.3521837480424577E-2</v>
      </c>
      <c r="T5" s="89">
        <v>21</v>
      </c>
      <c r="U5" s="741">
        <v>0.32100000000000001</v>
      </c>
      <c r="V5" s="741">
        <v>5.6734999999999998</v>
      </c>
      <c r="W5" s="741">
        <v>0.38800000000000001</v>
      </c>
      <c r="X5" s="741">
        <v>0.49299999999999999</v>
      </c>
      <c r="Y5" s="741">
        <v>5.8960000000000008</v>
      </c>
      <c r="Z5" s="2088">
        <v>4.9533799533799529E-2</v>
      </c>
      <c r="AA5" s="2088">
        <v>9.5765345765345747E-2</v>
      </c>
      <c r="AB5" s="2115">
        <v>0.14529914529914528</v>
      </c>
    </row>
    <row r="6" spans="1:28">
      <c r="B6" s="2098">
        <v>22</v>
      </c>
      <c r="C6" s="2090">
        <v>0.371</v>
      </c>
      <c r="D6" s="2090">
        <v>5.4379999999999997</v>
      </c>
      <c r="E6" s="2090">
        <v>0.70899999999999996</v>
      </c>
      <c r="F6" s="2090">
        <v>0.70899999999999996</v>
      </c>
      <c r="G6" s="2090">
        <v>5.0670000000000002</v>
      </c>
      <c r="H6" s="2091">
        <v>7.32188671797908E-2</v>
      </c>
      <c r="I6" s="2091">
        <v>0.1399250049338859</v>
      </c>
      <c r="J6" s="2099">
        <v>0.21314387211367669</v>
      </c>
      <c r="K6" s="2098">
        <v>22</v>
      </c>
      <c r="L6" s="2090">
        <v>0.371</v>
      </c>
      <c r="M6" s="2090">
        <v>6.2489999999999997</v>
      </c>
      <c r="N6" s="2092">
        <v>0.185</v>
      </c>
      <c r="O6" s="2090">
        <v>0.185</v>
      </c>
      <c r="P6" s="2090">
        <v>5.8780000000000001</v>
      </c>
      <c r="Q6" s="2091">
        <v>6.31167063627084E-2</v>
      </c>
      <c r="R6" s="2091">
        <v>3.1473290234773729E-2</v>
      </c>
      <c r="S6" s="2099">
        <v>9.4589996597482129E-2</v>
      </c>
      <c r="T6" s="2098">
        <v>22</v>
      </c>
      <c r="U6" s="1707">
        <v>0.371</v>
      </c>
      <c r="V6" s="1707">
        <v>5.8434999999999997</v>
      </c>
      <c r="W6" s="1707">
        <v>0.44699999999999995</v>
      </c>
      <c r="X6" s="1707">
        <v>0.49299999999999999</v>
      </c>
      <c r="Y6" s="1707">
        <v>5.8960000000000008</v>
      </c>
      <c r="Z6" s="2093">
        <v>4.9533799533799529E-2</v>
      </c>
      <c r="AA6" s="2093">
        <v>9.5765345765345747E-2</v>
      </c>
      <c r="AB6" s="2114">
        <v>0.14529914529914528</v>
      </c>
    </row>
    <row r="7" spans="1:28">
      <c r="B7" s="89">
        <v>23</v>
      </c>
      <c r="C7" s="1">
        <v>0.41199999999999998</v>
      </c>
      <c r="D7" s="1">
        <v>5.601</v>
      </c>
      <c r="E7" s="1">
        <v>0.80500000000000005</v>
      </c>
      <c r="F7" s="1">
        <v>0.80500000000000005</v>
      </c>
      <c r="G7" s="1">
        <v>5.1890000000000001</v>
      </c>
      <c r="H7" s="742">
        <v>7.9398728078627856E-2</v>
      </c>
      <c r="I7" s="742">
        <v>0.15513586432838697</v>
      </c>
      <c r="J7" s="2100">
        <v>0.23453459240701482</v>
      </c>
      <c r="K7" s="89">
        <v>23</v>
      </c>
      <c r="L7" s="1">
        <v>0.41199999999999998</v>
      </c>
      <c r="M7" s="1">
        <v>6.4349999999999996</v>
      </c>
      <c r="N7" s="1427">
        <v>0.20599999999999999</v>
      </c>
      <c r="O7" s="1">
        <v>0.20599999999999999</v>
      </c>
      <c r="P7" s="1">
        <v>6.0229999999999997</v>
      </c>
      <c r="Q7" s="742">
        <v>6.8404449609828985E-2</v>
      </c>
      <c r="R7" s="742">
        <v>3.4202224804914493E-2</v>
      </c>
      <c r="S7" s="2100">
        <v>0.10260667441474347</v>
      </c>
      <c r="T7" s="89">
        <v>23</v>
      </c>
      <c r="U7" s="741">
        <v>0.41199999999999998</v>
      </c>
      <c r="V7" s="741">
        <v>6.0179999999999998</v>
      </c>
      <c r="W7" s="741">
        <v>0.50550000000000006</v>
      </c>
      <c r="X7" s="741">
        <v>0.49299999999999999</v>
      </c>
      <c r="Y7" s="741">
        <v>5.8960000000000008</v>
      </c>
      <c r="Z7" s="2088">
        <v>4.9533799533799529E-2</v>
      </c>
      <c r="AA7" s="2088">
        <v>9.5765345765345747E-2</v>
      </c>
      <c r="AB7" s="2115">
        <v>0.14529914529914528</v>
      </c>
    </row>
    <row r="8" spans="1:28">
      <c r="B8" s="2098">
        <v>24</v>
      </c>
      <c r="C8" s="2090">
        <v>0.44900000000000001</v>
      </c>
      <c r="D8" s="2090">
        <v>5.7690000000000001</v>
      </c>
      <c r="E8" s="2090">
        <v>0.89400000000000002</v>
      </c>
      <c r="F8" s="2090">
        <v>0.89400000000000002</v>
      </c>
      <c r="G8" s="2090">
        <v>5.32</v>
      </c>
      <c r="H8" s="2091">
        <v>8.43984962406015E-2</v>
      </c>
      <c r="I8" s="2091">
        <v>0.16804511278195489</v>
      </c>
      <c r="J8" s="2099">
        <v>0.25244360902255636</v>
      </c>
      <c r="K8" s="2098">
        <v>24</v>
      </c>
      <c r="L8" s="2090">
        <v>0.44900000000000001</v>
      </c>
      <c r="M8" s="2090">
        <v>6.625</v>
      </c>
      <c r="N8" s="2092">
        <v>0.22700000000000001</v>
      </c>
      <c r="O8" s="2090">
        <v>0.22700000000000001</v>
      </c>
      <c r="P8" s="2090">
        <v>6.1760000000000002</v>
      </c>
      <c r="Q8" s="2091">
        <v>7.2700777202072533E-2</v>
      </c>
      <c r="R8" s="2091">
        <v>3.6755181347150258E-2</v>
      </c>
      <c r="S8" s="2099">
        <v>0.1094559585492228</v>
      </c>
      <c r="T8" s="2098">
        <v>24</v>
      </c>
      <c r="U8" s="1707">
        <v>0.44900000000000001</v>
      </c>
      <c r="V8" s="1707">
        <v>6.1970000000000001</v>
      </c>
      <c r="W8" s="1707">
        <v>0.5605</v>
      </c>
      <c r="X8" s="1707">
        <v>0.49299999999999999</v>
      </c>
      <c r="Y8" s="1707">
        <v>5.8960000000000008</v>
      </c>
      <c r="Z8" s="2093">
        <v>4.9533799533799529E-2</v>
      </c>
      <c r="AA8" s="2093">
        <v>9.5765345765345747E-2</v>
      </c>
      <c r="AB8" s="2114">
        <v>0.14529914529914528</v>
      </c>
    </row>
    <row r="9" spans="1:28">
      <c r="B9" s="89">
        <v>25</v>
      </c>
      <c r="C9" s="1">
        <v>0.48599999999999999</v>
      </c>
      <c r="D9" s="1">
        <v>5.94</v>
      </c>
      <c r="E9" s="1">
        <v>0.97599999999999998</v>
      </c>
      <c r="F9" s="1">
        <v>0.97599999999999998</v>
      </c>
      <c r="G9" s="1">
        <v>5.4540000000000006</v>
      </c>
      <c r="H9" s="742">
        <v>8.9108910891089091E-2</v>
      </c>
      <c r="I9" s="742">
        <v>0.17895122845617892</v>
      </c>
      <c r="J9" s="2100">
        <v>0.26806013934726802</v>
      </c>
      <c r="K9" s="89">
        <v>25</v>
      </c>
      <c r="L9" s="1">
        <v>0.48599999999999999</v>
      </c>
      <c r="M9" s="1">
        <v>6.819</v>
      </c>
      <c r="N9" s="1427">
        <v>0.247</v>
      </c>
      <c r="O9" s="1">
        <v>0.247</v>
      </c>
      <c r="P9" s="1">
        <v>6.3330000000000002</v>
      </c>
      <c r="Q9" s="742">
        <v>7.6740881099005204E-2</v>
      </c>
      <c r="R9" s="742">
        <v>3.9002052739617876E-2</v>
      </c>
      <c r="S9" s="2100">
        <v>0.11574293383862308</v>
      </c>
      <c r="T9" s="89">
        <v>25</v>
      </c>
      <c r="U9" s="741">
        <v>0.48599999999999999</v>
      </c>
      <c r="V9" s="741">
        <v>6.3795000000000002</v>
      </c>
      <c r="W9" s="741">
        <v>0.61149999999999993</v>
      </c>
      <c r="X9" s="741">
        <v>0.49299999999999999</v>
      </c>
      <c r="Y9" s="741">
        <v>5.8960000000000008</v>
      </c>
      <c r="Z9" s="2088">
        <v>4.9533799533799529E-2</v>
      </c>
      <c r="AA9" s="2088">
        <v>9.5765345765345747E-2</v>
      </c>
      <c r="AB9" s="2115">
        <v>0.14529914529914528</v>
      </c>
    </row>
    <row r="10" spans="1:28">
      <c r="B10" s="2098">
        <v>26</v>
      </c>
      <c r="C10" s="2090">
        <v>0.52100000000000002</v>
      </c>
      <c r="D10" s="2090">
        <v>6.1150000000000002</v>
      </c>
      <c r="E10" s="2090">
        <v>1.054</v>
      </c>
      <c r="F10" s="2090">
        <v>1.054</v>
      </c>
      <c r="G10" s="2090">
        <v>5.5940000000000003</v>
      </c>
      <c r="H10" s="2091">
        <v>9.3135502323918484E-2</v>
      </c>
      <c r="I10" s="2091">
        <v>0.18841616017161245</v>
      </c>
      <c r="J10" s="2099">
        <v>0.28155166249553093</v>
      </c>
      <c r="K10" s="2098">
        <v>26</v>
      </c>
      <c r="L10" s="2090">
        <v>0.52100000000000002</v>
      </c>
      <c r="M10" s="2090">
        <v>7.0179999999999998</v>
      </c>
      <c r="N10" s="2092">
        <v>0.26700000000000002</v>
      </c>
      <c r="O10" s="2090">
        <v>0.26700000000000002</v>
      </c>
      <c r="P10" s="2090">
        <v>6.4969999999999999</v>
      </c>
      <c r="Q10" s="2091">
        <v>8.0190857318762507E-2</v>
      </c>
      <c r="R10" s="2091">
        <v>4.1095890410958909E-2</v>
      </c>
      <c r="S10" s="2099">
        <v>0.12128674772972142</v>
      </c>
      <c r="T10" s="2098">
        <v>26</v>
      </c>
      <c r="U10" s="1707">
        <v>0.52100000000000002</v>
      </c>
      <c r="V10" s="1707">
        <v>6.5664999999999996</v>
      </c>
      <c r="W10" s="1707">
        <v>0.66050000000000009</v>
      </c>
      <c r="X10" s="1707">
        <v>0.49299999999999999</v>
      </c>
      <c r="Y10" s="1707">
        <v>5.8960000000000008</v>
      </c>
      <c r="Z10" s="2093">
        <v>4.9533799533799529E-2</v>
      </c>
      <c r="AA10" s="2093">
        <v>9.5765345765345747E-2</v>
      </c>
      <c r="AB10" s="2114">
        <v>0.14529914529914528</v>
      </c>
    </row>
    <row r="11" spans="1:28">
      <c r="B11" s="89">
        <v>27</v>
      </c>
      <c r="C11" s="1">
        <v>0.55500000000000005</v>
      </c>
      <c r="D11" s="1">
        <v>6.2949999999999999</v>
      </c>
      <c r="E11" s="1">
        <v>1.1299999999999999</v>
      </c>
      <c r="F11" s="1">
        <v>1.1299999999999999</v>
      </c>
      <c r="G11" s="1">
        <v>5.74</v>
      </c>
      <c r="H11" s="742">
        <v>9.6689895470383286E-2</v>
      </c>
      <c r="I11" s="742">
        <v>0.1968641114982578</v>
      </c>
      <c r="J11" s="2100">
        <v>0.29355400696864109</v>
      </c>
      <c r="K11" s="89">
        <v>27</v>
      </c>
      <c r="L11" s="1">
        <v>0.55500000000000005</v>
      </c>
      <c r="M11" s="1">
        <v>7.22</v>
      </c>
      <c r="N11" s="1427">
        <v>0.28799999999999998</v>
      </c>
      <c r="O11" s="1">
        <v>0.28799999999999998</v>
      </c>
      <c r="P11" s="1">
        <v>6.665</v>
      </c>
      <c r="Q11" s="742">
        <v>8.3270817704426112E-2</v>
      </c>
      <c r="R11" s="742">
        <v>4.3210802700675163E-2</v>
      </c>
      <c r="S11" s="2100">
        <v>0.12648162040510127</v>
      </c>
      <c r="T11" s="89">
        <v>27</v>
      </c>
      <c r="U11" s="741">
        <v>0.55500000000000005</v>
      </c>
      <c r="V11" s="741">
        <v>6.7575000000000003</v>
      </c>
      <c r="W11" s="741">
        <v>0.70899999999999996</v>
      </c>
      <c r="X11" s="741">
        <v>0.49299999999999999</v>
      </c>
      <c r="Y11" s="741">
        <v>5.8960000000000008</v>
      </c>
      <c r="Z11" s="2088">
        <v>4.9533799533799529E-2</v>
      </c>
      <c r="AA11" s="2088">
        <v>9.5765345765345747E-2</v>
      </c>
      <c r="AB11" s="2115">
        <v>0.14529914529914528</v>
      </c>
    </row>
    <row r="12" spans="1:28">
      <c r="B12" s="2098">
        <v>28</v>
      </c>
      <c r="C12" s="2090">
        <v>0.58799999999999997</v>
      </c>
      <c r="D12" s="2090">
        <v>6.4790000000000001</v>
      </c>
      <c r="E12" s="2090">
        <v>1.204</v>
      </c>
      <c r="F12" s="2090">
        <v>1.204</v>
      </c>
      <c r="G12" s="2090">
        <v>5.891</v>
      </c>
      <c r="H12" s="2091">
        <v>9.981327448650483E-2</v>
      </c>
      <c r="I12" s="2091">
        <v>0.20437956204379562</v>
      </c>
      <c r="J12" s="2099">
        <v>0.30419283653030044</v>
      </c>
      <c r="K12" s="2098">
        <v>28</v>
      </c>
      <c r="L12" s="2090">
        <v>0.58799999999999997</v>
      </c>
      <c r="M12" s="2090">
        <v>7.4279999999999999</v>
      </c>
      <c r="N12" s="2092">
        <v>0.308</v>
      </c>
      <c r="O12" s="2090">
        <v>0.308</v>
      </c>
      <c r="P12" s="2090">
        <v>6.84</v>
      </c>
      <c r="Q12" s="2091">
        <v>8.5964912280701758E-2</v>
      </c>
      <c r="R12" s="2091">
        <v>4.502923976608187E-2</v>
      </c>
      <c r="S12" s="2099">
        <v>0.13099415204678364</v>
      </c>
      <c r="T12" s="2098">
        <v>28</v>
      </c>
      <c r="U12" s="1707">
        <v>0.58799999999999997</v>
      </c>
      <c r="V12" s="1707">
        <v>6.9535</v>
      </c>
      <c r="W12" s="1707">
        <v>0.75600000000000001</v>
      </c>
      <c r="X12" s="1707">
        <v>0.49299999999999999</v>
      </c>
      <c r="Y12" s="1707">
        <v>5.8960000000000008</v>
      </c>
      <c r="Z12" s="2093">
        <v>4.9533799533799529E-2</v>
      </c>
      <c r="AA12" s="2093">
        <v>9.5765345765345747E-2</v>
      </c>
      <c r="AB12" s="2114">
        <v>0.14529914529914528</v>
      </c>
    </row>
    <row r="13" spans="1:28">
      <c r="B13" s="89">
        <v>29</v>
      </c>
      <c r="C13" s="1">
        <v>0.61799999999999999</v>
      </c>
      <c r="D13" s="1">
        <v>6.6669999999999998</v>
      </c>
      <c r="E13" s="1">
        <v>1.276</v>
      </c>
      <c r="F13" s="1">
        <v>1.276</v>
      </c>
      <c r="G13" s="1">
        <v>6.0489999999999995</v>
      </c>
      <c r="H13" s="742">
        <v>0.10216564721441561</v>
      </c>
      <c r="I13" s="742">
        <v>0.21094395767895521</v>
      </c>
      <c r="J13" s="2100">
        <v>0.31310960489337081</v>
      </c>
      <c r="K13" s="89">
        <v>29</v>
      </c>
      <c r="L13" s="1">
        <v>0.61799999999999999</v>
      </c>
      <c r="M13" s="1">
        <v>7.6390000000000002</v>
      </c>
      <c r="N13" s="1427">
        <v>0.32700000000000001</v>
      </c>
      <c r="O13" s="1">
        <v>0.32700000000000001</v>
      </c>
      <c r="P13" s="1">
        <v>7.0209999999999999</v>
      </c>
      <c r="Q13" s="742">
        <v>8.802164933770118E-2</v>
      </c>
      <c r="R13" s="742">
        <v>4.6574562028201115E-2</v>
      </c>
      <c r="S13" s="2100">
        <v>0.1345962113659023</v>
      </c>
      <c r="T13" s="89">
        <v>29</v>
      </c>
      <c r="U13" s="741">
        <v>0.61799999999999999</v>
      </c>
      <c r="V13" s="741">
        <v>7.1530000000000005</v>
      </c>
      <c r="W13" s="741">
        <v>0.80149999999999999</v>
      </c>
      <c r="X13" s="741">
        <v>0.49299999999999999</v>
      </c>
      <c r="Y13" s="741">
        <v>5.8960000000000008</v>
      </c>
      <c r="Z13" s="2088">
        <v>4.9533799533799529E-2</v>
      </c>
      <c r="AA13" s="2088">
        <v>9.5765345765345747E-2</v>
      </c>
      <c r="AB13" s="2115">
        <v>0.14529914529914528</v>
      </c>
    </row>
    <row r="14" spans="1:28">
      <c r="B14" s="2098">
        <v>30</v>
      </c>
      <c r="C14" s="2090">
        <v>0.64700000000000002</v>
      </c>
      <c r="D14" s="2090">
        <v>6.86</v>
      </c>
      <c r="E14" s="2090">
        <v>1.3480000000000001</v>
      </c>
      <c r="F14" s="2090">
        <v>1.3480000000000001</v>
      </c>
      <c r="G14" s="2090">
        <v>6.2130000000000001</v>
      </c>
      <c r="H14" s="2091">
        <v>0.10413648800901336</v>
      </c>
      <c r="I14" s="2091">
        <v>0.21696442942217931</v>
      </c>
      <c r="J14" s="2099">
        <v>0.32110091743119268</v>
      </c>
      <c r="K14" s="2098">
        <v>30</v>
      </c>
      <c r="L14" s="2090">
        <v>0.64700000000000002</v>
      </c>
      <c r="M14" s="2090">
        <v>7.8550000000000004</v>
      </c>
      <c r="N14" s="2092">
        <v>0.34699999999999998</v>
      </c>
      <c r="O14" s="2090">
        <v>0.34699999999999998</v>
      </c>
      <c r="P14" s="2090">
        <v>7.2080000000000002</v>
      </c>
      <c r="Q14" s="2091">
        <v>8.9761376248612648E-2</v>
      </c>
      <c r="R14" s="2091">
        <v>4.8140954495005543E-2</v>
      </c>
      <c r="S14" s="2099">
        <v>0.13790233074361818</v>
      </c>
      <c r="T14" s="2098">
        <v>30</v>
      </c>
      <c r="U14" s="1707">
        <v>0.64700000000000002</v>
      </c>
      <c r="V14" s="1707">
        <v>7.3574999999999999</v>
      </c>
      <c r="W14" s="1707">
        <v>0.84750000000000003</v>
      </c>
      <c r="X14" s="1707">
        <v>0.49299999999999999</v>
      </c>
      <c r="Y14" s="1707">
        <v>5.8960000000000008</v>
      </c>
      <c r="Z14" s="2093">
        <v>4.9533799533799529E-2</v>
      </c>
      <c r="AA14" s="2093">
        <v>9.5765345765345747E-2</v>
      </c>
      <c r="AB14" s="2114">
        <v>0.14529914529914528</v>
      </c>
    </row>
    <row r="15" spans="1:28">
      <c r="B15" s="89">
        <v>31</v>
      </c>
      <c r="C15" s="1">
        <v>0.67200000000000004</v>
      </c>
      <c r="D15" s="1">
        <v>7.0579999999999998</v>
      </c>
      <c r="E15" s="1">
        <v>1.419</v>
      </c>
      <c r="F15" s="1">
        <v>1.419</v>
      </c>
      <c r="G15" s="1">
        <v>6.3860000000000001</v>
      </c>
      <c r="H15" s="742">
        <v>0.10523019104290636</v>
      </c>
      <c r="I15" s="742">
        <v>0.2222048230504228</v>
      </c>
      <c r="J15" s="2100">
        <v>0.32743501409332915</v>
      </c>
      <c r="K15" s="89">
        <v>31</v>
      </c>
      <c r="L15" s="1">
        <v>0.67200000000000004</v>
      </c>
      <c r="M15" s="1">
        <v>8.0760000000000005</v>
      </c>
      <c r="N15" s="1427">
        <v>0.36499999999999999</v>
      </c>
      <c r="O15" s="1">
        <v>0.36499999999999999</v>
      </c>
      <c r="P15" s="1">
        <v>7.4040000000000008</v>
      </c>
      <c r="Q15" s="742">
        <v>9.0761750405186387E-2</v>
      </c>
      <c r="R15" s="742">
        <v>4.929767693138843E-2</v>
      </c>
      <c r="S15" s="2100">
        <v>0.14005942733657481</v>
      </c>
      <c r="T15" s="89">
        <v>31</v>
      </c>
      <c r="U15" s="741">
        <v>0.67200000000000004</v>
      </c>
      <c r="V15" s="741">
        <v>7.5670000000000002</v>
      </c>
      <c r="W15" s="741">
        <v>0.89200000000000002</v>
      </c>
      <c r="X15" s="741">
        <v>0.49299999999999999</v>
      </c>
      <c r="Y15" s="741">
        <v>5.8960000000000008</v>
      </c>
      <c r="Z15" s="2088">
        <v>4.9533799533799529E-2</v>
      </c>
      <c r="AA15" s="2088">
        <v>9.5765345765345747E-2</v>
      </c>
      <c r="AB15" s="2115">
        <v>0.14529914529914528</v>
      </c>
    </row>
    <row r="16" spans="1:28">
      <c r="B16" s="2098">
        <v>32</v>
      </c>
      <c r="C16" s="2090">
        <v>0.69599999999999995</v>
      </c>
      <c r="D16" s="2090">
        <v>7.2610000000000001</v>
      </c>
      <c r="E16" s="2090">
        <v>1.49</v>
      </c>
      <c r="F16" s="2090">
        <v>1.49</v>
      </c>
      <c r="G16" s="2090">
        <v>6.5650000000000004</v>
      </c>
      <c r="H16" s="2091">
        <v>0.106016755521706</v>
      </c>
      <c r="I16" s="2091">
        <v>0.22696115765422695</v>
      </c>
      <c r="J16" s="2099">
        <v>0.33297791317593295</v>
      </c>
      <c r="K16" s="2098">
        <v>32</v>
      </c>
      <c r="L16" s="2090">
        <v>0.69599999999999995</v>
      </c>
      <c r="M16" s="2090">
        <v>8.3010000000000002</v>
      </c>
      <c r="N16" s="2092">
        <v>0.38400000000000001</v>
      </c>
      <c r="O16" s="2090">
        <v>0.38400000000000001</v>
      </c>
      <c r="P16" s="2090">
        <v>7.6050000000000004</v>
      </c>
      <c r="Q16" s="2091">
        <v>9.1518737672583811E-2</v>
      </c>
      <c r="R16" s="2091">
        <v>5.0493096646942799E-2</v>
      </c>
      <c r="S16" s="2099">
        <v>0.1420118343195266</v>
      </c>
      <c r="T16" s="2098">
        <v>32</v>
      </c>
      <c r="U16" s="1707">
        <v>0.69599999999999995</v>
      </c>
      <c r="V16" s="1707">
        <v>7.7810000000000006</v>
      </c>
      <c r="W16" s="1707">
        <v>0.93700000000000006</v>
      </c>
      <c r="X16" s="1707">
        <v>0.49299999999999999</v>
      </c>
      <c r="Y16" s="1707">
        <v>5.8960000000000008</v>
      </c>
      <c r="Z16" s="2093">
        <v>4.9533799533799529E-2</v>
      </c>
      <c r="AA16" s="2093">
        <v>9.5765345765345747E-2</v>
      </c>
      <c r="AB16" s="2114">
        <v>0.14529914529914528</v>
      </c>
    </row>
    <row r="17" spans="2:28">
      <c r="B17" s="89">
        <v>33</v>
      </c>
      <c r="C17" s="1">
        <v>0.71599999999999997</v>
      </c>
      <c r="D17" s="1">
        <v>7.47</v>
      </c>
      <c r="E17" s="1">
        <v>1.5620000000000001</v>
      </c>
      <c r="F17" s="1">
        <v>1.5620000000000001</v>
      </c>
      <c r="G17" s="1">
        <v>6.7539999999999996</v>
      </c>
      <c r="H17" s="742">
        <v>0.10601125259105715</v>
      </c>
      <c r="I17" s="742">
        <v>0.23127035830618894</v>
      </c>
      <c r="J17" s="2100">
        <v>0.33728161089724606</v>
      </c>
      <c r="K17" s="89">
        <v>33</v>
      </c>
      <c r="L17" s="1">
        <v>0.71599999999999997</v>
      </c>
      <c r="M17" s="1">
        <v>8.532</v>
      </c>
      <c r="N17" s="1427">
        <v>0.40200000000000002</v>
      </c>
      <c r="O17" s="1">
        <v>0.40200000000000002</v>
      </c>
      <c r="P17" s="1">
        <v>7.8159999999999998</v>
      </c>
      <c r="Q17" s="742">
        <v>9.1606960081883321E-2</v>
      </c>
      <c r="R17" s="742">
        <v>5.1432958034800413E-2</v>
      </c>
      <c r="S17" s="2100">
        <v>0.14303991811668373</v>
      </c>
      <c r="T17" s="89">
        <v>33</v>
      </c>
      <c r="U17" s="741">
        <v>0.71599999999999997</v>
      </c>
      <c r="V17" s="741">
        <v>8.0009999999999994</v>
      </c>
      <c r="W17" s="741">
        <v>0.98199999999999998</v>
      </c>
      <c r="X17" s="741">
        <v>0.49299999999999999</v>
      </c>
      <c r="Y17" s="741">
        <v>5.8960000000000008</v>
      </c>
      <c r="Z17" s="2088">
        <v>4.9533799533799529E-2</v>
      </c>
      <c r="AA17" s="2088">
        <v>9.5765345765345747E-2</v>
      </c>
      <c r="AB17" s="2115">
        <v>0.14529914529914528</v>
      </c>
    </row>
    <row r="18" spans="2:28">
      <c r="B18" s="2098">
        <v>34</v>
      </c>
      <c r="C18" s="2090">
        <v>0.73399999999999999</v>
      </c>
      <c r="D18" s="2090">
        <v>7.6840000000000002</v>
      </c>
      <c r="E18" s="2090">
        <v>1.633</v>
      </c>
      <c r="F18" s="2090">
        <v>1.633</v>
      </c>
      <c r="G18" s="2090">
        <v>6.95</v>
      </c>
      <c r="H18" s="2091">
        <v>0.10561151079136691</v>
      </c>
      <c r="I18" s="2091">
        <v>0.23496402877697842</v>
      </c>
      <c r="J18" s="2099">
        <v>0.3405755395683453</v>
      </c>
      <c r="K18" s="2098">
        <v>34</v>
      </c>
      <c r="L18" s="2090">
        <v>0.73399999999999999</v>
      </c>
      <c r="M18" s="2090">
        <v>8.7669999999999995</v>
      </c>
      <c r="N18" s="2092">
        <v>0.41899999999999998</v>
      </c>
      <c r="O18" s="2090">
        <v>0.41899999999999998</v>
      </c>
      <c r="P18" s="2090">
        <v>8.0329999999999995</v>
      </c>
      <c r="Q18" s="2091">
        <v>9.1373086020166819E-2</v>
      </c>
      <c r="R18" s="2091">
        <v>5.2159840657288688E-2</v>
      </c>
      <c r="S18" s="2099">
        <v>0.14353292667745551</v>
      </c>
      <c r="T18" s="2098">
        <v>34</v>
      </c>
      <c r="U18" s="1707">
        <v>0.73399999999999999</v>
      </c>
      <c r="V18" s="1707">
        <v>8.2255000000000003</v>
      </c>
      <c r="W18" s="1707">
        <v>1.026</v>
      </c>
      <c r="X18" s="1707">
        <v>0.49299999999999999</v>
      </c>
      <c r="Y18" s="1707">
        <v>5.8960000000000008</v>
      </c>
      <c r="Z18" s="2093">
        <v>4.9533799533799529E-2</v>
      </c>
      <c r="AA18" s="2093">
        <v>9.5765345765345747E-2</v>
      </c>
      <c r="AB18" s="2114">
        <v>0.14529914529914528</v>
      </c>
    </row>
    <row r="19" spans="2:28">
      <c r="B19" s="89">
        <v>35</v>
      </c>
      <c r="C19" s="1">
        <v>0.748</v>
      </c>
      <c r="D19" s="1">
        <v>7.9029999999999996</v>
      </c>
      <c r="E19" s="1">
        <v>1.7050000000000001</v>
      </c>
      <c r="F19" s="1">
        <v>1.7050000000000001</v>
      </c>
      <c r="G19" s="1">
        <v>7.1549999999999994</v>
      </c>
      <c r="H19" s="742">
        <v>0.10454227812718379</v>
      </c>
      <c r="I19" s="742">
        <v>0.2382948986722572</v>
      </c>
      <c r="J19" s="2100">
        <v>0.34283717679944098</v>
      </c>
      <c r="K19" s="89">
        <v>35</v>
      </c>
      <c r="L19" s="1">
        <v>0.748</v>
      </c>
      <c r="M19" s="1">
        <v>9.0069999999999997</v>
      </c>
      <c r="N19" s="1427">
        <v>0.436</v>
      </c>
      <c r="O19" s="1">
        <v>0.436</v>
      </c>
      <c r="P19" s="1">
        <v>8.2590000000000003</v>
      </c>
      <c r="Q19" s="742">
        <v>9.0567865359002298E-2</v>
      </c>
      <c r="R19" s="742">
        <v>5.2790894781450534E-2</v>
      </c>
      <c r="S19" s="2100">
        <v>0.14335876014045285</v>
      </c>
      <c r="T19" s="89">
        <v>35</v>
      </c>
      <c r="U19" s="741">
        <v>0.748</v>
      </c>
      <c r="V19" s="741">
        <v>8.4550000000000001</v>
      </c>
      <c r="W19" s="741">
        <v>1.0705</v>
      </c>
      <c r="X19" s="741">
        <v>0.49299999999999999</v>
      </c>
      <c r="Y19" s="741">
        <v>5.8960000000000008</v>
      </c>
      <c r="Z19" s="2088">
        <v>4.9533799533799529E-2</v>
      </c>
      <c r="AA19" s="2088">
        <v>9.5765345765345747E-2</v>
      </c>
      <c r="AB19" s="2115">
        <v>0.14529914529914528</v>
      </c>
    </row>
    <row r="20" spans="2:28">
      <c r="B20" s="2098">
        <v>36</v>
      </c>
      <c r="C20" s="2090">
        <v>0.75700000000000001</v>
      </c>
      <c r="D20" s="2090">
        <v>8.1259999999999994</v>
      </c>
      <c r="E20" s="2090">
        <v>1.7769999999999999</v>
      </c>
      <c r="F20" s="2090">
        <v>1.7769999999999999</v>
      </c>
      <c r="G20" s="2090">
        <v>7.3689999999999998</v>
      </c>
      <c r="H20" s="2091">
        <v>0.10272764282806351</v>
      </c>
      <c r="I20" s="2091">
        <v>0.2411453385805401</v>
      </c>
      <c r="J20" s="2099">
        <v>0.34387298140860362</v>
      </c>
      <c r="K20" s="2098">
        <v>36</v>
      </c>
      <c r="L20" s="2090">
        <v>0.75700000000000001</v>
      </c>
      <c r="M20" s="2090">
        <v>9.2509999999999994</v>
      </c>
      <c r="N20" s="2092">
        <v>0.45200000000000001</v>
      </c>
      <c r="O20" s="2090">
        <v>0.45200000000000001</v>
      </c>
      <c r="P20" s="2090">
        <v>8.4939999999999998</v>
      </c>
      <c r="Q20" s="2091">
        <v>8.9121732987991531E-2</v>
      </c>
      <c r="R20" s="2091">
        <v>5.3214033435366147E-2</v>
      </c>
      <c r="S20" s="2099">
        <v>0.14233576642335768</v>
      </c>
      <c r="T20" s="2098">
        <v>36</v>
      </c>
      <c r="U20" s="1707">
        <v>0.75700000000000001</v>
      </c>
      <c r="V20" s="1707">
        <v>8.6884999999999994</v>
      </c>
      <c r="W20" s="1707">
        <v>1.1145</v>
      </c>
      <c r="X20" s="1707">
        <v>0.49299999999999999</v>
      </c>
      <c r="Y20" s="1707">
        <v>5.8960000000000008</v>
      </c>
      <c r="Z20" s="2093">
        <v>4.9533799533799529E-2</v>
      </c>
      <c r="AA20" s="2093">
        <v>9.5765345765345747E-2</v>
      </c>
      <c r="AB20" s="2114">
        <v>0.14529914529914528</v>
      </c>
    </row>
    <row r="21" spans="2:28">
      <c r="B21" s="89">
        <v>37</v>
      </c>
      <c r="C21" s="1">
        <v>0.76</v>
      </c>
      <c r="D21" s="1">
        <v>8.3529999999999998</v>
      </c>
      <c r="E21" s="1">
        <v>1.8480000000000001</v>
      </c>
      <c r="F21" s="1">
        <v>1.8480000000000001</v>
      </c>
      <c r="G21" s="1">
        <v>7.593</v>
      </c>
      <c r="H21" s="742">
        <v>0.10009219017516133</v>
      </c>
      <c r="I21" s="742">
        <v>0.24338206242591862</v>
      </c>
      <c r="J21" s="2100">
        <v>0.34347425260107994</v>
      </c>
      <c r="K21" s="89">
        <v>37</v>
      </c>
      <c r="L21" s="1">
        <v>0.76</v>
      </c>
      <c r="M21" s="1">
        <v>9.4979999999999993</v>
      </c>
      <c r="N21" s="1427">
        <v>0.46800000000000003</v>
      </c>
      <c r="O21" s="1">
        <v>0.46800000000000003</v>
      </c>
      <c r="P21" s="1">
        <v>8.7379999999999995</v>
      </c>
      <c r="Q21" s="742">
        <v>8.6976424811169614E-2</v>
      </c>
      <c r="R21" s="742">
        <v>5.3559166857404444E-2</v>
      </c>
      <c r="S21" s="2100">
        <v>0.14053559166857404</v>
      </c>
      <c r="T21" s="89">
        <v>37</v>
      </c>
      <c r="U21" s="741">
        <v>0.76</v>
      </c>
      <c r="V21" s="741">
        <v>8.9254999999999995</v>
      </c>
      <c r="W21" s="741">
        <v>1.1580000000000001</v>
      </c>
      <c r="X21" s="741">
        <v>0.49299999999999999</v>
      </c>
      <c r="Y21" s="741">
        <v>5.8960000000000008</v>
      </c>
      <c r="Z21" s="2088">
        <v>4.9533799533799529E-2</v>
      </c>
      <c r="AA21" s="2088">
        <v>9.5765345765345747E-2</v>
      </c>
      <c r="AB21" s="2115">
        <v>0.14529914529914528</v>
      </c>
    </row>
    <row r="22" spans="2:28">
      <c r="B22" s="2098">
        <v>38</v>
      </c>
      <c r="C22" s="2090">
        <v>0.75800000000000001</v>
      </c>
      <c r="D22" s="2090">
        <v>8.5839999999999996</v>
      </c>
      <c r="E22" s="2090">
        <v>1.92</v>
      </c>
      <c r="F22" s="2090">
        <v>1.92</v>
      </c>
      <c r="G22" s="2090">
        <v>7.8259999999999996</v>
      </c>
      <c r="H22" s="2091">
        <v>9.6856631740352681E-2</v>
      </c>
      <c r="I22" s="2091">
        <v>0.24533605928954766</v>
      </c>
      <c r="J22" s="2099">
        <v>0.34219269102990035</v>
      </c>
      <c r="K22" s="2098">
        <v>38</v>
      </c>
      <c r="L22" s="2090">
        <v>0.75800000000000001</v>
      </c>
      <c r="M22" s="2090">
        <v>9.7490000000000006</v>
      </c>
      <c r="N22" s="2092">
        <v>0.48199999999999998</v>
      </c>
      <c r="O22" s="2090">
        <v>0.48199999999999998</v>
      </c>
      <c r="P22" s="2090">
        <v>8.9909999999999997</v>
      </c>
      <c r="Q22" s="2091">
        <v>8.4306528750973206E-2</v>
      </c>
      <c r="R22" s="2091">
        <v>5.3609164720275833E-2</v>
      </c>
      <c r="S22" s="2099">
        <v>0.13791569347124905</v>
      </c>
      <c r="T22" s="2098">
        <v>38</v>
      </c>
      <c r="U22" s="1707">
        <v>0.75800000000000001</v>
      </c>
      <c r="V22" s="1707">
        <v>9.1664999999999992</v>
      </c>
      <c r="W22" s="1707">
        <v>1.2010000000000001</v>
      </c>
      <c r="X22" s="1707">
        <v>0.49299999999999999</v>
      </c>
      <c r="Y22" s="1707">
        <v>5.8960000000000008</v>
      </c>
      <c r="Z22" s="2093">
        <v>4.9533799533799529E-2</v>
      </c>
      <c r="AA22" s="2093">
        <v>9.5765345765345747E-2</v>
      </c>
      <c r="AB22" s="2114">
        <v>0.14529914529914528</v>
      </c>
    </row>
    <row r="23" spans="2:28">
      <c r="B23" s="89">
        <v>39</v>
      </c>
      <c r="C23" s="1">
        <v>0.75</v>
      </c>
      <c r="D23" s="1">
        <v>8.8179999999999996</v>
      </c>
      <c r="E23" s="1">
        <v>1.992</v>
      </c>
      <c r="F23" s="1">
        <v>1.992</v>
      </c>
      <c r="G23" s="1">
        <v>8.0679999999999996</v>
      </c>
      <c r="H23" s="742">
        <v>9.2959841348537436E-2</v>
      </c>
      <c r="I23" s="742">
        <v>0.24690133862171543</v>
      </c>
      <c r="J23" s="2100">
        <v>0.33986117997025289</v>
      </c>
      <c r="K23" s="89">
        <v>39</v>
      </c>
      <c r="L23" s="1">
        <v>0.75</v>
      </c>
      <c r="M23" s="1">
        <v>10.005000000000001</v>
      </c>
      <c r="N23" s="1427">
        <v>0.496</v>
      </c>
      <c r="O23" s="1">
        <v>0.496</v>
      </c>
      <c r="P23" s="1">
        <v>9.2550000000000008</v>
      </c>
      <c r="Q23" s="742">
        <v>8.1037277147487832E-2</v>
      </c>
      <c r="R23" s="742">
        <v>5.3592652620205287E-2</v>
      </c>
      <c r="S23" s="2100">
        <v>0.13462992976769311</v>
      </c>
      <c r="T23" s="89">
        <v>39</v>
      </c>
      <c r="U23" s="741">
        <v>0.75</v>
      </c>
      <c r="V23" s="741">
        <v>9.4115000000000002</v>
      </c>
      <c r="W23" s="741">
        <v>1.244</v>
      </c>
      <c r="X23" s="741">
        <v>0.49299999999999999</v>
      </c>
      <c r="Y23" s="741">
        <v>5.8960000000000008</v>
      </c>
      <c r="Z23" s="2088">
        <v>4.9533799533799529E-2</v>
      </c>
      <c r="AA23" s="2088">
        <v>9.5765345765345747E-2</v>
      </c>
      <c r="AB23" s="2115">
        <v>0.14529914529914528</v>
      </c>
    </row>
    <row r="24" spans="2:28">
      <c r="B24" s="2098">
        <v>40</v>
      </c>
      <c r="C24" s="2090">
        <v>0.73699999999999999</v>
      </c>
      <c r="D24" s="2090">
        <v>9.0579999999999998</v>
      </c>
      <c r="E24" s="2090">
        <v>2.0649999999999999</v>
      </c>
      <c r="F24" s="2090">
        <v>2.0649999999999999</v>
      </c>
      <c r="G24" s="2090">
        <v>8.3209999999999997</v>
      </c>
      <c r="H24" s="2091">
        <v>8.8571085206105044E-2</v>
      </c>
      <c r="I24" s="2091">
        <v>0.24816728758562673</v>
      </c>
      <c r="J24" s="2099">
        <v>0.3367383727917318</v>
      </c>
      <c r="K24" s="2098">
        <v>40</v>
      </c>
      <c r="L24" s="2090">
        <v>0.73699999999999999</v>
      </c>
      <c r="M24" s="2090">
        <v>10.265000000000001</v>
      </c>
      <c r="N24" s="2092">
        <v>0.51</v>
      </c>
      <c r="O24" s="2090">
        <v>0.51</v>
      </c>
      <c r="P24" s="2090">
        <v>9.5280000000000005</v>
      </c>
      <c r="Q24" s="2091">
        <v>7.7350965575146924E-2</v>
      </c>
      <c r="R24" s="2091">
        <v>5.35264483627204E-2</v>
      </c>
      <c r="S24" s="2099">
        <v>0.13087741393786734</v>
      </c>
      <c r="T24" s="2098">
        <v>40</v>
      </c>
      <c r="U24" s="1707">
        <v>0.73699999999999999</v>
      </c>
      <c r="V24" s="1707">
        <v>9.6615000000000002</v>
      </c>
      <c r="W24" s="1707">
        <v>1.2875000000000001</v>
      </c>
      <c r="X24" s="1707">
        <v>0.49299999999999999</v>
      </c>
      <c r="Y24" s="1707">
        <v>5.8960000000000008</v>
      </c>
      <c r="Z24" s="2093">
        <v>4.9533799533799529E-2</v>
      </c>
      <c r="AA24" s="2093">
        <v>9.5765345765345747E-2</v>
      </c>
      <c r="AB24" s="2114">
        <v>0.14529914529914528</v>
      </c>
    </row>
    <row r="25" spans="2:28">
      <c r="B25" s="89">
        <v>41</v>
      </c>
      <c r="C25" s="1">
        <v>0.72</v>
      </c>
      <c r="D25" s="1">
        <v>9.3049999999999997</v>
      </c>
      <c r="E25" s="1">
        <v>2.1389999999999998</v>
      </c>
      <c r="F25" s="1">
        <v>2.1389999999999998</v>
      </c>
      <c r="G25" s="1">
        <v>8.5849999999999991</v>
      </c>
      <c r="H25" s="742">
        <v>8.3867210250436808E-2</v>
      </c>
      <c r="I25" s="742">
        <v>0.24915550378567269</v>
      </c>
      <c r="J25" s="2100">
        <v>0.3330227140361095</v>
      </c>
      <c r="K25" s="89">
        <v>41</v>
      </c>
      <c r="L25" s="1">
        <v>0.72</v>
      </c>
      <c r="M25" s="1">
        <v>10.532</v>
      </c>
      <c r="N25" s="1427">
        <v>0.52300000000000002</v>
      </c>
      <c r="O25" s="1">
        <v>0.52300000000000002</v>
      </c>
      <c r="P25" s="1">
        <v>9.8119999999999994</v>
      </c>
      <c r="Q25" s="742">
        <v>7.3379535262943343E-2</v>
      </c>
      <c r="R25" s="742">
        <v>5.3302079086832453E-2</v>
      </c>
      <c r="S25" s="2100">
        <v>0.12668161434977579</v>
      </c>
      <c r="T25" s="89">
        <v>41</v>
      </c>
      <c r="U25" s="741">
        <v>0.72</v>
      </c>
      <c r="V25" s="741">
        <v>9.9184999999999999</v>
      </c>
      <c r="W25" s="741">
        <v>1.331</v>
      </c>
      <c r="X25" s="741">
        <v>0.49299999999999999</v>
      </c>
      <c r="Y25" s="741">
        <v>5.8960000000000008</v>
      </c>
      <c r="Z25" s="2088">
        <v>4.9533799533799529E-2</v>
      </c>
      <c r="AA25" s="2088">
        <v>9.5765345765345747E-2</v>
      </c>
      <c r="AB25" s="2115">
        <v>0.14529914529914528</v>
      </c>
    </row>
    <row r="26" spans="2:28">
      <c r="B26" s="2098">
        <v>42</v>
      </c>
      <c r="C26" s="2090">
        <v>0.7</v>
      </c>
      <c r="D26" s="2090">
        <v>9.56</v>
      </c>
      <c r="E26" s="2090">
        <v>2.214</v>
      </c>
      <c r="F26" s="2090">
        <v>2.214</v>
      </c>
      <c r="G26" s="2090">
        <v>8.8600000000000012</v>
      </c>
      <c r="H26" s="2091">
        <v>7.9006772009029336E-2</v>
      </c>
      <c r="I26" s="2091">
        <v>0.2498871331828442</v>
      </c>
      <c r="J26" s="2099">
        <v>0.32889390519187356</v>
      </c>
      <c r="K26" s="2098">
        <v>42</v>
      </c>
      <c r="L26" s="2090">
        <v>0.7</v>
      </c>
      <c r="M26" s="2090">
        <v>10.805999999999999</v>
      </c>
      <c r="N26" s="2092">
        <v>0.53600000000000003</v>
      </c>
      <c r="O26" s="2090">
        <v>0.53600000000000003</v>
      </c>
      <c r="P26" s="2090">
        <v>10.106</v>
      </c>
      <c r="Q26" s="2091">
        <v>6.9265782703344547E-2</v>
      </c>
      <c r="R26" s="2091">
        <v>5.3037799327132401E-2</v>
      </c>
      <c r="S26" s="2099">
        <v>0.12230358203047695</v>
      </c>
      <c r="T26" s="2098">
        <v>42</v>
      </c>
      <c r="U26" s="1707">
        <v>0.7</v>
      </c>
      <c r="V26" s="1707">
        <v>10.183</v>
      </c>
      <c r="W26" s="1707">
        <v>1.375</v>
      </c>
      <c r="X26" s="1707">
        <v>0.49299999999999999</v>
      </c>
      <c r="Y26" s="1707">
        <v>5.8960000000000008</v>
      </c>
      <c r="Z26" s="2093">
        <v>4.9533799533799529E-2</v>
      </c>
      <c r="AA26" s="2093">
        <v>9.5765345765345747E-2</v>
      </c>
      <c r="AB26" s="2114">
        <v>0.14529914529914528</v>
      </c>
    </row>
    <row r="27" spans="2:28">
      <c r="B27" s="89">
        <v>43</v>
      </c>
      <c r="C27" s="1">
        <v>0.67800000000000005</v>
      </c>
      <c r="D27" s="1">
        <v>9.8249999999999993</v>
      </c>
      <c r="E27" s="1">
        <v>2.29</v>
      </c>
      <c r="F27" s="1">
        <v>2.29</v>
      </c>
      <c r="G27" s="1">
        <v>9.1469999999999985</v>
      </c>
      <c r="H27" s="742">
        <v>7.4122663168251904E-2</v>
      </c>
      <c r="I27" s="742">
        <v>0.25035530775117532</v>
      </c>
      <c r="J27" s="2100">
        <v>0.32447797091942721</v>
      </c>
      <c r="K27" s="89">
        <v>43</v>
      </c>
      <c r="L27" s="1">
        <v>0.67800000000000005</v>
      </c>
      <c r="M27" s="1">
        <v>11.089</v>
      </c>
      <c r="N27" s="1427">
        <v>0.54900000000000004</v>
      </c>
      <c r="O27" s="1">
        <v>0.54900000000000004</v>
      </c>
      <c r="P27" s="1">
        <v>10.411</v>
      </c>
      <c r="Q27" s="742">
        <v>6.5123427144366544E-2</v>
      </c>
      <c r="R27" s="742">
        <v>5.2732686581500342E-2</v>
      </c>
      <c r="S27" s="2100">
        <v>0.11785611372586688</v>
      </c>
      <c r="T27" s="89">
        <v>43</v>
      </c>
      <c r="U27" s="741">
        <v>0.67800000000000005</v>
      </c>
      <c r="V27" s="741">
        <v>10.457000000000001</v>
      </c>
      <c r="W27" s="741">
        <v>1.4195</v>
      </c>
      <c r="X27" s="741">
        <v>0.49299999999999999</v>
      </c>
      <c r="Y27" s="741">
        <v>5.8960000000000008</v>
      </c>
      <c r="Z27" s="2088">
        <v>4.9533799533799529E-2</v>
      </c>
      <c r="AA27" s="2088">
        <v>9.5765345765345747E-2</v>
      </c>
      <c r="AB27" s="2115">
        <v>0.14529914529914528</v>
      </c>
    </row>
    <row r="28" spans="2:28">
      <c r="B28" s="2098">
        <v>44</v>
      </c>
      <c r="C28" s="2090">
        <v>0.65400000000000003</v>
      </c>
      <c r="D28" s="2090">
        <v>10.099</v>
      </c>
      <c r="E28" s="2090">
        <v>2.367</v>
      </c>
      <c r="F28" s="2090">
        <v>2.367</v>
      </c>
      <c r="G28" s="2090">
        <v>9.4450000000000003</v>
      </c>
      <c r="H28" s="2091">
        <v>6.9242985706723131E-2</v>
      </c>
      <c r="I28" s="2091">
        <v>0.25060878771836947</v>
      </c>
      <c r="J28" s="2099">
        <v>0.31985177342509263</v>
      </c>
      <c r="K28" s="2098">
        <v>44</v>
      </c>
      <c r="L28" s="2090">
        <v>0.65400000000000003</v>
      </c>
      <c r="M28" s="2090">
        <v>11.381</v>
      </c>
      <c r="N28" s="2092">
        <v>0.56100000000000005</v>
      </c>
      <c r="O28" s="2090">
        <v>0.56100000000000005</v>
      </c>
      <c r="P28" s="2090">
        <v>10.727</v>
      </c>
      <c r="Q28" s="2091">
        <v>6.0967651719958986E-2</v>
      </c>
      <c r="R28" s="2091">
        <v>5.2297939778129958E-2</v>
      </c>
      <c r="S28" s="2099">
        <v>0.11326559149808894</v>
      </c>
      <c r="T28" s="2098">
        <v>44</v>
      </c>
      <c r="U28" s="1707">
        <v>0.65400000000000003</v>
      </c>
      <c r="V28" s="1707">
        <v>10.74</v>
      </c>
      <c r="W28" s="1707">
        <v>1.464</v>
      </c>
      <c r="X28" s="1707">
        <v>0.49299999999999999</v>
      </c>
      <c r="Y28" s="1707">
        <v>5.8960000000000008</v>
      </c>
      <c r="Z28" s="2093">
        <v>4.9533799533799529E-2</v>
      </c>
      <c r="AA28" s="2093">
        <v>9.5765345765345747E-2</v>
      </c>
      <c r="AB28" s="2114">
        <v>0.14529914529914528</v>
      </c>
    </row>
    <row r="29" spans="2:28">
      <c r="B29" s="89">
        <v>45</v>
      </c>
      <c r="C29" s="1">
        <v>0.629</v>
      </c>
      <c r="D29" s="1">
        <v>10.382999999999999</v>
      </c>
      <c r="E29" s="1">
        <v>2.444</v>
      </c>
      <c r="F29" s="1">
        <v>2.444</v>
      </c>
      <c r="G29" s="1">
        <v>9.7539999999999996</v>
      </c>
      <c r="H29" s="742">
        <v>6.4486364568382207E-2</v>
      </c>
      <c r="I29" s="742">
        <v>0.25056387123231494</v>
      </c>
      <c r="J29" s="2100">
        <v>0.31505023580069713</v>
      </c>
      <c r="K29" s="89">
        <v>45</v>
      </c>
      <c r="L29" s="1">
        <v>0.629</v>
      </c>
      <c r="M29" s="1">
        <v>11.683</v>
      </c>
      <c r="N29" s="1427">
        <v>0.57399999999999995</v>
      </c>
      <c r="O29" s="1">
        <v>0.57399999999999995</v>
      </c>
      <c r="P29" s="1">
        <v>11.054</v>
      </c>
      <c r="Q29" s="742">
        <v>5.690247874072734E-2</v>
      </c>
      <c r="R29" s="742">
        <v>5.1926904288040525E-2</v>
      </c>
      <c r="S29" s="2100">
        <v>0.10882938302876786</v>
      </c>
      <c r="T29" s="89">
        <v>45</v>
      </c>
      <c r="U29" s="741">
        <v>0.629</v>
      </c>
      <c r="V29" s="741">
        <v>11.032999999999999</v>
      </c>
      <c r="W29" s="741">
        <v>1.5089999999999999</v>
      </c>
      <c r="X29" s="741">
        <v>0.49299999999999999</v>
      </c>
      <c r="Y29" s="741">
        <v>5.8960000000000008</v>
      </c>
      <c r="Z29" s="2088">
        <v>4.9533799533799529E-2</v>
      </c>
      <c r="AA29" s="2088">
        <v>9.5765345765345747E-2</v>
      </c>
      <c r="AB29" s="2115">
        <v>0.14529914529914528</v>
      </c>
    </row>
    <row r="30" spans="2:28">
      <c r="B30" s="2098">
        <v>46</v>
      </c>
      <c r="C30" s="2090">
        <v>0.60199999999999998</v>
      </c>
      <c r="D30" s="2090">
        <v>10.677</v>
      </c>
      <c r="E30" s="2090">
        <v>2.5209999999999999</v>
      </c>
      <c r="F30" s="2090">
        <v>2.5209999999999999</v>
      </c>
      <c r="G30" s="2090">
        <v>10.074999999999999</v>
      </c>
      <c r="H30" s="2091">
        <v>5.9751861042183628E-2</v>
      </c>
      <c r="I30" s="2091">
        <v>0.25022332506203476</v>
      </c>
      <c r="J30" s="2099">
        <v>0.30997518610421837</v>
      </c>
      <c r="K30" s="2098">
        <v>46</v>
      </c>
      <c r="L30" s="2090">
        <v>0.60199999999999998</v>
      </c>
      <c r="M30" s="2090">
        <v>11.994999999999999</v>
      </c>
      <c r="N30" s="2092">
        <v>0.58599999999999997</v>
      </c>
      <c r="O30" s="2090">
        <v>0.58599999999999997</v>
      </c>
      <c r="P30" s="2090">
        <v>11.392999999999999</v>
      </c>
      <c r="Q30" s="2091">
        <v>5.2839462828052318E-2</v>
      </c>
      <c r="R30" s="2091">
        <v>5.1435091722987804E-2</v>
      </c>
      <c r="S30" s="2099">
        <v>0.10427455455104012</v>
      </c>
      <c r="T30" s="2098">
        <v>46</v>
      </c>
      <c r="U30" s="1707">
        <v>0.60199999999999998</v>
      </c>
      <c r="V30" s="1707">
        <v>11.335999999999999</v>
      </c>
      <c r="W30" s="1707">
        <v>1.5534999999999999</v>
      </c>
      <c r="X30" s="1707">
        <v>0.49299999999999999</v>
      </c>
      <c r="Y30" s="1707">
        <v>5.8960000000000008</v>
      </c>
      <c r="Z30" s="2093">
        <v>4.9533799533799529E-2</v>
      </c>
      <c r="AA30" s="2093">
        <v>9.5765345765345747E-2</v>
      </c>
      <c r="AB30" s="2114">
        <v>0.14529914529914528</v>
      </c>
    </row>
    <row r="31" spans="2:28">
      <c r="B31" s="89">
        <v>47</v>
      </c>
      <c r="C31" s="1">
        <v>0.57399999999999995</v>
      </c>
      <c r="D31" s="1">
        <v>10.981</v>
      </c>
      <c r="E31" s="1">
        <v>2.5979999999999999</v>
      </c>
      <c r="F31" s="1">
        <v>2.5979999999999999</v>
      </c>
      <c r="G31" s="1">
        <v>10.407</v>
      </c>
      <c r="H31" s="742">
        <v>5.5155184010761985E-2</v>
      </c>
      <c r="I31" s="742">
        <v>0.24963966560968578</v>
      </c>
      <c r="J31" s="2100">
        <v>0.30479484962044778</v>
      </c>
      <c r="K31" s="89">
        <v>47</v>
      </c>
      <c r="L31" s="1">
        <v>0.57399999999999995</v>
      </c>
      <c r="M31" s="1">
        <v>12.316000000000001</v>
      </c>
      <c r="N31" s="1427">
        <v>0.59699999999999998</v>
      </c>
      <c r="O31" s="1">
        <v>0.59699999999999998</v>
      </c>
      <c r="P31" s="1">
        <v>11.742000000000001</v>
      </c>
      <c r="Q31" s="742">
        <v>4.8884346789303347E-2</v>
      </c>
      <c r="R31" s="742">
        <v>5.0843127235564632E-2</v>
      </c>
      <c r="S31" s="2100">
        <v>9.9727474024867979E-2</v>
      </c>
      <c r="T31" s="89">
        <v>47</v>
      </c>
      <c r="U31" s="741">
        <v>0.57399999999999995</v>
      </c>
      <c r="V31" s="741">
        <v>11.6485</v>
      </c>
      <c r="W31" s="741">
        <v>1.5974999999999999</v>
      </c>
      <c r="X31" s="741">
        <v>0.49299999999999999</v>
      </c>
      <c r="Y31" s="741">
        <v>5.8960000000000008</v>
      </c>
      <c r="Z31" s="2088">
        <v>4.9533799533799529E-2</v>
      </c>
      <c r="AA31" s="2088">
        <v>9.5765345765345747E-2</v>
      </c>
      <c r="AB31" s="2115">
        <v>0.14529914529914528</v>
      </c>
    </row>
    <row r="32" spans="2:28">
      <c r="B32" s="2098">
        <v>48</v>
      </c>
      <c r="C32" s="2090">
        <v>0.54300000000000004</v>
      </c>
      <c r="D32" s="2090">
        <v>11.295</v>
      </c>
      <c r="E32" s="2090">
        <v>2.673</v>
      </c>
      <c r="F32" s="2090">
        <v>2.673</v>
      </c>
      <c r="G32" s="2090">
        <v>10.752000000000001</v>
      </c>
      <c r="H32" s="2091">
        <v>5.0502232142857144E-2</v>
      </c>
      <c r="I32" s="2091">
        <v>0.2486049107142857</v>
      </c>
      <c r="J32" s="2099">
        <v>0.29910714285714285</v>
      </c>
      <c r="K32" s="2098">
        <v>48</v>
      </c>
      <c r="L32" s="2090">
        <v>0.54300000000000004</v>
      </c>
      <c r="M32" s="2090">
        <v>12.648</v>
      </c>
      <c r="N32" s="2092">
        <v>0.60799999999999998</v>
      </c>
      <c r="O32" s="2090">
        <v>0.60799999999999998</v>
      </c>
      <c r="P32" s="2090">
        <v>12.105</v>
      </c>
      <c r="Q32" s="2091">
        <v>4.4857496902106567E-2</v>
      </c>
      <c r="R32" s="2091">
        <v>5.0227178851714162E-2</v>
      </c>
      <c r="S32" s="2099">
        <v>9.5084675753820735E-2</v>
      </c>
      <c r="T32" s="2098">
        <v>48</v>
      </c>
      <c r="U32" s="1707">
        <v>0.54300000000000004</v>
      </c>
      <c r="V32" s="1707">
        <v>11.971499999999999</v>
      </c>
      <c r="W32" s="1707">
        <v>1.6405000000000001</v>
      </c>
      <c r="X32" s="1707">
        <v>0.49299999999999999</v>
      </c>
      <c r="Y32" s="1707">
        <v>5.8960000000000008</v>
      </c>
      <c r="Z32" s="2093">
        <v>4.9533799533799529E-2</v>
      </c>
      <c r="AA32" s="2093">
        <v>9.5765345765345747E-2</v>
      </c>
      <c r="AB32" s="2114">
        <v>0.14529914529914528</v>
      </c>
    </row>
    <row r="33" spans="1:28">
      <c r="B33" s="89">
        <v>49</v>
      </c>
      <c r="C33" s="1">
        <v>0.50900000000000001</v>
      </c>
      <c r="D33" s="1">
        <v>11.619</v>
      </c>
      <c r="E33" s="1">
        <v>2.7480000000000002</v>
      </c>
      <c r="F33" s="1">
        <v>2.7480000000000002</v>
      </c>
      <c r="G33" s="1">
        <v>11.11</v>
      </c>
      <c r="H33" s="742">
        <v>4.581458145814582E-2</v>
      </c>
      <c r="I33" s="742">
        <v>0.24734473447344738</v>
      </c>
      <c r="J33" s="2100">
        <v>0.29315931593159317</v>
      </c>
      <c r="K33" s="89">
        <v>49</v>
      </c>
      <c r="L33" s="1">
        <v>0.50900000000000001</v>
      </c>
      <c r="M33" s="1">
        <v>12.991</v>
      </c>
      <c r="N33" s="1427">
        <v>0.61799999999999999</v>
      </c>
      <c r="O33" s="1">
        <v>0.61799999999999999</v>
      </c>
      <c r="P33" s="1">
        <v>12.481999999999999</v>
      </c>
      <c r="Q33" s="742">
        <v>4.0778721358756612E-2</v>
      </c>
      <c r="R33" s="742">
        <v>4.9511296266623941E-2</v>
      </c>
      <c r="S33" s="2100">
        <v>9.0290017625380553E-2</v>
      </c>
      <c r="T33" s="89">
        <v>49</v>
      </c>
      <c r="U33" s="741">
        <v>0.50900000000000001</v>
      </c>
      <c r="V33" s="741">
        <v>12.305</v>
      </c>
      <c r="W33" s="741">
        <v>1.6830000000000001</v>
      </c>
      <c r="X33" s="741">
        <v>0.49299999999999999</v>
      </c>
      <c r="Y33" s="741">
        <v>5.8960000000000008</v>
      </c>
      <c r="Z33" s="2088">
        <v>4.9533799533799529E-2</v>
      </c>
      <c r="AA33" s="2088">
        <v>9.5765345765345747E-2</v>
      </c>
      <c r="AB33" s="2115">
        <v>0.14529914529914528</v>
      </c>
    </row>
    <row r="34" spans="1:28">
      <c r="B34" s="2098">
        <v>50</v>
      </c>
      <c r="C34" s="2090">
        <v>0.47199999999999998</v>
      </c>
      <c r="D34" s="2090">
        <v>11.954000000000001</v>
      </c>
      <c r="E34" s="2090">
        <v>2.82</v>
      </c>
      <c r="F34" s="2090">
        <v>2.82</v>
      </c>
      <c r="G34" s="2090">
        <v>11.482000000000001</v>
      </c>
      <c r="H34" s="2091">
        <v>4.1107820937118962E-2</v>
      </c>
      <c r="I34" s="2091">
        <v>0.24560181153109212</v>
      </c>
      <c r="J34" s="2099">
        <v>0.28670963246821107</v>
      </c>
      <c r="K34" s="2098">
        <v>50</v>
      </c>
      <c r="L34" s="2090">
        <v>0.47199999999999998</v>
      </c>
      <c r="M34" s="2090">
        <v>13.343999999999999</v>
      </c>
      <c r="N34" s="2092">
        <v>0.627</v>
      </c>
      <c r="O34" s="2090">
        <v>0.627</v>
      </c>
      <c r="P34" s="2090">
        <v>12.872</v>
      </c>
      <c r="Q34" s="2091">
        <v>3.6668738346799255E-2</v>
      </c>
      <c r="R34" s="2091">
        <v>4.8710379117464266E-2</v>
      </c>
      <c r="S34" s="2099">
        <v>8.5379117464263521E-2</v>
      </c>
      <c r="T34" s="2098">
        <v>50</v>
      </c>
      <c r="U34" s="1707">
        <v>0.47199999999999998</v>
      </c>
      <c r="V34" s="1707">
        <v>12.649000000000001</v>
      </c>
      <c r="W34" s="1707">
        <v>1.7235</v>
      </c>
      <c r="X34" s="1707">
        <v>0.49299999999999999</v>
      </c>
      <c r="Y34" s="1707">
        <v>5.8960000000000008</v>
      </c>
      <c r="Z34" s="2093">
        <v>4.9533799533799529E-2</v>
      </c>
      <c r="AA34" s="2093">
        <v>9.5765345765345747E-2</v>
      </c>
      <c r="AB34" s="2114">
        <v>0.14529914529914528</v>
      </c>
    </row>
    <row r="35" spans="1:28">
      <c r="B35" s="89">
        <v>51</v>
      </c>
      <c r="C35" s="1">
        <v>0.43099999999999999</v>
      </c>
      <c r="D35" s="1">
        <v>12.3</v>
      </c>
      <c r="E35" s="1">
        <v>2.891</v>
      </c>
      <c r="F35" s="1">
        <v>2.891</v>
      </c>
      <c r="G35" s="1">
        <v>11.869000000000002</v>
      </c>
      <c r="H35" s="742">
        <v>3.6313084505855582E-2</v>
      </c>
      <c r="I35" s="742">
        <v>0.24357570140702667</v>
      </c>
      <c r="J35" s="2100">
        <v>0.27988878591288224</v>
      </c>
      <c r="K35" s="89">
        <v>51</v>
      </c>
      <c r="L35" s="1">
        <v>0.43099999999999999</v>
      </c>
      <c r="M35" s="1">
        <v>13.707000000000001</v>
      </c>
      <c r="N35" s="1427">
        <v>0.63500000000000001</v>
      </c>
      <c r="O35" s="1">
        <v>0.63500000000000001</v>
      </c>
      <c r="P35" s="1">
        <v>13.276000000000002</v>
      </c>
      <c r="Q35" s="742">
        <v>3.2464597770412773E-2</v>
      </c>
      <c r="R35" s="742">
        <v>4.7830671889123225E-2</v>
      </c>
      <c r="S35" s="2100">
        <v>8.0295269659535998E-2</v>
      </c>
      <c r="T35" s="89">
        <v>51</v>
      </c>
      <c r="U35" s="741">
        <v>0.43099999999999999</v>
      </c>
      <c r="V35" s="741">
        <v>13.003500000000001</v>
      </c>
      <c r="W35" s="741">
        <v>1.7629999999999999</v>
      </c>
      <c r="X35" s="741">
        <v>0.49299999999999999</v>
      </c>
      <c r="Y35" s="741">
        <v>5.8960000000000008</v>
      </c>
      <c r="Z35" s="2088">
        <v>4.9533799533799529E-2</v>
      </c>
      <c r="AA35" s="2088">
        <v>9.5765345765345747E-2</v>
      </c>
      <c r="AB35" s="2115">
        <v>0.14529914529914528</v>
      </c>
    </row>
    <row r="36" spans="1:28">
      <c r="B36" s="2098">
        <v>52</v>
      </c>
      <c r="C36" s="2090">
        <v>0.38800000000000001</v>
      </c>
      <c r="D36" s="2090">
        <v>12.659000000000001</v>
      </c>
      <c r="E36" s="2090">
        <v>2.96</v>
      </c>
      <c r="F36" s="2090">
        <v>2.96</v>
      </c>
      <c r="G36" s="2090">
        <v>12.271000000000001</v>
      </c>
      <c r="H36" s="2091">
        <v>3.1619264933583247E-2</v>
      </c>
      <c r="I36" s="2091">
        <v>0.24121913454486185</v>
      </c>
      <c r="J36" s="2099">
        <v>0.27283839947844513</v>
      </c>
      <c r="K36" s="2098">
        <v>52</v>
      </c>
      <c r="L36" s="2090">
        <v>0.38800000000000001</v>
      </c>
      <c r="M36" s="2090">
        <v>14.083</v>
      </c>
      <c r="N36" s="2092">
        <v>0.64300000000000002</v>
      </c>
      <c r="O36" s="2090">
        <v>0.64300000000000002</v>
      </c>
      <c r="P36" s="2090">
        <v>13.695</v>
      </c>
      <c r="Q36" s="2091">
        <v>2.8331507849580138E-2</v>
      </c>
      <c r="R36" s="2091">
        <v>4.6951442132165025E-2</v>
      </c>
      <c r="S36" s="2099">
        <v>7.5282949981745159E-2</v>
      </c>
      <c r="T36" s="2098">
        <v>52</v>
      </c>
      <c r="U36" s="1707">
        <v>0.38800000000000001</v>
      </c>
      <c r="V36" s="1707">
        <v>13.371</v>
      </c>
      <c r="W36" s="1707">
        <v>1.8014999999999999</v>
      </c>
      <c r="X36" s="1707">
        <v>0.49299999999999999</v>
      </c>
      <c r="Y36" s="1707">
        <v>5.8960000000000008</v>
      </c>
      <c r="Z36" s="2093">
        <v>4.9533799533799529E-2</v>
      </c>
      <c r="AA36" s="2093">
        <v>9.5765345765345747E-2</v>
      </c>
      <c r="AB36" s="2114">
        <v>0.14529914529914528</v>
      </c>
    </row>
    <row r="37" spans="1:28">
      <c r="B37" s="89">
        <v>53</v>
      </c>
      <c r="C37" s="1">
        <v>0.34100000000000003</v>
      </c>
      <c r="D37" s="1">
        <v>13.031000000000001</v>
      </c>
      <c r="E37" s="1">
        <v>3.0270000000000001</v>
      </c>
      <c r="F37" s="1">
        <v>3.0270000000000001</v>
      </c>
      <c r="G37" s="1">
        <v>12.690000000000001</v>
      </c>
      <c r="H37" s="742">
        <v>2.6871552403467298E-2</v>
      </c>
      <c r="I37" s="742">
        <v>0.23853427895981086</v>
      </c>
      <c r="J37" s="2100">
        <v>0.26540583136327817</v>
      </c>
      <c r="K37" s="89">
        <v>53</v>
      </c>
      <c r="L37" s="1">
        <v>0.34100000000000003</v>
      </c>
      <c r="M37" s="1">
        <v>14.47</v>
      </c>
      <c r="N37" s="1427">
        <v>0.64900000000000002</v>
      </c>
      <c r="O37" s="1">
        <v>0.64900000000000002</v>
      </c>
      <c r="P37" s="1">
        <v>14.129000000000001</v>
      </c>
      <c r="Q37" s="742">
        <v>2.4134758298534929E-2</v>
      </c>
      <c r="R37" s="742">
        <v>4.5933894826243896E-2</v>
      </c>
      <c r="S37" s="2100">
        <v>7.0068653124778821E-2</v>
      </c>
      <c r="T37" s="89">
        <v>53</v>
      </c>
      <c r="U37" s="741">
        <v>0.34100000000000003</v>
      </c>
      <c r="V37" s="741">
        <v>13.750500000000001</v>
      </c>
      <c r="W37" s="741">
        <v>1.8380000000000001</v>
      </c>
      <c r="X37" s="741">
        <v>0.49299999999999999</v>
      </c>
      <c r="Y37" s="741">
        <v>5.8960000000000008</v>
      </c>
      <c r="Z37" s="2088">
        <v>4.9533799533799529E-2</v>
      </c>
      <c r="AA37" s="2088">
        <v>9.5765345765345747E-2</v>
      </c>
      <c r="AB37" s="2115">
        <v>0.14529914529914528</v>
      </c>
    </row>
    <row r="38" spans="1:28">
      <c r="B38" s="2098">
        <v>54</v>
      </c>
      <c r="C38" s="2090">
        <v>0.29199999999999998</v>
      </c>
      <c r="D38" s="2090">
        <v>13.417999999999999</v>
      </c>
      <c r="E38" s="2090">
        <v>3.093</v>
      </c>
      <c r="F38" s="2090">
        <v>3.093</v>
      </c>
      <c r="G38" s="2090">
        <v>13.125999999999999</v>
      </c>
      <c r="H38" s="2091">
        <v>2.2245924120067043E-2</v>
      </c>
      <c r="I38" s="2091">
        <v>0.23563918939509371</v>
      </c>
      <c r="J38" s="2099">
        <v>0.25788511351516075</v>
      </c>
      <c r="K38" s="2098">
        <v>54</v>
      </c>
      <c r="L38" s="2090">
        <v>0.29199999999999998</v>
      </c>
      <c r="M38" s="2090">
        <v>14.87</v>
      </c>
      <c r="N38" s="2092">
        <v>0.65400000000000003</v>
      </c>
      <c r="O38" s="2090">
        <v>0.65400000000000003</v>
      </c>
      <c r="P38" s="2090">
        <v>14.577999999999999</v>
      </c>
      <c r="Q38" s="2091">
        <v>2.0030182466730689E-2</v>
      </c>
      <c r="R38" s="2091">
        <v>4.4862121004252985E-2</v>
      </c>
      <c r="S38" s="2099">
        <v>6.4892303470983681E-2</v>
      </c>
      <c r="T38" s="2098">
        <v>54</v>
      </c>
      <c r="U38" s="1707">
        <v>0.29199999999999998</v>
      </c>
      <c r="V38" s="1707">
        <v>14.143999999999998</v>
      </c>
      <c r="W38" s="1707">
        <v>1.8734999999999999</v>
      </c>
      <c r="X38" s="1707">
        <v>0.49299999999999999</v>
      </c>
      <c r="Y38" s="1707">
        <v>5.8960000000000008</v>
      </c>
      <c r="Z38" s="2093">
        <v>4.9533799533799529E-2</v>
      </c>
      <c r="AA38" s="2093">
        <v>9.5765345765345747E-2</v>
      </c>
      <c r="AB38" s="2114">
        <v>0.14529914529914528</v>
      </c>
    </row>
    <row r="39" spans="1:28">
      <c r="B39" s="89">
        <v>55</v>
      </c>
      <c r="C39" s="1">
        <v>0.24</v>
      </c>
      <c r="D39" s="1">
        <v>13.818</v>
      </c>
      <c r="E39" s="1">
        <v>3.157</v>
      </c>
      <c r="F39" s="1">
        <v>3.157</v>
      </c>
      <c r="G39" s="1">
        <v>13.577999999999999</v>
      </c>
      <c r="H39" s="742">
        <v>1.7675651789659744E-2</v>
      </c>
      <c r="I39" s="742">
        <v>0.23250846958314922</v>
      </c>
      <c r="J39" s="2100">
        <v>0.25018412137280899</v>
      </c>
      <c r="K39" s="89">
        <v>55</v>
      </c>
      <c r="L39" s="1">
        <v>0.24</v>
      </c>
      <c r="M39" s="1">
        <v>15.284000000000001</v>
      </c>
      <c r="N39" s="1427">
        <v>0.65800000000000003</v>
      </c>
      <c r="O39" s="1">
        <v>0.65800000000000003</v>
      </c>
      <c r="P39" s="1">
        <v>15.044</v>
      </c>
      <c r="Q39" s="742">
        <v>1.5953203935123637E-2</v>
      </c>
      <c r="R39" s="742">
        <v>4.3738367455463972E-2</v>
      </c>
      <c r="S39" s="2100">
        <v>5.969157139058761E-2</v>
      </c>
      <c r="T39" s="89">
        <v>55</v>
      </c>
      <c r="U39" s="741">
        <v>0.24</v>
      </c>
      <c r="V39" s="741">
        <v>14.551</v>
      </c>
      <c r="W39" s="741">
        <v>1.9075</v>
      </c>
      <c r="X39" s="741">
        <v>0.49299999999999999</v>
      </c>
      <c r="Y39" s="741">
        <v>5.8960000000000008</v>
      </c>
      <c r="Z39" s="2088">
        <v>4.9533799533799529E-2</v>
      </c>
      <c r="AA39" s="2088">
        <v>9.5765345765345747E-2</v>
      </c>
      <c r="AB39" s="2115">
        <v>0.14529914529914528</v>
      </c>
    </row>
    <row r="40" spans="1:28">
      <c r="B40" s="2098">
        <v>56</v>
      </c>
      <c r="C40" s="2090">
        <v>0.188</v>
      </c>
      <c r="D40" s="2090">
        <v>14.234999999999999</v>
      </c>
      <c r="E40" s="2090">
        <v>3.22</v>
      </c>
      <c r="F40" s="2090">
        <v>3.22</v>
      </c>
      <c r="G40" s="2090">
        <v>14.046999999999999</v>
      </c>
      <c r="H40" s="2091">
        <v>1.3383640635011036E-2</v>
      </c>
      <c r="I40" s="2091">
        <v>0.22923044066348691</v>
      </c>
      <c r="J40" s="2099">
        <v>0.24261408129849796</v>
      </c>
      <c r="K40" s="2098">
        <v>56</v>
      </c>
      <c r="L40" s="2090">
        <v>0.188</v>
      </c>
      <c r="M40" s="2090">
        <v>15.712999999999999</v>
      </c>
      <c r="N40" s="2092">
        <v>0.66100000000000003</v>
      </c>
      <c r="O40" s="2090">
        <v>0.66100000000000003</v>
      </c>
      <c r="P40" s="2090">
        <v>15.524999999999999</v>
      </c>
      <c r="Q40" s="2091">
        <v>1.2109500805152979E-2</v>
      </c>
      <c r="R40" s="2091">
        <v>4.2576489533011276E-2</v>
      </c>
      <c r="S40" s="2099">
        <v>5.4685990338164257E-2</v>
      </c>
      <c r="T40" s="2098">
        <v>56</v>
      </c>
      <c r="U40" s="1707">
        <v>0.188</v>
      </c>
      <c r="V40" s="1707">
        <v>14.974</v>
      </c>
      <c r="W40" s="1707">
        <v>1.9405000000000001</v>
      </c>
      <c r="X40" s="1707">
        <v>0.49299999999999999</v>
      </c>
      <c r="Y40" s="1707">
        <v>5.8960000000000008</v>
      </c>
      <c r="Z40" s="2093">
        <v>4.9533799533799529E-2</v>
      </c>
      <c r="AA40" s="2093">
        <v>9.5765345765345747E-2</v>
      </c>
      <c r="AB40" s="2114">
        <v>0.14529914529914528</v>
      </c>
    </row>
    <row r="41" spans="1:28">
      <c r="B41" s="89">
        <v>57</v>
      </c>
      <c r="C41" s="1">
        <v>0.13600000000000001</v>
      </c>
      <c r="D41" s="1">
        <v>14.669</v>
      </c>
      <c r="E41" s="1">
        <v>3.2829999999999999</v>
      </c>
      <c r="F41" s="1">
        <v>3.2829999999999999</v>
      </c>
      <c r="G41" s="1">
        <v>14.533000000000001</v>
      </c>
      <c r="H41" s="742">
        <v>9.35801279845868E-3</v>
      </c>
      <c r="I41" s="742">
        <v>0.22589967659808707</v>
      </c>
      <c r="J41" s="2100">
        <v>0.23525768939654576</v>
      </c>
      <c r="K41" s="89">
        <v>57</v>
      </c>
      <c r="L41" s="1">
        <v>0.13600000000000001</v>
      </c>
      <c r="M41" s="1">
        <v>16.158999999999999</v>
      </c>
      <c r="N41" s="1427">
        <v>0.66400000000000003</v>
      </c>
      <c r="O41" s="1">
        <v>0.66400000000000003</v>
      </c>
      <c r="P41" s="1">
        <v>16.023</v>
      </c>
      <c r="Q41" s="742">
        <v>8.4877987892404676E-3</v>
      </c>
      <c r="R41" s="742">
        <v>4.1440429382762281E-2</v>
      </c>
      <c r="S41" s="2100">
        <v>4.992822817200275E-2</v>
      </c>
      <c r="T41" s="89">
        <v>57</v>
      </c>
      <c r="U41" s="741">
        <v>0.13600000000000001</v>
      </c>
      <c r="V41" s="741">
        <v>15.414</v>
      </c>
      <c r="W41" s="741">
        <v>1.9735</v>
      </c>
      <c r="X41" s="741">
        <v>0.49299999999999999</v>
      </c>
      <c r="Y41" s="741">
        <v>5.8960000000000008</v>
      </c>
      <c r="Z41" s="2088">
        <v>4.9533799533799529E-2</v>
      </c>
      <c r="AA41" s="2088">
        <v>9.5765345765345747E-2</v>
      </c>
      <c r="AB41" s="2115">
        <v>0.14529914529914528</v>
      </c>
    </row>
    <row r="42" spans="1:28">
      <c r="B42" s="2098">
        <v>58</v>
      </c>
      <c r="C42" s="2090">
        <v>8.8999999999999996E-2</v>
      </c>
      <c r="D42" s="2090">
        <v>15.122</v>
      </c>
      <c r="E42" s="2090">
        <v>3.3490000000000002</v>
      </c>
      <c r="F42" s="2090">
        <v>3.3490000000000002</v>
      </c>
      <c r="G42" s="2090">
        <v>15.032999999999999</v>
      </c>
      <c r="H42" s="2091">
        <v>5.9203086542938864E-3</v>
      </c>
      <c r="I42" s="2091">
        <v>0.22277655823854189</v>
      </c>
      <c r="J42" s="2099">
        <v>0.22869686689283578</v>
      </c>
      <c r="K42" s="2098">
        <v>58</v>
      </c>
      <c r="L42" s="2090">
        <v>8.8999999999999996E-2</v>
      </c>
      <c r="M42" s="2090">
        <v>16.626000000000001</v>
      </c>
      <c r="N42" s="2092">
        <v>0.66700000000000004</v>
      </c>
      <c r="O42" s="2090">
        <v>0.66700000000000004</v>
      </c>
      <c r="P42" s="2090">
        <v>16.537000000000003</v>
      </c>
      <c r="Q42" s="2091">
        <v>5.381870956037974E-3</v>
      </c>
      <c r="R42" s="2091">
        <v>4.0333796940194712E-2</v>
      </c>
      <c r="S42" s="2099">
        <v>4.5715667896232687E-2</v>
      </c>
      <c r="T42" s="2098">
        <v>58</v>
      </c>
      <c r="U42" s="1707">
        <v>8.8999999999999996E-2</v>
      </c>
      <c r="V42" s="1707">
        <v>15.874000000000001</v>
      </c>
      <c r="W42" s="1707">
        <v>2.008</v>
      </c>
      <c r="X42" s="1707">
        <v>0.49299999999999999</v>
      </c>
      <c r="Y42" s="1707">
        <v>5.8960000000000008</v>
      </c>
      <c r="Z42" s="2093">
        <v>4.9533799533799529E-2</v>
      </c>
      <c r="AA42" s="2093">
        <v>9.5765345765345747E-2</v>
      </c>
      <c r="AB42" s="2114">
        <v>0.14529914529914528</v>
      </c>
    </row>
    <row r="43" spans="1:28">
      <c r="B43" s="89">
        <v>59</v>
      </c>
      <c r="C43" s="1">
        <v>4.9000000000000002E-2</v>
      </c>
      <c r="D43" s="1">
        <v>15.597</v>
      </c>
      <c r="E43" s="1">
        <v>3.4159999999999999</v>
      </c>
      <c r="F43" s="1">
        <v>3.4159999999999999</v>
      </c>
      <c r="G43" s="1">
        <v>15.548</v>
      </c>
      <c r="H43" s="742">
        <v>3.1515307435039876E-3</v>
      </c>
      <c r="I43" s="742">
        <v>0.21970671468999228</v>
      </c>
      <c r="J43" s="2100">
        <v>0.22285824543349628</v>
      </c>
      <c r="K43" s="89">
        <v>59</v>
      </c>
      <c r="L43" s="1">
        <v>4.9000000000000002E-2</v>
      </c>
      <c r="M43" s="1">
        <v>17.117000000000001</v>
      </c>
      <c r="N43" s="1427">
        <v>0.67</v>
      </c>
      <c r="O43" s="1">
        <v>0.67</v>
      </c>
      <c r="P43" s="1">
        <v>17.068000000000001</v>
      </c>
      <c r="Q43" s="742">
        <v>2.8708694633231779E-3</v>
      </c>
      <c r="R43" s="742">
        <v>3.925474572299039E-2</v>
      </c>
      <c r="S43" s="2100">
        <v>4.2125615186313567E-2</v>
      </c>
      <c r="T43" s="89">
        <v>59</v>
      </c>
      <c r="U43" s="741">
        <v>4.9000000000000002E-2</v>
      </c>
      <c r="V43" s="741">
        <v>16.356999999999999</v>
      </c>
      <c r="W43" s="741">
        <v>2.0430000000000001</v>
      </c>
      <c r="X43" s="741">
        <v>0.49299999999999999</v>
      </c>
      <c r="Y43" s="741">
        <v>5.8960000000000008</v>
      </c>
      <c r="Z43" s="2088">
        <v>4.9533799533799529E-2</v>
      </c>
      <c r="AA43" s="2088">
        <v>9.5765345765345747E-2</v>
      </c>
      <c r="AB43" s="2115">
        <v>0.14529914529914528</v>
      </c>
    </row>
    <row r="44" spans="1:28">
      <c r="B44" s="2098">
        <v>60</v>
      </c>
      <c r="C44" s="2090">
        <v>2.1000000000000001E-2</v>
      </c>
      <c r="D44" s="2090">
        <v>16.097000000000001</v>
      </c>
      <c r="E44" s="2090">
        <v>3.4870000000000001</v>
      </c>
      <c r="F44" s="2090">
        <v>3.4870000000000001</v>
      </c>
      <c r="G44" s="2090">
        <v>16.076000000000001</v>
      </c>
      <c r="H44" s="2091">
        <v>1.3062950982831551E-3</v>
      </c>
      <c r="I44" s="2091">
        <v>0.21690719084349341</v>
      </c>
      <c r="J44" s="2099">
        <v>0.21821348594177656</v>
      </c>
      <c r="K44" s="2098">
        <v>60</v>
      </c>
      <c r="L44" s="2090">
        <v>2.1000000000000001E-2</v>
      </c>
      <c r="M44" s="2090">
        <v>17.635000000000002</v>
      </c>
      <c r="N44" s="2092">
        <v>0.67300000000000004</v>
      </c>
      <c r="O44" s="2090">
        <v>0.67300000000000004</v>
      </c>
      <c r="P44" s="2090">
        <v>17.614000000000001</v>
      </c>
      <c r="Q44" s="2091">
        <v>1.1922334506642444E-3</v>
      </c>
      <c r="R44" s="2091">
        <v>3.8208243442716019E-2</v>
      </c>
      <c r="S44" s="2099">
        <v>3.9400476893380262E-2</v>
      </c>
      <c r="T44" s="2098">
        <v>60</v>
      </c>
      <c r="U44" s="1707">
        <v>2.1000000000000001E-2</v>
      </c>
      <c r="V44" s="1707">
        <v>16.866</v>
      </c>
      <c r="W44" s="1707">
        <v>2.08</v>
      </c>
      <c r="X44" s="1707">
        <v>0.49299999999999999</v>
      </c>
      <c r="Y44" s="1707">
        <v>5.8960000000000008</v>
      </c>
      <c r="Z44" s="2093">
        <v>4.9533799533799529E-2</v>
      </c>
      <c r="AA44" s="2093">
        <v>9.5765345765345747E-2</v>
      </c>
      <c r="AB44" s="2114">
        <v>0.14529914529914528</v>
      </c>
    </row>
    <row r="45" spans="1:28">
      <c r="B45" s="89">
        <v>61</v>
      </c>
      <c r="C45" s="1">
        <v>4.0000000000000001E-3</v>
      </c>
      <c r="D45" s="1">
        <v>16.626000000000001</v>
      </c>
      <c r="E45" s="1">
        <v>3.5619999999999998</v>
      </c>
      <c r="F45" s="1">
        <v>3.5619999999999998</v>
      </c>
      <c r="G45" s="1">
        <v>16.622</v>
      </c>
      <c r="H45" s="742">
        <v>2.406449284081338E-4</v>
      </c>
      <c r="I45" s="742">
        <v>0.21429430874744315</v>
      </c>
      <c r="J45" s="2100">
        <v>0.21453495367585129</v>
      </c>
      <c r="K45" s="89">
        <v>61</v>
      </c>
      <c r="L45" s="1">
        <v>4.0000000000000001E-3</v>
      </c>
      <c r="M45" s="1">
        <v>18.184999999999999</v>
      </c>
      <c r="N45" s="1427">
        <v>0.67600000000000005</v>
      </c>
      <c r="O45" s="1">
        <v>0.67600000000000005</v>
      </c>
      <c r="P45" s="1">
        <v>18.180999999999997</v>
      </c>
      <c r="Q45" s="742">
        <v>2.2000990044552008E-4</v>
      </c>
      <c r="R45" s="742">
        <v>3.7181673175292897E-2</v>
      </c>
      <c r="S45" s="2100">
        <v>3.7401683075738414E-2</v>
      </c>
      <c r="T45" s="89">
        <v>61</v>
      </c>
      <c r="U45" s="741">
        <v>4.0000000000000001E-3</v>
      </c>
      <c r="V45" s="741">
        <v>17.4055</v>
      </c>
      <c r="W45" s="741">
        <v>2.1189999999999998</v>
      </c>
      <c r="X45" s="741">
        <v>0.49299999999999999</v>
      </c>
      <c r="Y45" s="741">
        <v>5.8960000000000008</v>
      </c>
      <c r="Z45" s="2088">
        <v>4.9533799533799529E-2</v>
      </c>
      <c r="AA45" s="2088">
        <v>9.5765345765345747E-2</v>
      </c>
      <c r="AB45" s="2115">
        <v>0.14529914529914528</v>
      </c>
    </row>
    <row r="46" spans="1:28">
      <c r="A46" s="34"/>
      <c r="B46" s="2119">
        <v>62</v>
      </c>
      <c r="C46" s="2120">
        <v>0</v>
      </c>
      <c r="D46" s="2120">
        <v>17.187000000000001</v>
      </c>
      <c r="E46" s="2120">
        <v>3.6219999999999999</v>
      </c>
      <c r="F46" s="2120">
        <v>3.6219999999999999</v>
      </c>
      <c r="G46" s="2120">
        <v>17.187000000000001</v>
      </c>
      <c r="H46" s="2121">
        <v>0</v>
      </c>
      <c r="I46" s="2121">
        <v>0.21074067609239538</v>
      </c>
      <c r="J46" s="2122">
        <v>0.21074067609239538</v>
      </c>
      <c r="K46" s="2119">
        <v>62</v>
      </c>
      <c r="L46" s="2120">
        <v>0</v>
      </c>
      <c r="M46" s="2120">
        <v>18.765999999999998</v>
      </c>
      <c r="N46" s="2123">
        <v>0.67600000000000005</v>
      </c>
      <c r="O46" s="2120">
        <v>0.67600000000000005</v>
      </c>
      <c r="P46" s="2120">
        <v>18.765999999999998</v>
      </c>
      <c r="Q46" s="2121">
        <v>0</v>
      </c>
      <c r="R46" s="2121">
        <v>3.6022594053074716E-2</v>
      </c>
      <c r="S46" s="2122">
        <v>3.6022594053074716E-2</v>
      </c>
      <c r="T46" s="2119">
        <v>62</v>
      </c>
      <c r="U46" s="2124">
        <v>0</v>
      </c>
      <c r="V46" s="2124">
        <v>17.976500000000001</v>
      </c>
      <c r="W46" s="2124">
        <v>2.149</v>
      </c>
      <c r="X46" s="2124">
        <v>0.49299999999999999</v>
      </c>
      <c r="Y46" s="2124">
        <v>5.8960000000000008</v>
      </c>
      <c r="Z46" s="2125">
        <v>4.9533799533799529E-2</v>
      </c>
      <c r="AA46" s="2125">
        <v>9.5765345765345747E-2</v>
      </c>
      <c r="AB46" s="2126">
        <v>0.14529914529914528</v>
      </c>
    </row>
    <row r="47" spans="1:28">
      <c r="B47" s="89">
        <v>63</v>
      </c>
      <c r="C47" s="1">
        <v>0</v>
      </c>
      <c r="D47" s="1">
        <v>16.815000000000001</v>
      </c>
      <c r="E47" s="1">
        <v>3.6419999999999999</v>
      </c>
      <c r="F47" s="1">
        <v>3.6419999999999999</v>
      </c>
      <c r="G47" s="1">
        <v>16.815000000000001</v>
      </c>
      <c r="H47" s="742">
        <v>0</v>
      </c>
      <c r="I47" s="742">
        <v>0.21659232827832289</v>
      </c>
      <c r="J47" s="2100">
        <v>0.21659232827832289</v>
      </c>
      <c r="K47" s="89">
        <v>63</v>
      </c>
      <c r="L47" s="1">
        <v>0</v>
      </c>
      <c r="M47" s="1">
        <v>18.393000000000001</v>
      </c>
      <c r="N47" s="1427">
        <v>0.65900000000000003</v>
      </c>
      <c r="O47" s="1">
        <v>0.65900000000000003</v>
      </c>
      <c r="P47" s="1">
        <v>18.393000000000001</v>
      </c>
      <c r="Q47" s="742">
        <v>0</v>
      </c>
      <c r="R47" s="742">
        <v>3.5828847931278204E-2</v>
      </c>
      <c r="S47" s="2100">
        <v>3.5828847931278204E-2</v>
      </c>
      <c r="T47" s="89">
        <v>63</v>
      </c>
      <c r="U47" s="741">
        <v>0</v>
      </c>
      <c r="V47" s="741">
        <v>17.603999999999999</v>
      </c>
      <c r="W47" s="741">
        <v>2.1505000000000001</v>
      </c>
      <c r="X47" s="741">
        <v>0.49299999999999999</v>
      </c>
      <c r="Y47" s="741">
        <v>5.8960000000000008</v>
      </c>
      <c r="Z47" s="2088">
        <v>4.9533799533799529E-2</v>
      </c>
      <c r="AA47" s="2088">
        <v>9.5765345765345747E-2</v>
      </c>
      <c r="AB47" s="2115">
        <v>0.14529914529914528</v>
      </c>
    </row>
    <row r="48" spans="1:28">
      <c r="B48" s="2098">
        <v>64</v>
      </c>
      <c r="C48" s="2090">
        <v>0</v>
      </c>
      <c r="D48" s="2090">
        <v>16.437999999999999</v>
      </c>
      <c r="E48" s="2090">
        <v>3.6579999999999999</v>
      </c>
      <c r="F48" s="2090">
        <v>3.6579999999999999</v>
      </c>
      <c r="G48" s="2090">
        <v>16.437999999999999</v>
      </c>
      <c r="H48" s="2091">
        <v>0</v>
      </c>
      <c r="I48" s="2091">
        <v>0.22253315488502251</v>
      </c>
      <c r="J48" s="2099">
        <v>0.22253315488502251</v>
      </c>
      <c r="K48" s="2098">
        <v>64</v>
      </c>
      <c r="L48" s="2090">
        <v>0</v>
      </c>
      <c r="M48" s="2090">
        <v>18.010999999999999</v>
      </c>
      <c r="N48" s="2092">
        <v>0.64100000000000001</v>
      </c>
      <c r="O48" s="2090">
        <v>0.64100000000000001</v>
      </c>
      <c r="P48" s="2090">
        <v>18.010999999999999</v>
      </c>
      <c r="Q48" s="2091">
        <v>0</v>
      </c>
      <c r="R48" s="2091">
        <v>3.5589362056521016E-2</v>
      </c>
      <c r="S48" s="2099">
        <v>3.5589362056521016E-2</v>
      </c>
      <c r="T48" s="2098">
        <v>64</v>
      </c>
      <c r="U48" s="1707">
        <v>0</v>
      </c>
      <c r="V48" s="1707">
        <v>17.224499999999999</v>
      </c>
      <c r="W48" s="1707">
        <v>2.1494999999999997</v>
      </c>
      <c r="X48" s="1707">
        <v>0.49299999999999999</v>
      </c>
      <c r="Y48" s="1707">
        <v>5.8960000000000008</v>
      </c>
      <c r="Z48" s="2093">
        <v>4.9533799533799529E-2</v>
      </c>
      <c r="AA48" s="2093">
        <v>9.5765345765345747E-2</v>
      </c>
      <c r="AB48" s="2114">
        <v>0.14529914529914528</v>
      </c>
    </row>
    <row r="49" spans="2:28">
      <c r="B49" s="89">
        <v>65</v>
      </c>
      <c r="C49" s="1">
        <v>0</v>
      </c>
      <c r="D49" s="1">
        <v>16.053000000000001</v>
      </c>
      <c r="E49" s="1">
        <v>3.6680000000000001</v>
      </c>
      <c r="F49" s="1">
        <v>3.6680000000000001</v>
      </c>
      <c r="G49" s="1">
        <v>16.053000000000001</v>
      </c>
      <c r="H49" s="742">
        <v>0</v>
      </c>
      <c r="I49" s="742">
        <v>0.2284931165514234</v>
      </c>
      <c r="J49" s="2100">
        <v>0.2284931165514234</v>
      </c>
      <c r="K49" s="89">
        <v>65</v>
      </c>
      <c r="L49" s="1">
        <v>0</v>
      </c>
      <c r="M49" s="1">
        <v>17.619</v>
      </c>
      <c r="N49" s="1427">
        <v>0.623</v>
      </c>
      <c r="O49" s="1">
        <v>0.623</v>
      </c>
      <c r="P49" s="1">
        <v>17.619</v>
      </c>
      <c r="Q49" s="742">
        <v>0</v>
      </c>
      <c r="R49" s="742">
        <v>3.5359555025824392E-2</v>
      </c>
      <c r="S49" s="2100">
        <v>3.5359555025824392E-2</v>
      </c>
      <c r="T49" s="89">
        <v>65</v>
      </c>
      <c r="U49" s="741">
        <v>0</v>
      </c>
      <c r="V49" s="741">
        <v>16.835999999999999</v>
      </c>
      <c r="W49" s="741">
        <v>2.1455000000000002</v>
      </c>
      <c r="X49" s="741">
        <v>0.49299999999999999</v>
      </c>
      <c r="Y49" s="741">
        <v>5.8960000000000008</v>
      </c>
      <c r="Z49" s="960">
        <v>4.9533799533799529E-2</v>
      </c>
      <c r="AA49" s="960">
        <v>9.5765345765345747E-2</v>
      </c>
      <c r="AB49" s="961">
        <v>0.14529914529914528</v>
      </c>
    </row>
    <row r="50" spans="2:28">
      <c r="B50" s="2098">
        <v>66</v>
      </c>
      <c r="C50" s="2090"/>
      <c r="D50" s="2090">
        <v>15.661</v>
      </c>
      <c r="E50" s="2090">
        <v>3.6739999999999999</v>
      </c>
      <c r="F50" s="2090">
        <v>3.6739999999999999</v>
      </c>
      <c r="G50" s="2090">
        <v>15.661</v>
      </c>
      <c r="H50" s="2091">
        <v>0</v>
      </c>
      <c r="I50" s="2091">
        <v>0.23459549198646318</v>
      </c>
      <c r="J50" s="2099">
        <v>0.23459549198646318</v>
      </c>
      <c r="K50" s="2098">
        <v>66</v>
      </c>
      <c r="L50" s="2090">
        <v>0</v>
      </c>
      <c r="M50" s="2090">
        <v>17.216999999999999</v>
      </c>
      <c r="N50" s="2092">
        <v>0.60399999999999998</v>
      </c>
      <c r="O50" s="2090">
        <v>0.60399999999999998</v>
      </c>
      <c r="P50" s="2090">
        <v>17.216999999999999</v>
      </c>
      <c r="Q50" s="2091">
        <v>0</v>
      </c>
      <c r="R50" s="2091">
        <v>3.5081605390021489E-2</v>
      </c>
      <c r="S50" s="2099">
        <v>3.5081605390021489E-2</v>
      </c>
      <c r="T50" s="2098">
        <v>66</v>
      </c>
      <c r="U50" s="1707">
        <v>0</v>
      </c>
      <c r="V50" s="1707">
        <v>16.439</v>
      </c>
      <c r="W50" s="1707">
        <v>2.1389999999999998</v>
      </c>
      <c r="X50" s="1707">
        <v>0.49299999999999999</v>
      </c>
      <c r="Y50" s="1707">
        <v>5.8960000000000008</v>
      </c>
      <c r="Z50" s="2093">
        <v>4.9533799533799529E-2</v>
      </c>
      <c r="AA50" s="2093">
        <v>9.5765345765345747E-2</v>
      </c>
      <c r="AB50" s="2114">
        <v>0.14529914529914528</v>
      </c>
    </row>
    <row r="51" spans="2:28">
      <c r="B51" s="89">
        <v>67</v>
      </c>
      <c r="C51" s="1"/>
      <c r="D51" s="1">
        <v>15.260999999999999</v>
      </c>
      <c r="E51" s="1">
        <v>3.6779999999999999</v>
      </c>
      <c r="F51" s="1">
        <v>3.6779999999999999</v>
      </c>
      <c r="G51" s="1">
        <v>15.260999999999999</v>
      </c>
      <c r="H51" s="742">
        <v>0</v>
      </c>
      <c r="I51" s="742">
        <v>0.24100648712404169</v>
      </c>
      <c r="J51" s="2100">
        <v>0.24100648712404169</v>
      </c>
      <c r="K51" s="89">
        <v>67</v>
      </c>
      <c r="L51" s="1">
        <v>0</v>
      </c>
      <c r="M51" s="1">
        <v>16.803000000000001</v>
      </c>
      <c r="N51" s="1427">
        <v>0.58599999999999997</v>
      </c>
      <c r="O51" s="1">
        <v>0.58599999999999997</v>
      </c>
      <c r="P51" s="1">
        <v>16.803000000000001</v>
      </c>
      <c r="Q51" s="742">
        <v>0</v>
      </c>
      <c r="R51" s="742">
        <v>3.4874724751532464E-2</v>
      </c>
      <c r="S51" s="2100">
        <v>3.4874724751532464E-2</v>
      </c>
      <c r="T51" s="89">
        <v>67</v>
      </c>
      <c r="U51" s="741">
        <v>0</v>
      </c>
      <c r="V51" s="741">
        <v>16.032</v>
      </c>
      <c r="W51" s="741">
        <v>2.1320000000000001</v>
      </c>
      <c r="X51" s="741">
        <v>0.49299999999999999</v>
      </c>
      <c r="Y51" s="741">
        <v>5.8960000000000008</v>
      </c>
      <c r="Z51" s="2088">
        <v>4.9533799533799529E-2</v>
      </c>
      <c r="AA51" s="2088">
        <v>9.5765345765345747E-2</v>
      </c>
      <c r="AB51" s="2115">
        <v>0.14529914529914528</v>
      </c>
    </row>
    <row r="52" spans="2:28">
      <c r="B52" s="2098">
        <v>68</v>
      </c>
      <c r="C52" s="2090"/>
      <c r="D52" s="2090">
        <v>14.851000000000001</v>
      </c>
      <c r="E52" s="2090">
        <v>3.68</v>
      </c>
      <c r="F52" s="2090">
        <v>3.68</v>
      </c>
      <c r="G52" s="2090">
        <v>14.851000000000001</v>
      </c>
      <c r="H52" s="2091">
        <v>0</v>
      </c>
      <c r="I52" s="2091">
        <v>0.24779476129553565</v>
      </c>
      <c r="J52" s="2099">
        <v>0.24779476129553565</v>
      </c>
      <c r="K52" s="2098">
        <v>68</v>
      </c>
      <c r="L52" s="2090">
        <v>0</v>
      </c>
      <c r="M52" s="2090">
        <v>16.378</v>
      </c>
      <c r="N52" s="2092">
        <v>0.56699999999999995</v>
      </c>
      <c r="O52" s="2090">
        <v>0.56699999999999995</v>
      </c>
      <c r="P52" s="2090">
        <v>16.378</v>
      </c>
      <c r="Q52" s="2091">
        <v>0</v>
      </c>
      <c r="R52" s="2091">
        <v>3.4619611674197089E-2</v>
      </c>
      <c r="S52" s="2099">
        <v>3.4619611674197089E-2</v>
      </c>
      <c r="T52" s="2098">
        <v>68</v>
      </c>
      <c r="U52" s="1707">
        <v>0</v>
      </c>
      <c r="V52" s="1707">
        <v>15.6145</v>
      </c>
      <c r="W52" s="1707">
        <v>2.1234999999999999</v>
      </c>
      <c r="X52" s="1707">
        <v>0.49299999999999999</v>
      </c>
      <c r="Y52" s="1707">
        <v>5.8960000000000008</v>
      </c>
      <c r="Z52" s="2093">
        <v>4.9533799533799529E-2</v>
      </c>
      <c r="AA52" s="2093">
        <v>9.5765345765345747E-2</v>
      </c>
      <c r="AB52" s="2114">
        <v>0.14529914529914528</v>
      </c>
    </row>
    <row r="53" spans="2:28">
      <c r="B53" s="89">
        <v>69</v>
      </c>
      <c r="C53" s="1"/>
      <c r="D53" s="1">
        <v>14.432</v>
      </c>
      <c r="E53" s="1">
        <v>3.681</v>
      </c>
      <c r="F53" s="1">
        <v>3.681</v>
      </c>
      <c r="G53" s="1">
        <v>14.432</v>
      </c>
      <c r="H53" s="742">
        <v>0</v>
      </c>
      <c r="I53" s="742">
        <v>0.25505820399113083</v>
      </c>
      <c r="J53" s="2100">
        <v>0.25505820399113083</v>
      </c>
      <c r="K53" s="89">
        <v>69</v>
      </c>
      <c r="L53" s="1">
        <v>0</v>
      </c>
      <c r="M53" s="1">
        <v>15.94</v>
      </c>
      <c r="N53" s="1427">
        <v>0.54900000000000004</v>
      </c>
      <c r="O53" s="1">
        <v>0.54900000000000004</v>
      </c>
      <c r="P53" s="1">
        <v>15.94</v>
      </c>
      <c r="Q53" s="742">
        <v>0</v>
      </c>
      <c r="R53" s="742">
        <v>3.4441656210790469E-2</v>
      </c>
      <c r="S53" s="2100">
        <v>3.4441656210790469E-2</v>
      </c>
      <c r="T53" s="89">
        <v>69</v>
      </c>
      <c r="U53" s="741">
        <v>0</v>
      </c>
      <c r="V53" s="741">
        <v>15.186</v>
      </c>
      <c r="W53" s="741">
        <v>2.1150000000000002</v>
      </c>
      <c r="X53" s="741">
        <v>0.49299999999999999</v>
      </c>
      <c r="Y53" s="741">
        <v>5.8960000000000008</v>
      </c>
      <c r="Z53" s="2088">
        <v>4.9533799533799529E-2</v>
      </c>
      <c r="AA53" s="2088">
        <v>9.5765345765345747E-2</v>
      </c>
      <c r="AB53" s="2115">
        <v>0.14529914529914528</v>
      </c>
    </row>
    <row r="54" spans="2:28">
      <c r="B54" s="2098">
        <v>70</v>
      </c>
      <c r="C54" s="2090"/>
      <c r="D54" s="2090">
        <v>14.002000000000001</v>
      </c>
      <c r="E54" s="2090">
        <v>3.6789999999999998</v>
      </c>
      <c r="F54" s="2090">
        <v>3.6789999999999998</v>
      </c>
      <c r="G54" s="2090">
        <v>14.002000000000001</v>
      </c>
      <c r="H54" s="2091">
        <v>0</v>
      </c>
      <c r="I54" s="2091">
        <v>0.26274817883159546</v>
      </c>
      <c r="J54" s="2099">
        <v>0.26274817883159546</v>
      </c>
      <c r="K54" s="2098">
        <v>70</v>
      </c>
      <c r="L54" s="2090">
        <v>0</v>
      </c>
      <c r="M54" s="2090">
        <v>15.49</v>
      </c>
      <c r="N54" s="2092">
        <v>0.53</v>
      </c>
      <c r="O54" s="2090">
        <v>0.53</v>
      </c>
      <c r="P54" s="2090">
        <v>15.49</v>
      </c>
      <c r="Q54" s="2091">
        <v>0</v>
      </c>
      <c r="R54" s="2091">
        <v>3.4215622982569402E-2</v>
      </c>
      <c r="S54" s="2099">
        <v>3.4215622982569402E-2</v>
      </c>
      <c r="T54" s="2098">
        <v>70</v>
      </c>
      <c r="U54" s="1707">
        <v>0</v>
      </c>
      <c r="V54" s="1707">
        <v>14.746</v>
      </c>
      <c r="W54" s="1707">
        <v>2.1044999999999998</v>
      </c>
      <c r="X54" s="1707">
        <v>0.49299999999999999</v>
      </c>
      <c r="Y54" s="1707">
        <v>5.8960000000000008</v>
      </c>
      <c r="Z54" s="2093">
        <v>4.9533799533799529E-2</v>
      </c>
      <c r="AA54" s="2093">
        <v>9.5765345765345747E-2</v>
      </c>
      <c r="AB54" s="2114">
        <v>0.14529914529914528</v>
      </c>
    </row>
    <row r="55" spans="2:28">
      <c r="B55" s="89">
        <v>71</v>
      </c>
      <c r="C55" s="1"/>
      <c r="D55" s="1">
        <v>13.561999999999999</v>
      </c>
      <c r="E55" s="1">
        <v>3.6749999999999998</v>
      </c>
      <c r="F55" s="1">
        <v>3.6749999999999998</v>
      </c>
      <c r="G55" s="1">
        <v>13.561999999999999</v>
      </c>
      <c r="H55" s="742">
        <v>0</v>
      </c>
      <c r="I55" s="742">
        <v>0.27097773189795016</v>
      </c>
      <c r="J55" s="2100">
        <v>0.27097773189795016</v>
      </c>
      <c r="K55" s="89">
        <v>71</v>
      </c>
      <c r="L55" s="1">
        <v>0</v>
      </c>
      <c r="M55" s="1">
        <v>15.026</v>
      </c>
      <c r="N55" s="1427">
        <v>0.51</v>
      </c>
      <c r="O55" s="1">
        <v>0.51</v>
      </c>
      <c r="P55" s="1">
        <v>15.026</v>
      </c>
      <c r="Q55" s="742">
        <v>0</v>
      </c>
      <c r="R55" s="742">
        <v>3.3941168641022229E-2</v>
      </c>
      <c r="S55" s="2100">
        <v>3.3941168641022229E-2</v>
      </c>
      <c r="T55" s="89">
        <v>71</v>
      </c>
      <c r="U55" s="741">
        <v>0</v>
      </c>
      <c r="V55" s="741">
        <v>14.294</v>
      </c>
      <c r="W55" s="741">
        <v>2.0924999999999998</v>
      </c>
      <c r="X55" s="741">
        <v>0.49299999999999999</v>
      </c>
      <c r="Y55" s="741">
        <v>5.8960000000000008</v>
      </c>
      <c r="Z55" s="2088">
        <v>4.9533799533799529E-2</v>
      </c>
      <c r="AA55" s="2088">
        <v>9.5765345765345747E-2</v>
      </c>
      <c r="AB55" s="2115">
        <v>0.14529914529914528</v>
      </c>
    </row>
    <row r="56" spans="2:28">
      <c r="B56" s="2098">
        <v>72</v>
      </c>
      <c r="C56" s="2090"/>
      <c r="D56" s="2090">
        <v>13.111000000000001</v>
      </c>
      <c r="E56" s="2090">
        <v>3.669</v>
      </c>
      <c r="F56" s="2090">
        <v>3.669</v>
      </c>
      <c r="G56" s="2090">
        <v>13.111000000000001</v>
      </c>
      <c r="H56" s="2091">
        <v>0</v>
      </c>
      <c r="I56" s="2091">
        <v>0.27984135458775072</v>
      </c>
      <c r="J56" s="2099">
        <v>0.27984135458775072</v>
      </c>
      <c r="K56" s="2098">
        <v>72</v>
      </c>
      <c r="L56" s="2090">
        <v>0</v>
      </c>
      <c r="M56" s="2090">
        <v>14.55</v>
      </c>
      <c r="N56" s="2092">
        <v>0.49099999999999999</v>
      </c>
      <c r="O56" s="2090">
        <v>0.49099999999999999</v>
      </c>
      <c r="P56" s="2090">
        <v>14.55</v>
      </c>
      <c r="Q56" s="2091">
        <v>0</v>
      </c>
      <c r="R56" s="2091">
        <v>3.3745704467353949E-2</v>
      </c>
      <c r="S56" s="2099">
        <v>3.3745704467353949E-2</v>
      </c>
      <c r="T56" s="2098">
        <v>72</v>
      </c>
      <c r="U56" s="1707">
        <v>0</v>
      </c>
      <c r="V56" s="1707">
        <v>13.830500000000001</v>
      </c>
      <c r="W56" s="1707">
        <v>2.08</v>
      </c>
      <c r="X56" s="1707">
        <v>0.49299999999999999</v>
      </c>
      <c r="Y56" s="1707">
        <v>5.8960000000000008</v>
      </c>
      <c r="Z56" s="2093">
        <v>4.9533799533799529E-2</v>
      </c>
      <c r="AA56" s="2093">
        <v>9.5765345765345747E-2</v>
      </c>
      <c r="AB56" s="2114">
        <v>0.14529914529914528</v>
      </c>
    </row>
    <row r="57" spans="2:28">
      <c r="B57" s="89">
        <v>73</v>
      </c>
      <c r="C57" s="1"/>
      <c r="D57" s="1">
        <v>12.65</v>
      </c>
      <c r="E57" s="1">
        <v>3.6669999999999998</v>
      </c>
      <c r="F57" s="1">
        <v>3.6669999999999998</v>
      </c>
      <c r="G57" s="1">
        <v>12.65</v>
      </c>
      <c r="H57" s="742">
        <v>0</v>
      </c>
      <c r="I57" s="742">
        <v>0.28988142292490116</v>
      </c>
      <c r="J57" s="2100">
        <v>0.28988142292490116</v>
      </c>
      <c r="K57" s="89">
        <v>73</v>
      </c>
      <c r="L57" s="1">
        <v>0</v>
      </c>
      <c r="M57" s="1">
        <v>14.061999999999999</v>
      </c>
      <c r="N57" s="1427">
        <v>0.47199999999999998</v>
      </c>
      <c r="O57" s="1">
        <v>0.47199999999999998</v>
      </c>
      <c r="P57" s="1">
        <v>14.061999999999999</v>
      </c>
      <c r="Q57" s="742">
        <v>0</v>
      </c>
      <c r="R57" s="742">
        <v>3.3565637889347175E-2</v>
      </c>
      <c r="S57" s="2100">
        <v>3.3565637889347175E-2</v>
      </c>
      <c r="T57" s="89">
        <v>73</v>
      </c>
      <c r="U57" s="741">
        <v>0</v>
      </c>
      <c r="V57" s="741">
        <v>13.356</v>
      </c>
      <c r="W57" s="741">
        <v>2.0694999999999997</v>
      </c>
      <c r="X57" s="741">
        <v>0.49299999999999999</v>
      </c>
      <c r="Y57" s="741">
        <v>5.8960000000000008</v>
      </c>
      <c r="Z57" s="2088">
        <v>4.9533799533799529E-2</v>
      </c>
      <c r="AA57" s="2088">
        <v>9.5765345765345747E-2</v>
      </c>
      <c r="AB57" s="2115">
        <v>0.14529914529914528</v>
      </c>
    </row>
    <row r="58" spans="2:28">
      <c r="B58" s="2098">
        <v>74</v>
      </c>
      <c r="C58" s="2090"/>
      <c r="D58" s="2090">
        <v>12.18</v>
      </c>
      <c r="E58" s="2090">
        <v>3.6619999999999999</v>
      </c>
      <c r="F58" s="2090">
        <v>3.6619999999999999</v>
      </c>
      <c r="G58" s="2090">
        <v>12.18</v>
      </c>
      <c r="H58" s="2091">
        <v>0</v>
      </c>
      <c r="I58" s="2091">
        <v>0.30065681444991788</v>
      </c>
      <c r="J58" s="2099">
        <v>0.30065681444991788</v>
      </c>
      <c r="K58" s="2098">
        <v>74</v>
      </c>
      <c r="L58" s="2090">
        <v>0</v>
      </c>
      <c r="M58" s="2090">
        <v>13.561999999999999</v>
      </c>
      <c r="N58" s="2092">
        <v>0.45300000000000001</v>
      </c>
      <c r="O58" s="2090">
        <v>0.45300000000000001</v>
      </c>
      <c r="P58" s="2090">
        <v>13.561999999999999</v>
      </c>
      <c r="Q58" s="2091">
        <v>0</v>
      </c>
      <c r="R58" s="2091">
        <v>3.3402153074767738E-2</v>
      </c>
      <c r="S58" s="2099">
        <v>3.3402153074767738E-2</v>
      </c>
      <c r="T58" s="2098">
        <v>74</v>
      </c>
      <c r="U58" s="1707">
        <v>0</v>
      </c>
      <c r="V58" s="1707">
        <v>12.870999999999999</v>
      </c>
      <c r="W58" s="1707">
        <v>2.0575000000000001</v>
      </c>
      <c r="X58" s="1707">
        <v>0.49299999999999999</v>
      </c>
      <c r="Y58" s="1707">
        <v>5.8960000000000008</v>
      </c>
      <c r="Z58" s="2093">
        <v>4.9533799533799529E-2</v>
      </c>
      <c r="AA58" s="2093">
        <v>9.5765345765345747E-2</v>
      </c>
      <c r="AB58" s="2114">
        <v>0.14529914529914528</v>
      </c>
    </row>
    <row r="59" spans="2:28">
      <c r="B59" s="89">
        <v>75</v>
      </c>
      <c r="C59" s="1"/>
      <c r="D59" s="1">
        <v>11.701000000000001</v>
      </c>
      <c r="E59" s="1">
        <v>3.6549999999999998</v>
      </c>
      <c r="F59" s="1">
        <v>3.6549999999999998</v>
      </c>
      <c r="G59" s="1">
        <v>11.701000000000001</v>
      </c>
      <c r="H59" s="742">
        <v>0</v>
      </c>
      <c r="I59" s="742">
        <v>0.31236646440475169</v>
      </c>
      <c r="J59" s="2100">
        <v>0.31236646440475169</v>
      </c>
      <c r="K59" s="89">
        <v>75</v>
      </c>
      <c r="L59" s="1">
        <v>0</v>
      </c>
      <c r="M59" s="1">
        <v>13.051</v>
      </c>
      <c r="N59" s="1427">
        <v>0.434</v>
      </c>
      <c r="O59" s="1">
        <v>0.434</v>
      </c>
      <c r="P59" s="1">
        <v>13.051</v>
      </c>
      <c r="Q59" s="742">
        <v>0</v>
      </c>
      <c r="R59" s="742">
        <v>3.3254156769596199E-2</v>
      </c>
      <c r="S59" s="2100">
        <v>3.3254156769596199E-2</v>
      </c>
      <c r="T59" s="89">
        <v>75</v>
      </c>
      <c r="U59" s="741">
        <v>0</v>
      </c>
      <c r="V59" s="741">
        <v>12.376000000000001</v>
      </c>
      <c r="W59" s="741">
        <v>2.0444999999999998</v>
      </c>
      <c r="X59" s="741">
        <v>0.49299999999999999</v>
      </c>
      <c r="Y59" s="741">
        <v>5.8960000000000008</v>
      </c>
      <c r="Z59" s="2088">
        <v>4.9533799533799529E-2</v>
      </c>
      <c r="AA59" s="2088">
        <v>9.5765345765345747E-2</v>
      </c>
      <c r="AB59" s="2115">
        <v>0.14529914529914528</v>
      </c>
    </row>
    <row r="60" spans="2:28">
      <c r="B60" s="2098">
        <v>76</v>
      </c>
      <c r="C60" s="2090"/>
      <c r="D60" s="2090">
        <v>11.215</v>
      </c>
      <c r="E60" s="2090">
        <v>3.6429999999999998</v>
      </c>
      <c r="F60" s="2090">
        <v>3.6429999999999998</v>
      </c>
      <c r="G60" s="2090">
        <v>11.215</v>
      </c>
      <c r="H60" s="2091">
        <v>0</v>
      </c>
      <c r="I60" s="2091">
        <v>0.32483281319661167</v>
      </c>
      <c r="J60" s="2099">
        <v>0.32483281319661167</v>
      </c>
      <c r="K60" s="2098">
        <v>76</v>
      </c>
      <c r="L60" s="2090">
        <v>0</v>
      </c>
      <c r="M60" s="2090">
        <v>12.531000000000001</v>
      </c>
      <c r="N60" s="2092">
        <v>0.41399999999999998</v>
      </c>
      <c r="O60" s="2090">
        <v>0.41399999999999998</v>
      </c>
      <c r="P60" s="2090">
        <v>12.531000000000001</v>
      </c>
      <c r="Q60" s="2091">
        <v>0</v>
      </c>
      <c r="R60" s="2091">
        <v>3.3038065597318644E-2</v>
      </c>
      <c r="S60" s="2099">
        <v>3.3038065597318644E-2</v>
      </c>
      <c r="T60" s="2098">
        <v>76</v>
      </c>
      <c r="U60" s="1707">
        <v>0</v>
      </c>
      <c r="V60" s="1707">
        <v>11.873000000000001</v>
      </c>
      <c r="W60" s="1707">
        <v>2.0284999999999997</v>
      </c>
      <c r="X60" s="1707">
        <v>0.49299999999999999</v>
      </c>
      <c r="Y60" s="1707">
        <v>5.8960000000000008</v>
      </c>
      <c r="Z60" s="2093">
        <v>4.9533799533799529E-2</v>
      </c>
      <c r="AA60" s="2093">
        <v>9.5765345765345747E-2</v>
      </c>
      <c r="AB60" s="2114">
        <v>0.14529914529914528</v>
      </c>
    </row>
    <row r="61" spans="2:28">
      <c r="B61" s="89">
        <v>77</v>
      </c>
      <c r="C61" s="1"/>
      <c r="D61" s="1">
        <v>10.724</v>
      </c>
      <c r="E61" s="1">
        <v>3.625</v>
      </c>
      <c r="F61" s="1">
        <v>3.625</v>
      </c>
      <c r="G61" s="1">
        <v>10.724</v>
      </c>
      <c r="H61" s="742">
        <v>0</v>
      </c>
      <c r="I61" s="742">
        <v>0.33802685565087653</v>
      </c>
      <c r="J61" s="2100">
        <v>0.33802685565087653</v>
      </c>
      <c r="K61" s="89">
        <v>77</v>
      </c>
      <c r="L61" s="1">
        <v>0</v>
      </c>
      <c r="M61" s="1">
        <v>12.003</v>
      </c>
      <c r="N61" s="1427">
        <v>0.39300000000000002</v>
      </c>
      <c r="O61" s="1">
        <v>0.39300000000000002</v>
      </c>
      <c r="P61" s="1">
        <v>12.003</v>
      </c>
      <c r="Q61" s="742">
        <v>0</v>
      </c>
      <c r="R61" s="742">
        <v>3.2741814546363407E-2</v>
      </c>
      <c r="S61" s="2100">
        <v>3.2741814546363407E-2</v>
      </c>
      <c r="T61" s="89">
        <v>77</v>
      </c>
      <c r="U61" s="741">
        <v>0</v>
      </c>
      <c r="V61" s="741">
        <v>11.3635</v>
      </c>
      <c r="W61" s="741">
        <v>2.0089999999999999</v>
      </c>
      <c r="X61" s="741">
        <v>0.49299999999999999</v>
      </c>
      <c r="Y61" s="741">
        <v>5.8960000000000008</v>
      </c>
      <c r="Z61" s="2088">
        <v>4.9533799533799529E-2</v>
      </c>
      <c r="AA61" s="2088">
        <v>9.5765345765345747E-2</v>
      </c>
      <c r="AB61" s="2115">
        <v>0.14529914529914528</v>
      </c>
    </row>
    <row r="62" spans="2:28">
      <c r="B62" s="2098">
        <v>78</v>
      </c>
      <c r="C62" s="2090"/>
      <c r="D62" s="2090">
        <v>10.228999999999999</v>
      </c>
      <c r="E62" s="2090">
        <v>3.601</v>
      </c>
      <c r="F62" s="2090">
        <v>3.601</v>
      </c>
      <c r="G62" s="2090">
        <v>10.228999999999999</v>
      </c>
      <c r="H62" s="2091">
        <v>0</v>
      </c>
      <c r="I62" s="2091">
        <v>0.35203832241665856</v>
      </c>
      <c r="J62" s="2099">
        <v>0.35203832241665856</v>
      </c>
      <c r="K62" s="2098">
        <v>78</v>
      </c>
      <c r="L62" s="2090">
        <v>0</v>
      </c>
      <c r="M62" s="2090">
        <v>11.47</v>
      </c>
      <c r="N62" s="2092">
        <v>0.371</v>
      </c>
      <c r="O62" s="2090">
        <v>0.371</v>
      </c>
      <c r="P62" s="2090">
        <v>11.47</v>
      </c>
      <c r="Q62" s="2091">
        <v>0</v>
      </c>
      <c r="R62" s="2091">
        <v>3.2345248474280733E-2</v>
      </c>
      <c r="S62" s="2099">
        <v>3.2345248474280733E-2</v>
      </c>
      <c r="T62" s="2098">
        <v>78</v>
      </c>
      <c r="U62" s="1707">
        <v>0</v>
      </c>
      <c r="V62" s="1707">
        <v>10.849499999999999</v>
      </c>
      <c r="W62" s="1707">
        <v>1.986</v>
      </c>
      <c r="X62" s="1707">
        <v>0.49299999999999999</v>
      </c>
      <c r="Y62" s="1707">
        <v>5.8960000000000008</v>
      </c>
      <c r="Z62" s="2093">
        <v>4.9533799533799529E-2</v>
      </c>
      <c r="AA62" s="2093">
        <v>9.5765345765345747E-2</v>
      </c>
      <c r="AB62" s="2114">
        <v>0.14529914529914528</v>
      </c>
    </row>
    <row r="63" spans="2:28">
      <c r="B63" s="89">
        <v>79</v>
      </c>
      <c r="C63" s="1"/>
      <c r="D63" s="1">
        <v>9.7330000000000005</v>
      </c>
      <c r="E63" s="1">
        <v>3.57</v>
      </c>
      <c r="F63" s="1">
        <v>3.57</v>
      </c>
      <c r="G63" s="1">
        <v>9.7330000000000005</v>
      </c>
      <c r="H63" s="742">
        <v>0</v>
      </c>
      <c r="I63" s="742">
        <v>0.36679338333504569</v>
      </c>
      <c r="J63" s="2100">
        <v>0.36679338333504569</v>
      </c>
      <c r="K63" s="89">
        <v>79</v>
      </c>
      <c r="L63" s="1">
        <v>0</v>
      </c>
      <c r="M63" s="1">
        <v>10.932</v>
      </c>
      <c r="N63" s="1427">
        <v>0.34899999999999998</v>
      </c>
      <c r="O63" s="1">
        <v>0.34899999999999998</v>
      </c>
      <c r="P63" s="1">
        <v>10.932</v>
      </c>
      <c r="Q63" s="742">
        <v>0</v>
      </c>
      <c r="R63" s="742">
        <v>3.1924624954262709E-2</v>
      </c>
      <c r="S63" s="2100">
        <v>3.1924624954262709E-2</v>
      </c>
      <c r="T63" s="89">
        <v>79</v>
      </c>
      <c r="U63" s="741">
        <v>0</v>
      </c>
      <c r="V63" s="741">
        <v>10.3325</v>
      </c>
      <c r="W63" s="741">
        <v>1.9594999999999998</v>
      </c>
      <c r="X63" s="741">
        <v>0.49299999999999999</v>
      </c>
      <c r="Y63" s="741">
        <v>5.8960000000000008</v>
      </c>
      <c r="Z63" s="2088">
        <v>4.9533799533799529E-2</v>
      </c>
      <c r="AA63" s="2088">
        <v>9.5765345765345747E-2</v>
      </c>
      <c r="AB63" s="2115">
        <v>0.14529914529914528</v>
      </c>
    </row>
    <row r="64" spans="2:28">
      <c r="B64" s="2098">
        <v>80</v>
      </c>
      <c r="C64" s="2090"/>
      <c r="D64" s="2090">
        <v>9.2379999999999995</v>
      </c>
      <c r="E64" s="2090">
        <v>3.5310000000000001</v>
      </c>
      <c r="F64" s="2090">
        <v>3.5310000000000001</v>
      </c>
      <c r="G64" s="2090">
        <v>9.2379999999999995</v>
      </c>
      <c r="H64" s="2091">
        <v>0</v>
      </c>
      <c r="I64" s="2091">
        <v>0.38222558995453565</v>
      </c>
      <c r="J64" s="2099">
        <v>0.38222558995453565</v>
      </c>
      <c r="K64" s="2098">
        <v>80</v>
      </c>
      <c r="L64" s="2090">
        <v>0</v>
      </c>
      <c r="M64" s="2090">
        <v>10.391999999999999</v>
      </c>
      <c r="N64" s="2092">
        <v>0.32700000000000001</v>
      </c>
      <c r="O64" s="2090">
        <v>0.32700000000000001</v>
      </c>
      <c r="P64" s="2090">
        <v>10.391999999999999</v>
      </c>
      <c r="Q64" s="2091">
        <v>0</v>
      </c>
      <c r="R64" s="2091">
        <v>3.1466512702078522E-2</v>
      </c>
      <c r="S64" s="2099">
        <v>3.1466512702078522E-2</v>
      </c>
      <c r="T64" s="2098">
        <v>80</v>
      </c>
      <c r="U64" s="1707">
        <v>0</v>
      </c>
      <c r="V64" s="1707">
        <v>9.8149999999999995</v>
      </c>
      <c r="W64" s="1707">
        <v>1.929</v>
      </c>
      <c r="X64" s="1707">
        <v>0.49299999999999999</v>
      </c>
      <c r="Y64" s="1707">
        <v>5.8960000000000008</v>
      </c>
      <c r="Z64" s="2093">
        <v>4.9533799533799529E-2</v>
      </c>
      <c r="AA64" s="2093">
        <v>9.5765345765345747E-2</v>
      </c>
      <c r="AB64" s="2114">
        <v>0.14529914529914528</v>
      </c>
    </row>
    <row r="65" spans="2:28">
      <c r="B65" s="89">
        <v>81</v>
      </c>
      <c r="C65" s="1"/>
      <c r="D65" s="1">
        <v>8.7469999999999999</v>
      </c>
      <c r="E65" s="1">
        <v>3.4820000000000002</v>
      </c>
      <c r="F65" s="1">
        <v>3.4820000000000002</v>
      </c>
      <c r="G65" s="1">
        <v>8.7469999999999999</v>
      </c>
      <c r="H65" s="742">
        <v>0</v>
      </c>
      <c r="I65" s="742">
        <v>0.39807934148851037</v>
      </c>
      <c r="J65" s="2100">
        <v>0.39807934148851037</v>
      </c>
      <c r="K65" s="89">
        <v>81</v>
      </c>
      <c r="L65" s="1">
        <v>0</v>
      </c>
      <c r="M65" s="1">
        <v>9.8529999999999998</v>
      </c>
      <c r="N65" s="1427">
        <v>0.30399999999999999</v>
      </c>
      <c r="O65" s="1">
        <v>0.30399999999999999</v>
      </c>
      <c r="P65" s="1">
        <v>9.8529999999999998</v>
      </c>
      <c r="Q65" s="742">
        <v>0</v>
      </c>
      <c r="R65" s="742">
        <v>3.0853547143002133E-2</v>
      </c>
      <c r="S65" s="2100">
        <v>3.0853547143002133E-2</v>
      </c>
      <c r="T65" s="89">
        <v>81</v>
      </c>
      <c r="U65" s="741">
        <v>0</v>
      </c>
      <c r="V65" s="741">
        <v>9.3000000000000007</v>
      </c>
      <c r="W65" s="741">
        <v>1.893</v>
      </c>
      <c r="X65" s="741">
        <v>0.49299999999999999</v>
      </c>
      <c r="Y65" s="741">
        <v>5.8960000000000008</v>
      </c>
      <c r="Z65" s="2088">
        <v>4.9533799533799529E-2</v>
      </c>
      <c r="AA65" s="2088">
        <v>9.5765345765345747E-2</v>
      </c>
      <c r="AB65" s="2115">
        <v>0.14529914529914528</v>
      </c>
    </row>
    <row r="66" spans="2:28">
      <c r="B66" s="2098">
        <v>82</v>
      </c>
      <c r="C66" s="2090"/>
      <c r="D66" s="2090">
        <v>8.2629999999999999</v>
      </c>
      <c r="E66" s="2090">
        <v>3.4089999999999998</v>
      </c>
      <c r="F66" s="2090">
        <v>3.4089999999999998</v>
      </c>
      <c r="G66" s="2090">
        <v>8.2629999999999999</v>
      </c>
      <c r="H66" s="2091">
        <v>0</v>
      </c>
      <c r="I66" s="2091">
        <v>0.41256202347815563</v>
      </c>
      <c r="J66" s="2099">
        <v>0.41256202347815563</v>
      </c>
      <c r="K66" s="2098">
        <v>82</v>
      </c>
      <c r="L66" s="2090">
        <v>0</v>
      </c>
      <c r="M66" s="2090">
        <v>9.3179999999999996</v>
      </c>
      <c r="N66" s="2092">
        <v>0.28100000000000003</v>
      </c>
      <c r="O66" s="2090">
        <v>0.28100000000000003</v>
      </c>
      <c r="P66" s="2090">
        <v>9.3179999999999996</v>
      </c>
      <c r="Q66" s="2091">
        <v>0</v>
      </c>
      <c r="R66" s="2091">
        <v>3.0156685984116766E-2</v>
      </c>
      <c r="S66" s="2099">
        <v>3.0156685984116766E-2</v>
      </c>
      <c r="T66" s="2098">
        <v>82</v>
      </c>
      <c r="U66" s="1707">
        <v>0</v>
      </c>
      <c r="V66" s="1707">
        <v>8.7904999999999998</v>
      </c>
      <c r="W66" s="1707">
        <v>1.845</v>
      </c>
      <c r="X66" s="1707">
        <v>0.49299999999999999</v>
      </c>
      <c r="Y66" s="1707">
        <v>5.8960000000000008</v>
      </c>
      <c r="Z66" s="2093">
        <v>4.9533799533799529E-2</v>
      </c>
      <c r="AA66" s="2093">
        <v>9.5765345765345747E-2</v>
      </c>
      <c r="AB66" s="2114">
        <v>0.14529914529914528</v>
      </c>
    </row>
    <row r="67" spans="2:28">
      <c r="B67" s="89">
        <v>83</v>
      </c>
      <c r="C67" s="1"/>
      <c r="D67" s="1">
        <v>7.7880000000000003</v>
      </c>
      <c r="E67" s="1">
        <v>3.3220000000000001</v>
      </c>
      <c r="F67" s="1">
        <v>3.3220000000000001</v>
      </c>
      <c r="G67" s="1">
        <v>7.7880000000000003</v>
      </c>
      <c r="H67" s="742">
        <v>0</v>
      </c>
      <c r="I67" s="742">
        <v>0.42655367231638419</v>
      </c>
      <c r="J67" s="2100">
        <v>0.42655367231638419</v>
      </c>
      <c r="K67" s="89">
        <v>83</v>
      </c>
      <c r="L67" s="1">
        <v>0</v>
      </c>
      <c r="M67" s="1">
        <v>8.7889999999999997</v>
      </c>
      <c r="N67" s="1427">
        <v>0.25800000000000001</v>
      </c>
      <c r="O67" s="1">
        <v>0.25800000000000001</v>
      </c>
      <c r="P67" s="1">
        <v>8.7889999999999997</v>
      </c>
      <c r="Q67" s="742">
        <v>0</v>
      </c>
      <c r="R67" s="742">
        <v>2.9354875412447381E-2</v>
      </c>
      <c r="S67" s="2100">
        <v>2.9354875412447381E-2</v>
      </c>
      <c r="T67" s="89">
        <v>83</v>
      </c>
      <c r="U67" s="741">
        <v>0</v>
      </c>
      <c r="V67" s="741">
        <v>8.2884999999999991</v>
      </c>
      <c r="W67" s="741">
        <v>1.79</v>
      </c>
      <c r="X67" s="741">
        <v>0.49299999999999999</v>
      </c>
      <c r="Y67" s="741">
        <v>5.8960000000000008</v>
      </c>
      <c r="Z67" s="2088">
        <v>4.9533799533799529E-2</v>
      </c>
      <c r="AA67" s="2088">
        <v>9.5765345765345747E-2</v>
      </c>
      <c r="AB67" s="2115">
        <v>0.14529914529914528</v>
      </c>
    </row>
    <row r="68" spans="2:28">
      <c r="B68" s="2098">
        <v>84</v>
      </c>
      <c r="C68" s="2090"/>
      <c r="D68" s="2090">
        <v>7.327</v>
      </c>
      <c r="E68" s="2090">
        <v>3.2229999999999999</v>
      </c>
      <c r="F68" s="2090">
        <v>3.2229999999999999</v>
      </c>
      <c r="G68" s="2090">
        <v>7.327</v>
      </c>
      <c r="H68" s="2091">
        <v>0</v>
      </c>
      <c r="I68" s="2091">
        <v>0.43987989627405483</v>
      </c>
      <c r="J68" s="2099">
        <v>0.43987989627405483</v>
      </c>
      <c r="K68" s="2098">
        <v>84</v>
      </c>
      <c r="L68" s="2090">
        <v>0</v>
      </c>
      <c r="M68" s="2090">
        <v>8.2710000000000008</v>
      </c>
      <c r="N68" s="2092">
        <v>0.23499999999999999</v>
      </c>
      <c r="O68" s="2090">
        <v>0.23499999999999999</v>
      </c>
      <c r="P68" s="2090">
        <v>8.2710000000000008</v>
      </c>
      <c r="Q68" s="2091">
        <v>0</v>
      </c>
      <c r="R68" s="2091">
        <v>2.8412525692177483E-2</v>
      </c>
      <c r="S68" s="2099">
        <v>2.8412525692177483E-2</v>
      </c>
      <c r="T68" s="2098">
        <v>84</v>
      </c>
      <c r="U68" s="1707">
        <v>0</v>
      </c>
      <c r="V68" s="1707">
        <v>7.7990000000000004</v>
      </c>
      <c r="W68" s="1707">
        <v>1.7289999999999999</v>
      </c>
      <c r="X68" s="1707">
        <v>0.49299999999999999</v>
      </c>
      <c r="Y68" s="1707">
        <v>5.8960000000000008</v>
      </c>
      <c r="Z68" s="2093">
        <v>4.9533799533799529E-2</v>
      </c>
      <c r="AA68" s="2093">
        <v>9.5765345765345747E-2</v>
      </c>
      <c r="AB68" s="2114">
        <v>0.14529914529914528</v>
      </c>
    </row>
    <row r="69" spans="2:28">
      <c r="B69" s="89">
        <v>85</v>
      </c>
      <c r="C69" s="1"/>
      <c r="D69" s="1">
        <v>6.883</v>
      </c>
      <c r="E69" s="1">
        <v>3.1139999999999999</v>
      </c>
      <c r="F69" s="1">
        <v>3.1139999999999999</v>
      </c>
      <c r="G69" s="1">
        <v>6.883</v>
      </c>
      <c r="H69" s="742">
        <v>0</v>
      </c>
      <c r="I69" s="742">
        <v>0.45241900334156615</v>
      </c>
      <c r="J69" s="2100">
        <v>0.45241900334156615</v>
      </c>
      <c r="K69" s="89">
        <v>85</v>
      </c>
      <c r="L69" s="1">
        <v>0</v>
      </c>
      <c r="M69" s="1">
        <v>7.7679999999999998</v>
      </c>
      <c r="N69" s="1427">
        <v>0.21</v>
      </c>
      <c r="O69" s="1">
        <v>0.21</v>
      </c>
      <c r="P69" s="1">
        <v>7.7679999999999998</v>
      </c>
      <c r="Q69" s="742">
        <v>0</v>
      </c>
      <c r="R69" s="742">
        <v>2.7033985581874358E-2</v>
      </c>
      <c r="S69" s="2100">
        <v>2.7033985581874358E-2</v>
      </c>
      <c r="T69" s="89">
        <v>85</v>
      </c>
      <c r="U69" s="741">
        <v>0</v>
      </c>
      <c r="V69" s="741">
        <v>7.3254999999999999</v>
      </c>
      <c r="W69" s="741">
        <v>1.6619999999999999</v>
      </c>
      <c r="X69" s="741">
        <v>0.49299999999999999</v>
      </c>
      <c r="Y69" s="741">
        <v>5.8960000000000008</v>
      </c>
      <c r="Z69" s="2088">
        <v>4.9533799533799529E-2</v>
      </c>
      <c r="AA69" s="2088">
        <v>9.5765345765345747E-2</v>
      </c>
      <c r="AB69" s="2115">
        <v>0.14529914529914528</v>
      </c>
    </row>
    <row r="70" spans="2:28">
      <c r="B70" s="2098">
        <v>86</v>
      </c>
      <c r="C70" s="2090"/>
      <c r="D70" s="2090">
        <v>6.4619999999999997</v>
      </c>
      <c r="E70" s="2090">
        <v>2.9969999999999999</v>
      </c>
      <c r="F70" s="2090">
        <v>2.9969999999999999</v>
      </c>
      <c r="G70" s="2090">
        <v>6.4619999999999997</v>
      </c>
      <c r="H70" s="2091">
        <v>0</v>
      </c>
      <c r="I70" s="2091">
        <v>0.46378830083565459</v>
      </c>
      <c r="J70" s="2099">
        <v>0.46378830083565459</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6.8734999999999999</v>
      </c>
      <c r="W70" s="1707">
        <v>1.5914999999999999</v>
      </c>
      <c r="X70" s="1707">
        <v>0.49299999999999999</v>
      </c>
      <c r="Y70" s="1707">
        <v>5.8960000000000008</v>
      </c>
      <c r="Z70" s="2093">
        <v>4.9533799533799529E-2</v>
      </c>
      <c r="AA70" s="2093">
        <v>9.5765345765345747E-2</v>
      </c>
      <c r="AB70" s="2114">
        <v>0.14529914529914528</v>
      </c>
    </row>
    <row r="71" spans="2:28">
      <c r="B71" s="89">
        <v>87</v>
      </c>
      <c r="C71" s="1"/>
      <c r="D71" s="1">
        <v>6.069</v>
      </c>
      <c r="E71" s="1">
        <v>2.8730000000000002</v>
      </c>
      <c r="F71" s="1">
        <v>2.8730000000000002</v>
      </c>
      <c r="G71" s="1">
        <v>6.069</v>
      </c>
      <c r="H71" s="742">
        <v>0</v>
      </c>
      <c r="I71" s="742">
        <v>0.47338935574229696</v>
      </c>
      <c r="J71" s="2100">
        <v>0.47338935574229696</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6.4474999999999998</v>
      </c>
      <c r="W71" s="741">
        <v>1.5175000000000001</v>
      </c>
      <c r="X71" s="741">
        <v>0.49299999999999999</v>
      </c>
      <c r="Y71" s="741">
        <v>5.8960000000000008</v>
      </c>
      <c r="Z71" s="2088">
        <v>4.9533799533799529E-2</v>
      </c>
      <c r="AA71" s="2088">
        <v>9.5765345765345747E-2</v>
      </c>
      <c r="AB71" s="2115">
        <v>0.14529914529914528</v>
      </c>
    </row>
    <row r="72" spans="2:28">
      <c r="B72" s="2098">
        <v>88</v>
      </c>
      <c r="C72" s="2090"/>
      <c r="D72" s="2090">
        <v>5.7119999999999997</v>
      </c>
      <c r="E72" s="2090">
        <v>2.7149999999999999</v>
      </c>
      <c r="F72" s="2090">
        <v>2.7149999999999999</v>
      </c>
      <c r="G72" s="2090">
        <v>5.7119999999999997</v>
      </c>
      <c r="H72" s="2091">
        <v>0</v>
      </c>
      <c r="I72" s="2091">
        <v>0.47531512605042014</v>
      </c>
      <c r="J72" s="2099">
        <v>0.47531512605042014</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6.0549999999999997</v>
      </c>
      <c r="W72" s="1707">
        <v>1.4275</v>
      </c>
      <c r="X72" s="1707">
        <v>0.49299999999999999</v>
      </c>
      <c r="Y72" s="1707">
        <v>5.8960000000000008</v>
      </c>
      <c r="Z72" s="2093">
        <v>4.9533799533799529E-2</v>
      </c>
      <c r="AA72" s="2093">
        <v>9.5765345765345747E-2</v>
      </c>
      <c r="AB72" s="2114">
        <v>0.14529914529914528</v>
      </c>
    </row>
    <row r="73" spans="2:28">
      <c r="B73" s="89">
        <v>89</v>
      </c>
      <c r="C73" s="1"/>
      <c r="D73" s="1">
        <v>5.3979999999999997</v>
      </c>
      <c r="E73" s="1">
        <v>2.5489999999999999</v>
      </c>
      <c r="F73" s="1">
        <v>2.5489999999999999</v>
      </c>
      <c r="G73" s="1">
        <v>5.3979999999999997</v>
      </c>
      <c r="H73" s="742">
        <v>0</v>
      </c>
      <c r="I73" s="742">
        <v>0.4722119303445721</v>
      </c>
      <c r="J73" s="2100">
        <v>0.4722119303445721</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5.7024999999999997</v>
      </c>
      <c r="W73" s="741">
        <v>1.333</v>
      </c>
      <c r="X73" s="741">
        <v>0.49299999999999999</v>
      </c>
      <c r="Y73" s="741">
        <v>5.8960000000000008</v>
      </c>
      <c r="Z73" s="2088">
        <v>4.9533799533799529E-2</v>
      </c>
      <c r="AA73" s="2088">
        <v>9.5765345765345747E-2</v>
      </c>
      <c r="AB73" s="2115">
        <v>0.14529914529914528</v>
      </c>
    </row>
    <row r="74" spans="2:28">
      <c r="B74" s="2098">
        <v>90</v>
      </c>
      <c r="C74" s="2090"/>
      <c r="D74" s="2090">
        <v>5.1150000000000002</v>
      </c>
      <c r="E74" s="2090">
        <v>2.387</v>
      </c>
      <c r="F74" s="2090">
        <v>2.387</v>
      </c>
      <c r="G74" s="2090">
        <v>5.1150000000000002</v>
      </c>
      <c r="H74" s="2091">
        <v>0</v>
      </c>
      <c r="I74" s="2091">
        <v>0.46666666666666667</v>
      </c>
      <c r="J74" s="2099">
        <v>0.46666666666666667</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5.3849999999999998</v>
      </c>
      <c r="W74" s="1707">
        <v>1.242</v>
      </c>
      <c r="X74" s="1707">
        <v>0.49299999999999999</v>
      </c>
      <c r="Y74" s="1707">
        <v>5.8960000000000008</v>
      </c>
      <c r="Z74" s="2093">
        <v>4.9533799533799529E-2</v>
      </c>
      <c r="AA74" s="2093">
        <v>9.5765345765345747E-2</v>
      </c>
      <c r="AB74" s="2114">
        <v>0.14529914529914528</v>
      </c>
    </row>
    <row r="75" spans="2:28">
      <c r="B75" s="89">
        <v>91</v>
      </c>
      <c r="C75" s="1"/>
      <c r="D75" s="1">
        <v>4.8499999999999996</v>
      </c>
      <c r="E75" s="1">
        <v>2.2040000000000002</v>
      </c>
      <c r="F75" s="1">
        <v>2.2040000000000002</v>
      </c>
      <c r="G75" s="1">
        <v>4.8499999999999996</v>
      </c>
      <c r="H75" s="742">
        <v>0</v>
      </c>
      <c r="I75" s="742">
        <v>0.45443298969072171</v>
      </c>
      <c r="J75" s="2100">
        <v>0.45443298969072171</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5.0909999999999993</v>
      </c>
      <c r="W75" s="741">
        <v>1.1420000000000001</v>
      </c>
      <c r="X75" s="741">
        <v>0.49299999999999999</v>
      </c>
      <c r="Y75" s="741">
        <v>5.8960000000000008</v>
      </c>
      <c r="Z75" s="2088">
        <v>4.9533799533799529E-2</v>
      </c>
      <c r="AA75" s="2088">
        <v>9.5765345765345747E-2</v>
      </c>
      <c r="AB75" s="2115">
        <v>0.14529914529914528</v>
      </c>
    </row>
    <row r="76" spans="2:28">
      <c r="B76" s="2098">
        <v>92</v>
      </c>
      <c r="C76" s="2090"/>
      <c r="D76" s="2090">
        <v>4.6040000000000001</v>
      </c>
      <c r="E76" s="2090">
        <v>2.0350000000000001</v>
      </c>
      <c r="F76" s="2090">
        <v>2.0350000000000001</v>
      </c>
      <c r="G76" s="2090">
        <v>4.6040000000000001</v>
      </c>
      <c r="H76" s="2091">
        <v>0</v>
      </c>
      <c r="I76" s="2091">
        <v>0.44200695047784538</v>
      </c>
      <c r="J76" s="2099">
        <v>0.44200695047784538</v>
      </c>
      <c r="K76" s="2098">
        <v>92</v>
      </c>
      <c r="L76" s="2090">
        <v>0</v>
      </c>
      <c r="M76" s="2090">
        <v>5.0289999999999999</v>
      </c>
      <c r="N76" s="2092">
        <v>6.5000000000000002E-2</v>
      </c>
      <c r="O76" s="2090">
        <v>6.5000000000000002E-2</v>
      </c>
      <c r="P76" s="2090">
        <v>5.0289999999999999</v>
      </c>
      <c r="Q76" s="2091">
        <v>0</v>
      </c>
      <c r="R76" s="2091">
        <v>1.2925034798170611E-2</v>
      </c>
      <c r="S76" s="2099">
        <v>1.2925034798170611E-2</v>
      </c>
      <c r="T76" s="2098">
        <v>92</v>
      </c>
      <c r="U76" s="1707">
        <v>0</v>
      </c>
      <c r="V76" s="1707">
        <v>4.8164999999999996</v>
      </c>
      <c r="W76" s="1707">
        <v>1.05</v>
      </c>
      <c r="X76" s="1707">
        <v>0.49299999999999999</v>
      </c>
      <c r="Y76" s="1707">
        <v>5.8960000000000008</v>
      </c>
      <c r="Z76" s="2093">
        <v>4.9533799533799529E-2</v>
      </c>
      <c r="AA76" s="2093">
        <v>9.5765345765345747E-2</v>
      </c>
      <c r="AB76" s="2114">
        <v>0.14529914529914528</v>
      </c>
    </row>
    <row r="77" spans="2:28">
      <c r="B77" s="89">
        <v>93</v>
      </c>
      <c r="C77" s="1"/>
      <c r="D77" s="1">
        <v>4.3760000000000003</v>
      </c>
      <c r="E77" s="1">
        <v>1.85</v>
      </c>
      <c r="F77" s="1">
        <v>1.85</v>
      </c>
      <c r="G77" s="1">
        <v>4.3760000000000003</v>
      </c>
      <c r="H77" s="742">
        <v>0</v>
      </c>
      <c r="I77" s="742">
        <v>0.42276051188299818</v>
      </c>
      <c r="J77" s="2100">
        <v>0.42276051188299818</v>
      </c>
      <c r="K77" s="89">
        <v>93</v>
      </c>
      <c r="L77" s="1">
        <v>0</v>
      </c>
      <c r="M77" s="1">
        <v>4.7469999999999999</v>
      </c>
      <c r="N77" s="1427">
        <v>5.2999999999999999E-2</v>
      </c>
      <c r="O77" s="1">
        <v>5.2999999999999999E-2</v>
      </c>
      <c r="P77" s="1">
        <v>4.7469999999999999</v>
      </c>
      <c r="Q77" s="742">
        <v>0</v>
      </c>
      <c r="R77" s="742">
        <v>1.1164946281862228E-2</v>
      </c>
      <c r="S77" s="2100">
        <v>1.1164946281862228E-2</v>
      </c>
      <c r="T77" s="89">
        <v>93</v>
      </c>
      <c r="U77" s="741">
        <v>0</v>
      </c>
      <c r="V77" s="741">
        <v>4.5615000000000006</v>
      </c>
      <c r="W77" s="741">
        <v>0.95150000000000001</v>
      </c>
      <c r="X77" s="741">
        <v>0.49299999999999999</v>
      </c>
      <c r="Y77" s="741">
        <v>5.8960000000000008</v>
      </c>
      <c r="Z77" s="2088">
        <v>4.9533799533799529E-2</v>
      </c>
      <c r="AA77" s="2088">
        <v>9.5765345765345747E-2</v>
      </c>
      <c r="AB77" s="2115">
        <v>0.14529914529914528</v>
      </c>
    </row>
    <row r="78" spans="2:28">
      <c r="B78" s="2098">
        <v>94</v>
      </c>
      <c r="C78" s="2090"/>
      <c r="D78" s="2090">
        <v>4.1660000000000004</v>
      </c>
      <c r="E78" s="2090">
        <v>1.6830000000000001</v>
      </c>
      <c r="F78" s="2090">
        <v>1.6830000000000001</v>
      </c>
      <c r="G78" s="2090">
        <v>4.1660000000000004</v>
      </c>
      <c r="H78" s="2091">
        <v>0</v>
      </c>
      <c r="I78" s="2091">
        <v>0.4039846375420067</v>
      </c>
      <c r="J78" s="2099">
        <v>0.4039846375420067</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4.3254999999999999</v>
      </c>
      <c r="W78" s="1707">
        <v>0.86250000000000004</v>
      </c>
      <c r="X78" s="1707">
        <v>0.49299999999999999</v>
      </c>
      <c r="Y78" s="1707">
        <v>5.8960000000000008</v>
      </c>
      <c r="Z78" s="2093">
        <v>4.9533799533799529E-2</v>
      </c>
      <c r="AA78" s="2093">
        <v>9.5765345765345747E-2</v>
      </c>
      <c r="AB78" s="2114">
        <v>0.14529914529914528</v>
      </c>
    </row>
    <row r="79" spans="2:28">
      <c r="B79" s="89">
        <v>95</v>
      </c>
      <c r="C79" s="1"/>
      <c r="D79" s="1">
        <v>3.9740000000000002</v>
      </c>
      <c r="E79" s="1">
        <v>1.5349999999999999</v>
      </c>
      <c r="F79" s="1">
        <v>1.5349999999999999</v>
      </c>
      <c r="G79" s="1">
        <v>3.9740000000000002</v>
      </c>
      <c r="H79" s="742">
        <v>0</v>
      </c>
      <c r="I79" s="742">
        <v>0.38626069451434319</v>
      </c>
      <c r="J79" s="2100">
        <v>0.38626069451434319</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4.1095000000000006</v>
      </c>
      <c r="W79" s="741">
        <v>0.78449999999999998</v>
      </c>
      <c r="X79" s="741">
        <v>0.49299999999999999</v>
      </c>
      <c r="Y79" s="741">
        <v>5.8960000000000008</v>
      </c>
      <c r="Z79" s="2088">
        <v>4.9533799533799529E-2</v>
      </c>
      <c r="AA79" s="2088">
        <v>9.5765345765345747E-2</v>
      </c>
      <c r="AB79" s="2115">
        <v>0.14529914529914528</v>
      </c>
    </row>
    <row r="80" spans="2:28">
      <c r="B80" s="2098">
        <v>96</v>
      </c>
      <c r="C80" s="2090"/>
      <c r="D80" s="2090">
        <v>3.798</v>
      </c>
      <c r="E80" s="2090">
        <v>1.371</v>
      </c>
      <c r="F80" s="2090">
        <v>1.371</v>
      </c>
      <c r="G80" s="2090">
        <v>3.798</v>
      </c>
      <c r="H80" s="2091">
        <v>0</v>
      </c>
      <c r="I80" s="2091">
        <v>0.36097946287519744</v>
      </c>
      <c r="J80" s="2099">
        <v>0.36097946287519744</v>
      </c>
      <c r="K80" s="2098">
        <v>96</v>
      </c>
      <c r="L80" s="2090">
        <v>0</v>
      </c>
      <c r="M80" s="2090">
        <v>4.024</v>
      </c>
      <c r="N80" s="2092">
        <v>2.7E-2</v>
      </c>
      <c r="O80" s="2090">
        <v>2.7E-2</v>
      </c>
      <c r="P80" s="2090">
        <v>4.024</v>
      </c>
      <c r="Q80" s="2091">
        <v>0</v>
      </c>
      <c r="R80" s="2091">
        <v>6.7097415506958248E-3</v>
      </c>
      <c r="S80" s="2099">
        <v>6.7097415506958248E-3</v>
      </c>
      <c r="T80" s="2098">
        <v>96</v>
      </c>
      <c r="U80" s="1707">
        <v>0</v>
      </c>
      <c r="V80" s="1707">
        <v>3.911</v>
      </c>
      <c r="W80" s="1707">
        <v>0.69899999999999995</v>
      </c>
      <c r="X80" s="1707">
        <v>0.49299999999999999</v>
      </c>
      <c r="Y80" s="1707">
        <v>5.8960000000000008</v>
      </c>
      <c r="Z80" s="2093">
        <v>4.9533799533799529E-2</v>
      </c>
      <c r="AA80" s="2093">
        <v>9.5765345765345747E-2</v>
      </c>
      <c r="AB80" s="2114">
        <v>0.14529914529914528</v>
      </c>
    </row>
    <row r="81" spans="2:28">
      <c r="B81" s="89">
        <v>97</v>
      </c>
      <c r="C81" s="1"/>
      <c r="D81" s="1">
        <v>3.6389999999999998</v>
      </c>
      <c r="E81" s="1">
        <v>1.216</v>
      </c>
      <c r="F81" s="1">
        <v>1.216</v>
      </c>
      <c r="G81" s="1">
        <v>3.6389999999999998</v>
      </c>
      <c r="H81" s="742">
        <v>0</v>
      </c>
      <c r="I81" s="742">
        <v>0.33415773564165979</v>
      </c>
      <c r="J81" s="2100">
        <v>0.33415773564165979</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3.7314999999999996</v>
      </c>
      <c r="W81" s="741">
        <v>0.61849999999999994</v>
      </c>
      <c r="X81" s="741">
        <v>0.49299999999999999</v>
      </c>
      <c r="Y81" s="741">
        <v>5.8960000000000008</v>
      </c>
      <c r="Z81" s="2088">
        <v>4.9533799533799529E-2</v>
      </c>
      <c r="AA81" s="2088">
        <v>9.5765345765345747E-2</v>
      </c>
      <c r="AB81" s="2115">
        <v>0.14529914529914528</v>
      </c>
    </row>
    <row r="82" spans="2:28">
      <c r="B82" s="2098">
        <v>98</v>
      </c>
      <c r="C82" s="2090"/>
      <c r="D82" s="2090">
        <v>3.4950000000000001</v>
      </c>
      <c r="E82" s="2090">
        <v>1.0409999999999999</v>
      </c>
      <c r="F82" s="2090">
        <v>1.0409999999999999</v>
      </c>
      <c r="G82" s="2090">
        <v>3.4950000000000001</v>
      </c>
      <c r="H82" s="2091">
        <v>0</v>
      </c>
      <c r="I82" s="2091">
        <v>0.29785407725321883</v>
      </c>
      <c r="J82" s="2099">
        <v>0.29785407725321883</v>
      </c>
      <c r="K82" s="2098">
        <v>98</v>
      </c>
      <c r="L82" s="2090">
        <v>0</v>
      </c>
      <c r="M82" s="2090">
        <v>3.6429999999999998</v>
      </c>
      <c r="N82" s="2092">
        <v>1.7000000000000001E-2</v>
      </c>
      <c r="O82" s="2090">
        <v>1.7000000000000001E-2</v>
      </c>
      <c r="P82" s="2090">
        <v>3.6429999999999998</v>
      </c>
      <c r="Q82" s="2091">
        <v>0</v>
      </c>
      <c r="R82" s="2091">
        <v>4.6664836673071652E-3</v>
      </c>
      <c r="S82" s="2099">
        <v>4.6664836673071652E-3</v>
      </c>
      <c r="T82" s="2098">
        <v>98</v>
      </c>
      <c r="U82" s="1707">
        <v>0</v>
      </c>
      <c r="V82" s="1707">
        <v>3.569</v>
      </c>
      <c r="W82" s="1707">
        <v>0.52899999999999991</v>
      </c>
      <c r="X82" s="1707">
        <v>0.49299999999999999</v>
      </c>
      <c r="Y82" s="1707">
        <v>5.8960000000000008</v>
      </c>
      <c r="Z82" s="2093">
        <v>4.9533799533799529E-2</v>
      </c>
      <c r="AA82" s="2093">
        <v>9.5765345765345747E-2</v>
      </c>
      <c r="AB82" s="2114">
        <v>0.14529914529914528</v>
      </c>
    </row>
    <row r="83" spans="2:28">
      <c r="B83" s="89">
        <v>99</v>
      </c>
      <c r="C83" s="1"/>
      <c r="D83" s="1">
        <v>3.3639999999999999</v>
      </c>
      <c r="E83" s="1">
        <v>0.84799999999999998</v>
      </c>
      <c r="F83" s="1">
        <v>0.84799999999999998</v>
      </c>
      <c r="G83" s="1">
        <v>3.3639999999999999</v>
      </c>
      <c r="H83" s="742">
        <v>0</v>
      </c>
      <c r="I83" s="742">
        <v>0.25208085612366232</v>
      </c>
      <c r="J83" s="2100">
        <v>0.25208085612366232</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3.4219999999999997</v>
      </c>
      <c r="W83" s="741">
        <v>0.43049999999999999</v>
      </c>
      <c r="X83" s="741">
        <v>0.49299999999999999</v>
      </c>
      <c r="Y83" s="741">
        <v>5.8960000000000008</v>
      </c>
      <c r="Z83" s="2088">
        <v>4.9533799533799529E-2</v>
      </c>
      <c r="AA83" s="2088">
        <v>9.5765345765345747E-2</v>
      </c>
      <c r="AB83" s="2115">
        <v>0.14529914529914528</v>
      </c>
    </row>
    <row r="84" spans="2:28" ht="15" thickBot="1">
      <c r="B84" s="2101">
        <v>100</v>
      </c>
      <c r="C84" s="2102"/>
      <c r="D84" s="2102">
        <v>3.2450000000000001</v>
      </c>
      <c r="E84" s="2102">
        <v>0.67200000000000004</v>
      </c>
      <c r="F84" s="2102">
        <v>0.67200000000000004</v>
      </c>
      <c r="G84" s="2102">
        <v>3.2450000000000001</v>
      </c>
      <c r="H84" s="2103">
        <v>0</v>
      </c>
      <c r="I84" s="2103">
        <v>0.20708782742681048</v>
      </c>
      <c r="J84" s="2104">
        <v>0.20708782742681048</v>
      </c>
      <c r="K84" s="2101">
        <v>100</v>
      </c>
      <c r="L84" s="2102">
        <v>0</v>
      </c>
      <c r="M84" s="2102">
        <v>3.335</v>
      </c>
      <c r="N84" s="2109">
        <v>0.01</v>
      </c>
      <c r="O84" s="2102">
        <v>0.01</v>
      </c>
      <c r="P84" s="2102">
        <v>3.335</v>
      </c>
      <c r="Q84" s="2103">
        <v>0</v>
      </c>
      <c r="R84" s="2103">
        <v>2.9985007496251873E-3</v>
      </c>
      <c r="S84" s="2104">
        <v>2.9985007496251873E-3</v>
      </c>
      <c r="T84" s="2101">
        <v>100</v>
      </c>
      <c r="U84" s="2116">
        <v>0</v>
      </c>
      <c r="V84" s="2116">
        <v>3.29</v>
      </c>
      <c r="W84" s="2116">
        <v>0.34100000000000003</v>
      </c>
      <c r="X84" s="2116">
        <v>0.49299999999999999</v>
      </c>
      <c r="Y84" s="2116">
        <v>5.8960000000000008</v>
      </c>
      <c r="Z84" s="2117">
        <v>4.9533799533799529E-2</v>
      </c>
      <c r="AA84" s="2117">
        <v>9.5765345765345747E-2</v>
      </c>
      <c r="AB84" s="2118">
        <v>0.14529914529914528</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1955</v>
      </c>
      <c r="B2" s="4015" t="s">
        <v>7</v>
      </c>
      <c r="C2" s="2095" t="s">
        <v>0</v>
      </c>
      <c r="D2" s="2095" t="s">
        <v>1</v>
      </c>
      <c r="E2" s="2095" t="s">
        <v>2</v>
      </c>
      <c r="F2" s="2095" t="s">
        <v>1698</v>
      </c>
      <c r="G2" s="2095" t="s">
        <v>1952</v>
      </c>
      <c r="H2" s="4011" t="s">
        <v>5</v>
      </c>
      <c r="I2" s="4011"/>
      <c r="J2" s="4012"/>
      <c r="K2" s="2105"/>
      <c r="L2" s="2106" t="s">
        <v>0</v>
      </c>
      <c r="M2" s="2106" t="s">
        <v>1</v>
      </c>
      <c r="N2" s="2106" t="s">
        <v>2</v>
      </c>
      <c r="O2" s="2106" t="s">
        <v>1698</v>
      </c>
      <c r="P2" s="2106" t="str">
        <f>+G2</f>
        <v>Anwartschafts-barwert
Altersrente</v>
      </c>
      <c r="Q2" s="4013" t="s">
        <v>6</v>
      </c>
      <c r="R2" s="4013"/>
      <c r="S2" s="4014"/>
      <c r="T2" s="2110"/>
      <c r="U2" s="2111" t="s">
        <v>0</v>
      </c>
      <c r="V2" s="2111" t="s">
        <v>1</v>
      </c>
      <c r="W2" s="2111" t="s">
        <v>2</v>
      </c>
      <c r="X2" s="2111" t="s">
        <v>1698</v>
      </c>
      <c r="Y2" s="2111" t="str">
        <f>+G2</f>
        <v>Anwartschafts-barwert
Altersrente</v>
      </c>
      <c r="Z2" s="4017" t="s">
        <v>6</v>
      </c>
      <c r="AA2" s="4017"/>
      <c r="AB2" s="4018"/>
    </row>
    <row r="3" spans="1:28" s="2" customFormat="1" ht="13.5">
      <c r="A3" s="60">
        <v>43111</v>
      </c>
      <c r="B3" s="4016"/>
      <c r="C3" s="2089" t="s">
        <v>17</v>
      </c>
      <c r="D3" s="2089" t="s">
        <v>18</v>
      </c>
      <c r="E3" s="2089" t="s">
        <v>24</v>
      </c>
      <c r="F3" s="2089" t="s">
        <v>25</v>
      </c>
      <c r="G3" s="2089"/>
      <c r="H3" s="1108" t="s">
        <v>8</v>
      </c>
      <c r="I3" s="1108" t="s">
        <v>9</v>
      </c>
      <c r="J3" s="2097" t="s">
        <v>10</v>
      </c>
      <c r="K3" s="2107" t="s">
        <v>7</v>
      </c>
      <c r="L3" s="1109" t="s">
        <v>19</v>
      </c>
      <c r="M3" s="1109" t="s">
        <v>20</v>
      </c>
      <c r="N3" s="1109" t="s">
        <v>26</v>
      </c>
      <c r="O3" s="1109" t="s">
        <v>27</v>
      </c>
      <c r="P3" s="1109"/>
      <c r="Q3" s="1109" t="s">
        <v>8</v>
      </c>
      <c r="R3" s="1109" t="s">
        <v>9</v>
      </c>
      <c r="S3" s="2108" t="s">
        <v>10</v>
      </c>
      <c r="T3" s="2127" t="s">
        <v>7</v>
      </c>
      <c r="U3" s="2128" t="s">
        <v>19</v>
      </c>
      <c r="V3" s="2128" t="s">
        <v>20</v>
      </c>
      <c r="W3" s="2128" t="s">
        <v>26</v>
      </c>
      <c r="X3" s="2128" t="s">
        <v>27</v>
      </c>
      <c r="Y3" s="2128"/>
      <c r="Z3" s="2128" t="s">
        <v>8</v>
      </c>
      <c r="AA3" s="2128" t="s">
        <v>9</v>
      </c>
      <c r="AB3" s="2129" t="s">
        <v>10</v>
      </c>
    </row>
    <row r="4" spans="1:28">
      <c r="B4" s="2098">
        <v>20</v>
      </c>
      <c r="C4" s="2090">
        <v>0.24</v>
      </c>
      <c r="D4" s="2090">
        <v>5.3579999999999997</v>
      </c>
      <c r="E4" s="2090">
        <v>0.53</v>
      </c>
      <c r="F4" s="2090">
        <v>0.53</v>
      </c>
      <c r="G4" s="2090">
        <v>5.1179999999999994</v>
      </c>
      <c r="H4" s="2091">
        <v>4.6893317702227433E-2</v>
      </c>
      <c r="I4" s="2091">
        <v>0.10355607659241893</v>
      </c>
      <c r="J4" s="2099">
        <v>0.15044939429464638</v>
      </c>
      <c r="K4" s="2098">
        <v>20</v>
      </c>
      <c r="L4" s="2090">
        <v>0.254</v>
      </c>
      <c r="M4" s="2090">
        <v>6.1280000000000001</v>
      </c>
      <c r="N4" s="2092">
        <v>0.13100000000000001</v>
      </c>
      <c r="O4" s="2090">
        <v>0.13100000000000001</v>
      </c>
      <c r="P4" s="2090">
        <v>5.8740000000000006</v>
      </c>
      <c r="Q4" s="2091">
        <v>4.3241402791964589E-2</v>
      </c>
      <c r="R4" s="2091">
        <v>2.2301668369084097E-2</v>
      </c>
      <c r="S4" s="2099">
        <v>6.5543071161048683E-2</v>
      </c>
      <c r="T4" s="2098">
        <v>20</v>
      </c>
      <c r="U4" s="1707">
        <v>0.247</v>
      </c>
      <c r="V4" s="1707">
        <v>5.7430000000000003</v>
      </c>
      <c r="W4" s="1707">
        <v>0.33050000000000002</v>
      </c>
      <c r="X4" s="1707">
        <v>0.33050000000000002</v>
      </c>
      <c r="Y4" s="1707">
        <v>5.4960000000000004</v>
      </c>
      <c r="Z4" s="2093">
        <v>4.5067360247096011E-2</v>
      </c>
      <c r="AA4" s="2093">
        <v>6.2928872480751519E-2</v>
      </c>
      <c r="AB4" s="2114">
        <v>0.10799623272784753</v>
      </c>
    </row>
    <row r="5" spans="1:28">
      <c r="B5" s="89">
        <v>21</v>
      </c>
      <c r="C5" s="1">
        <v>0.27700000000000002</v>
      </c>
      <c r="D5" s="1">
        <v>5.52</v>
      </c>
      <c r="E5" s="1">
        <v>0.61599999999999999</v>
      </c>
      <c r="F5" s="1">
        <v>0.61599999999999999</v>
      </c>
      <c r="G5" s="1">
        <v>5.2429999999999994</v>
      </c>
      <c r="H5" s="742">
        <v>5.2832347892428008E-2</v>
      </c>
      <c r="I5" s="742">
        <v>0.11748998664886516</v>
      </c>
      <c r="J5" s="2099">
        <v>0.17032233454129317</v>
      </c>
      <c r="K5" s="89">
        <v>21</v>
      </c>
      <c r="L5" s="1">
        <v>0.30499999999999999</v>
      </c>
      <c r="M5" s="1">
        <v>6.3120000000000003</v>
      </c>
      <c r="N5" s="1427">
        <v>0.159</v>
      </c>
      <c r="O5" s="1">
        <v>0.159</v>
      </c>
      <c r="P5" s="1">
        <v>6.0070000000000006</v>
      </c>
      <c r="Q5" s="742">
        <v>5.07740968869652E-2</v>
      </c>
      <c r="R5" s="742">
        <v>2.6469119360745794E-2</v>
      </c>
      <c r="S5" s="2100">
        <v>7.7243216247710994E-2</v>
      </c>
      <c r="T5" s="89">
        <v>21</v>
      </c>
      <c r="U5" s="741">
        <v>0.29100000000000004</v>
      </c>
      <c r="V5" s="741">
        <v>5.9160000000000004</v>
      </c>
      <c r="W5" s="741">
        <v>0.38750000000000001</v>
      </c>
      <c r="X5" s="741">
        <v>0.38750000000000001</v>
      </c>
      <c r="Y5" s="741">
        <v>5.625</v>
      </c>
      <c r="Z5" s="2088">
        <v>5.1803222389696604E-2</v>
      </c>
      <c r="AA5" s="2088">
        <v>7.1979553004805477E-2</v>
      </c>
      <c r="AB5" s="2115">
        <v>0.12378277539450208</v>
      </c>
    </row>
    <row r="6" spans="1:28">
      <c r="B6" s="2098">
        <v>22</v>
      </c>
      <c r="C6" s="2090">
        <v>0.314</v>
      </c>
      <c r="D6" s="2090">
        <v>5.6870000000000003</v>
      </c>
      <c r="E6" s="2090">
        <v>0.70799999999999996</v>
      </c>
      <c r="F6" s="2090">
        <v>0.70799999999999996</v>
      </c>
      <c r="G6" s="2090">
        <v>5.3730000000000002</v>
      </c>
      <c r="H6" s="2091">
        <v>5.8440349897636329E-2</v>
      </c>
      <c r="I6" s="2091">
        <v>0.13176996091568954</v>
      </c>
      <c r="J6" s="2099">
        <v>0.19021031081332587</v>
      </c>
      <c r="K6" s="2098">
        <v>22</v>
      </c>
      <c r="L6" s="2090">
        <v>0.35199999999999998</v>
      </c>
      <c r="M6" s="2090">
        <v>6.5</v>
      </c>
      <c r="N6" s="2092">
        <v>0.184</v>
      </c>
      <c r="O6" s="2090">
        <v>0.184</v>
      </c>
      <c r="P6" s="2090">
        <v>6.1479999999999997</v>
      </c>
      <c r="Q6" s="2091">
        <v>5.7254391672088484E-2</v>
      </c>
      <c r="R6" s="2091">
        <v>2.992843201040989E-2</v>
      </c>
      <c r="S6" s="2099">
        <v>8.718282368249837E-2</v>
      </c>
      <c r="T6" s="2098">
        <v>22</v>
      </c>
      <c r="U6" s="1707">
        <v>0.33299999999999996</v>
      </c>
      <c r="V6" s="1707">
        <v>6.0935000000000006</v>
      </c>
      <c r="W6" s="1707">
        <v>0.44599999999999995</v>
      </c>
      <c r="X6" s="1707">
        <v>0.44599999999999995</v>
      </c>
      <c r="Y6" s="1707">
        <v>5.7605000000000004</v>
      </c>
      <c r="Z6" s="2093">
        <v>5.7847370784862406E-2</v>
      </c>
      <c r="AA6" s="2093">
        <v>8.0849196463049722E-2</v>
      </c>
      <c r="AB6" s="2114">
        <v>0.13869656724791213</v>
      </c>
    </row>
    <row r="7" spans="1:28">
      <c r="B7" s="89">
        <v>23</v>
      </c>
      <c r="C7" s="1">
        <v>0.35299999999999998</v>
      </c>
      <c r="D7" s="1">
        <v>5.8579999999999997</v>
      </c>
      <c r="E7" s="1">
        <v>0.80300000000000005</v>
      </c>
      <c r="F7" s="1">
        <v>0.80300000000000005</v>
      </c>
      <c r="G7" s="1">
        <v>5.5049999999999999</v>
      </c>
      <c r="H7" s="742">
        <v>6.4123524069028159E-2</v>
      </c>
      <c r="I7" s="742">
        <v>0.14586739327883744</v>
      </c>
      <c r="J7" s="2099">
        <v>0.2099909173478656</v>
      </c>
      <c r="K7" s="89">
        <v>23</v>
      </c>
      <c r="L7" s="1">
        <v>0.39</v>
      </c>
      <c r="M7" s="1">
        <v>6.6929999999999996</v>
      </c>
      <c r="N7" s="1427">
        <v>0.20599999999999999</v>
      </c>
      <c r="O7" s="1">
        <v>0.20599999999999999</v>
      </c>
      <c r="P7" s="1">
        <v>6.3029999999999999</v>
      </c>
      <c r="Q7" s="742">
        <v>6.1875297477391719E-2</v>
      </c>
      <c r="R7" s="742">
        <v>3.2682849436776136E-2</v>
      </c>
      <c r="S7" s="2100">
        <v>9.4558146914167862E-2</v>
      </c>
      <c r="T7" s="89">
        <v>23</v>
      </c>
      <c r="U7" s="741">
        <v>0.3715</v>
      </c>
      <c r="V7" s="741">
        <v>6.2754999999999992</v>
      </c>
      <c r="W7" s="741">
        <v>0.50450000000000006</v>
      </c>
      <c r="X7" s="741">
        <v>0.50450000000000006</v>
      </c>
      <c r="Y7" s="741">
        <v>5.9039999999999999</v>
      </c>
      <c r="Z7" s="2088">
        <v>6.2999410773209946E-2</v>
      </c>
      <c r="AA7" s="2088">
        <v>8.9275121357806783E-2</v>
      </c>
      <c r="AB7" s="2115">
        <v>0.15227453213101672</v>
      </c>
    </row>
    <row r="8" spans="1:28">
      <c r="B8" s="2098">
        <v>24</v>
      </c>
      <c r="C8" s="2090">
        <v>0.38600000000000001</v>
      </c>
      <c r="D8" s="2090">
        <v>6.0339999999999998</v>
      </c>
      <c r="E8" s="2090">
        <v>0.89100000000000001</v>
      </c>
      <c r="F8" s="2090">
        <v>0.89100000000000001</v>
      </c>
      <c r="G8" s="2090">
        <v>5.6479999999999997</v>
      </c>
      <c r="H8" s="2091">
        <v>6.8342776203966005E-2</v>
      </c>
      <c r="I8" s="2091">
        <v>0.15775495750708216</v>
      </c>
      <c r="J8" s="2099">
        <v>0.22609773371104816</v>
      </c>
      <c r="K8" s="2098">
        <v>24</v>
      </c>
      <c r="L8" s="2090">
        <v>0.42499999999999999</v>
      </c>
      <c r="M8" s="2090">
        <v>6.891</v>
      </c>
      <c r="N8" s="2092">
        <v>0.22600000000000001</v>
      </c>
      <c r="O8" s="2090">
        <v>0.22600000000000001</v>
      </c>
      <c r="P8" s="2090">
        <v>6.4660000000000002</v>
      </c>
      <c r="Q8" s="2091">
        <v>6.5728425610887722E-2</v>
      </c>
      <c r="R8" s="2091">
        <v>3.4952056913083826E-2</v>
      </c>
      <c r="S8" s="2099">
        <v>0.10068048252397155</v>
      </c>
      <c r="T8" s="2098">
        <v>24</v>
      </c>
      <c r="U8" s="1707">
        <v>0.40549999999999997</v>
      </c>
      <c r="V8" s="1707">
        <v>6.4625000000000004</v>
      </c>
      <c r="W8" s="1707">
        <v>0.5585</v>
      </c>
      <c r="X8" s="1707">
        <v>0.5585</v>
      </c>
      <c r="Y8" s="1707">
        <v>6.0570000000000004</v>
      </c>
      <c r="Z8" s="2093">
        <v>6.7035600907426857E-2</v>
      </c>
      <c r="AA8" s="2093">
        <v>9.6353507210082984E-2</v>
      </c>
      <c r="AB8" s="2114">
        <v>0.16338910811750984</v>
      </c>
    </row>
    <row r="9" spans="1:28">
      <c r="B9" s="89">
        <v>25</v>
      </c>
      <c r="C9" s="1">
        <v>0.41599999999999998</v>
      </c>
      <c r="D9" s="1">
        <v>6.2130000000000001</v>
      </c>
      <c r="E9" s="1">
        <v>0.97399999999999998</v>
      </c>
      <c r="F9" s="1">
        <v>0.97399999999999998</v>
      </c>
      <c r="G9" s="1">
        <v>5.7969999999999997</v>
      </c>
      <c r="H9" s="742">
        <v>7.1761255821976885E-2</v>
      </c>
      <c r="I9" s="742">
        <v>0.1680179403139555</v>
      </c>
      <c r="J9" s="2099">
        <v>0.2397791961359324</v>
      </c>
      <c r="K9" s="89">
        <v>25</v>
      </c>
      <c r="L9" s="1">
        <v>0.45900000000000002</v>
      </c>
      <c r="M9" s="1">
        <v>7.0940000000000003</v>
      </c>
      <c r="N9" s="1427">
        <v>0.246</v>
      </c>
      <c r="O9" s="1">
        <v>0.246</v>
      </c>
      <c r="P9" s="1">
        <v>6.6350000000000007</v>
      </c>
      <c r="Q9" s="742">
        <v>6.9178598342125086E-2</v>
      </c>
      <c r="R9" s="742">
        <v>3.7076111529766385E-2</v>
      </c>
      <c r="S9" s="2100">
        <v>0.10625470987189148</v>
      </c>
      <c r="T9" s="89">
        <v>25</v>
      </c>
      <c r="U9" s="741">
        <v>0.4375</v>
      </c>
      <c r="V9" s="741">
        <v>6.6535000000000002</v>
      </c>
      <c r="W9" s="741">
        <v>0.61</v>
      </c>
      <c r="X9" s="741">
        <v>0.61</v>
      </c>
      <c r="Y9" s="741">
        <v>6.2160000000000002</v>
      </c>
      <c r="Z9" s="2088">
        <v>7.0469927082050993E-2</v>
      </c>
      <c r="AA9" s="2088">
        <v>0.10254702592186095</v>
      </c>
      <c r="AB9" s="2115">
        <v>0.17301695300391196</v>
      </c>
    </row>
    <row r="10" spans="1:28">
      <c r="B10" s="2098">
        <v>26</v>
      </c>
      <c r="C10" s="2090">
        <v>0.442</v>
      </c>
      <c r="D10" s="2090">
        <v>6.3970000000000002</v>
      </c>
      <c r="E10" s="2090">
        <v>1.052</v>
      </c>
      <c r="F10" s="2090">
        <v>1.052</v>
      </c>
      <c r="G10" s="2090">
        <v>5.9550000000000001</v>
      </c>
      <c r="H10" s="2091">
        <v>7.4223341729638959E-2</v>
      </c>
      <c r="I10" s="2091">
        <v>0.17665827036104115</v>
      </c>
      <c r="J10" s="2099">
        <v>0.25088161209068011</v>
      </c>
      <c r="K10" s="2098">
        <v>26</v>
      </c>
      <c r="L10" s="2090">
        <v>0.49299999999999999</v>
      </c>
      <c r="M10" s="2090">
        <v>7.3010000000000002</v>
      </c>
      <c r="N10" s="2092">
        <v>0.26700000000000002</v>
      </c>
      <c r="O10" s="2090">
        <v>0.26700000000000002</v>
      </c>
      <c r="P10" s="2090">
        <v>6.8079999999999998</v>
      </c>
      <c r="Q10" s="2091">
        <v>7.241480611045828E-2</v>
      </c>
      <c r="R10" s="2091">
        <v>3.9218566392479441E-2</v>
      </c>
      <c r="S10" s="2099">
        <v>0.11163337250293773</v>
      </c>
      <c r="T10" s="2098">
        <v>26</v>
      </c>
      <c r="U10" s="1707">
        <v>0.46750000000000003</v>
      </c>
      <c r="V10" s="1707">
        <v>6.8490000000000002</v>
      </c>
      <c r="W10" s="1707">
        <v>0.65949999999999998</v>
      </c>
      <c r="X10" s="1707">
        <v>0.65949999999999998</v>
      </c>
      <c r="Y10" s="1707">
        <v>6.3815</v>
      </c>
      <c r="Z10" s="2093">
        <v>7.3319073920048619E-2</v>
      </c>
      <c r="AA10" s="2093">
        <v>0.1079384183767603</v>
      </c>
      <c r="AB10" s="2114">
        <v>0.18125749229680893</v>
      </c>
    </row>
    <row r="11" spans="1:28">
      <c r="B11" s="89">
        <v>27</v>
      </c>
      <c r="C11" s="1">
        <v>0.46600000000000003</v>
      </c>
      <c r="D11" s="1">
        <v>6.585</v>
      </c>
      <c r="E11" s="1">
        <v>1.127</v>
      </c>
      <c r="F11" s="1">
        <v>1.127</v>
      </c>
      <c r="G11" s="1">
        <v>6.1189999999999998</v>
      </c>
      <c r="H11" s="742">
        <v>7.6156234678869103E-2</v>
      </c>
      <c r="I11" s="742">
        <v>0.18418042163752249</v>
      </c>
      <c r="J11" s="2099">
        <v>0.26033665631639158</v>
      </c>
      <c r="K11" s="89">
        <v>27</v>
      </c>
      <c r="L11" s="1">
        <v>0.52500000000000002</v>
      </c>
      <c r="M11" s="1">
        <v>7.5129999999999999</v>
      </c>
      <c r="N11" s="1427">
        <v>0.28699999999999998</v>
      </c>
      <c r="O11" s="1">
        <v>0.28699999999999998</v>
      </c>
      <c r="P11" s="1">
        <v>6.9879999999999995</v>
      </c>
      <c r="Q11" s="742">
        <v>7.5128792215226115E-2</v>
      </c>
      <c r="R11" s="742">
        <v>4.1070406410990266E-2</v>
      </c>
      <c r="S11" s="2100">
        <v>0.11619919862621639</v>
      </c>
      <c r="T11" s="89">
        <v>27</v>
      </c>
      <c r="U11" s="741">
        <v>0.49550000000000005</v>
      </c>
      <c r="V11" s="741">
        <v>7.0489999999999995</v>
      </c>
      <c r="W11" s="741">
        <v>0.70699999999999996</v>
      </c>
      <c r="X11" s="741">
        <v>0.70699999999999996</v>
      </c>
      <c r="Y11" s="741">
        <v>6.5534999999999997</v>
      </c>
      <c r="Z11" s="2088">
        <v>7.5642513447047616E-2</v>
      </c>
      <c r="AA11" s="2088">
        <v>0.11262541402425638</v>
      </c>
      <c r="AB11" s="2115">
        <v>0.188267927471304</v>
      </c>
    </row>
    <row r="12" spans="1:28">
      <c r="B12" s="2098">
        <v>28</v>
      </c>
      <c r="C12" s="2090">
        <v>0.48699999999999999</v>
      </c>
      <c r="D12" s="2090">
        <v>6.7779999999999996</v>
      </c>
      <c r="E12" s="2090">
        <v>1.2010000000000001</v>
      </c>
      <c r="F12" s="2090">
        <v>1.2010000000000001</v>
      </c>
      <c r="G12" s="2090">
        <v>6.2909999999999995</v>
      </c>
      <c r="H12" s="2091">
        <v>7.7412176124622478E-2</v>
      </c>
      <c r="I12" s="2091">
        <v>0.19090764584326819</v>
      </c>
      <c r="J12" s="2099">
        <v>0.26831982196789067</v>
      </c>
      <c r="K12" s="2098">
        <v>28</v>
      </c>
      <c r="L12" s="2090">
        <v>0.55500000000000005</v>
      </c>
      <c r="M12" s="2090">
        <v>7.7290000000000001</v>
      </c>
      <c r="N12" s="2092">
        <v>0.307</v>
      </c>
      <c r="O12" s="2090">
        <v>0.307</v>
      </c>
      <c r="P12" s="2090">
        <v>7.1740000000000004</v>
      </c>
      <c r="Q12" s="2091">
        <v>7.7362698633955951E-2</v>
      </c>
      <c r="R12" s="2091">
        <v>4.2793420685809866E-2</v>
      </c>
      <c r="S12" s="2099">
        <v>0.12015611931976582</v>
      </c>
      <c r="T12" s="2098">
        <v>28</v>
      </c>
      <c r="U12" s="1707">
        <v>0.52100000000000002</v>
      </c>
      <c r="V12" s="1707">
        <v>7.2534999999999998</v>
      </c>
      <c r="W12" s="1707">
        <v>0.754</v>
      </c>
      <c r="X12" s="1707">
        <v>0.754</v>
      </c>
      <c r="Y12" s="1707">
        <v>6.7324999999999999</v>
      </c>
      <c r="Z12" s="2093">
        <v>7.7387437379289215E-2</v>
      </c>
      <c r="AA12" s="2093">
        <v>0.11685053326453904</v>
      </c>
      <c r="AB12" s="2114">
        <v>0.19423797064382825</v>
      </c>
    </row>
    <row r="13" spans="1:28">
      <c r="B13" s="89">
        <v>29</v>
      </c>
      <c r="C13" s="1">
        <v>0.50700000000000001</v>
      </c>
      <c r="D13" s="1">
        <v>6.976</v>
      </c>
      <c r="E13" s="1">
        <v>1.2729999999999999</v>
      </c>
      <c r="F13" s="1">
        <v>1.2729999999999999</v>
      </c>
      <c r="G13" s="1">
        <v>6.4690000000000003</v>
      </c>
      <c r="H13" s="742">
        <v>7.8373782655742769E-2</v>
      </c>
      <c r="I13" s="742">
        <v>0.19678466532694386</v>
      </c>
      <c r="J13" s="2099">
        <v>0.27515844798268663</v>
      </c>
      <c r="K13" s="89">
        <v>29</v>
      </c>
      <c r="L13" s="1">
        <v>0.58299999999999996</v>
      </c>
      <c r="M13" s="1">
        <v>7.95</v>
      </c>
      <c r="N13" s="1427">
        <v>0.32600000000000001</v>
      </c>
      <c r="O13" s="1">
        <v>0.32600000000000001</v>
      </c>
      <c r="P13" s="1">
        <v>7.367</v>
      </c>
      <c r="Q13" s="742">
        <v>7.9136690647482008E-2</v>
      </c>
      <c r="R13" s="742">
        <v>4.4251391339758382E-2</v>
      </c>
      <c r="S13" s="2100">
        <v>0.12338808198724038</v>
      </c>
      <c r="T13" s="89">
        <v>29</v>
      </c>
      <c r="U13" s="741">
        <v>0.54499999999999993</v>
      </c>
      <c r="V13" s="741">
        <v>7.4630000000000001</v>
      </c>
      <c r="W13" s="741">
        <v>0.79949999999999999</v>
      </c>
      <c r="X13" s="741">
        <v>0.79949999999999999</v>
      </c>
      <c r="Y13" s="741">
        <v>6.9180000000000001</v>
      </c>
      <c r="Z13" s="2088">
        <v>7.8755236651612381E-2</v>
      </c>
      <c r="AA13" s="2088">
        <v>0.12051802833335112</v>
      </c>
      <c r="AB13" s="2115">
        <v>0.19927326498496351</v>
      </c>
    </row>
    <row r="14" spans="1:28">
      <c r="B14" s="2098">
        <v>30</v>
      </c>
      <c r="C14" s="2090">
        <v>0.52500000000000002</v>
      </c>
      <c r="D14" s="2090">
        <v>7.1790000000000003</v>
      </c>
      <c r="E14" s="2090">
        <v>1.345</v>
      </c>
      <c r="F14" s="2090">
        <v>1.345</v>
      </c>
      <c r="G14" s="2090">
        <v>6.6539999999999999</v>
      </c>
      <c r="H14" s="2091">
        <v>7.889990982867448E-2</v>
      </c>
      <c r="I14" s="2091">
        <v>0.20213405470393747</v>
      </c>
      <c r="J14" s="2099">
        <v>0.28103396453261198</v>
      </c>
      <c r="K14" s="2098">
        <v>30</v>
      </c>
      <c r="L14" s="2090">
        <v>0.60799999999999998</v>
      </c>
      <c r="M14" s="2090">
        <v>8.1750000000000007</v>
      </c>
      <c r="N14" s="2092">
        <v>0.34599999999999997</v>
      </c>
      <c r="O14" s="2090">
        <v>0.34599999999999997</v>
      </c>
      <c r="P14" s="2090">
        <v>7.5670000000000011</v>
      </c>
      <c r="Q14" s="2091">
        <v>8.0348883309105307E-2</v>
      </c>
      <c r="R14" s="2091">
        <v>4.5724857935773744E-2</v>
      </c>
      <c r="S14" s="2099">
        <v>0.12607374124487905</v>
      </c>
      <c r="T14" s="2098">
        <v>30</v>
      </c>
      <c r="U14" s="1707">
        <v>0.5665</v>
      </c>
      <c r="V14" s="1707">
        <v>7.6770000000000005</v>
      </c>
      <c r="W14" s="1707">
        <v>0.84549999999999992</v>
      </c>
      <c r="X14" s="1707">
        <v>0.84549999999999992</v>
      </c>
      <c r="Y14" s="1707">
        <v>7.1105</v>
      </c>
      <c r="Z14" s="2093">
        <v>7.9624396568889894E-2</v>
      </c>
      <c r="AA14" s="2093">
        <v>0.12392945631985561</v>
      </c>
      <c r="AB14" s="2114">
        <v>0.2035538528887455</v>
      </c>
    </row>
    <row r="15" spans="1:28">
      <c r="B15" s="89">
        <v>31</v>
      </c>
      <c r="C15" s="1">
        <v>0.54100000000000004</v>
      </c>
      <c r="D15" s="1">
        <v>7.3869999999999996</v>
      </c>
      <c r="E15" s="1">
        <v>1.4159999999999999</v>
      </c>
      <c r="F15" s="1">
        <v>1.4159999999999999</v>
      </c>
      <c r="G15" s="1">
        <v>6.8459999999999992</v>
      </c>
      <c r="H15" s="742">
        <v>7.9024247735904191E-2</v>
      </c>
      <c r="I15" s="742">
        <v>0.20683610867659949</v>
      </c>
      <c r="J15" s="2099">
        <v>0.28586035641250368</v>
      </c>
      <c r="K15" s="89">
        <v>31</v>
      </c>
      <c r="L15" s="1">
        <v>0.63200000000000001</v>
      </c>
      <c r="M15" s="1">
        <v>8.4060000000000006</v>
      </c>
      <c r="N15" s="1427">
        <v>0.36399999999999999</v>
      </c>
      <c r="O15" s="1">
        <v>0.36399999999999999</v>
      </c>
      <c r="P15" s="1">
        <v>7.7740000000000009</v>
      </c>
      <c r="Q15" s="742">
        <v>8.1296629791613062E-2</v>
      </c>
      <c r="R15" s="742">
        <v>4.6822742474916385E-2</v>
      </c>
      <c r="S15" s="2100">
        <v>0.12811937226652945</v>
      </c>
      <c r="T15" s="89">
        <v>31</v>
      </c>
      <c r="U15" s="741">
        <v>0.58650000000000002</v>
      </c>
      <c r="V15" s="741">
        <v>7.8964999999999996</v>
      </c>
      <c r="W15" s="741">
        <v>0.8899999999999999</v>
      </c>
      <c r="X15" s="741">
        <v>0.8899999999999999</v>
      </c>
      <c r="Y15" s="741">
        <v>7.3100000000000005</v>
      </c>
      <c r="Z15" s="2088">
        <v>8.0160438763758626E-2</v>
      </c>
      <c r="AA15" s="2088">
        <v>0.12682942557575794</v>
      </c>
      <c r="AB15" s="2115">
        <v>0.20698986433951655</v>
      </c>
    </row>
    <row r="16" spans="1:28">
      <c r="B16" s="2098">
        <v>32</v>
      </c>
      <c r="C16" s="2090">
        <v>0.55600000000000005</v>
      </c>
      <c r="D16" s="2090">
        <v>7.6</v>
      </c>
      <c r="E16" s="2090">
        <v>1.4870000000000001</v>
      </c>
      <c r="F16" s="2090">
        <v>1.4870000000000001</v>
      </c>
      <c r="G16" s="2090">
        <v>7.0439999999999996</v>
      </c>
      <c r="H16" s="2091">
        <v>7.8932424758659858E-2</v>
      </c>
      <c r="I16" s="2091">
        <v>0.21110164679159571</v>
      </c>
      <c r="J16" s="2099">
        <v>0.29003407155025557</v>
      </c>
      <c r="K16" s="2098">
        <v>32</v>
      </c>
      <c r="L16" s="2090">
        <v>0.65300000000000002</v>
      </c>
      <c r="M16" s="2090">
        <v>8.6419999999999995</v>
      </c>
      <c r="N16" s="2092">
        <v>0.38300000000000001</v>
      </c>
      <c r="O16" s="2090">
        <v>0.38300000000000001</v>
      </c>
      <c r="P16" s="2090">
        <v>7.988999999999999</v>
      </c>
      <c r="Q16" s="2091">
        <v>8.1737388909750922E-2</v>
      </c>
      <c r="R16" s="2091">
        <v>4.7940918763299541E-2</v>
      </c>
      <c r="S16" s="2099">
        <v>0.12967830767305047</v>
      </c>
      <c r="T16" s="2098">
        <v>32</v>
      </c>
      <c r="U16" s="1707">
        <v>0.60450000000000004</v>
      </c>
      <c r="V16" s="1707">
        <v>8.1209999999999987</v>
      </c>
      <c r="W16" s="1707">
        <v>0.93500000000000005</v>
      </c>
      <c r="X16" s="1707">
        <v>0.93500000000000005</v>
      </c>
      <c r="Y16" s="1707">
        <v>7.5164999999999988</v>
      </c>
      <c r="Z16" s="2093">
        <v>8.0334906834205383E-2</v>
      </c>
      <c r="AA16" s="2093">
        <v>0.12952128277744762</v>
      </c>
      <c r="AB16" s="2114">
        <v>0.20985618961165303</v>
      </c>
    </row>
    <row r="17" spans="2:28">
      <c r="B17" s="89">
        <v>33</v>
      </c>
      <c r="C17" s="1">
        <v>0.56999999999999995</v>
      </c>
      <c r="D17" s="1">
        <v>7.819</v>
      </c>
      <c r="E17" s="1">
        <v>1.5580000000000001</v>
      </c>
      <c r="F17" s="1">
        <v>1.5580000000000001</v>
      </c>
      <c r="G17" s="1">
        <v>7.2489999999999997</v>
      </c>
      <c r="H17" s="742">
        <v>7.8631535384190918E-2</v>
      </c>
      <c r="I17" s="742">
        <v>0.21492619671678853</v>
      </c>
      <c r="J17" s="2099">
        <v>0.29355773210097946</v>
      </c>
      <c r="K17" s="89">
        <v>33</v>
      </c>
      <c r="L17" s="1">
        <v>0.67100000000000004</v>
      </c>
      <c r="M17" s="1">
        <v>8.8829999999999991</v>
      </c>
      <c r="N17" s="1427">
        <v>0.40100000000000002</v>
      </c>
      <c r="O17" s="1">
        <v>0.40100000000000002</v>
      </c>
      <c r="P17" s="1">
        <v>8.2119999999999997</v>
      </c>
      <c r="Q17" s="742">
        <v>8.1709693132001951E-2</v>
      </c>
      <c r="R17" s="742">
        <v>4.8830979055041406E-2</v>
      </c>
      <c r="S17" s="2100">
        <v>0.13054067218704335</v>
      </c>
      <c r="T17" s="89">
        <v>33</v>
      </c>
      <c r="U17" s="741">
        <v>0.62050000000000005</v>
      </c>
      <c r="V17" s="741">
        <v>8.3509999999999991</v>
      </c>
      <c r="W17" s="741">
        <v>0.97950000000000004</v>
      </c>
      <c r="X17" s="741">
        <v>0.97950000000000004</v>
      </c>
      <c r="Y17" s="741">
        <v>7.7304999999999993</v>
      </c>
      <c r="Z17" s="2088">
        <v>8.0170614258096434E-2</v>
      </c>
      <c r="AA17" s="2088">
        <v>0.13187858788591497</v>
      </c>
      <c r="AB17" s="2115">
        <v>0.21204920214401141</v>
      </c>
    </row>
    <row r="18" spans="2:28">
      <c r="B18" s="2098">
        <v>34</v>
      </c>
      <c r="C18" s="2090">
        <v>0.58199999999999996</v>
      </c>
      <c r="D18" s="2090">
        <v>8.0440000000000005</v>
      </c>
      <c r="E18" s="2090">
        <v>1.629</v>
      </c>
      <c r="F18" s="2090">
        <v>1.629</v>
      </c>
      <c r="G18" s="2090">
        <v>7.4620000000000006</v>
      </c>
      <c r="H18" s="2091">
        <v>7.7995175556151153E-2</v>
      </c>
      <c r="I18" s="2091">
        <v>0.21830608415974267</v>
      </c>
      <c r="J18" s="2099">
        <v>0.29630125971589383</v>
      </c>
      <c r="K18" s="2098">
        <v>34</v>
      </c>
      <c r="L18" s="2090">
        <v>0.68600000000000005</v>
      </c>
      <c r="M18" s="2090">
        <v>9.1300000000000008</v>
      </c>
      <c r="N18" s="2092">
        <v>0.41799999999999998</v>
      </c>
      <c r="O18" s="2090">
        <v>0.41799999999999998</v>
      </c>
      <c r="P18" s="2090">
        <v>8.4440000000000008</v>
      </c>
      <c r="Q18" s="2091">
        <v>8.1241117953576497E-2</v>
      </c>
      <c r="R18" s="2091">
        <v>4.9502605400284221E-2</v>
      </c>
      <c r="S18" s="2099">
        <v>0.13074372335386072</v>
      </c>
      <c r="T18" s="2098">
        <v>34</v>
      </c>
      <c r="U18" s="1707">
        <v>0.63400000000000001</v>
      </c>
      <c r="V18" s="1707">
        <v>8.5869999999999997</v>
      </c>
      <c r="W18" s="1707">
        <v>1.0235000000000001</v>
      </c>
      <c r="X18" s="1707">
        <v>1.0235000000000001</v>
      </c>
      <c r="Y18" s="1707">
        <v>7.9530000000000012</v>
      </c>
      <c r="Z18" s="2093">
        <v>7.9618146754863825E-2</v>
      </c>
      <c r="AA18" s="2093">
        <v>0.13390434478001345</v>
      </c>
      <c r="AB18" s="2114">
        <v>0.21352249153487729</v>
      </c>
    </row>
    <row r="19" spans="2:28">
      <c r="B19" s="89">
        <v>35</v>
      </c>
      <c r="C19" s="1">
        <v>0.59099999999999997</v>
      </c>
      <c r="D19" s="1">
        <v>8.2750000000000004</v>
      </c>
      <c r="E19" s="1">
        <v>1.7010000000000001</v>
      </c>
      <c r="F19" s="1">
        <v>1.7010000000000001</v>
      </c>
      <c r="G19" s="1">
        <v>7.6840000000000002</v>
      </c>
      <c r="H19" s="742">
        <v>7.6913066111400308E-2</v>
      </c>
      <c r="I19" s="742">
        <v>0.2213690786048933</v>
      </c>
      <c r="J19" s="2099">
        <v>0.29828214471629361</v>
      </c>
      <c r="K19" s="89">
        <v>35</v>
      </c>
      <c r="L19" s="1">
        <v>0.69699999999999995</v>
      </c>
      <c r="M19" s="1">
        <v>9.3810000000000002</v>
      </c>
      <c r="N19" s="1427">
        <v>0.435</v>
      </c>
      <c r="O19" s="1">
        <v>0.435</v>
      </c>
      <c r="P19" s="1">
        <v>8.6840000000000011</v>
      </c>
      <c r="Q19" s="742">
        <v>8.0262551819438033E-2</v>
      </c>
      <c r="R19" s="742">
        <v>5.0092123445416852E-2</v>
      </c>
      <c r="S19" s="2100">
        <v>0.13035467526485489</v>
      </c>
      <c r="T19" s="89">
        <v>35</v>
      </c>
      <c r="U19" s="741">
        <v>0.64399999999999991</v>
      </c>
      <c r="V19" s="741">
        <v>8.8279999999999994</v>
      </c>
      <c r="W19" s="741">
        <v>1.0680000000000001</v>
      </c>
      <c r="X19" s="741">
        <v>1.0680000000000001</v>
      </c>
      <c r="Y19" s="741">
        <v>8.1840000000000011</v>
      </c>
      <c r="Z19" s="2088">
        <v>7.858780896541917E-2</v>
      </c>
      <c r="AA19" s="2088">
        <v>0.13573060102515508</v>
      </c>
      <c r="AB19" s="2115">
        <v>0.21431840999057425</v>
      </c>
    </row>
    <row r="20" spans="2:28">
      <c r="B20" s="2098">
        <v>36</v>
      </c>
      <c r="C20" s="2090">
        <v>0.59799999999999998</v>
      </c>
      <c r="D20" s="2090">
        <v>8.51</v>
      </c>
      <c r="E20" s="2090">
        <v>1.7729999999999999</v>
      </c>
      <c r="F20" s="2090">
        <v>1.7729999999999999</v>
      </c>
      <c r="G20" s="2090">
        <v>7.9119999999999999</v>
      </c>
      <c r="H20" s="2091">
        <v>7.5581395348837205E-2</v>
      </c>
      <c r="I20" s="2091">
        <v>0.22408998988877654</v>
      </c>
      <c r="J20" s="2099">
        <v>0.29967138523761372</v>
      </c>
      <c r="K20" s="2098">
        <v>36</v>
      </c>
      <c r="L20" s="2090">
        <v>0.70399999999999996</v>
      </c>
      <c r="M20" s="2090">
        <v>9.6370000000000005</v>
      </c>
      <c r="N20" s="2092">
        <v>0.45100000000000001</v>
      </c>
      <c r="O20" s="2090">
        <v>0.45100000000000001</v>
      </c>
      <c r="P20" s="2090">
        <v>8.9329999999999998</v>
      </c>
      <c r="Q20" s="2091">
        <v>7.8808910780252997E-2</v>
      </c>
      <c r="R20" s="2091">
        <v>5.0486958468599574E-2</v>
      </c>
      <c r="S20" s="2099">
        <v>0.12929586924885256</v>
      </c>
      <c r="T20" s="2098">
        <v>36</v>
      </c>
      <c r="U20" s="1707">
        <v>0.65100000000000002</v>
      </c>
      <c r="V20" s="1707">
        <v>9.0734999999999992</v>
      </c>
      <c r="W20" s="1707">
        <v>1.1119999999999999</v>
      </c>
      <c r="X20" s="1707">
        <v>1.1119999999999999</v>
      </c>
      <c r="Y20" s="1707">
        <v>8.4224999999999994</v>
      </c>
      <c r="Z20" s="2093">
        <v>7.7195153064545108E-2</v>
      </c>
      <c r="AA20" s="2093">
        <v>0.13728847417868806</v>
      </c>
      <c r="AB20" s="2114">
        <v>0.21448362724323314</v>
      </c>
    </row>
    <row r="21" spans="2:28">
      <c r="B21" s="89">
        <v>37</v>
      </c>
      <c r="C21" s="1">
        <v>0.6</v>
      </c>
      <c r="D21" s="1">
        <v>8.75</v>
      </c>
      <c r="E21" s="1">
        <v>1.8440000000000001</v>
      </c>
      <c r="F21" s="1">
        <v>1.8440000000000001</v>
      </c>
      <c r="G21" s="1">
        <v>8.15</v>
      </c>
      <c r="H21" s="742">
        <v>7.3619631901840482E-2</v>
      </c>
      <c r="I21" s="742">
        <v>0.22625766871165645</v>
      </c>
      <c r="J21" s="2099">
        <v>0.29987730061349693</v>
      </c>
      <c r="K21" s="89">
        <v>37</v>
      </c>
      <c r="L21" s="1">
        <v>0.70499999999999996</v>
      </c>
      <c r="M21" s="1">
        <v>9.8970000000000002</v>
      </c>
      <c r="N21" s="1427">
        <v>0.46700000000000003</v>
      </c>
      <c r="O21" s="1">
        <v>0.46700000000000003</v>
      </c>
      <c r="P21" s="1">
        <v>9.1920000000000002</v>
      </c>
      <c r="Q21" s="742">
        <v>7.6697127937336809E-2</v>
      </c>
      <c r="R21" s="742">
        <v>5.0805047867711055E-2</v>
      </c>
      <c r="S21" s="2100">
        <v>0.12750217580504786</v>
      </c>
      <c r="T21" s="89">
        <v>37</v>
      </c>
      <c r="U21" s="741">
        <v>0.65249999999999997</v>
      </c>
      <c r="V21" s="741">
        <v>9.3234999999999992</v>
      </c>
      <c r="W21" s="741">
        <v>1.1555</v>
      </c>
      <c r="X21" s="741">
        <v>1.1555</v>
      </c>
      <c r="Y21" s="741">
        <v>8.6709999999999994</v>
      </c>
      <c r="Z21" s="2088">
        <v>7.5158379919588653E-2</v>
      </c>
      <c r="AA21" s="2088">
        <v>0.13853135828968374</v>
      </c>
      <c r="AB21" s="2115">
        <v>0.2136897382092724</v>
      </c>
    </row>
    <row r="22" spans="2:28">
      <c r="B22" s="2098">
        <v>38</v>
      </c>
      <c r="C22" s="2090">
        <v>0.59599999999999997</v>
      </c>
      <c r="D22" s="2090">
        <v>8.9930000000000003</v>
      </c>
      <c r="E22" s="2090">
        <v>1.9159999999999999</v>
      </c>
      <c r="F22" s="2090">
        <v>1.9159999999999999</v>
      </c>
      <c r="G22" s="2090">
        <v>8.3970000000000002</v>
      </c>
      <c r="H22" s="2091">
        <v>7.097773014171728E-2</v>
      </c>
      <c r="I22" s="2091">
        <v>0.22817672978444681</v>
      </c>
      <c r="J22" s="2099">
        <v>0.29915445992616407</v>
      </c>
      <c r="K22" s="2098">
        <v>38</v>
      </c>
      <c r="L22" s="2090">
        <v>0.70099999999999996</v>
      </c>
      <c r="M22" s="2090">
        <v>10.161</v>
      </c>
      <c r="N22" s="2092">
        <v>0.48199999999999998</v>
      </c>
      <c r="O22" s="2090">
        <v>0.48199999999999998</v>
      </c>
      <c r="P22" s="2090">
        <v>9.4599999999999991</v>
      </c>
      <c r="Q22" s="2091">
        <v>7.4101479915433408E-2</v>
      </c>
      <c r="R22" s="2091">
        <v>5.0951374207188163E-2</v>
      </c>
      <c r="S22" s="2099">
        <v>0.12505285412262157</v>
      </c>
      <c r="T22" s="2098">
        <v>38</v>
      </c>
      <c r="U22" s="1707">
        <v>0.64849999999999997</v>
      </c>
      <c r="V22" s="1707">
        <v>9.577</v>
      </c>
      <c r="W22" s="1707">
        <v>1.1989999999999998</v>
      </c>
      <c r="X22" s="1707">
        <v>1.1989999999999998</v>
      </c>
      <c r="Y22" s="1707">
        <v>8.9284999999999997</v>
      </c>
      <c r="Z22" s="2093">
        <v>7.2539605028575344E-2</v>
      </c>
      <c r="AA22" s="2093">
        <v>0.13956405199581748</v>
      </c>
      <c r="AB22" s="2114">
        <v>0.21210365702439282</v>
      </c>
    </row>
    <row r="23" spans="2:28">
      <c r="B23" s="89">
        <v>39</v>
      </c>
      <c r="C23" s="1">
        <v>0.58799999999999997</v>
      </c>
      <c r="D23" s="1">
        <v>9.2409999999999997</v>
      </c>
      <c r="E23" s="1">
        <v>1.988</v>
      </c>
      <c r="F23" s="1">
        <v>1.988</v>
      </c>
      <c r="G23" s="1">
        <v>8.6530000000000005</v>
      </c>
      <c r="H23" s="742">
        <v>6.7953310990407939E-2</v>
      </c>
      <c r="I23" s="742">
        <v>0.22974690858661734</v>
      </c>
      <c r="J23" s="2099">
        <v>0.2977002195770253</v>
      </c>
      <c r="K23" s="89">
        <v>39</v>
      </c>
      <c r="L23" s="1">
        <v>0.69</v>
      </c>
      <c r="M23" s="1">
        <v>10.43</v>
      </c>
      <c r="N23" s="1427">
        <v>0.496</v>
      </c>
      <c r="O23" s="1">
        <v>0.496</v>
      </c>
      <c r="P23" s="1">
        <v>9.74</v>
      </c>
      <c r="Q23" s="742">
        <v>7.0841889117043116E-2</v>
      </c>
      <c r="R23" s="742">
        <v>5.0924024640657081E-2</v>
      </c>
      <c r="S23" s="2100">
        <v>0.1217659137577002</v>
      </c>
      <c r="T23" s="89">
        <v>39</v>
      </c>
      <c r="U23" s="741">
        <v>0.63900000000000001</v>
      </c>
      <c r="V23" s="741">
        <v>9.8354999999999997</v>
      </c>
      <c r="W23" s="741">
        <v>1.242</v>
      </c>
      <c r="X23" s="741">
        <v>1.242</v>
      </c>
      <c r="Y23" s="741">
        <v>9.1965000000000003</v>
      </c>
      <c r="Z23" s="2088">
        <v>6.9397600053725528E-2</v>
      </c>
      <c r="AA23" s="2088">
        <v>0.14033546661363722</v>
      </c>
      <c r="AB23" s="2115">
        <v>0.20973306666736274</v>
      </c>
    </row>
    <row r="24" spans="2:28">
      <c r="B24" s="2098">
        <v>40</v>
      </c>
      <c r="C24" s="2090">
        <v>0.57599999999999996</v>
      </c>
      <c r="D24" s="2090">
        <v>9.4939999999999998</v>
      </c>
      <c r="E24" s="2090">
        <v>2.0609999999999999</v>
      </c>
      <c r="F24" s="2090">
        <v>2.0609999999999999</v>
      </c>
      <c r="G24" s="2090">
        <v>8.9179999999999993</v>
      </c>
      <c r="H24" s="2091">
        <v>6.4588472751738055E-2</v>
      </c>
      <c r="I24" s="2091">
        <v>0.23110562906481275</v>
      </c>
      <c r="J24" s="2099">
        <v>0.29569410181655081</v>
      </c>
      <c r="K24" s="2098">
        <v>40</v>
      </c>
      <c r="L24" s="2090">
        <v>0.67500000000000004</v>
      </c>
      <c r="M24" s="2090">
        <v>10.705</v>
      </c>
      <c r="N24" s="2092">
        <v>0.50900000000000001</v>
      </c>
      <c r="O24" s="2090">
        <v>0.50900000000000001</v>
      </c>
      <c r="P24" s="2090">
        <v>10.029999999999999</v>
      </c>
      <c r="Q24" s="2091">
        <v>6.7298105682951151E-2</v>
      </c>
      <c r="R24" s="2091">
        <v>5.0747756729810571E-2</v>
      </c>
      <c r="S24" s="2099">
        <v>0.11804586241276172</v>
      </c>
      <c r="T24" s="2098">
        <v>40</v>
      </c>
      <c r="U24" s="1707">
        <v>0.62549999999999994</v>
      </c>
      <c r="V24" s="1707">
        <v>10.099499999999999</v>
      </c>
      <c r="W24" s="1707">
        <v>1.2849999999999999</v>
      </c>
      <c r="X24" s="1707">
        <v>1.2849999999999999</v>
      </c>
      <c r="Y24" s="1707">
        <v>9.4740000000000002</v>
      </c>
      <c r="Z24" s="2093">
        <v>6.5943289217344603E-2</v>
      </c>
      <c r="AA24" s="2093">
        <v>0.14092669289731166</v>
      </c>
      <c r="AB24" s="2114">
        <v>0.20686998211465626</v>
      </c>
    </row>
    <row r="25" spans="2:28">
      <c r="B25" s="89">
        <v>41</v>
      </c>
      <c r="C25" s="1">
        <v>0.56100000000000005</v>
      </c>
      <c r="D25" s="1">
        <v>9.7560000000000002</v>
      </c>
      <c r="E25" s="1">
        <v>2.1349999999999998</v>
      </c>
      <c r="F25" s="1">
        <v>2.1349999999999998</v>
      </c>
      <c r="G25" s="1">
        <v>9.1950000000000003</v>
      </c>
      <c r="H25" s="742">
        <v>6.1011419249592171E-2</v>
      </c>
      <c r="I25" s="742">
        <v>0.23219140837411634</v>
      </c>
      <c r="J25" s="2099">
        <v>0.29320282762370853</v>
      </c>
      <c r="K25" s="89">
        <v>41</v>
      </c>
      <c r="L25" s="1">
        <v>0.65600000000000003</v>
      </c>
      <c r="M25" s="1">
        <v>10.986000000000001</v>
      </c>
      <c r="N25" s="1427">
        <v>0.52300000000000002</v>
      </c>
      <c r="O25" s="1">
        <v>0.52300000000000002</v>
      </c>
      <c r="P25" s="1">
        <v>10.33</v>
      </c>
      <c r="Q25" s="742">
        <v>6.3504356243949664E-2</v>
      </c>
      <c r="R25" s="742">
        <v>5.0629235237173283E-2</v>
      </c>
      <c r="S25" s="2100">
        <v>0.11413359148112295</v>
      </c>
      <c r="T25" s="89">
        <v>41</v>
      </c>
      <c r="U25" s="741">
        <v>0.60850000000000004</v>
      </c>
      <c r="V25" s="741">
        <v>10.371</v>
      </c>
      <c r="W25" s="741">
        <v>1.329</v>
      </c>
      <c r="X25" s="741">
        <v>1.329</v>
      </c>
      <c r="Y25" s="741">
        <v>9.7624999999999993</v>
      </c>
      <c r="Z25" s="2088">
        <v>6.2257887746770921E-2</v>
      </c>
      <c r="AA25" s="2088">
        <v>0.14141032180564481</v>
      </c>
      <c r="AB25" s="2115">
        <v>0.20366820955241574</v>
      </c>
    </row>
    <row r="26" spans="2:28">
      <c r="B26" s="2098">
        <v>42</v>
      </c>
      <c r="C26" s="2090">
        <v>0.54600000000000004</v>
      </c>
      <c r="D26" s="2090">
        <v>10.026</v>
      </c>
      <c r="E26" s="2090">
        <v>2.21</v>
      </c>
      <c r="F26" s="2090">
        <v>2.21</v>
      </c>
      <c r="G26" s="2090">
        <v>9.48</v>
      </c>
      <c r="H26" s="2091">
        <v>5.7594936708860761E-2</v>
      </c>
      <c r="I26" s="2091">
        <v>0.2331223628691983</v>
      </c>
      <c r="J26" s="2099">
        <v>0.29071729957805903</v>
      </c>
      <c r="K26" s="2098">
        <v>42</v>
      </c>
      <c r="L26" s="2090">
        <v>0.63500000000000001</v>
      </c>
      <c r="M26" s="2090">
        <v>11.276</v>
      </c>
      <c r="N26" s="2092">
        <v>0.53600000000000003</v>
      </c>
      <c r="O26" s="2090">
        <v>0.53600000000000003</v>
      </c>
      <c r="P26" s="2090">
        <v>10.641</v>
      </c>
      <c r="Q26" s="2091">
        <v>5.9674842589982145E-2</v>
      </c>
      <c r="R26" s="2091">
        <v>5.0371205713748708E-2</v>
      </c>
      <c r="S26" s="2099">
        <v>0.11004604830373085</v>
      </c>
      <c r="T26" s="2098">
        <v>42</v>
      </c>
      <c r="U26" s="1707">
        <v>0.59050000000000002</v>
      </c>
      <c r="V26" s="1707">
        <v>10.651</v>
      </c>
      <c r="W26" s="1707">
        <v>1.373</v>
      </c>
      <c r="X26" s="1707">
        <v>1.373</v>
      </c>
      <c r="Y26" s="1707">
        <v>10.060500000000001</v>
      </c>
      <c r="Z26" s="2093">
        <v>5.8634889649421457E-2</v>
      </c>
      <c r="AA26" s="2093">
        <v>0.1417467842914735</v>
      </c>
      <c r="AB26" s="2114">
        <v>0.20038167394089496</v>
      </c>
    </row>
    <row r="27" spans="2:28">
      <c r="B27" s="89">
        <v>43</v>
      </c>
      <c r="C27" s="1">
        <v>0.53100000000000003</v>
      </c>
      <c r="D27" s="1">
        <v>10.305999999999999</v>
      </c>
      <c r="E27" s="1">
        <v>2.286</v>
      </c>
      <c r="F27" s="1">
        <v>2.286</v>
      </c>
      <c r="G27" s="1">
        <v>9.7749999999999986</v>
      </c>
      <c r="H27" s="742">
        <v>5.4322250639386199E-2</v>
      </c>
      <c r="I27" s="742">
        <v>0.23386189258312023</v>
      </c>
      <c r="J27" s="2099">
        <v>0.28818414322250641</v>
      </c>
      <c r="K27" s="89">
        <v>43</v>
      </c>
      <c r="L27" s="1">
        <v>0.61199999999999999</v>
      </c>
      <c r="M27" s="1">
        <v>11.574999999999999</v>
      </c>
      <c r="N27" s="1427">
        <v>0.54900000000000004</v>
      </c>
      <c r="O27" s="1">
        <v>0.54900000000000004</v>
      </c>
      <c r="P27" s="1">
        <v>10.962999999999999</v>
      </c>
      <c r="Q27" s="742">
        <v>5.5824135729271189E-2</v>
      </c>
      <c r="R27" s="742">
        <v>5.0077533521846219E-2</v>
      </c>
      <c r="S27" s="2100">
        <v>0.10590166925111741</v>
      </c>
      <c r="T27" s="89">
        <v>43</v>
      </c>
      <c r="U27" s="741">
        <v>0.57150000000000001</v>
      </c>
      <c r="V27" s="741">
        <v>10.9405</v>
      </c>
      <c r="W27" s="741">
        <v>1.4175</v>
      </c>
      <c r="X27" s="741">
        <v>1.4175</v>
      </c>
      <c r="Y27" s="741">
        <v>10.369</v>
      </c>
      <c r="Z27" s="2088">
        <v>5.5073193184328698E-2</v>
      </c>
      <c r="AA27" s="2088">
        <v>0.14196971305248324</v>
      </c>
      <c r="AB27" s="2115">
        <v>0.19704290623681192</v>
      </c>
    </row>
    <row r="28" spans="2:28">
      <c r="B28" s="2098">
        <v>44</v>
      </c>
      <c r="C28" s="2090">
        <v>0.51500000000000001</v>
      </c>
      <c r="D28" s="2090">
        <v>10.596</v>
      </c>
      <c r="E28" s="2090">
        <v>2.3639999999999999</v>
      </c>
      <c r="F28" s="2090">
        <v>2.3639999999999999</v>
      </c>
      <c r="G28" s="2090">
        <v>10.081</v>
      </c>
      <c r="H28" s="2091">
        <v>5.108620176569785E-2</v>
      </c>
      <c r="I28" s="2091">
        <v>0.23450054558079556</v>
      </c>
      <c r="J28" s="2099">
        <v>0.28558674734649342</v>
      </c>
      <c r="K28" s="2098">
        <v>44</v>
      </c>
      <c r="L28" s="2090">
        <v>0.58699999999999997</v>
      </c>
      <c r="M28" s="2090">
        <v>11.884</v>
      </c>
      <c r="N28" s="2092">
        <v>0.56100000000000005</v>
      </c>
      <c r="O28" s="2090">
        <v>0.56100000000000005</v>
      </c>
      <c r="P28" s="2090">
        <v>11.297000000000001</v>
      </c>
      <c r="Q28" s="2091">
        <v>5.1960697530317776E-2</v>
      </c>
      <c r="R28" s="2091">
        <v>4.9659201557935739E-2</v>
      </c>
      <c r="S28" s="2099">
        <v>0.10161989908825352</v>
      </c>
      <c r="T28" s="2098">
        <v>44</v>
      </c>
      <c r="U28" s="1707">
        <v>0.55099999999999993</v>
      </c>
      <c r="V28" s="1707">
        <v>11.24</v>
      </c>
      <c r="W28" s="1707">
        <v>1.4624999999999999</v>
      </c>
      <c r="X28" s="1707">
        <v>1.4624999999999999</v>
      </c>
      <c r="Y28" s="1707">
        <v>10.689</v>
      </c>
      <c r="Z28" s="2093">
        <v>5.1523449648007813E-2</v>
      </c>
      <c r="AA28" s="2093">
        <v>0.14207987356936563</v>
      </c>
      <c r="AB28" s="2114">
        <v>0.19360332321737347</v>
      </c>
    </row>
    <row r="29" spans="2:28">
      <c r="B29" s="89">
        <v>45</v>
      </c>
      <c r="C29" s="1">
        <v>0.498</v>
      </c>
      <c r="D29" s="1">
        <v>10.897</v>
      </c>
      <c r="E29" s="1">
        <v>2.4409999999999998</v>
      </c>
      <c r="F29" s="1">
        <v>2.4409999999999998</v>
      </c>
      <c r="G29" s="1">
        <v>10.399000000000001</v>
      </c>
      <c r="H29" s="742">
        <v>4.788922011731897E-2</v>
      </c>
      <c r="I29" s="742">
        <v>0.23473410904894698</v>
      </c>
      <c r="J29" s="2099">
        <v>0.28262332916626598</v>
      </c>
      <c r="K29" s="89">
        <v>45</v>
      </c>
      <c r="L29" s="1">
        <v>0.56000000000000005</v>
      </c>
      <c r="M29" s="1">
        <v>12.202999999999999</v>
      </c>
      <c r="N29" s="1427">
        <v>0.57399999999999995</v>
      </c>
      <c r="O29" s="1">
        <v>0.57399999999999995</v>
      </c>
      <c r="P29" s="1">
        <v>11.642999999999999</v>
      </c>
      <c r="Q29" s="742">
        <v>4.8097569354977249E-2</v>
      </c>
      <c r="R29" s="742">
        <v>4.9300008588851668E-2</v>
      </c>
      <c r="S29" s="2100">
        <v>9.7397577943828917E-2</v>
      </c>
      <c r="T29" s="89">
        <v>45</v>
      </c>
      <c r="U29" s="741">
        <v>0.52900000000000003</v>
      </c>
      <c r="V29" s="741">
        <v>11.55</v>
      </c>
      <c r="W29" s="741">
        <v>1.5074999999999998</v>
      </c>
      <c r="X29" s="741">
        <v>1.5074999999999998</v>
      </c>
      <c r="Y29" s="741">
        <v>11.021000000000001</v>
      </c>
      <c r="Z29" s="2088">
        <v>4.7993394736148109E-2</v>
      </c>
      <c r="AA29" s="2088">
        <v>0.14201705881889931</v>
      </c>
      <c r="AB29" s="2115">
        <v>0.19001045355504745</v>
      </c>
    </row>
    <row r="30" spans="2:28">
      <c r="B30" s="2098">
        <v>46</v>
      </c>
      <c r="C30" s="2090">
        <v>0.48</v>
      </c>
      <c r="D30" s="2090">
        <v>11.208</v>
      </c>
      <c r="E30" s="2090">
        <v>2.5190000000000001</v>
      </c>
      <c r="F30" s="2090">
        <v>2.5190000000000001</v>
      </c>
      <c r="G30" s="2090">
        <v>10.728</v>
      </c>
      <c r="H30" s="2091">
        <v>4.4742729306487698E-2</v>
      </c>
      <c r="I30" s="2091">
        <v>0.2348061148396719</v>
      </c>
      <c r="J30" s="2099">
        <v>0.2795488441461596</v>
      </c>
      <c r="K30" s="2098">
        <v>46</v>
      </c>
      <c r="L30" s="2090">
        <v>0.53300000000000003</v>
      </c>
      <c r="M30" s="2090">
        <v>12.532</v>
      </c>
      <c r="N30" s="2092">
        <v>0.58599999999999997</v>
      </c>
      <c r="O30" s="2090">
        <v>0.58599999999999997</v>
      </c>
      <c r="P30" s="2090">
        <v>11.999000000000001</v>
      </c>
      <c r="Q30" s="2091">
        <v>4.4420368364030335E-2</v>
      </c>
      <c r="R30" s="2091">
        <v>4.8837403116926408E-2</v>
      </c>
      <c r="S30" s="2099">
        <v>9.3257771480956736E-2</v>
      </c>
      <c r="T30" s="2098">
        <v>46</v>
      </c>
      <c r="U30" s="1707">
        <v>0.50649999999999995</v>
      </c>
      <c r="V30" s="1707">
        <v>11.870000000000001</v>
      </c>
      <c r="W30" s="1707">
        <v>1.5525</v>
      </c>
      <c r="X30" s="1707">
        <v>1.5525</v>
      </c>
      <c r="Y30" s="1707">
        <v>11.3635</v>
      </c>
      <c r="Z30" s="2093">
        <v>4.4581548835259013E-2</v>
      </c>
      <c r="AA30" s="2093">
        <v>0.14182175897829916</v>
      </c>
      <c r="AB30" s="2114">
        <v>0.18640330781355818</v>
      </c>
    </row>
    <row r="31" spans="2:28">
      <c r="B31" s="89">
        <v>47</v>
      </c>
      <c r="C31" s="1">
        <v>0.45900000000000002</v>
      </c>
      <c r="D31" s="1">
        <v>11.53</v>
      </c>
      <c r="E31" s="1">
        <v>2.5960000000000001</v>
      </c>
      <c r="F31" s="1">
        <v>2.5960000000000001</v>
      </c>
      <c r="G31" s="1">
        <v>11.071</v>
      </c>
      <c r="H31" s="742">
        <v>4.1459669406557674E-2</v>
      </c>
      <c r="I31" s="742">
        <v>0.23448649625146781</v>
      </c>
      <c r="J31" s="2099">
        <v>0.27594616565802549</v>
      </c>
      <c r="K31" s="89">
        <v>47</v>
      </c>
      <c r="L31" s="1">
        <v>0.503</v>
      </c>
      <c r="M31" s="1">
        <v>12.872999999999999</v>
      </c>
      <c r="N31" s="1427">
        <v>0.59799999999999998</v>
      </c>
      <c r="O31" s="1">
        <v>0.59799999999999998</v>
      </c>
      <c r="P31" s="1">
        <v>12.37</v>
      </c>
      <c r="Q31" s="742">
        <v>4.066289409862571E-2</v>
      </c>
      <c r="R31" s="742">
        <v>4.8342764753435734E-2</v>
      </c>
      <c r="S31" s="2100">
        <v>8.9005658852061437E-2</v>
      </c>
      <c r="T31" s="89">
        <v>47</v>
      </c>
      <c r="U31" s="741">
        <v>0.48099999999999998</v>
      </c>
      <c r="V31" s="741">
        <v>12.201499999999999</v>
      </c>
      <c r="W31" s="741">
        <v>1.597</v>
      </c>
      <c r="X31" s="741">
        <v>1.597</v>
      </c>
      <c r="Y31" s="741">
        <v>11.720499999999999</v>
      </c>
      <c r="Z31" s="2088">
        <v>4.1061281752591688E-2</v>
      </c>
      <c r="AA31" s="2088">
        <v>0.14141463050245176</v>
      </c>
      <c r="AB31" s="2115">
        <v>0.18247591225504345</v>
      </c>
    </row>
    <row r="32" spans="2:28">
      <c r="B32" s="2098">
        <v>48</v>
      </c>
      <c r="C32" s="2090">
        <v>0.436</v>
      </c>
      <c r="D32" s="2090">
        <v>11.863</v>
      </c>
      <c r="E32" s="2090">
        <v>2.6720000000000002</v>
      </c>
      <c r="F32" s="2090">
        <v>2.6720000000000002</v>
      </c>
      <c r="G32" s="2090">
        <v>11.427</v>
      </c>
      <c r="H32" s="2091">
        <v>3.8155246346372629E-2</v>
      </c>
      <c r="I32" s="2091">
        <v>0.23383215192088913</v>
      </c>
      <c r="J32" s="2099">
        <v>0.27198739826726176</v>
      </c>
      <c r="K32" s="2098">
        <v>48</v>
      </c>
      <c r="L32" s="2090">
        <v>0.47099999999999997</v>
      </c>
      <c r="M32" s="2090">
        <v>13.224</v>
      </c>
      <c r="N32" s="2092">
        <v>0.60899999999999999</v>
      </c>
      <c r="O32" s="2090">
        <v>0.60899999999999999</v>
      </c>
      <c r="P32" s="2090">
        <v>12.753</v>
      </c>
      <c r="Q32" s="2091">
        <v>3.6932486473770877E-2</v>
      </c>
      <c r="R32" s="2091">
        <v>4.7753469771818394E-2</v>
      </c>
      <c r="S32" s="2099">
        <v>8.4685956245589278E-2</v>
      </c>
      <c r="T32" s="2098">
        <v>48</v>
      </c>
      <c r="U32" s="1707">
        <v>0.45350000000000001</v>
      </c>
      <c r="V32" s="1707">
        <v>12.5435</v>
      </c>
      <c r="W32" s="1707">
        <v>1.6405000000000001</v>
      </c>
      <c r="X32" s="1707">
        <v>1.6405000000000001</v>
      </c>
      <c r="Y32" s="1707">
        <v>12.09</v>
      </c>
      <c r="Z32" s="2093">
        <v>3.754386641007175E-2</v>
      </c>
      <c r="AA32" s="2093">
        <v>0.14079281084635376</v>
      </c>
      <c r="AB32" s="2114">
        <v>0.17833667725642552</v>
      </c>
    </row>
    <row r="33" spans="2:28">
      <c r="B33" s="89">
        <v>49</v>
      </c>
      <c r="C33" s="1">
        <v>0.41</v>
      </c>
      <c r="D33" s="1">
        <v>12.206</v>
      </c>
      <c r="E33" s="1">
        <v>2.7469999999999999</v>
      </c>
      <c r="F33" s="1">
        <v>2.7469999999999999</v>
      </c>
      <c r="G33" s="1">
        <v>11.795999999999999</v>
      </c>
      <c r="H33" s="742">
        <v>3.4757544930484913E-2</v>
      </c>
      <c r="I33" s="742">
        <v>0.2328755510342489</v>
      </c>
      <c r="J33" s="2099">
        <v>0.26763309596473384</v>
      </c>
      <c r="K33" s="89">
        <v>49</v>
      </c>
      <c r="L33" s="1">
        <v>0.437</v>
      </c>
      <c r="M33" s="1">
        <v>13.587</v>
      </c>
      <c r="N33" s="1427">
        <v>0.62</v>
      </c>
      <c r="O33" s="1">
        <v>0.62</v>
      </c>
      <c r="P33" s="1">
        <v>13.15</v>
      </c>
      <c r="Q33" s="742">
        <v>3.3231939163498099E-2</v>
      </c>
      <c r="R33" s="742">
        <v>4.714828897338403E-2</v>
      </c>
      <c r="S33" s="2100">
        <v>8.0380228136882129E-2</v>
      </c>
      <c r="T33" s="89">
        <v>49</v>
      </c>
      <c r="U33" s="741">
        <v>0.42349999999999999</v>
      </c>
      <c r="V33" s="741">
        <v>12.8965</v>
      </c>
      <c r="W33" s="741">
        <v>1.6835</v>
      </c>
      <c r="X33" s="741">
        <v>1.6835</v>
      </c>
      <c r="Y33" s="741">
        <v>12.472999999999999</v>
      </c>
      <c r="Z33" s="2088">
        <v>3.3994742046991502E-2</v>
      </c>
      <c r="AA33" s="2088">
        <v>0.14001192000381646</v>
      </c>
      <c r="AB33" s="2115">
        <v>0.17400666205080798</v>
      </c>
    </row>
    <row r="34" spans="2:28">
      <c r="B34" s="2098">
        <v>50</v>
      </c>
      <c r="C34" s="2090">
        <v>0.38</v>
      </c>
      <c r="D34" s="2090">
        <v>12.561999999999999</v>
      </c>
      <c r="E34" s="2090">
        <v>2.8210000000000002</v>
      </c>
      <c r="F34" s="2090">
        <v>2.8210000000000002</v>
      </c>
      <c r="G34" s="2090">
        <v>12.181999999999999</v>
      </c>
      <c r="H34" s="2091">
        <v>3.1193564275160075E-2</v>
      </c>
      <c r="I34" s="2091">
        <v>0.23157117057954363</v>
      </c>
      <c r="J34" s="2099">
        <v>0.2627647348547037</v>
      </c>
      <c r="K34" s="2098">
        <v>50</v>
      </c>
      <c r="L34" s="2090">
        <v>0.40100000000000002</v>
      </c>
      <c r="M34" s="2090">
        <v>13.961</v>
      </c>
      <c r="N34" s="2092">
        <v>0.63</v>
      </c>
      <c r="O34" s="2090">
        <v>0.63</v>
      </c>
      <c r="P34" s="2090">
        <v>13.56</v>
      </c>
      <c r="Q34" s="2091">
        <v>2.957227138643068E-2</v>
      </c>
      <c r="R34" s="2091">
        <v>4.6460176991150438E-2</v>
      </c>
      <c r="S34" s="2099">
        <v>7.6032448377581122E-2</v>
      </c>
      <c r="T34" s="2098">
        <v>50</v>
      </c>
      <c r="U34" s="1707">
        <v>0.39050000000000001</v>
      </c>
      <c r="V34" s="1707">
        <v>13.2615</v>
      </c>
      <c r="W34" s="1707">
        <v>1.7255</v>
      </c>
      <c r="X34" s="1707">
        <v>1.7255</v>
      </c>
      <c r="Y34" s="1707">
        <v>12.870999999999999</v>
      </c>
      <c r="Z34" s="2093">
        <v>3.0382917830795379E-2</v>
      </c>
      <c r="AA34" s="2093">
        <v>0.13901567378534704</v>
      </c>
      <c r="AB34" s="2114">
        <v>0.1693985916161424</v>
      </c>
    </row>
    <row r="35" spans="2:28">
      <c r="B35" s="89">
        <v>51</v>
      </c>
      <c r="C35" s="1">
        <v>0.34599999999999997</v>
      </c>
      <c r="D35" s="1">
        <v>12.93</v>
      </c>
      <c r="E35" s="1">
        <v>2.8929999999999998</v>
      </c>
      <c r="F35" s="1">
        <v>2.8929999999999998</v>
      </c>
      <c r="G35" s="1">
        <v>12.584</v>
      </c>
      <c r="H35" s="742">
        <v>2.7495232040686584E-2</v>
      </c>
      <c r="I35" s="742">
        <v>0.2298951048951049</v>
      </c>
      <c r="J35" s="2099">
        <v>0.2573903369357915</v>
      </c>
      <c r="K35" s="89">
        <v>51</v>
      </c>
      <c r="L35" s="1">
        <v>0.36099999999999999</v>
      </c>
      <c r="M35" s="1">
        <v>14.347</v>
      </c>
      <c r="N35" s="1427">
        <v>0.63800000000000001</v>
      </c>
      <c r="O35" s="1">
        <v>0.63800000000000001</v>
      </c>
      <c r="P35" s="1">
        <v>13.985999999999999</v>
      </c>
      <c r="Q35" s="742">
        <v>2.5811525811525814E-2</v>
      </c>
      <c r="R35" s="742">
        <v>4.5617045617045625E-2</v>
      </c>
      <c r="S35" s="2100">
        <v>7.1428571428571438E-2</v>
      </c>
      <c r="T35" s="89">
        <v>51</v>
      </c>
      <c r="U35" s="741">
        <v>0.35349999999999998</v>
      </c>
      <c r="V35" s="741">
        <v>13.638500000000001</v>
      </c>
      <c r="W35" s="741">
        <v>1.7654999999999998</v>
      </c>
      <c r="X35" s="741">
        <v>1.7654999999999998</v>
      </c>
      <c r="Y35" s="741">
        <v>13.285</v>
      </c>
      <c r="Z35" s="2088">
        <v>2.6653378926106197E-2</v>
      </c>
      <c r="AA35" s="2088">
        <v>0.13775607525607525</v>
      </c>
      <c r="AB35" s="2115">
        <v>0.16440945418218147</v>
      </c>
    </row>
    <row r="36" spans="2:28">
      <c r="B36" s="2098">
        <v>52</v>
      </c>
      <c r="C36" s="2090">
        <v>0.309</v>
      </c>
      <c r="D36" s="2090">
        <v>13.311999999999999</v>
      </c>
      <c r="E36" s="2090">
        <v>2.9630000000000001</v>
      </c>
      <c r="F36" s="2090">
        <v>2.9630000000000001</v>
      </c>
      <c r="G36" s="2090">
        <v>13.003</v>
      </c>
      <c r="H36" s="2091">
        <v>2.3763746827655155E-2</v>
      </c>
      <c r="I36" s="2091">
        <v>0.22787049142505575</v>
      </c>
      <c r="J36" s="2099">
        <v>0.25163423825271092</v>
      </c>
      <c r="K36" s="2098">
        <v>52</v>
      </c>
      <c r="L36" s="2090">
        <v>0.31900000000000001</v>
      </c>
      <c r="M36" s="2090">
        <v>14.746</v>
      </c>
      <c r="N36" s="2092">
        <v>0.64600000000000002</v>
      </c>
      <c r="O36" s="2090">
        <v>0.64600000000000002</v>
      </c>
      <c r="P36" s="2090">
        <v>14.427</v>
      </c>
      <c r="Q36" s="2091">
        <v>2.2111319054550497E-2</v>
      </c>
      <c r="R36" s="2091">
        <v>4.4777153947459625E-2</v>
      </c>
      <c r="S36" s="2099">
        <v>6.6888473002010118E-2</v>
      </c>
      <c r="T36" s="2098">
        <v>52</v>
      </c>
      <c r="U36" s="1707">
        <v>0.314</v>
      </c>
      <c r="V36" s="1707">
        <v>14.029</v>
      </c>
      <c r="W36" s="1707">
        <v>1.8045</v>
      </c>
      <c r="X36" s="1707">
        <v>1.8045</v>
      </c>
      <c r="Y36" s="1707">
        <v>13.715</v>
      </c>
      <c r="Z36" s="2093">
        <v>2.2937532941102824E-2</v>
      </c>
      <c r="AA36" s="2093">
        <v>0.1363238226862577</v>
      </c>
      <c r="AB36" s="2114">
        <v>0.15926135562736052</v>
      </c>
    </row>
    <row r="37" spans="2:28">
      <c r="B37" s="89">
        <v>53</v>
      </c>
      <c r="C37" s="1">
        <v>0.27</v>
      </c>
      <c r="D37" s="1">
        <v>13.709</v>
      </c>
      <c r="E37" s="1">
        <v>3.032</v>
      </c>
      <c r="F37" s="1">
        <v>3.032</v>
      </c>
      <c r="G37" s="1">
        <v>13.439</v>
      </c>
      <c r="H37" s="742">
        <v>2.0090780564030061E-2</v>
      </c>
      <c r="I37" s="742">
        <v>0.22561202470421907</v>
      </c>
      <c r="J37" s="2099">
        <v>0.24570280526824911</v>
      </c>
      <c r="K37" s="89">
        <v>53</v>
      </c>
      <c r="L37" s="1">
        <v>0.27500000000000002</v>
      </c>
      <c r="M37" s="1">
        <v>15.157999999999999</v>
      </c>
      <c r="N37" s="1427">
        <v>0.65300000000000002</v>
      </c>
      <c r="O37" s="1">
        <v>0.65300000000000002</v>
      </c>
      <c r="P37" s="1">
        <v>14.882999999999999</v>
      </c>
      <c r="Q37" s="742">
        <v>1.8477457501847747E-2</v>
      </c>
      <c r="R37" s="742">
        <v>4.3875562722569379E-2</v>
      </c>
      <c r="S37" s="2100">
        <v>6.2353020224417126E-2</v>
      </c>
      <c r="T37" s="89">
        <v>53</v>
      </c>
      <c r="U37" s="741">
        <v>0.27250000000000002</v>
      </c>
      <c r="V37" s="741">
        <v>14.433499999999999</v>
      </c>
      <c r="W37" s="741">
        <v>1.8425</v>
      </c>
      <c r="X37" s="741">
        <v>1.8425</v>
      </c>
      <c r="Y37" s="741">
        <v>14.161</v>
      </c>
      <c r="Z37" s="2088">
        <v>1.9284119032938904E-2</v>
      </c>
      <c r="AA37" s="2088">
        <v>0.13474379371339423</v>
      </c>
      <c r="AB37" s="2115">
        <v>0.15402791274633312</v>
      </c>
    </row>
    <row r="38" spans="2:28">
      <c r="B38" s="2098">
        <v>54</v>
      </c>
      <c r="C38" s="2090">
        <v>0.22800000000000001</v>
      </c>
      <c r="D38" s="2090">
        <v>14.12</v>
      </c>
      <c r="E38" s="2090">
        <v>3.0990000000000002</v>
      </c>
      <c r="F38" s="2090">
        <v>3.0990000000000002</v>
      </c>
      <c r="G38" s="2090">
        <v>13.891999999999999</v>
      </c>
      <c r="H38" s="2091">
        <v>1.6412323639504751E-2</v>
      </c>
      <c r="I38" s="2091">
        <v>0.22307803052116329</v>
      </c>
      <c r="J38" s="2099">
        <v>0.23949035416066805</v>
      </c>
      <c r="K38" s="2098">
        <v>54</v>
      </c>
      <c r="L38" s="2090">
        <v>0.22900000000000001</v>
      </c>
      <c r="M38" s="2090">
        <v>15.585000000000001</v>
      </c>
      <c r="N38" s="2092">
        <v>0.65900000000000003</v>
      </c>
      <c r="O38" s="2090">
        <v>0.65900000000000003</v>
      </c>
      <c r="P38" s="2090">
        <v>15.356000000000002</v>
      </c>
      <c r="Q38" s="2091">
        <v>1.4912737692107318E-2</v>
      </c>
      <c r="R38" s="2091">
        <v>4.2914821568116691E-2</v>
      </c>
      <c r="S38" s="2099">
        <v>5.782755926022401E-2</v>
      </c>
      <c r="T38" s="2098">
        <v>54</v>
      </c>
      <c r="U38" s="1707">
        <v>0.22850000000000001</v>
      </c>
      <c r="V38" s="1707">
        <v>14.852499999999999</v>
      </c>
      <c r="W38" s="1707">
        <v>1.879</v>
      </c>
      <c r="X38" s="1707">
        <v>1.879</v>
      </c>
      <c r="Y38" s="1707">
        <v>14.624000000000001</v>
      </c>
      <c r="Z38" s="2093">
        <v>1.5662530665806036E-2</v>
      </c>
      <c r="AA38" s="2093">
        <v>0.13299642604463999</v>
      </c>
      <c r="AB38" s="2114">
        <v>0.14865895671044604</v>
      </c>
    </row>
    <row r="39" spans="2:28">
      <c r="B39" s="89">
        <v>55</v>
      </c>
      <c r="C39" s="1">
        <v>0.184</v>
      </c>
      <c r="D39" s="1">
        <v>14.548</v>
      </c>
      <c r="E39" s="1">
        <v>3.165</v>
      </c>
      <c r="F39" s="1">
        <v>3.165</v>
      </c>
      <c r="G39" s="1">
        <v>14.364000000000001</v>
      </c>
      <c r="H39" s="742">
        <v>1.2809802283486493E-2</v>
      </c>
      <c r="I39" s="742">
        <v>0.22034252297410192</v>
      </c>
      <c r="J39" s="2099">
        <v>0.23315232525758842</v>
      </c>
      <c r="K39" s="89">
        <v>55</v>
      </c>
      <c r="L39" s="1">
        <v>0.18099999999999999</v>
      </c>
      <c r="M39" s="1">
        <v>16.026</v>
      </c>
      <c r="N39" s="1427">
        <v>0.66400000000000003</v>
      </c>
      <c r="O39" s="1">
        <v>0.66400000000000003</v>
      </c>
      <c r="P39" s="1">
        <v>15.845000000000001</v>
      </c>
      <c r="Q39" s="742">
        <v>1.1423161880719469E-2</v>
      </c>
      <c r="R39" s="742">
        <v>4.1905964026506787E-2</v>
      </c>
      <c r="S39" s="2100">
        <v>5.3329125907226257E-2</v>
      </c>
      <c r="T39" s="89">
        <v>55</v>
      </c>
      <c r="U39" s="741">
        <v>0.1825</v>
      </c>
      <c r="V39" s="741">
        <v>15.286999999999999</v>
      </c>
      <c r="W39" s="741">
        <v>1.9145000000000001</v>
      </c>
      <c r="X39" s="741">
        <v>1.9145000000000001</v>
      </c>
      <c r="Y39" s="741">
        <v>15.104500000000002</v>
      </c>
      <c r="Z39" s="2088">
        <v>1.2116482082102982E-2</v>
      </c>
      <c r="AA39" s="2088">
        <v>0.13112424350030435</v>
      </c>
      <c r="AB39" s="2115">
        <v>0.14324072558240733</v>
      </c>
    </row>
    <row r="40" spans="2:28">
      <c r="B40" s="2098">
        <v>56</v>
      </c>
      <c r="C40" s="2090">
        <v>0.13900000000000001</v>
      </c>
      <c r="D40" s="2090">
        <v>14.993</v>
      </c>
      <c r="E40" s="2090">
        <v>3.2320000000000002</v>
      </c>
      <c r="F40" s="2090">
        <v>3.2320000000000002</v>
      </c>
      <c r="G40" s="2090">
        <v>14.854000000000001</v>
      </c>
      <c r="H40" s="2091">
        <v>9.35774875454423E-3</v>
      </c>
      <c r="I40" s="2091">
        <v>0.21758448902652483</v>
      </c>
      <c r="J40" s="2099">
        <v>0.22694223778106906</v>
      </c>
      <c r="K40" s="2098">
        <v>56</v>
      </c>
      <c r="L40" s="2090">
        <v>0.13500000000000001</v>
      </c>
      <c r="M40" s="2090">
        <v>16.484999999999999</v>
      </c>
      <c r="N40" s="2092">
        <v>0.66900000000000004</v>
      </c>
      <c r="O40" s="2090">
        <v>0.66900000000000004</v>
      </c>
      <c r="P40" s="2090">
        <v>16.349999999999998</v>
      </c>
      <c r="Q40" s="2091">
        <v>8.2568807339449563E-3</v>
      </c>
      <c r="R40" s="2091">
        <v>4.0917431192660558E-2</v>
      </c>
      <c r="S40" s="2099">
        <v>4.9174311926605513E-2</v>
      </c>
      <c r="T40" s="2098">
        <v>56</v>
      </c>
      <c r="U40" s="1707">
        <v>0.13700000000000001</v>
      </c>
      <c r="V40" s="1707">
        <v>15.739000000000001</v>
      </c>
      <c r="W40" s="1707">
        <v>1.9505000000000001</v>
      </c>
      <c r="X40" s="1707">
        <v>1.9505000000000001</v>
      </c>
      <c r="Y40" s="1707">
        <v>15.602</v>
      </c>
      <c r="Z40" s="2093">
        <v>8.8073147442445932E-3</v>
      </c>
      <c r="AA40" s="2093">
        <v>0.12925096010959269</v>
      </c>
      <c r="AB40" s="2114">
        <v>0.13805827485383729</v>
      </c>
    </row>
    <row r="41" spans="2:28">
      <c r="B41" s="89">
        <v>57</v>
      </c>
      <c r="C41" s="1">
        <v>9.5000000000000001E-2</v>
      </c>
      <c r="D41" s="1">
        <v>15.458</v>
      </c>
      <c r="E41" s="1">
        <v>3.2989999999999999</v>
      </c>
      <c r="F41" s="1">
        <v>3.2989999999999999</v>
      </c>
      <c r="G41" s="1">
        <v>15.363</v>
      </c>
      <c r="H41" s="742">
        <v>6.1836880817548656E-3</v>
      </c>
      <c r="I41" s="742">
        <v>0.21473670507062423</v>
      </c>
      <c r="J41" s="2099">
        <v>0.2209203931523791</v>
      </c>
      <c r="K41" s="89">
        <v>57</v>
      </c>
      <c r="L41" s="1">
        <v>9.0999999999999998E-2</v>
      </c>
      <c r="M41" s="1">
        <v>16.963000000000001</v>
      </c>
      <c r="N41" s="1427">
        <v>0.67300000000000004</v>
      </c>
      <c r="O41" s="1">
        <v>0.67300000000000004</v>
      </c>
      <c r="P41" s="1">
        <v>16.872</v>
      </c>
      <c r="Q41" s="742">
        <v>5.3935514461830253E-3</v>
      </c>
      <c r="R41" s="742">
        <v>3.988857278330963E-2</v>
      </c>
      <c r="S41" s="2100">
        <v>4.5282124229492654E-2</v>
      </c>
      <c r="T41" s="89">
        <v>57</v>
      </c>
      <c r="U41" s="741">
        <v>9.2999999999999999E-2</v>
      </c>
      <c r="V41" s="741">
        <v>16.2105</v>
      </c>
      <c r="W41" s="741">
        <v>1.986</v>
      </c>
      <c r="X41" s="741">
        <v>1.986</v>
      </c>
      <c r="Y41" s="741">
        <v>16.1175</v>
      </c>
      <c r="Z41" s="2088">
        <v>5.7886197639689455E-3</v>
      </c>
      <c r="AA41" s="2088">
        <v>0.12731263892696693</v>
      </c>
      <c r="AB41" s="2115">
        <v>0.13310125869093586</v>
      </c>
    </row>
    <row r="42" spans="2:28">
      <c r="B42" s="2098">
        <v>58</v>
      </c>
      <c r="C42" s="2090">
        <v>5.7000000000000002E-2</v>
      </c>
      <c r="D42" s="2090">
        <v>15.943</v>
      </c>
      <c r="E42" s="2090">
        <v>3.3679999999999999</v>
      </c>
      <c r="F42" s="2090">
        <v>3.3679999999999999</v>
      </c>
      <c r="G42" s="2090">
        <v>15.885999999999999</v>
      </c>
      <c r="H42" s="2091">
        <v>3.5880649628603806E-3</v>
      </c>
      <c r="I42" s="2091">
        <v>0.21201057534936421</v>
      </c>
      <c r="J42" s="2099">
        <v>0.21559864031222459</v>
      </c>
      <c r="K42" s="2098">
        <v>58</v>
      </c>
      <c r="L42" s="2090">
        <v>5.1999999999999998E-2</v>
      </c>
      <c r="M42" s="2090">
        <v>17.463000000000001</v>
      </c>
      <c r="N42" s="2092">
        <v>0.67800000000000005</v>
      </c>
      <c r="O42" s="2090">
        <v>0.67800000000000005</v>
      </c>
      <c r="P42" s="2090">
        <v>17.411000000000001</v>
      </c>
      <c r="Q42" s="2091">
        <v>2.9866176555051402E-3</v>
      </c>
      <c r="R42" s="2091">
        <v>3.8940899431393949E-2</v>
      </c>
      <c r="S42" s="2099">
        <v>4.192751708689909E-2</v>
      </c>
      <c r="T42" s="2098">
        <v>58</v>
      </c>
      <c r="U42" s="1707">
        <v>5.45E-2</v>
      </c>
      <c r="V42" s="1707">
        <v>16.702999999999999</v>
      </c>
      <c r="W42" s="1707">
        <v>2.0230000000000001</v>
      </c>
      <c r="X42" s="1707">
        <v>2.0230000000000001</v>
      </c>
      <c r="Y42" s="1707">
        <v>16.648499999999999</v>
      </c>
      <c r="Z42" s="2093">
        <v>3.2873413091827602E-3</v>
      </c>
      <c r="AA42" s="2093">
        <v>0.12547573739037909</v>
      </c>
      <c r="AB42" s="2114">
        <v>0.12876307869956183</v>
      </c>
    </row>
    <row r="43" spans="2:28">
      <c r="B43" s="89">
        <v>59</v>
      </c>
      <c r="C43" s="1">
        <v>2.5999999999999999E-2</v>
      </c>
      <c r="D43" s="1">
        <v>16.451000000000001</v>
      </c>
      <c r="E43" s="1">
        <v>3.4409999999999998</v>
      </c>
      <c r="F43" s="1">
        <v>3.4409999999999998</v>
      </c>
      <c r="G43" s="1">
        <v>16.425000000000001</v>
      </c>
      <c r="H43" s="742">
        <v>1.5829528158295279E-3</v>
      </c>
      <c r="I43" s="742">
        <v>0.20949771689497715</v>
      </c>
      <c r="J43" s="2099">
        <v>0.21108066971080669</v>
      </c>
      <c r="K43" s="89">
        <v>59</v>
      </c>
      <c r="L43" s="1">
        <v>2.3E-2</v>
      </c>
      <c r="M43" s="1">
        <v>17.989000000000001</v>
      </c>
      <c r="N43" s="1427">
        <v>0.68200000000000005</v>
      </c>
      <c r="O43" s="1">
        <v>0.68200000000000005</v>
      </c>
      <c r="P43" s="1">
        <v>17.966000000000001</v>
      </c>
      <c r="Q43" s="742">
        <v>1.2801959256373149E-3</v>
      </c>
      <c r="R43" s="742">
        <v>3.7960592229767338E-2</v>
      </c>
      <c r="S43" s="2100">
        <v>3.9240788155404653E-2</v>
      </c>
      <c r="T43" s="89">
        <v>59</v>
      </c>
      <c r="U43" s="741">
        <v>2.4500000000000001E-2</v>
      </c>
      <c r="V43" s="741">
        <v>17.22</v>
      </c>
      <c r="W43" s="741">
        <v>2.0615000000000001</v>
      </c>
      <c r="X43" s="741">
        <v>2.0615000000000001</v>
      </c>
      <c r="Y43" s="741">
        <v>17.195500000000003</v>
      </c>
      <c r="Z43" s="2088">
        <v>1.4315743707334215E-3</v>
      </c>
      <c r="AA43" s="2088">
        <v>0.12372915456237224</v>
      </c>
      <c r="AB43" s="2115">
        <v>0.12516072893310567</v>
      </c>
    </row>
    <row r="44" spans="2:28">
      <c r="B44" s="2098">
        <v>60</v>
      </c>
      <c r="C44" s="2090">
        <v>6.0000000000000001E-3</v>
      </c>
      <c r="D44" s="2090">
        <v>16.986999999999998</v>
      </c>
      <c r="E44" s="2090">
        <v>3.5169999999999999</v>
      </c>
      <c r="F44" s="2090">
        <v>3.5169999999999999</v>
      </c>
      <c r="G44" s="2090">
        <v>16.980999999999998</v>
      </c>
      <c r="H44" s="2091">
        <v>3.5333608150285616E-4</v>
      </c>
      <c r="I44" s="2091">
        <v>0.20711383310759085</v>
      </c>
      <c r="J44" s="2099">
        <v>0.20746716918909372</v>
      </c>
      <c r="K44" s="2098">
        <v>60</v>
      </c>
      <c r="L44" s="2090">
        <v>5.0000000000000001E-3</v>
      </c>
      <c r="M44" s="2090">
        <v>18.544</v>
      </c>
      <c r="N44" s="2092">
        <v>0.68700000000000006</v>
      </c>
      <c r="O44" s="2090">
        <v>0.68700000000000006</v>
      </c>
      <c r="P44" s="2090">
        <v>18.539000000000001</v>
      </c>
      <c r="Q44" s="2091">
        <v>2.6970170990884082E-4</v>
      </c>
      <c r="R44" s="2091">
        <v>3.7057014941474731E-2</v>
      </c>
      <c r="S44" s="2099">
        <v>3.7326716651383575E-2</v>
      </c>
      <c r="T44" s="2098">
        <v>60</v>
      </c>
      <c r="U44" s="1707">
        <v>5.4999999999999997E-3</v>
      </c>
      <c r="V44" s="1707">
        <v>17.765499999999999</v>
      </c>
      <c r="W44" s="1707">
        <v>2.1019999999999999</v>
      </c>
      <c r="X44" s="1707">
        <v>2.1019999999999999</v>
      </c>
      <c r="Y44" s="1707">
        <v>17.759999999999998</v>
      </c>
      <c r="Z44" s="2093">
        <v>3.1151889570584846E-4</v>
      </c>
      <c r="AA44" s="2093">
        <v>0.12208542402453279</v>
      </c>
      <c r="AB44" s="2114">
        <v>0.12239694292023864</v>
      </c>
    </row>
    <row r="45" spans="2:28">
      <c r="B45" s="2119">
        <v>61</v>
      </c>
      <c r="C45" s="2120">
        <v>0</v>
      </c>
      <c r="D45" s="2120">
        <v>17.553000000000001</v>
      </c>
      <c r="E45" s="2120">
        <v>3.5979999999999999</v>
      </c>
      <c r="F45" s="2120">
        <v>3.5979999999999999</v>
      </c>
      <c r="G45" s="2120">
        <v>17.553000000000001</v>
      </c>
      <c r="H45" s="2121">
        <v>0</v>
      </c>
      <c r="I45" s="2121">
        <v>0.20497920583376059</v>
      </c>
      <c r="J45" s="2122">
        <v>0.20497920583376059</v>
      </c>
      <c r="K45" s="2119">
        <v>61</v>
      </c>
      <c r="L45" s="2120">
        <v>0</v>
      </c>
      <c r="M45" s="2120">
        <v>19.131</v>
      </c>
      <c r="N45" s="2123">
        <v>0.69199999999999995</v>
      </c>
      <c r="O45" s="2120">
        <v>0.69199999999999995</v>
      </c>
      <c r="P45" s="2120">
        <v>19.131</v>
      </c>
      <c r="Q45" s="2121">
        <v>0</v>
      </c>
      <c r="R45" s="2121">
        <v>3.6171658564633315E-2</v>
      </c>
      <c r="S45" s="2122">
        <v>3.6171658564633315E-2</v>
      </c>
      <c r="T45" s="2119">
        <v>61</v>
      </c>
      <c r="U45" s="2124">
        <v>0</v>
      </c>
      <c r="V45" s="2124">
        <v>18.341999999999999</v>
      </c>
      <c r="W45" s="2124">
        <v>2.145</v>
      </c>
      <c r="X45" s="2124">
        <v>2.145</v>
      </c>
      <c r="Y45" s="2124">
        <v>18.341999999999999</v>
      </c>
      <c r="Z45" s="2125">
        <v>0</v>
      </c>
      <c r="AA45" s="2125">
        <v>0.12057543219919695</v>
      </c>
      <c r="AB45" s="2126">
        <v>0.12057543219919695</v>
      </c>
    </row>
    <row r="46" spans="2:28">
      <c r="B46" s="2098">
        <v>62</v>
      </c>
      <c r="C46" s="2090">
        <v>0</v>
      </c>
      <c r="D46" s="2090">
        <v>17.187000000000001</v>
      </c>
      <c r="E46" s="2090">
        <v>3.6219999999999999</v>
      </c>
      <c r="F46" s="2090">
        <v>3.734</v>
      </c>
      <c r="G46" s="2090">
        <v>17.187000000000001</v>
      </c>
      <c r="H46" s="2091">
        <v>0</v>
      </c>
      <c r="I46" s="2091">
        <v>0.21725722930121602</v>
      </c>
      <c r="J46" s="2099">
        <v>0.21725722930121602</v>
      </c>
      <c r="K46" s="2098">
        <v>62</v>
      </c>
      <c r="L46" s="2090">
        <v>0</v>
      </c>
      <c r="M46" s="2090">
        <v>18.765999999999998</v>
      </c>
      <c r="N46" s="2092">
        <v>0.67600000000000005</v>
      </c>
      <c r="O46" s="2090">
        <v>0.67600000000000005</v>
      </c>
      <c r="P46" s="2090">
        <v>18.765999999999998</v>
      </c>
      <c r="Q46" s="2091">
        <v>0</v>
      </c>
      <c r="R46" s="2091">
        <v>3.6022594053074716E-2</v>
      </c>
      <c r="S46" s="2099">
        <v>3.6022594053074716E-2</v>
      </c>
      <c r="T46" s="2098">
        <v>62</v>
      </c>
      <c r="U46" s="1707">
        <v>0</v>
      </c>
      <c r="V46" s="1707">
        <v>17.976500000000001</v>
      </c>
      <c r="W46" s="1707">
        <v>2.149</v>
      </c>
      <c r="X46" s="1707">
        <v>2.2050000000000001</v>
      </c>
      <c r="Y46" s="1707">
        <v>17.976500000000001</v>
      </c>
      <c r="Z46" s="2093">
        <v>0</v>
      </c>
      <c r="AA46" s="2093">
        <v>0.12663991167714536</v>
      </c>
      <c r="AB46" s="2114">
        <v>0.12663991167714536</v>
      </c>
    </row>
    <row r="47" spans="2:28">
      <c r="B47" s="89">
        <v>63</v>
      </c>
      <c r="C47" s="1">
        <v>0</v>
      </c>
      <c r="D47" s="1">
        <v>16.815000000000001</v>
      </c>
      <c r="E47" s="1">
        <v>3.6419999999999999</v>
      </c>
      <c r="F47" s="1">
        <v>3.7530000000000001</v>
      </c>
      <c r="G47" s="1">
        <v>16.815000000000001</v>
      </c>
      <c r="H47" s="742">
        <v>0</v>
      </c>
      <c r="I47" s="742">
        <v>0.22319357716324709</v>
      </c>
      <c r="J47" s="2099">
        <v>0.22319357716324709</v>
      </c>
      <c r="K47" s="89">
        <v>63</v>
      </c>
      <c r="L47" s="1">
        <v>0</v>
      </c>
      <c r="M47" s="1">
        <v>18.393000000000001</v>
      </c>
      <c r="N47" s="1427">
        <v>0.65900000000000003</v>
      </c>
      <c r="O47" s="1">
        <v>0.65900000000000003</v>
      </c>
      <c r="P47" s="1">
        <v>18.393000000000001</v>
      </c>
      <c r="Q47" s="742">
        <v>0</v>
      </c>
      <c r="R47" s="742">
        <v>3.5828847931278204E-2</v>
      </c>
      <c r="S47" s="2100">
        <v>3.5828847931278204E-2</v>
      </c>
      <c r="T47" s="89">
        <v>63</v>
      </c>
      <c r="U47" s="741">
        <v>0</v>
      </c>
      <c r="V47" s="741">
        <v>17.603999999999999</v>
      </c>
      <c r="W47" s="741">
        <v>2.1505000000000001</v>
      </c>
      <c r="X47" s="741">
        <v>2.206</v>
      </c>
      <c r="Y47" s="741">
        <v>17.603999999999999</v>
      </c>
      <c r="Z47" s="2088">
        <v>0</v>
      </c>
      <c r="AA47" s="2088">
        <v>0.12951121254726264</v>
      </c>
      <c r="AB47" s="2115">
        <v>0.12951121254726264</v>
      </c>
    </row>
    <row r="48" spans="2:28">
      <c r="B48" s="2098">
        <v>64</v>
      </c>
      <c r="C48" s="2090">
        <v>0</v>
      </c>
      <c r="D48" s="2090">
        <v>16.437999999999999</v>
      </c>
      <c r="E48" s="2090">
        <v>3.6579999999999999</v>
      </c>
      <c r="F48" s="2090">
        <v>3.7669999999999999</v>
      </c>
      <c r="G48" s="2090">
        <v>16.437999999999999</v>
      </c>
      <c r="H48" s="2091">
        <v>0</v>
      </c>
      <c r="I48" s="2091">
        <v>0.22916413188952428</v>
      </c>
      <c r="J48" s="2099">
        <v>0.22916413188952428</v>
      </c>
      <c r="K48" s="2098">
        <v>64</v>
      </c>
      <c r="L48" s="2090">
        <v>0</v>
      </c>
      <c r="M48" s="2090">
        <v>18.010999999999999</v>
      </c>
      <c r="N48" s="2092">
        <v>0.64100000000000001</v>
      </c>
      <c r="O48" s="2090">
        <v>0.64100000000000001</v>
      </c>
      <c r="P48" s="2090">
        <v>18.010999999999999</v>
      </c>
      <c r="Q48" s="2091">
        <v>0</v>
      </c>
      <c r="R48" s="2091">
        <v>3.5589362056521016E-2</v>
      </c>
      <c r="S48" s="2099">
        <v>3.5589362056521016E-2</v>
      </c>
      <c r="T48" s="2098">
        <v>64</v>
      </c>
      <c r="U48" s="1707">
        <v>0</v>
      </c>
      <c r="V48" s="1707">
        <v>17.224499999999999</v>
      </c>
      <c r="W48" s="1707">
        <v>2.1494999999999997</v>
      </c>
      <c r="X48" s="1707">
        <v>2.2039999999999997</v>
      </c>
      <c r="Y48" s="1707">
        <v>17.224499999999999</v>
      </c>
      <c r="Z48" s="2093">
        <v>0</v>
      </c>
      <c r="AA48" s="2093">
        <v>0.13237674697302265</v>
      </c>
      <c r="AB48" s="2114">
        <v>0.13237674697302265</v>
      </c>
    </row>
    <row r="49" spans="2:28">
      <c r="B49" s="89">
        <v>65</v>
      </c>
      <c r="C49" s="1">
        <v>0</v>
      </c>
      <c r="D49" s="1">
        <v>16.053000000000001</v>
      </c>
      <c r="E49" s="1">
        <v>3.6680000000000001</v>
      </c>
      <c r="F49" s="1">
        <v>3.7749999999999999</v>
      </c>
      <c r="G49" s="1">
        <v>16.053000000000001</v>
      </c>
      <c r="H49" s="742">
        <v>0</v>
      </c>
      <c r="I49" s="742">
        <v>0.23515853734504452</v>
      </c>
      <c r="J49" s="2100">
        <v>0.23515853734504452</v>
      </c>
      <c r="K49" s="89">
        <v>65</v>
      </c>
      <c r="L49" s="1">
        <v>0</v>
      </c>
      <c r="M49" s="1">
        <v>17.619</v>
      </c>
      <c r="N49" s="1427">
        <v>0.623</v>
      </c>
      <c r="O49" s="1">
        <v>0.623</v>
      </c>
      <c r="P49" s="1">
        <v>17.619</v>
      </c>
      <c r="Q49" s="742">
        <v>0</v>
      </c>
      <c r="R49" s="742">
        <v>3.5359555025824392E-2</v>
      </c>
      <c r="S49" s="2100">
        <v>3.5359555025824392E-2</v>
      </c>
      <c r="T49" s="89">
        <v>65</v>
      </c>
      <c r="U49" s="741">
        <v>0</v>
      </c>
      <c r="V49" s="741">
        <v>16.835999999999999</v>
      </c>
      <c r="W49" s="741">
        <v>2.1455000000000002</v>
      </c>
      <c r="X49" s="741">
        <v>2.1989999999999998</v>
      </c>
      <c r="Y49" s="741">
        <v>16.835999999999999</v>
      </c>
      <c r="Z49" s="960">
        <v>0</v>
      </c>
      <c r="AA49" s="960">
        <v>0.13525904618543447</v>
      </c>
      <c r="AB49" s="961">
        <v>0.13525904618543447</v>
      </c>
    </row>
    <row r="50" spans="2:28">
      <c r="B50" s="2098">
        <v>66</v>
      </c>
      <c r="C50" s="2090"/>
      <c r="D50" s="2090">
        <v>15.661</v>
      </c>
      <c r="E50" s="2090">
        <v>3.6739999999999999</v>
      </c>
      <c r="F50" s="2090">
        <v>3.778</v>
      </c>
      <c r="G50" s="2090">
        <v>15.661</v>
      </c>
      <c r="H50" s="2091">
        <v>0</v>
      </c>
      <c r="I50" s="2091">
        <v>0.24123619181406042</v>
      </c>
      <c r="J50" s="2099">
        <v>0.24123619181406042</v>
      </c>
      <c r="K50" s="2098">
        <v>66</v>
      </c>
      <c r="L50" s="2090">
        <v>0</v>
      </c>
      <c r="M50" s="2090">
        <v>17.216999999999999</v>
      </c>
      <c r="N50" s="2092">
        <v>0.60399999999999998</v>
      </c>
      <c r="O50" s="2090">
        <v>0.60399999999999998</v>
      </c>
      <c r="P50" s="2090">
        <v>17.216999999999999</v>
      </c>
      <c r="Q50" s="2091">
        <v>0</v>
      </c>
      <c r="R50" s="2091">
        <v>3.5081605390021489E-2</v>
      </c>
      <c r="S50" s="2099">
        <v>3.5081605390021489E-2</v>
      </c>
      <c r="T50" s="2098">
        <v>66</v>
      </c>
      <c r="U50" s="1707">
        <v>0</v>
      </c>
      <c r="V50" s="1707">
        <v>16.439</v>
      </c>
      <c r="W50" s="1707">
        <v>2.1389999999999998</v>
      </c>
      <c r="X50" s="1707">
        <v>2.1909999999999998</v>
      </c>
      <c r="Y50" s="1707">
        <v>16.439</v>
      </c>
      <c r="Z50" s="2093">
        <v>0</v>
      </c>
      <c r="AA50" s="2093">
        <v>0.13815889860204095</v>
      </c>
      <c r="AB50" s="2114">
        <v>0.13815889860204095</v>
      </c>
    </row>
    <row r="51" spans="2:28">
      <c r="B51" s="89">
        <v>67</v>
      </c>
      <c r="C51" s="1"/>
      <c r="D51" s="1">
        <v>15.260999999999999</v>
      </c>
      <c r="E51" s="1">
        <v>3.6779999999999999</v>
      </c>
      <c r="F51" s="1">
        <v>3.778</v>
      </c>
      <c r="G51" s="1">
        <v>15.260999999999999</v>
      </c>
      <c r="H51" s="742">
        <v>0</v>
      </c>
      <c r="I51" s="742">
        <v>0.24755913767118801</v>
      </c>
      <c r="J51" s="2099">
        <v>0.24755913767118801</v>
      </c>
      <c r="K51" s="89">
        <v>67</v>
      </c>
      <c r="L51" s="1">
        <v>0</v>
      </c>
      <c r="M51" s="1">
        <v>16.803000000000001</v>
      </c>
      <c r="N51" s="1427">
        <v>0.58599999999999997</v>
      </c>
      <c r="O51" s="1">
        <v>0.58599999999999997</v>
      </c>
      <c r="P51" s="1">
        <v>16.803000000000001</v>
      </c>
      <c r="Q51" s="742">
        <v>0</v>
      </c>
      <c r="R51" s="742">
        <v>3.4874724751532464E-2</v>
      </c>
      <c r="S51" s="2100">
        <v>3.4874724751532464E-2</v>
      </c>
      <c r="T51" s="89">
        <v>67</v>
      </c>
      <c r="U51" s="741">
        <v>0</v>
      </c>
      <c r="V51" s="741">
        <v>16.032</v>
      </c>
      <c r="W51" s="741">
        <v>2.1320000000000001</v>
      </c>
      <c r="X51" s="741">
        <v>2.1819999999999999</v>
      </c>
      <c r="Y51" s="741">
        <v>16.032</v>
      </c>
      <c r="Z51" s="2088">
        <v>0</v>
      </c>
      <c r="AA51" s="2088">
        <v>0.14121693121136022</v>
      </c>
      <c r="AB51" s="2115">
        <v>0.14121693121136022</v>
      </c>
    </row>
    <row r="52" spans="2:28">
      <c r="B52" s="2098">
        <v>68</v>
      </c>
      <c r="C52" s="2090"/>
      <c r="D52" s="2090">
        <v>14.851000000000001</v>
      </c>
      <c r="E52" s="2090">
        <v>3.68</v>
      </c>
      <c r="F52" s="2090">
        <v>3.7770000000000001</v>
      </c>
      <c r="G52" s="2090">
        <v>14.851000000000001</v>
      </c>
      <c r="H52" s="2091">
        <v>0</v>
      </c>
      <c r="I52" s="2091">
        <v>0.25432630799272776</v>
      </c>
      <c r="J52" s="2099">
        <v>0.25432630799272776</v>
      </c>
      <c r="K52" s="2098">
        <v>68</v>
      </c>
      <c r="L52" s="2090">
        <v>0</v>
      </c>
      <c r="M52" s="2090">
        <v>16.378</v>
      </c>
      <c r="N52" s="2092">
        <v>0.56699999999999995</v>
      </c>
      <c r="O52" s="2090">
        <v>0.56699999999999995</v>
      </c>
      <c r="P52" s="2090">
        <v>16.378</v>
      </c>
      <c r="Q52" s="2091">
        <v>0</v>
      </c>
      <c r="R52" s="2091">
        <v>3.4619611674197089E-2</v>
      </c>
      <c r="S52" s="2099">
        <v>3.4619611674197089E-2</v>
      </c>
      <c r="T52" s="2098">
        <v>68</v>
      </c>
      <c r="U52" s="1707">
        <v>0</v>
      </c>
      <c r="V52" s="1707">
        <v>15.6145</v>
      </c>
      <c r="W52" s="1707">
        <v>2.1234999999999999</v>
      </c>
      <c r="X52" s="1707">
        <v>2.1720000000000002</v>
      </c>
      <c r="Y52" s="1707">
        <v>15.6145</v>
      </c>
      <c r="Z52" s="2093">
        <v>0</v>
      </c>
      <c r="AA52" s="2093">
        <v>0.14447295983346242</v>
      </c>
      <c r="AB52" s="2114">
        <v>0.14447295983346242</v>
      </c>
    </row>
    <row r="53" spans="2:28">
      <c r="B53" s="89">
        <v>69</v>
      </c>
      <c r="C53" s="1"/>
      <c r="D53" s="1">
        <v>14.432</v>
      </c>
      <c r="E53" s="1">
        <v>3.681</v>
      </c>
      <c r="F53" s="1">
        <v>3.7730000000000001</v>
      </c>
      <c r="G53" s="1">
        <v>14.432</v>
      </c>
      <c r="H53" s="742">
        <v>0</v>
      </c>
      <c r="I53" s="742">
        <v>0.26143292682926828</v>
      </c>
      <c r="J53" s="2099">
        <v>0.26143292682926828</v>
      </c>
      <c r="K53" s="89">
        <v>69</v>
      </c>
      <c r="L53" s="1">
        <v>0</v>
      </c>
      <c r="M53" s="1">
        <v>15.94</v>
      </c>
      <c r="N53" s="1427">
        <v>0.54900000000000004</v>
      </c>
      <c r="O53" s="1">
        <v>0.54900000000000004</v>
      </c>
      <c r="P53" s="1">
        <v>15.94</v>
      </c>
      <c r="Q53" s="742">
        <v>0</v>
      </c>
      <c r="R53" s="742">
        <v>3.4441656210790469E-2</v>
      </c>
      <c r="S53" s="2100">
        <v>3.4441656210790469E-2</v>
      </c>
      <c r="T53" s="89">
        <v>69</v>
      </c>
      <c r="U53" s="741">
        <v>0</v>
      </c>
      <c r="V53" s="741">
        <v>15.186</v>
      </c>
      <c r="W53" s="741">
        <v>2.1150000000000002</v>
      </c>
      <c r="X53" s="741">
        <v>2.161</v>
      </c>
      <c r="Y53" s="741">
        <v>15.186</v>
      </c>
      <c r="Z53" s="2088">
        <v>0</v>
      </c>
      <c r="AA53" s="2088">
        <v>0.14793729152002938</v>
      </c>
      <c r="AB53" s="2115">
        <v>0.14793729152002938</v>
      </c>
    </row>
    <row r="54" spans="2:28">
      <c r="B54" s="2098">
        <v>70</v>
      </c>
      <c r="C54" s="2090"/>
      <c r="D54" s="2090">
        <v>14.002000000000001</v>
      </c>
      <c r="E54" s="2090">
        <v>3.6789999999999998</v>
      </c>
      <c r="F54" s="2090">
        <v>3.7669999999999999</v>
      </c>
      <c r="G54" s="2090">
        <v>14.002000000000001</v>
      </c>
      <c r="H54" s="2091">
        <v>0</v>
      </c>
      <c r="I54" s="2091">
        <v>0.26903299528638763</v>
      </c>
      <c r="J54" s="2099">
        <v>0.26903299528638763</v>
      </c>
      <c r="K54" s="2098">
        <v>70</v>
      </c>
      <c r="L54" s="2090">
        <v>0</v>
      </c>
      <c r="M54" s="2090">
        <v>15.49</v>
      </c>
      <c r="N54" s="2092">
        <v>0.53</v>
      </c>
      <c r="O54" s="2090">
        <v>0.53</v>
      </c>
      <c r="P54" s="2090">
        <v>15.49</v>
      </c>
      <c r="Q54" s="2091">
        <v>0</v>
      </c>
      <c r="R54" s="2091">
        <v>3.4215622982569402E-2</v>
      </c>
      <c r="S54" s="2099">
        <v>3.4215622982569402E-2</v>
      </c>
      <c r="T54" s="2098">
        <v>70</v>
      </c>
      <c r="U54" s="1707">
        <v>0</v>
      </c>
      <c r="V54" s="1707">
        <v>14.746</v>
      </c>
      <c r="W54" s="1707">
        <v>2.1044999999999998</v>
      </c>
      <c r="X54" s="1707">
        <v>2.1484999999999999</v>
      </c>
      <c r="Y54" s="1707">
        <v>14.746</v>
      </c>
      <c r="Z54" s="2093">
        <v>0</v>
      </c>
      <c r="AA54" s="2093">
        <v>0.15162430913447852</v>
      </c>
      <c r="AB54" s="2114">
        <v>0.15162430913447852</v>
      </c>
    </row>
    <row r="55" spans="2:28">
      <c r="B55" s="89">
        <v>71</v>
      </c>
      <c r="C55" s="1"/>
      <c r="D55" s="1">
        <v>13.561999999999999</v>
      </c>
      <c r="E55" s="1">
        <v>3.6749999999999998</v>
      </c>
      <c r="F55" s="1">
        <v>3.758</v>
      </c>
      <c r="G55" s="1">
        <v>13.561999999999999</v>
      </c>
      <c r="H55" s="742">
        <v>0</v>
      </c>
      <c r="I55" s="742">
        <v>0.277097773189795</v>
      </c>
      <c r="J55" s="2099">
        <v>0.277097773189795</v>
      </c>
      <c r="K55" s="89">
        <v>71</v>
      </c>
      <c r="L55" s="1">
        <v>0</v>
      </c>
      <c r="M55" s="1">
        <v>15.026</v>
      </c>
      <c r="N55" s="1427">
        <v>0.51</v>
      </c>
      <c r="O55" s="1">
        <v>0.51</v>
      </c>
      <c r="P55" s="1">
        <v>15.026</v>
      </c>
      <c r="Q55" s="742">
        <v>0</v>
      </c>
      <c r="R55" s="742">
        <v>3.3941168641022229E-2</v>
      </c>
      <c r="S55" s="2100">
        <v>3.3941168641022229E-2</v>
      </c>
      <c r="T55" s="89">
        <v>71</v>
      </c>
      <c r="U55" s="741">
        <v>0</v>
      </c>
      <c r="V55" s="741">
        <v>14.294</v>
      </c>
      <c r="W55" s="741">
        <v>2.0924999999999998</v>
      </c>
      <c r="X55" s="741">
        <v>2.1339999999999999</v>
      </c>
      <c r="Y55" s="741">
        <v>14.294</v>
      </c>
      <c r="Z55" s="2088">
        <v>0</v>
      </c>
      <c r="AA55" s="2088">
        <v>0.15551947091540863</v>
      </c>
      <c r="AB55" s="2115">
        <v>0.15551947091540863</v>
      </c>
    </row>
    <row r="56" spans="2:28">
      <c r="B56" s="2098">
        <v>72</v>
      </c>
      <c r="C56" s="2090"/>
      <c r="D56" s="2090">
        <v>13.111000000000001</v>
      </c>
      <c r="E56" s="2090">
        <v>3.669</v>
      </c>
      <c r="F56" s="2090">
        <v>3.7469999999999999</v>
      </c>
      <c r="G56" s="2090">
        <v>13.111000000000001</v>
      </c>
      <c r="H56" s="2091">
        <v>0</v>
      </c>
      <c r="I56" s="2091">
        <v>0.28579055754709781</v>
      </c>
      <c r="J56" s="2099">
        <v>0.28579055754709781</v>
      </c>
      <c r="K56" s="2098">
        <v>72</v>
      </c>
      <c r="L56" s="2090">
        <v>0</v>
      </c>
      <c r="M56" s="2090">
        <v>14.55</v>
      </c>
      <c r="N56" s="2092">
        <v>0.49099999999999999</v>
      </c>
      <c r="O56" s="2090">
        <v>0.49099999999999999</v>
      </c>
      <c r="P56" s="2090">
        <v>14.55</v>
      </c>
      <c r="Q56" s="2091">
        <v>0</v>
      </c>
      <c r="R56" s="2091">
        <v>3.3745704467353949E-2</v>
      </c>
      <c r="S56" s="2099">
        <v>3.3745704467353949E-2</v>
      </c>
      <c r="T56" s="2098">
        <v>72</v>
      </c>
      <c r="U56" s="1707">
        <v>0</v>
      </c>
      <c r="V56" s="1707">
        <v>13.830500000000001</v>
      </c>
      <c r="W56" s="1707">
        <v>2.08</v>
      </c>
      <c r="X56" s="1707">
        <v>2.1189999999999998</v>
      </c>
      <c r="Y56" s="1707">
        <v>13.830500000000001</v>
      </c>
      <c r="Z56" s="2093">
        <v>0</v>
      </c>
      <c r="AA56" s="2093">
        <v>0.15976813100722587</v>
      </c>
      <c r="AB56" s="2114">
        <v>0.15976813100722587</v>
      </c>
    </row>
    <row r="57" spans="2:28">
      <c r="B57" s="89">
        <v>73</v>
      </c>
      <c r="C57" s="1"/>
      <c r="D57" s="1">
        <v>12.65</v>
      </c>
      <c r="E57" s="1">
        <v>3.6669999999999998</v>
      </c>
      <c r="F57" s="1">
        <v>3.7389999999999999</v>
      </c>
      <c r="G57" s="1">
        <v>12.65</v>
      </c>
      <c r="H57" s="742">
        <v>0</v>
      </c>
      <c r="I57" s="742">
        <v>0.29557312252964424</v>
      </c>
      <c r="J57" s="2099">
        <v>0.29557312252964424</v>
      </c>
      <c r="K57" s="89">
        <v>73</v>
      </c>
      <c r="L57" s="1">
        <v>0</v>
      </c>
      <c r="M57" s="1">
        <v>14.061999999999999</v>
      </c>
      <c r="N57" s="1427">
        <v>0.47199999999999998</v>
      </c>
      <c r="O57" s="1">
        <v>0.47199999999999998</v>
      </c>
      <c r="P57" s="1">
        <v>14.061999999999999</v>
      </c>
      <c r="Q57" s="742">
        <v>0</v>
      </c>
      <c r="R57" s="742">
        <v>3.3565637889347175E-2</v>
      </c>
      <c r="S57" s="2100">
        <v>3.3565637889347175E-2</v>
      </c>
      <c r="T57" s="89">
        <v>73</v>
      </c>
      <c r="U57" s="741">
        <v>0</v>
      </c>
      <c r="V57" s="741">
        <v>13.356</v>
      </c>
      <c r="W57" s="741">
        <v>2.0694999999999997</v>
      </c>
      <c r="X57" s="741">
        <v>2.1055000000000001</v>
      </c>
      <c r="Y57" s="741">
        <v>13.356</v>
      </c>
      <c r="Z57" s="2088">
        <v>0</v>
      </c>
      <c r="AA57" s="2088">
        <v>0.16456938020949571</v>
      </c>
      <c r="AB57" s="2115">
        <v>0.16456938020949571</v>
      </c>
    </row>
    <row r="58" spans="2:28">
      <c r="B58" s="2098">
        <v>74</v>
      </c>
      <c r="C58" s="2090"/>
      <c r="D58" s="2090">
        <v>12.18</v>
      </c>
      <c r="E58" s="2090">
        <v>3.6619999999999999</v>
      </c>
      <c r="F58" s="2090">
        <v>3.7290000000000001</v>
      </c>
      <c r="G58" s="2090">
        <v>12.18</v>
      </c>
      <c r="H58" s="2091">
        <v>0</v>
      </c>
      <c r="I58" s="2091">
        <v>0.3061576354679803</v>
      </c>
      <c r="J58" s="2099">
        <v>0.3061576354679803</v>
      </c>
      <c r="K58" s="2098">
        <v>74</v>
      </c>
      <c r="L58" s="2090">
        <v>0</v>
      </c>
      <c r="M58" s="2090">
        <v>13.561999999999999</v>
      </c>
      <c r="N58" s="2092">
        <v>0.45300000000000001</v>
      </c>
      <c r="O58" s="2090">
        <v>0.45300000000000001</v>
      </c>
      <c r="P58" s="2090">
        <v>13.561999999999999</v>
      </c>
      <c r="Q58" s="2091">
        <v>0</v>
      </c>
      <c r="R58" s="2091">
        <v>3.3402153074767738E-2</v>
      </c>
      <c r="S58" s="2099">
        <v>3.3402153074767738E-2</v>
      </c>
      <c r="T58" s="2098">
        <v>74</v>
      </c>
      <c r="U58" s="1707">
        <v>0</v>
      </c>
      <c r="V58" s="1707">
        <v>12.870999999999999</v>
      </c>
      <c r="W58" s="1707">
        <v>2.0575000000000001</v>
      </c>
      <c r="X58" s="1707">
        <v>2.0910000000000002</v>
      </c>
      <c r="Y58" s="1707">
        <v>12.870999999999999</v>
      </c>
      <c r="Z58" s="2093">
        <v>0</v>
      </c>
      <c r="AA58" s="2093">
        <v>0.16977989427137402</v>
      </c>
      <c r="AB58" s="2114">
        <v>0.16977989427137402</v>
      </c>
    </row>
    <row r="59" spans="2:28">
      <c r="B59" s="89">
        <v>75</v>
      </c>
      <c r="C59" s="1"/>
      <c r="D59" s="1">
        <v>11.701000000000001</v>
      </c>
      <c r="E59" s="1">
        <v>3.6549999999999998</v>
      </c>
      <c r="F59" s="1">
        <v>3.7160000000000002</v>
      </c>
      <c r="G59" s="1">
        <v>11.701000000000001</v>
      </c>
      <c r="H59" s="742">
        <v>0</v>
      </c>
      <c r="I59" s="742">
        <v>0.31757969404324415</v>
      </c>
      <c r="J59" s="2099">
        <v>0.31757969404324415</v>
      </c>
      <c r="K59" s="89">
        <v>75</v>
      </c>
      <c r="L59" s="1">
        <v>0</v>
      </c>
      <c r="M59" s="1">
        <v>13.051</v>
      </c>
      <c r="N59" s="1427">
        <v>0.434</v>
      </c>
      <c r="O59" s="1">
        <v>0.434</v>
      </c>
      <c r="P59" s="1">
        <v>13.051</v>
      </c>
      <c r="Q59" s="742">
        <v>0</v>
      </c>
      <c r="R59" s="742">
        <v>3.3254156769596199E-2</v>
      </c>
      <c r="S59" s="2100">
        <v>3.3254156769596199E-2</v>
      </c>
      <c r="T59" s="89">
        <v>75</v>
      </c>
      <c r="U59" s="741">
        <v>0</v>
      </c>
      <c r="V59" s="741">
        <v>12.376000000000001</v>
      </c>
      <c r="W59" s="741">
        <v>2.0444999999999998</v>
      </c>
      <c r="X59" s="741">
        <v>2.0750000000000002</v>
      </c>
      <c r="Y59" s="741">
        <v>12.376000000000001</v>
      </c>
      <c r="Z59" s="2088">
        <v>0</v>
      </c>
      <c r="AA59" s="2088">
        <v>0.17541692540642018</v>
      </c>
      <c r="AB59" s="2115">
        <v>0.17541692540642018</v>
      </c>
    </row>
    <row r="60" spans="2:28">
      <c r="B60" s="2098">
        <v>76</v>
      </c>
      <c r="C60" s="2090"/>
      <c r="D60" s="2090">
        <v>11.215</v>
      </c>
      <c r="E60" s="2090">
        <v>3.6429999999999998</v>
      </c>
      <c r="F60" s="2090">
        <v>3.698</v>
      </c>
      <c r="G60" s="2090">
        <v>11.215</v>
      </c>
      <c r="H60" s="2091">
        <v>0</v>
      </c>
      <c r="I60" s="2091">
        <v>0.32973695942933573</v>
      </c>
      <c r="J60" s="2099">
        <v>0.32973695942933573</v>
      </c>
      <c r="K60" s="2098">
        <v>76</v>
      </c>
      <c r="L60" s="2090">
        <v>0</v>
      </c>
      <c r="M60" s="2090">
        <v>12.531000000000001</v>
      </c>
      <c r="N60" s="2092">
        <v>0.41399999999999998</v>
      </c>
      <c r="O60" s="2090">
        <v>0.41399999999999998</v>
      </c>
      <c r="P60" s="2090">
        <v>12.531000000000001</v>
      </c>
      <c r="Q60" s="2091">
        <v>0</v>
      </c>
      <c r="R60" s="2091">
        <v>3.3038065597318644E-2</v>
      </c>
      <c r="S60" s="2099">
        <v>3.3038065597318644E-2</v>
      </c>
      <c r="T60" s="2098">
        <v>76</v>
      </c>
      <c r="U60" s="1707">
        <v>0</v>
      </c>
      <c r="V60" s="1707">
        <v>11.873000000000001</v>
      </c>
      <c r="W60" s="1707">
        <v>2.0284999999999997</v>
      </c>
      <c r="X60" s="1707">
        <v>2.056</v>
      </c>
      <c r="Y60" s="1707">
        <v>11.873000000000001</v>
      </c>
      <c r="Z60" s="2093">
        <v>0</v>
      </c>
      <c r="AA60" s="2093">
        <v>0.18138751251332719</v>
      </c>
      <c r="AB60" s="2114">
        <v>0.18138751251332719</v>
      </c>
    </row>
    <row r="61" spans="2:28">
      <c r="B61" s="89">
        <v>77</v>
      </c>
      <c r="C61" s="1"/>
      <c r="D61" s="1">
        <v>10.724</v>
      </c>
      <c r="E61" s="1">
        <v>3.625</v>
      </c>
      <c r="F61" s="1">
        <v>3.6749999999999998</v>
      </c>
      <c r="G61" s="1">
        <v>10.724</v>
      </c>
      <c r="H61" s="742">
        <v>0</v>
      </c>
      <c r="I61" s="742">
        <v>0.34268929503916445</v>
      </c>
      <c r="J61" s="2099">
        <v>0.34268929503916445</v>
      </c>
      <c r="K61" s="89">
        <v>77</v>
      </c>
      <c r="L61" s="1">
        <v>0</v>
      </c>
      <c r="M61" s="1">
        <v>12.003</v>
      </c>
      <c r="N61" s="1427">
        <v>0.39300000000000002</v>
      </c>
      <c r="O61" s="1">
        <v>0.39300000000000002</v>
      </c>
      <c r="P61" s="1">
        <v>12.003</v>
      </c>
      <c r="Q61" s="742">
        <v>0</v>
      </c>
      <c r="R61" s="742">
        <v>3.2741814546363407E-2</v>
      </c>
      <c r="S61" s="2100">
        <v>3.2741814546363407E-2</v>
      </c>
      <c r="T61" s="89">
        <v>77</v>
      </c>
      <c r="U61" s="741">
        <v>0</v>
      </c>
      <c r="V61" s="741">
        <v>11.3635</v>
      </c>
      <c r="W61" s="741">
        <v>2.0089999999999999</v>
      </c>
      <c r="X61" s="741">
        <v>2.0339999999999998</v>
      </c>
      <c r="Y61" s="741">
        <v>11.3635</v>
      </c>
      <c r="Z61" s="2088">
        <v>0</v>
      </c>
      <c r="AA61" s="2088">
        <v>0.18771555479276392</v>
      </c>
      <c r="AB61" s="2115">
        <v>0.18771555479276392</v>
      </c>
    </row>
    <row r="62" spans="2:28">
      <c r="B62" s="2098">
        <v>78</v>
      </c>
      <c r="C62" s="2090"/>
      <c r="D62" s="2090">
        <v>10.228999999999999</v>
      </c>
      <c r="E62" s="2090">
        <v>3.601</v>
      </c>
      <c r="F62" s="2090">
        <v>3.645</v>
      </c>
      <c r="G62" s="2090">
        <v>10.228999999999999</v>
      </c>
      <c r="H62" s="2091">
        <v>0</v>
      </c>
      <c r="I62" s="2091">
        <v>0.35633981816404342</v>
      </c>
      <c r="J62" s="2099">
        <v>0.35633981816404342</v>
      </c>
      <c r="K62" s="2098">
        <v>78</v>
      </c>
      <c r="L62" s="2090">
        <v>0</v>
      </c>
      <c r="M62" s="2090">
        <v>11.47</v>
      </c>
      <c r="N62" s="2092">
        <v>0.371</v>
      </c>
      <c r="O62" s="2090">
        <v>0.371</v>
      </c>
      <c r="P62" s="2090">
        <v>11.47</v>
      </c>
      <c r="Q62" s="2091">
        <v>0</v>
      </c>
      <c r="R62" s="2091">
        <v>3.2345248474280733E-2</v>
      </c>
      <c r="S62" s="2099">
        <v>3.2345248474280733E-2</v>
      </c>
      <c r="T62" s="2098">
        <v>78</v>
      </c>
      <c r="U62" s="1707">
        <v>0</v>
      </c>
      <c r="V62" s="1707">
        <v>10.849499999999999</v>
      </c>
      <c r="W62" s="1707">
        <v>1.986</v>
      </c>
      <c r="X62" s="1707">
        <v>2.008</v>
      </c>
      <c r="Y62" s="1707">
        <v>10.849499999999999</v>
      </c>
      <c r="Z62" s="2093">
        <v>0</v>
      </c>
      <c r="AA62" s="2093">
        <v>0.19434253331916207</v>
      </c>
      <c r="AB62" s="2114">
        <v>0.19434253331916207</v>
      </c>
    </row>
    <row r="63" spans="2:28">
      <c r="B63" s="89">
        <v>79</v>
      </c>
      <c r="C63" s="1"/>
      <c r="D63" s="1">
        <v>9.7330000000000005</v>
      </c>
      <c r="E63" s="1">
        <v>3.57</v>
      </c>
      <c r="F63" s="1">
        <v>3.6070000000000002</v>
      </c>
      <c r="G63" s="1">
        <v>9.7330000000000005</v>
      </c>
      <c r="H63" s="742">
        <v>0</v>
      </c>
      <c r="I63" s="742">
        <v>0.37059488338641733</v>
      </c>
      <c r="J63" s="2099">
        <v>0.37059488338641733</v>
      </c>
      <c r="K63" s="89">
        <v>79</v>
      </c>
      <c r="L63" s="1">
        <v>0</v>
      </c>
      <c r="M63" s="1">
        <v>10.932</v>
      </c>
      <c r="N63" s="1427">
        <v>0.34899999999999998</v>
      </c>
      <c r="O63" s="1">
        <v>0.34899999999999998</v>
      </c>
      <c r="P63" s="1">
        <v>10.932</v>
      </c>
      <c r="Q63" s="742">
        <v>0</v>
      </c>
      <c r="R63" s="742">
        <v>3.1924624954262709E-2</v>
      </c>
      <c r="S63" s="2100">
        <v>3.1924624954262709E-2</v>
      </c>
      <c r="T63" s="89">
        <v>79</v>
      </c>
      <c r="U63" s="741">
        <v>0</v>
      </c>
      <c r="V63" s="741">
        <v>10.3325</v>
      </c>
      <c r="W63" s="741">
        <v>1.9594999999999998</v>
      </c>
      <c r="X63" s="741">
        <v>1.9780000000000002</v>
      </c>
      <c r="Y63" s="741">
        <v>10.3325</v>
      </c>
      <c r="Z63" s="2088">
        <v>0</v>
      </c>
      <c r="AA63" s="2088">
        <v>0.20125975417034003</v>
      </c>
      <c r="AB63" s="2115">
        <v>0.20125975417034003</v>
      </c>
    </row>
    <row r="64" spans="2:28">
      <c r="B64" s="2098">
        <v>80</v>
      </c>
      <c r="C64" s="2090"/>
      <c r="D64" s="2090">
        <v>9.2379999999999995</v>
      </c>
      <c r="E64" s="2090">
        <v>3.5310000000000001</v>
      </c>
      <c r="F64" s="2090">
        <v>3.5619999999999998</v>
      </c>
      <c r="G64" s="2090">
        <v>9.2379999999999995</v>
      </c>
      <c r="H64" s="2091">
        <v>0</v>
      </c>
      <c r="I64" s="2091">
        <v>0.38558129465252217</v>
      </c>
      <c r="J64" s="2099">
        <v>0.38558129465252217</v>
      </c>
      <c r="K64" s="2098">
        <v>80</v>
      </c>
      <c r="L64" s="2090">
        <v>0</v>
      </c>
      <c r="M64" s="2090">
        <v>10.391999999999999</v>
      </c>
      <c r="N64" s="2092">
        <v>0.32700000000000001</v>
      </c>
      <c r="O64" s="2090">
        <v>0.32700000000000001</v>
      </c>
      <c r="P64" s="2090">
        <v>10.391999999999999</v>
      </c>
      <c r="Q64" s="2091">
        <v>0</v>
      </c>
      <c r="R64" s="2091">
        <v>3.1466512702078522E-2</v>
      </c>
      <c r="S64" s="2099">
        <v>3.1466512702078522E-2</v>
      </c>
      <c r="T64" s="2098">
        <v>80</v>
      </c>
      <c r="U64" s="1707">
        <v>0</v>
      </c>
      <c r="V64" s="1707">
        <v>9.8149999999999995</v>
      </c>
      <c r="W64" s="1707">
        <v>1.929</v>
      </c>
      <c r="X64" s="1707">
        <v>1.9444999999999999</v>
      </c>
      <c r="Y64" s="1707">
        <v>9.8149999999999995</v>
      </c>
      <c r="Z64" s="2093">
        <v>0</v>
      </c>
      <c r="AA64" s="2093">
        <v>0.20852390367730034</v>
      </c>
      <c r="AB64" s="2114">
        <v>0.20852390367730034</v>
      </c>
    </row>
    <row r="65" spans="2:28">
      <c r="B65" s="89">
        <v>81</v>
      </c>
      <c r="C65" s="1"/>
      <c r="D65" s="1">
        <v>8.7469999999999999</v>
      </c>
      <c r="E65" s="1">
        <v>3.4820000000000002</v>
      </c>
      <c r="F65" s="1">
        <v>3.5070000000000001</v>
      </c>
      <c r="G65" s="1">
        <v>8.7469999999999999</v>
      </c>
      <c r="H65" s="742">
        <v>0</v>
      </c>
      <c r="I65" s="742">
        <v>0.40093746427346522</v>
      </c>
      <c r="J65" s="2099">
        <v>0.40093746427346522</v>
      </c>
      <c r="K65" s="89">
        <v>81</v>
      </c>
      <c r="L65" s="1">
        <v>0</v>
      </c>
      <c r="M65" s="1">
        <v>9.8529999999999998</v>
      </c>
      <c r="N65" s="1427">
        <v>0.30399999999999999</v>
      </c>
      <c r="O65" s="1">
        <v>0.30399999999999999</v>
      </c>
      <c r="P65" s="1">
        <v>9.8529999999999998</v>
      </c>
      <c r="Q65" s="742">
        <v>0</v>
      </c>
      <c r="R65" s="742">
        <v>3.0853547143002133E-2</v>
      </c>
      <c r="S65" s="2100">
        <v>3.0853547143002133E-2</v>
      </c>
      <c r="T65" s="89">
        <v>81</v>
      </c>
      <c r="U65" s="741">
        <v>0</v>
      </c>
      <c r="V65" s="741">
        <v>9.3000000000000007</v>
      </c>
      <c r="W65" s="741">
        <v>1.893</v>
      </c>
      <c r="X65" s="741">
        <v>1.9055</v>
      </c>
      <c r="Y65" s="741">
        <v>9.3000000000000007</v>
      </c>
      <c r="Z65" s="2088">
        <v>0</v>
      </c>
      <c r="AA65" s="2088">
        <v>0.21589550570823368</v>
      </c>
      <c r="AB65" s="2115">
        <v>0.21589550570823368</v>
      </c>
    </row>
    <row r="66" spans="2:28">
      <c r="B66" s="2098">
        <v>82</v>
      </c>
      <c r="C66" s="2090"/>
      <c r="D66" s="2090">
        <v>8.2629999999999999</v>
      </c>
      <c r="E66" s="2090">
        <v>3.4089999999999998</v>
      </c>
      <c r="F66" s="2090">
        <v>3.4260000000000002</v>
      </c>
      <c r="G66" s="2090">
        <v>8.2629999999999999</v>
      </c>
      <c r="H66" s="2091">
        <v>0</v>
      </c>
      <c r="I66" s="2091">
        <v>0.41461938763161083</v>
      </c>
      <c r="J66" s="2099">
        <v>0.41461938763161083</v>
      </c>
      <c r="K66" s="2098">
        <v>82</v>
      </c>
      <c r="L66" s="2090">
        <v>0</v>
      </c>
      <c r="M66" s="2090">
        <v>9.3179999999999996</v>
      </c>
      <c r="N66" s="2092">
        <v>0.28100000000000003</v>
      </c>
      <c r="O66" s="2090">
        <v>0.28100000000000003</v>
      </c>
      <c r="P66" s="2090">
        <v>9.3179999999999996</v>
      </c>
      <c r="Q66" s="2091">
        <v>0</v>
      </c>
      <c r="R66" s="2091">
        <v>3.0156685984116766E-2</v>
      </c>
      <c r="S66" s="2099">
        <v>3.0156685984116766E-2</v>
      </c>
      <c r="T66" s="2098">
        <v>82</v>
      </c>
      <c r="U66" s="1707">
        <v>0</v>
      </c>
      <c r="V66" s="1707">
        <v>8.7904999999999998</v>
      </c>
      <c r="W66" s="1707">
        <v>1.845</v>
      </c>
      <c r="X66" s="1707">
        <v>1.8535000000000001</v>
      </c>
      <c r="Y66" s="1707">
        <v>8.7904999999999998</v>
      </c>
      <c r="Z66" s="2093">
        <v>0</v>
      </c>
      <c r="AA66" s="2093">
        <v>0.22238803680786379</v>
      </c>
      <c r="AB66" s="2114">
        <v>0.22238803680786379</v>
      </c>
    </row>
    <row r="67" spans="2:28">
      <c r="B67" s="89">
        <v>83</v>
      </c>
      <c r="C67" s="1"/>
      <c r="D67" s="1">
        <v>7.7880000000000003</v>
      </c>
      <c r="E67" s="1">
        <v>3.3220000000000001</v>
      </c>
      <c r="F67" s="1">
        <v>3.3330000000000002</v>
      </c>
      <c r="G67" s="1">
        <v>7.7880000000000003</v>
      </c>
      <c r="H67" s="742">
        <v>0</v>
      </c>
      <c r="I67" s="742">
        <v>0.42796610169491528</v>
      </c>
      <c r="J67" s="2099">
        <v>0.42796610169491528</v>
      </c>
      <c r="K67" s="89">
        <v>83</v>
      </c>
      <c r="L67" s="1">
        <v>0</v>
      </c>
      <c r="M67" s="1">
        <v>8.7889999999999997</v>
      </c>
      <c r="N67" s="1427">
        <v>0.25800000000000001</v>
      </c>
      <c r="O67" s="1">
        <v>0.25800000000000001</v>
      </c>
      <c r="P67" s="1">
        <v>8.7889999999999997</v>
      </c>
      <c r="Q67" s="742">
        <v>0</v>
      </c>
      <c r="R67" s="742">
        <v>2.9354875412447381E-2</v>
      </c>
      <c r="S67" s="2100">
        <v>2.9354875412447381E-2</v>
      </c>
      <c r="T67" s="89">
        <v>83</v>
      </c>
      <c r="U67" s="741">
        <v>0</v>
      </c>
      <c r="V67" s="741">
        <v>8.2884999999999991</v>
      </c>
      <c r="W67" s="741">
        <v>1.79</v>
      </c>
      <c r="X67" s="741">
        <v>1.7955000000000001</v>
      </c>
      <c r="Y67" s="741">
        <v>8.2884999999999991</v>
      </c>
      <c r="Z67" s="2088">
        <v>0</v>
      </c>
      <c r="AA67" s="2088">
        <v>0.22866048855368132</v>
      </c>
      <c r="AB67" s="2115">
        <v>0.22866048855368132</v>
      </c>
    </row>
    <row r="68" spans="2:28">
      <c r="B68" s="2098">
        <v>84</v>
      </c>
      <c r="C68" s="2090"/>
      <c r="D68" s="2090">
        <v>7.327</v>
      </c>
      <c r="E68" s="2090">
        <v>3.2229999999999999</v>
      </c>
      <c r="F68" s="2090">
        <v>3.2280000000000002</v>
      </c>
      <c r="G68" s="2090">
        <v>7.327</v>
      </c>
      <c r="H68" s="2091">
        <v>0</v>
      </c>
      <c r="I68" s="2091">
        <v>0.44056230380783407</v>
      </c>
      <c r="J68" s="2099">
        <v>0.44056230380783407</v>
      </c>
      <c r="K68" s="2098">
        <v>84</v>
      </c>
      <c r="L68" s="2090">
        <v>0</v>
      </c>
      <c r="M68" s="2090">
        <v>8.2710000000000008</v>
      </c>
      <c r="N68" s="2092">
        <v>0.23499999999999999</v>
      </c>
      <c r="O68" s="2090">
        <v>0.23499999999999999</v>
      </c>
      <c r="P68" s="2090">
        <v>8.2710000000000008</v>
      </c>
      <c r="Q68" s="2091">
        <v>0</v>
      </c>
      <c r="R68" s="2091">
        <v>2.8412525692177483E-2</v>
      </c>
      <c r="S68" s="2099">
        <v>2.8412525692177483E-2</v>
      </c>
      <c r="T68" s="2098">
        <v>84</v>
      </c>
      <c r="U68" s="1707">
        <v>0</v>
      </c>
      <c r="V68" s="1707">
        <v>7.7990000000000004</v>
      </c>
      <c r="W68" s="1707">
        <v>1.7289999999999999</v>
      </c>
      <c r="X68" s="1707">
        <v>1.7315</v>
      </c>
      <c r="Y68" s="1707">
        <v>7.7990000000000004</v>
      </c>
      <c r="Z68" s="2093">
        <v>0</v>
      </c>
      <c r="AA68" s="2093">
        <v>0.23448741475000578</v>
      </c>
      <c r="AB68" s="2114">
        <v>0.23448741475000578</v>
      </c>
    </row>
    <row r="69" spans="2:28">
      <c r="B69" s="89">
        <v>85</v>
      </c>
      <c r="C69" s="1"/>
      <c r="D69" s="1">
        <v>6.883</v>
      </c>
      <c r="E69" s="1">
        <v>3.1139999999999999</v>
      </c>
      <c r="F69" s="1">
        <v>3.1139999999999999</v>
      </c>
      <c r="G69" s="1">
        <v>6.883</v>
      </c>
      <c r="H69" s="742">
        <v>0</v>
      </c>
      <c r="I69" s="742">
        <v>0.45241900334156615</v>
      </c>
      <c r="J69" s="2099">
        <v>0.45241900334156615</v>
      </c>
      <c r="K69" s="89">
        <v>85</v>
      </c>
      <c r="L69" s="1">
        <v>0</v>
      </c>
      <c r="M69" s="1">
        <v>7.7679999999999998</v>
      </c>
      <c r="N69" s="1427">
        <v>0.21</v>
      </c>
      <c r="O69" s="1">
        <v>0.21</v>
      </c>
      <c r="P69" s="1">
        <v>7.7679999999999998</v>
      </c>
      <c r="Q69" s="742">
        <v>0</v>
      </c>
      <c r="R69" s="742">
        <v>2.7033985581874358E-2</v>
      </c>
      <c r="S69" s="2100">
        <v>2.7033985581874358E-2</v>
      </c>
      <c r="T69" s="89">
        <v>85</v>
      </c>
      <c r="U69" s="741">
        <v>0</v>
      </c>
      <c r="V69" s="741">
        <v>7.3254999999999999</v>
      </c>
      <c r="W69" s="741">
        <v>1.6619999999999999</v>
      </c>
      <c r="X69" s="741">
        <v>1.6619999999999999</v>
      </c>
      <c r="Y69" s="741">
        <v>7.3254999999999999</v>
      </c>
      <c r="Z69" s="2088">
        <v>0</v>
      </c>
      <c r="AA69" s="2088">
        <v>0.23972649446172026</v>
      </c>
      <c r="AB69" s="2115">
        <v>0.23972649446172026</v>
      </c>
    </row>
    <row r="70" spans="2:28">
      <c r="B70" s="2098">
        <v>86</v>
      </c>
      <c r="C70" s="2090"/>
      <c r="D70" s="2090">
        <v>6.4619999999999997</v>
      </c>
      <c r="E70" s="2090">
        <v>2.9969999999999999</v>
      </c>
      <c r="F70" s="2090">
        <v>2.992</v>
      </c>
      <c r="G70" s="2090">
        <v>6.4619999999999997</v>
      </c>
      <c r="H70" s="2091">
        <v>0</v>
      </c>
      <c r="I70" s="2091">
        <v>0.46301454658000618</v>
      </c>
      <c r="J70" s="2099">
        <v>0.46301454658000618</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6.8734999999999999</v>
      </c>
      <c r="W70" s="1707">
        <v>1.5914999999999999</v>
      </c>
      <c r="X70" s="1707">
        <v>1.589</v>
      </c>
      <c r="Y70" s="1707">
        <v>6.8734999999999999</v>
      </c>
      <c r="Z70" s="2093">
        <v>0</v>
      </c>
      <c r="AA70" s="2093">
        <v>0.24427323073681159</v>
      </c>
      <c r="AB70" s="2114">
        <v>0.24427323073681159</v>
      </c>
    </row>
    <row r="71" spans="2:28">
      <c r="B71" s="89">
        <v>87</v>
      </c>
      <c r="C71" s="1"/>
      <c r="D71" s="1">
        <v>6.069</v>
      </c>
      <c r="E71" s="1">
        <v>2.8730000000000002</v>
      </c>
      <c r="F71" s="1">
        <v>2.8650000000000002</v>
      </c>
      <c r="G71" s="1">
        <v>6.069</v>
      </c>
      <c r="H71" s="742">
        <v>0</v>
      </c>
      <c r="I71" s="742">
        <v>0.47207118141374199</v>
      </c>
      <c r="J71" s="2099">
        <v>0.47207118141374199</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6.4474999999999998</v>
      </c>
      <c r="W71" s="741">
        <v>1.5175000000000001</v>
      </c>
      <c r="X71" s="741">
        <v>1.5135000000000001</v>
      </c>
      <c r="Y71" s="741">
        <v>6.4474999999999998</v>
      </c>
      <c r="Z71" s="2088">
        <v>0</v>
      </c>
      <c r="AA71" s="2088">
        <v>0.24790198390933219</v>
      </c>
      <c r="AB71" s="2115">
        <v>0.24790198390933219</v>
      </c>
    </row>
    <row r="72" spans="2:28">
      <c r="B72" s="2098">
        <v>88</v>
      </c>
      <c r="C72" s="2090"/>
      <c r="D72" s="2090">
        <v>5.7119999999999997</v>
      </c>
      <c r="E72" s="2090">
        <v>2.7149999999999999</v>
      </c>
      <c r="F72" s="2090">
        <v>2.7050000000000001</v>
      </c>
      <c r="G72" s="2090">
        <v>5.7119999999999997</v>
      </c>
      <c r="H72" s="2091">
        <v>0</v>
      </c>
      <c r="I72" s="2091">
        <v>0.47356442577030816</v>
      </c>
      <c r="J72" s="2099">
        <v>0.47356442577030816</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6.0549999999999997</v>
      </c>
      <c r="W72" s="1707">
        <v>1.4275</v>
      </c>
      <c r="X72" s="1707">
        <v>1.4225000000000001</v>
      </c>
      <c r="Y72" s="1707">
        <v>6.0549999999999997</v>
      </c>
      <c r="Z72" s="2093">
        <v>0</v>
      </c>
      <c r="AA72" s="2093">
        <v>0.24772313192235321</v>
      </c>
      <c r="AB72" s="2114">
        <v>0.24772313192235321</v>
      </c>
    </row>
    <row r="73" spans="2:28">
      <c r="B73" s="89">
        <v>89</v>
      </c>
      <c r="C73" s="1"/>
      <c r="D73" s="1">
        <v>5.3979999999999997</v>
      </c>
      <c r="E73" s="1">
        <v>2.5489999999999999</v>
      </c>
      <c r="F73" s="1">
        <v>2.5379999999999998</v>
      </c>
      <c r="G73" s="1">
        <v>5.3979999999999997</v>
      </c>
      <c r="H73" s="742">
        <v>0</v>
      </c>
      <c r="I73" s="742">
        <v>0.47017413856984069</v>
      </c>
      <c r="J73" s="2099">
        <v>0.47017413856984069</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5.7024999999999997</v>
      </c>
      <c r="W73" s="741">
        <v>1.333</v>
      </c>
      <c r="X73" s="741">
        <v>1.3274999999999999</v>
      </c>
      <c r="Y73" s="741">
        <v>5.7024999999999997</v>
      </c>
      <c r="Z73" s="2088">
        <v>0</v>
      </c>
      <c r="AA73" s="2088">
        <v>0.24482570754028909</v>
      </c>
      <c r="AB73" s="2115">
        <v>0.24482570754028909</v>
      </c>
    </row>
    <row r="74" spans="2:28">
      <c r="B74" s="2098">
        <v>90</v>
      </c>
      <c r="C74" s="2090"/>
      <c r="D74" s="2090">
        <v>5.1150000000000002</v>
      </c>
      <c r="E74" s="2090">
        <v>2.387</v>
      </c>
      <c r="F74" s="2090">
        <v>2.3759999999999999</v>
      </c>
      <c r="G74" s="2090">
        <v>5.1150000000000002</v>
      </c>
      <c r="H74" s="2091">
        <v>0</v>
      </c>
      <c r="I74" s="2091">
        <v>0.46451612903225803</v>
      </c>
      <c r="J74" s="2099">
        <v>0.46451612903225803</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5.3849999999999998</v>
      </c>
      <c r="W74" s="1707">
        <v>1.242</v>
      </c>
      <c r="X74" s="1707">
        <v>1.2364999999999999</v>
      </c>
      <c r="Y74" s="1707">
        <v>5.3849999999999998</v>
      </c>
      <c r="Z74" s="2093">
        <v>0</v>
      </c>
      <c r="AA74" s="2093">
        <v>0.2408345455064031</v>
      </c>
      <c r="AB74" s="2114">
        <v>0.2408345455064031</v>
      </c>
    </row>
    <row r="75" spans="2:28">
      <c r="B75" s="89">
        <v>91</v>
      </c>
      <c r="C75" s="1"/>
      <c r="D75" s="1">
        <v>4.8499999999999996</v>
      </c>
      <c r="E75" s="1">
        <v>2.2040000000000002</v>
      </c>
      <c r="F75" s="1">
        <v>2.1920000000000002</v>
      </c>
      <c r="G75" s="1">
        <v>4.8499999999999996</v>
      </c>
      <c r="H75" s="742">
        <v>0</v>
      </c>
      <c r="I75" s="742">
        <v>0.45195876288659803</v>
      </c>
      <c r="J75" s="2099">
        <v>0.45195876288659803</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5.0909999999999993</v>
      </c>
      <c r="W75" s="741">
        <v>1.1420000000000001</v>
      </c>
      <c r="X75" s="741">
        <v>1.1360000000000001</v>
      </c>
      <c r="Y75" s="741">
        <v>5.0909999999999993</v>
      </c>
      <c r="Z75" s="2088">
        <v>0</v>
      </c>
      <c r="AA75" s="2088">
        <v>0.23348125691216623</v>
      </c>
      <c r="AB75" s="2115">
        <v>0.23348125691216623</v>
      </c>
    </row>
    <row r="76" spans="2:28">
      <c r="B76" s="2098">
        <v>92</v>
      </c>
      <c r="C76" s="2090"/>
      <c r="D76" s="2090">
        <v>4.6040000000000001</v>
      </c>
      <c r="E76" s="2090">
        <v>2.0350000000000001</v>
      </c>
      <c r="F76" s="2090">
        <v>2.024</v>
      </c>
      <c r="G76" s="2090">
        <v>4.6040000000000001</v>
      </c>
      <c r="H76" s="2091">
        <v>0</v>
      </c>
      <c r="I76" s="2091">
        <v>0.43961772371850566</v>
      </c>
      <c r="J76" s="2099">
        <v>0.43961772371850566</v>
      </c>
      <c r="K76" s="2098">
        <v>92</v>
      </c>
      <c r="L76" s="2090">
        <v>0</v>
      </c>
      <c r="M76" s="2090">
        <v>5.0289999999999999</v>
      </c>
      <c r="N76" s="2092">
        <v>6.5000000000000002E-2</v>
      </c>
      <c r="O76" s="2090">
        <v>6.5000000000000002E-2</v>
      </c>
      <c r="P76" s="2090">
        <v>5.0289999999999999</v>
      </c>
      <c r="Q76" s="2091">
        <v>0</v>
      </c>
      <c r="R76" s="2091">
        <v>1.2925034798170611E-2</v>
      </c>
      <c r="S76" s="2099">
        <v>1.2925034798170611E-2</v>
      </c>
      <c r="T76" s="2098">
        <v>92</v>
      </c>
      <c r="U76" s="1707">
        <v>0</v>
      </c>
      <c r="V76" s="1707">
        <v>4.8164999999999996</v>
      </c>
      <c r="W76" s="1707">
        <v>1.05</v>
      </c>
      <c r="X76" s="1707">
        <v>1.0445</v>
      </c>
      <c r="Y76" s="1707">
        <v>4.8164999999999996</v>
      </c>
      <c r="Z76" s="2093">
        <v>0</v>
      </c>
      <c r="AA76" s="2093">
        <v>0.22627137925833812</v>
      </c>
      <c r="AB76" s="2114">
        <v>0.22627137925833812</v>
      </c>
    </row>
    <row r="77" spans="2:28">
      <c r="B77" s="89">
        <v>93</v>
      </c>
      <c r="C77" s="1"/>
      <c r="D77" s="1">
        <v>4.3760000000000003</v>
      </c>
      <c r="E77" s="1">
        <v>1.85</v>
      </c>
      <c r="F77" s="1">
        <v>1.839</v>
      </c>
      <c r="G77" s="1">
        <v>4.3760000000000003</v>
      </c>
      <c r="H77" s="742">
        <v>0</v>
      </c>
      <c r="I77" s="742">
        <v>0.42024680073126136</v>
      </c>
      <c r="J77" s="2099">
        <v>0.42024680073126136</v>
      </c>
      <c r="K77" s="89">
        <v>93</v>
      </c>
      <c r="L77" s="1">
        <v>0</v>
      </c>
      <c r="M77" s="1">
        <v>4.7469999999999999</v>
      </c>
      <c r="N77" s="1427">
        <v>5.2999999999999999E-2</v>
      </c>
      <c r="O77" s="1">
        <v>5.2999999999999999E-2</v>
      </c>
      <c r="P77" s="1">
        <v>4.7469999999999999</v>
      </c>
      <c r="Q77" s="742">
        <v>0</v>
      </c>
      <c r="R77" s="742">
        <v>1.1164946281862228E-2</v>
      </c>
      <c r="S77" s="2100">
        <v>1.1164946281862228E-2</v>
      </c>
      <c r="T77" s="89">
        <v>93</v>
      </c>
      <c r="U77" s="741">
        <v>0</v>
      </c>
      <c r="V77" s="741">
        <v>4.5615000000000006</v>
      </c>
      <c r="W77" s="741">
        <v>0.95150000000000001</v>
      </c>
      <c r="X77" s="741">
        <v>0.94599999999999995</v>
      </c>
      <c r="Y77" s="741">
        <v>4.5615000000000006</v>
      </c>
      <c r="Z77" s="2088">
        <v>0</v>
      </c>
      <c r="AA77" s="2088">
        <v>0.21570587350656178</v>
      </c>
      <c r="AB77" s="2115">
        <v>0.21570587350656178</v>
      </c>
    </row>
    <row r="78" spans="2:28">
      <c r="B78" s="2098">
        <v>94</v>
      </c>
      <c r="C78" s="2090"/>
      <c r="D78" s="2090">
        <v>4.1660000000000004</v>
      </c>
      <c r="E78" s="2090">
        <v>1.6830000000000001</v>
      </c>
      <c r="F78" s="2090">
        <v>1.6739999999999999</v>
      </c>
      <c r="G78" s="2090">
        <v>4.1660000000000004</v>
      </c>
      <c r="H78" s="2091">
        <v>0</v>
      </c>
      <c r="I78" s="2091">
        <v>0.40182429188670182</v>
      </c>
      <c r="J78" s="2099">
        <v>0.40182429188670182</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4.3254999999999999</v>
      </c>
      <c r="W78" s="1707">
        <v>0.86250000000000004</v>
      </c>
      <c r="X78" s="1707">
        <v>0.85799999999999998</v>
      </c>
      <c r="Y78" s="1707">
        <v>4.3254999999999999</v>
      </c>
      <c r="Z78" s="2093">
        <v>0</v>
      </c>
      <c r="AA78" s="2093">
        <v>0.20559442019084256</v>
      </c>
      <c r="AB78" s="2114">
        <v>0.20559442019084256</v>
      </c>
    </row>
    <row r="79" spans="2:28">
      <c r="B79" s="89">
        <v>95</v>
      </c>
      <c r="C79" s="1"/>
      <c r="D79" s="1">
        <v>3.9740000000000002</v>
      </c>
      <c r="E79" s="1">
        <v>1.5349999999999999</v>
      </c>
      <c r="F79" s="1">
        <v>1.528</v>
      </c>
      <c r="G79" s="1">
        <v>3.9740000000000002</v>
      </c>
      <c r="H79" s="742">
        <v>0</v>
      </c>
      <c r="I79" s="742">
        <v>0.38449924509310518</v>
      </c>
      <c r="J79" s="2099">
        <v>0.38449924509310518</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4.1095000000000006</v>
      </c>
      <c r="W79" s="741">
        <v>0.78449999999999998</v>
      </c>
      <c r="X79" s="741">
        <v>0.78100000000000003</v>
      </c>
      <c r="Y79" s="741">
        <v>4.1095000000000006</v>
      </c>
      <c r="Z79" s="2088">
        <v>0</v>
      </c>
      <c r="AA79" s="2088">
        <v>0.1962543339717587</v>
      </c>
      <c r="AB79" s="2115">
        <v>0.1962543339717587</v>
      </c>
    </row>
    <row r="80" spans="2:28">
      <c r="B80" s="2098">
        <v>96</v>
      </c>
      <c r="C80" s="2090"/>
      <c r="D80" s="2090">
        <v>3.798</v>
      </c>
      <c r="E80" s="2090">
        <v>1.371</v>
      </c>
      <c r="F80" s="2090">
        <v>1.3640000000000001</v>
      </c>
      <c r="G80" s="2090">
        <v>3.798</v>
      </c>
      <c r="H80" s="2091">
        <v>0</v>
      </c>
      <c r="I80" s="2091">
        <v>0.35913638757240657</v>
      </c>
      <c r="J80" s="2099">
        <v>0.35913638757240657</v>
      </c>
      <c r="K80" s="2098">
        <v>96</v>
      </c>
      <c r="L80" s="2090">
        <v>0</v>
      </c>
      <c r="M80" s="2090">
        <v>4.024</v>
      </c>
      <c r="N80" s="2092">
        <v>2.7E-2</v>
      </c>
      <c r="O80" s="2090">
        <v>2.7E-2</v>
      </c>
      <c r="P80" s="2090">
        <v>4.024</v>
      </c>
      <c r="Q80" s="2091">
        <v>0</v>
      </c>
      <c r="R80" s="2091">
        <v>6.7097415506958248E-3</v>
      </c>
      <c r="S80" s="2099">
        <v>6.7097415506958248E-3</v>
      </c>
      <c r="T80" s="2098">
        <v>96</v>
      </c>
      <c r="U80" s="1707">
        <v>0</v>
      </c>
      <c r="V80" s="1707">
        <v>3.911</v>
      </c>
      <c r="W80" s="1707">
        <v>0.69899999999999995</v>
      </c>
      <c r="X80" s="1707">
        <v>0.69550000000000001</v>
      </c>
      <c r="Y80" s="1707">
        <v>3.911</v>
      </c>
      <c r="Z80" s="2093">
        <v>0</v>
      </c>
      <c r="AA80" s="2093">
        <v>0.18292306456155119</v>
      </c>
      <c r="AB80" s="2114">
        <v>0.18292306456155119</v>
      </c>
    </row>
    <row r="81" spans="2:28">
      <c r="B81" s="89">
        <v>97</v>
      </c>
      <c r="C81" s="1"/>
      <c r="D81" s="1">
        <v>3.6389999999999998</v>
      </c>
      <c r="E81" s="1">
        <v>1.216</v>
      </c>
      <c r="F81" s="1">
        <v>1.2110000000000001</v>
      </c>
      <c r="G81" s="1">
        <v>3.6389999999999998</v>
      </c>
      <c r="H81" s="742">
        <v>0</v>
      </c>
      <c r="I81" s="742">
        <v>0.33278373179444909</v>
      </c>
      <c r="J81" s="2099">
        <v>0.33278373179444909</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3.7314999999999996</v>
      </c>
      <c r="W81" s="741">
        <v>0.61849999999999994</v>
      </c>
      <c r="X81" s="741">
        <v>0.61599999999999999</v>
      </c>
      <c r="Y81" s="741">
        <v>3.7314999999999996</v>
      </c>
      <c r="Z81" s="2088">
        <v>0</v>
      </c>
      <c r="AA81" s="2088">
        <v>0.16913768179680613</v>
      </c>
      <c r="AB81" s="2115">
        <v>0.16913768179680613</v>
      </c>
    </row>
    <row r="82" spans="2:28">
      <c r="B82" s="2098">
        <v>98</v>
      </c>
      <c r="C82" s="2090"/>
      <c r="D82" s="2090">
        <v>3.4950000000000001</v>
      </c>
      <c r="E82" s="2090">
        <v>1.0409999999999999</v>
      </c>
      <c r="F82" s="2090">
        <v>1.038</v>
      </c>
      <c r="G82" s="2090">
        <v>3.4950000000000001</v>
      </c>
      <c r="H82" s="2091">
        <v>0</v>
      </c>
      <c r="I82" s="2091">
        <v>0.29699570815450643</v>
      </c>
      <c r="J82" s="2099">
        <v>0.29699570815450643</v>
      </c>
      <c r="K82" s="2098">
        <v>98</v>
      </c>
      <c r="L82" s="2090">
        <v>0</v>
      </c>
      <c r="M82" s="2090">
        <v>3.6429999999999998</v>
      </c>
      <c r="N82" s="2092">
        <v>1.7000000000000001E-2</v>
      </c>
      <c r="O82" s="2090">
        <v>1.7000000000000001E-2</v>
      </c>
      <c r="P82" s="2090">
        <v>3.6429999999999998</v>
      </c>
      <c r="Q82" s="2091">
        <v>0</v>
      </c>
      <c r="R82" s="2091">
        <v>4.6664836673071652E-3</v>
      </c>
      <c r="S82" s="2099">
        <v>4.6664836673071652E-3</v>
      </c>
      <c r="T82" s="2098">
        <v>98</v>
      </c>
      <c r="U82" s="1707">
        <v>0</v>
      </c>
      <c r="V82" s="1707">
        <v>3.569</v>
      </c>
      <c r="W82" s="1707">
        <v>0.52899999999999991</v>
      </c>
      <c r="X82" s="1707">
        <v>0.52749999999999997</v>
      </c>
      <c r="Y82" s="1707">
        <v>3.569</v>
      </c>
      <c r="Z82" s="2093">
        <v>0</v>
      </c>
      <c r="AA82" s="2093">
        <v>0.15083109591090679</v>
      </c>
      <c r="AB82" s="2114">
        <v>0.15083109591090679</v>
      </c>
    </row>
    <row r="83" spans="2:28">
      <c r="B83" s="89">
        <v>99</v>
      </c>
      <c r="C83" s="1"/>
      <c r="D83" s="1">
        <v>3.3639999999999999</v>
      </c>
      <c r="E83" s="1">
        <v>0.84799999999999998</v>
      </c>
      <c r="F83" s="1">
        <v>0.84499999999999997</v>
      </c>
      <c r="G83" s="1">
        <v>3.3639999999999999</v>
      </c>
      <c r="H83" s="742">
        <v>0</v>
      </c>
      <c r="I83" s="742">
        <v>0.25118906064209273</v>
      </c>
      <c r="J83" s="2099">
        <v>0.25118906064209273</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3.4219999999999997</v>
      </c>
      <c r="W83" s="741">
        <v>0.43049999999999999</v>
      </c>
      <c r="X83" s="741">
        <v>0.42899999999999999</v>
      </c>
      <c r="Y83" s="741">
        <v>3.4219999999999997</v>
      </c>
      <c r="Z83" s="2088">
        <v>0</v>
      </c>
      <c r="AA83" s="2088">
        <v>0.12746234641300039</v>
      </c>
      <c r="AB83" s="2115">
        <v>0.12746234641300039</v>
      </c>
    </row>
    <row r="84" spans="2:28" ht="15" thickBot="1">
      <c r="B84" s="2101">
        <v>100</v>
      </c>
      <c r="C84" s="2102"/>
      <c r="D84" s="2102">
        <v>3.2450000000000001</v>
      </c>
      <c r="E84" s="2102">
        <v>0.67200000000000004</v>
      </c>
      <c r="F84" s="2102">
        <v>0.67</v>
      </c>
      <c r="G84" s="2102">
        <v>3.2450000000000001</v>
      </c>
      <c r="H84" s="2103">
        <v>0</v>
      </c>
      <c r="I84" s="2103">
        <v>0.20647149460708783</v>
      </c>
      <c r="J84" s="2099">
        <v>0.20647149460708783</v>
      </c>
      <c r="K84" s="2101">
        <v>100</v>
      </c>
      <c r="L84" s="2102">
        <v>0</v>
      </c>
      <c r="M84" s="2102">
        <v>3.335</v>
      </c>
      <c r="N84" s="2109">
        <v>0.01</v>
      </c>
      <c r="O84" s="2102">
        <v>0.01</v>
      </c>
      <c r="P84" s="2102">
        <v>3.335</v>
      </c>
      <c r="Q84" s="2103">
        <v>0</v>
      </c>
      <c r="R84" s="2103">
        <v>2.9985007496251873E-3</v>
      </c>
      <c r="S84" s="2104">
        <v>2.9985007496251873E-3</v>
      </c>
      <c r="T84" s="2101">
        <v>100</v>
      </c>
      <c r="U84" s="2116">
        <v>0</v>
      </c>
      <c r="V84" s="2116">
        <v>3.29</v>
      </c>
      <c r="W84" s="2116">
        <v>0.34100000000000003</v>
      </c>
      <c r="X84" s="2116">
        <v>0.34</v>
      </c>
      <c r="Y84" s="2116">
        <v>3.29</v>
      </c>
      <c r="Z84" s="2117">
        <v>0</v>
      </c>
      <c r="AA84" s="2117">
        <v>0.10473499767835651</v>
      </c>
      <c r="AB84" s="2118">
        <v>0.10473499767835651</v>
      </c>
    </row>
  </sheetData>
  <mergeCells count="4">
    <mergeCell ref="B2:B3"/>
    <mergeCell ref="H2:J2"/>
    <mergeCell ref="Q2:S2"/>
    <mergeCell ref="Z2:AB2"/>
  </mergeCell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8" activePane="bottomLeft"/>
      <selection activeCell="B44" sqref="B44:AB44"/>
      <selection pane="bottomLeft" activeCell="C34" sqref="C3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178</v>
      </c>
      <c r="B2" s="4015" t="s">
        <v>7</v>
      </c>
      <c r="C2" s="2095" t="s">
        <v>0</v>
      </c>
      <c r="D2" s="2095" t="s">
        <v>1</v>
      </c>
      <c r="E2" s="2095" t="s">
        <v>2</v>
      </c>
      <c r="F2" s="2095" t="s">
        <v>1698</v>
      </c>
      <c r="G2" s="2095" t="s">
        <v>1952</v>
      </c>
      <c r="H2" s="4011" t="s">
        <v>5</v>
      </c>
      <c r="I2" s="4011"/>
      <c r="J2" s="4012"/>
      <c r="K2" s="2105"/>
      <c r="L2" s="2106" t="s">
        <v>0</v>
      </c>
      <c r="M2" s="2106" t="s">
        <v>1</v>
      </c>
      <c r="N2" s="2106" t="s">
        <v>2</v>
      </c>
      <c r="O2" s="2106" t="s">
        <v>1698</v>
      </c>
      <c r="P2" s="2106" t="str">
        <f>+G2</f>
        <v>Anwartschafts-barwert
Altersrente</v>
      </c>
      <c r="Q2" s="4013" t="s">
        <v>6</v>
      </c>
      <c r="R2" s="4013"/>
      <c r="S2" s="4014"/>
      <c r="T2" s="2110"/>
      <c r="U2" s="2111" t="s">
        <v>0</v>
      </c>
      <c r="V2" s="2111" t="s">
        <v>1</v>
      </c>
      <c r="W2" s="2111" t="s">
        <v>2</v>
      </c>
      <c r="X2" s="2111" t="s">
        <v>1698</v>
      </c>
      <c r="Y2" s="2111" t="str">
        <f>+P2</f>
        <v>Anwartschafts-barwert
Altersrente</v>
      </c>
      <c r="Z2" s="4017" t="s">
        <v>6</v>
      </c>
      <c r="AA2" s="4017"/>
      <c r="AB2" s="4018"/>
    </row>
    <row r="3" spans="1:28" s="2" customFormat="1" ht="12.75">
      <c r="A3" s="60">
        <v>43112</v>
      </c>
      <c r="B3" s="4016"/>
      <c r="C3" s="2089" t="s">
        <v>179</v>
      </c>
      <c r="D3" s="2089" t="s">
        <v>180</v>
      </c>
      <c r="E3" s="2089" t="s">
        <v>181</v>
      </c>
      <c r="F3" s="2089"/>
      <c r="G3" s="2089"/>
      <c r="H3" s="1108" t="s">
        <v>8</v>
      </c>
      <c r="I3" s="1108" t="s">
        <v>9</v>
      </c>
      <c r="J3" s="2097" t="s">
        <v>10</v>
      </c>
      <c r="K3" s="2107" t="s">
        <v>7</v>
      </c>
      <c r="L3" s="1109" t="s">
        <v>182</v>
      </c>
      <c r="M3" s="1109" t="s">
        <v>183</v>
      </c>
      <c r="N3" s="1109" t="s">
        <v>26</v>
      </c>
      <c r="O3" s="1109"/>
      <c r="P3" s="1109"/>
      <c r="Q3" s="1109" t="s">
        <v>8</v>
      </c>
      <c r="R3" s="1109" t="s">
        <v>9</v>
      </c>
      <c r="S3" s="2108" t="s">
        <v>10</v>
      </c>
      <c r="T3" s="2127" t="s">
        <v>7</v>
      </c>
      <c r="U3" s="2128" t="s">
        <v>182</v>
      </c>
      <c r="V3" s="2128" t="s">
        <v>183</v>
      </c>
      <c r="W3" s="2128" t="s">
        <v>26</v>
      </c>
      <c r="X3" s="2128"/>
      <c r="Y3" s="2128"/>
      <c r="Z3" s="2128" t="s">
        <v>8</v>
      </c>
      <c r="AA3" s="2128" t="s">
        <v>9</v>
      </c>
      <c r="AB3" s="2129" t="s">
        <v>10</v>
      </c>
    </row>
    <row r="4" spans="1:28">
      <c r="B4" s="2098">
        <v>20</v>
      </c>
      <c r="C4" s="2090">
        <v>0.22700000000000001</v>
      </c>
      <c r="D4" s="2090">
        <v>5.6020000000000003</v>
      </c>
      <c r="E4" s="2090">
        <v>0.53</v>
      </c>
      <c r="F4" s="2090">
        <v>0.53</v>
      </c>
      <c r="G4" s="2090">
        <v>5.375</v>
      </c>
      <c r="H4" s="2091">
        <v>4.2232558139534887E-2</v>
      </c>
      <c r="I4" s="2091">
        <v>9.8604651162790699E-2</v>
      </c>
      <c r="J4" s="2099">
        <v>0.14083720930232557</v>
      </c>
      <c r="K4" s="2098">
        <v>20</v>
      </c>
      <c r="L4" s="2090">
        <v>0.24</v>
      </c>
      <c r="M4" s="2090">
        <v>6.375</v>
      </c>
      <c r="N4" s="2092">
        <v>0.13100000000000001</v>
      </c>
      <c r="O4" s="2090">
        <v>0.13100000000000001</v>
      </c>
      <c r="P4" s="2090">
        <v>6.1349999999999998</v>
      </c>
      <c r="Q4" s="2091">
        <v>3.9119804400977995E-2</v>
      </c>
      <c r="R4" s="2091">
        <v>2.1352893235533823E-2</v>
      </c>
      <c r="S4" s="2099">
        <v>6.0472697636511821E-2</v>
      </c>
      <c r="T4" s="2098">
        <v>20</v>
      </c>
      <c r="U4" s="1707">
        <v>0.23349999999999999</v>
      </c>
      <c r="V4" s="1707">
        <v>5.9885000000000002</v>
      </c>
      <c r="W4" s="1707">
        <v>0.33050000000000002</v>
      </c>
      <c r="X4" s="1707">
        <v>0.33050000000000002</v>
      </c>
      <c r="Y4" s="1707">
        <v>5.7549999999999999</v>
      </c>
      <c r="Z4" s="2093">
        <v>4.0676181270256441E-2</v>
      </c>
      <c r="AA4" s="2093">
        <v>5.9978772199162263E-2</v>
      </c>
      <c r="AB4" s="2114">
        <v>0.10065495346941869</v>
      </c>
    </row>
    <row r="5" spans="1:28">
      <c r="B5" s="89">
        <v>21</v>
      </c>
      <c r="C5" s="1">
        <v>0.26</v>
      </c>
      <c r="D5" s="1">
        <v>5.7729999999999997</v>
      </c>
      <c r="E5" s="1">
        <v>0.61599999999999999</v>
      </c>
      <c r="F5" s="1">
        <v>0.61599999999999999</v>
      </c>
      <c r="G5" s="1">
        <v>5.5129999999999999</v>
      </c>
      <c r="H5" s="742">
        <v>4.716125521494649E-2</v>
      </c>
      <c r="I5" s="742">
        <v>0.11173589697079631</v>
      </c>
      <c r="J5" s="2099">
        <v>0.1588971521857428</v>
      </c>
      <c r="K5" s="89">
        <v>21</v>
      </c>
      <c r="L5" s="1">
        <v>0.28799999999999998</v>
      </c>
      <c r="M5" s="1">
        <v>6.5659999999999998</v>
      </c>
      <c r="N5" s="1427">
        <v>0.158</v>
      </c>
      <c r="O5" s="1">
        <v>0.158</v>
      </c>
      <c r="P5" s="1">
        <v>6.2779999999999996</v>
      </c>
      <c r="Q5" s="742">
        <v>4.5874482319209937E-2</v>
      </c>
      <c r="R5" s="742">
        <v>2.5167250716788787E-2</v>
      </c>
      <c r="S5" s="2100">
        <v>7.1041733035998728E-2</v>
      </c>
      <c r="T5" s="89">
        <v>21</v>
      </c>
      <c r="U5" s="741">
        <v>0.27400000000000002</v>
      </c>
      <c r="V5" s="741">
        <v>6.1694999999999993</v>
      </c>
      <c r="W5" s="741">
        <v>0.38700000000000001</v>
      </c>
      <c r="X5" s="741">
        <v>0.38700000000000001</v>
      </c>
      <c r="Y5" s="741">
        <v>5.8955000000000002</v>
      </c>
      <c r="Z5" s="2088">
        <v>4.651786876707821E-2</v>
      </c>
      <c r="AA5" s="2088">
        <v>6.8451573843792551E-2</v>
      </c>
      <c r="AB5" s="2115">
        <v>0.11496944261087076</v>
      </c>
    </row>
    <row r="6" spans="1:28">
      <c r="B6" s="2098">
        <v>22</v>
      </c>
      <c r="C6" s="2090">
        <v>0.29599999999999999</v>
      </c>
      <c r="D6" s="2090">
        <v>5.9480000000000004</v>
      </c>
      <c r="E6" s="2090">
        <v>0.70799999999999996</v>
      </c>
      <c r="F6" s="2090">
        <v>0.70799999999999996</v>
      </c>
      <c r="G6" s="2090">
        <v>5.6520000000000001</v>
      </c>
      <c r="H6" s="2091">
        <v>5.2370842179759375E-2</v>
      </c>
      <c r="I6" s="2091">
        <v>0.12526539278131635</v>
      </c>
      <c r="J6" s="2099">
        <v>0.17763623496107572</v>
      </c>
      <c r="K6" s="2098">
        <v>22</v>
      </c>
      <c r="L6" s="2090">
        <v>0.33200000000000002</v>
      </c>
      <c r="M6" s="2090">
        <v>6.7619999999999996</v>
      </c>
      <c r="N6" s="2092">
        <v>0.184</v>
      </c>
      <c r="O6" s="2090">
        <v>0.184</v>
      </c>
      <c r="P6" s="2090">
        <v>6.43</v>
      </c>
      <c r="Q6" s="2091">
        <v>5.1632970451010889E-2</v>
      </c>
      <c r="R6" s="2091">
        <v>2.8615863141524107E-2</v>
      </c>
      <c r="S6" s="2099">
        <v>8.0248833592534999E-2</v>
      </c>
      <c r="T6" s="2098">
        <v>22</v>
      </c>
      <c r="U6" s="1707">
        <v>0.314</v>
      </c>
      <c r="V6" s="1707">
        <v>6.3550000000000004</v>
      </c>
      <c r="W6" s="1707">
        <v>0.44599999999999995</v>
      </c>
      <c r="X6" s="1707">
        <v>0.44599999999999995</v>
      </c>
      <c r="Y6" s="1707">
        <v>6.0410000000000004</v>
      </c>
      <c r="Z6" s="2093">
        <v>5.2001906315385135E-2</v>
      </c>
      <c r="AA6" s="2093">
        <v>7.6940627961420233E-2</v>
      </c>
      <c r="AB6" s="2114">
        <v>0.12894253427680535</v>
      </c>
    </row>
    <row r="7" spans="1:28">
      <c r="B7" s="89">
        <v>23</v>
      </c>
      <c r="C7" s="1">
        <v>0.33100000000000002</v>
      </c>
      <c r="D7" s="1">
        <v>6.1269999999999998</v>
      </c>
      <c r="E7" s="1">
        <v>0.80300000000000005</v>
      </c>
      <c r="F7" s="1">
        <v>0.80300000000000005</v>
      </c>
      <c r="G7" s="1">
        <v>5.7959999999999994</v>
      </c>
      <c r="H7" s="742">
        <v>5.7108350586611463E-2</v>
      </c>
      <c r="I7" s="742">
        <v>0.13854382332643206</v>
      </c>
      <c r="J7" s="2099">
        <v>0.19565217391304351</v>
      </c>
      <c r="K7" s="89">
        <v>23</v>
      </c>
      <c r="L7" s="1">
        <v>0.36899999999999999</v>
      </c>
      <c r="M7" s="1">
        <v>6.9630000000000001</v>
      </c>
      <c r="N7" s="1427">
        <v>0.20599999999999999</v>
      </c>
      <c r="O7" s="1">
        <v>0.20599999999999999</v>
      </c>
      <c r="P7" s="1">
        <v>6.5940000000000003</v>
      </c>
      <c r="Q7" s="742">
        <v>5.5959963603275702E-2</v>
      </c>
      <c r="R7" s="742">
        <v>3.1240521686381556E-2</v>
      </c>
      <c r="S7" s="2100">
        <v>8.7200485289657265E-2</v>
      </c>
      <c r="T7" s="89">
        <v>23</v>
      </c>
      <c r="U7" s="741">
        <v>0.35</v>
      </c>
      <c r="V7" s="741">
        <v>6.5449999999999999</v>
      </c>
      <c r="W7" s="741">
        <v>0.50450000000000006</v>
      </c>
      <c r="X7" s="741">
        <v>0.50450000000000006</v>
      </c>
      <c r="Y7" s="741">
        <v>6.1950000000000003</v>
      </c>
      <c r="Z7" s="2088">
        <v>5.6534157094943582E-2</v>
      </c>
      <c r="AA7" s="2088">
        <v>8.4892172506406807E-2</v>
      </c>
      <c r="AB7" s="2115">
        <v>0.14142632960135038</v>
      </c>
    </row>
    <row r="8" spans="1:28">
      <c r="B8" s="2098">
        <v>24</v>
      </c>
      <c r="C8" s="2090">
        <v>0.36299999999999999</v>
      </c>
      <c r="D8" s="2090">
        <v>6.31</v>
      </c>
      <c r="E8" s="2090">
        <v>0.89200000000000002</v>
      </c>
      <c r="F8" s="2090">
        <v>0.89200000000000002</v>
      </c>
      <c r="G8" s="2090">
        <v>5.9469999999999992</v>
      </c>
      <c r="H8" s="2091">
        <v>6.1039179418194055E-2</v>
      </c>
      <c r="I8" s="2091">
        <v>0.14999159239952919</v>
      </c>
      <c r="J8" s="2099">
        <v>0.21103077181772326</v>
      </c>
      <c r="K8" s="2098">
        <v>24</v>
      </c>
      <c r="L8" s="2090">
        <v>0.40200000000000002</v>
      </c>
      <c r="M8" s="2090">
        <v>7.17</v>
      </c>
      <c r="N8" s="2092">
        <v>0.22600000000000001</v>
      </c>
      <c r="O8" s="2090">
        <v>0.22600000000000001</v>
      </c>
      <c r="P8" s="2090">
        <v>6.7679999999999998</v>
      </c>
      <c r="Q8" s="2091">
        <v>5.9397163120567378E-2</v>
      </c>
      <c r="R8" s="2091">
        <v>3.3392434988179669E-2</v>
      </c>
      <c r="S8" s="2099">
        <v>9.278959810874704E-2</v>
      </c>
      <c r="T8" s="2098">
        <v>24</v>
      </c>
      <c r="U8" s="1707">
        <v>0.38250000000000001</v>
      </c>
      <c r="V8" s="1707">
        <v>6.74</v>
      </c>
      <c r="W8" s="1707">
        <v>0.55900000000000005</v>
      </c>
      <c r="X8" s="1707">
        <v>0.55900000000000005</v>
      </c>
      <c r="Y8" s="1707">
        <v>6.3574999999999999</v>
      </c>
      <c r="Z8" s="2093">
        <v>6.0218171269380713E-2</v>
      </c>
      <c r="AA8" s="2093">
        <v>9.1692013693854435E-2</v>
      </c>
      <c r="AB8" s="2114">
        <v>0.15191018496323516</v>
      </c>
    </row>
    <row r="9" spans="1:28">
      <c r="B9" s="89">
        <v>25</v>
      </c>
      <c r="C9" s="1">
        <v>0.39</v>
      </c>
      <c r="D9" s="1">
        <v>6.4989999999999997</v>
      </c>
      <c r="E9" s="1">
        <v>0.97399999999999998</v>
      </c>
      <c r="F9" s="1">
        <v>0.97399999999999998</v>
      </c>
      <c r="G9" s="1">
        <v>6.109</v>
      </c>
      <c r="H9" s="742">
        <v>6.3840235717793417E-2</v>
      </c>
      <c r="I9" s="742">
        <v>0.15943689638238664</v>
      </c>
      <c r="J9" s="2099">
        <v>0.22327713210018008</v>
      </c>
      <c r="K9" s="89">
        <v>25</v>
      </c>
      <c r="L9" s="1">
        <v>0.434</v>
      </c>
      <c r="M9" s="1">
        <v>7.3810000000000002</v>
      </c>
      <c r="N9" s="1427">
        <v>0.246</v>
      </c>
      <c r="O9" s="1">
        <v>0.246</v>
      </c>
      <c r="P9" s="1">
        <v>6.9470000000000001</v>
      </c>
      <c r="Q9" s="742">
        <v>6.2473009932344899E-2</v>
      </c>
      <c r="R9" s="742">
        <v>3.5410968763495032E-2</v>
      </c>
      <c r="S9" s="2100">
        <v>9.7883978695839924E-2</v>
      </c>
      <c r="T9" s="89">
        <v>25</v>
      </c>
      <c r="U9" s="741">
        <v>0.41200000000000003</v>
      </c>
      <c r="V9" s="741">
        <v>6.9399999999999995</v>
      </c>
      <c r="W9" s="741">
        <v>0.61</v>
      </c>
      <c r="X9" s="741">
        <v>0.61</v>
      </c>
      <c r="Y9" s="741">
        <v>6.5280000000000005</v>
      </c>
      <c r="Z9" s="2088">
        <v>6.3156622825069161E-2</v>
      </c>
      <c r="AA9" s="2088">
        <v>9.7423932572940838E-2</v>
      </c>
      <c r="AB9" s="2115">
        <v>0.16058055539801</v>
      </c>
    </row>
    <row r="10" spans="1:28">
      <c r="B10" s="2098">
        <v>26</v>
      </c>
      <c r="C10" s="2090">
        <v>0.41499999999999998</v>
      </c>
      <c r="D10" s="2090">
        <v>6.6909999999999998</v>
      </c>
      <c r="E10" s="2090">
        <v>1.052</v>
      </c>
      <c r="F10" s="2090">
        <v>1.052</v>
      </c>
      <c r="G10" s="2090">
        <v>6.2759999999999998</v>
      </c>
      <c r="H10" s="2091">
        <v>6.6124920331421283E-2</v>
      </c>
      <c r="I10" s="2091">
        <v>0.16762268961121735</v>
      </c>
      <c r="J10" s="2099">
        <v>0.23374760994263863</v>
      </c>
      <c r="K10" s="2098">
        <v>26</v>
      </c>
      <c r="L10" s="2090">
        <v>0.46500000000000002</v>
      </c>
      <c r="M10" s="2090">
        <v>7.5970000000000004</v>
      </c>
      <c r="N10" s="2092">
        <v>0.26600000000000001</v>
      </c>
      <c r="O10" s="2090">
        <v>0.26600000000000001</v>
      </c>
      <c r="P10" s="2090">
        <v>7.1320000000000006</v>
      </c>
      <c r="Q10" s="2091">
        <v>6.5199102636006728E-2</v>
      </c>
      <c r="R10" s="2091">
        <v>3.7296690970274819E-2</v>
      </c>
      <c r="S10" s="2099">
        <v>0.10249579360628155</v>
      </c>
      <c r="T10" s="2098">
        <v>26</v>
      </c>
      <c r="U10" s="1707">
        <v>0.44</v>
      </c>
      <c r="V10" s="1707">
        <v>7.1440000000000001</v>
      </c>
      <c r="W10" s="1707">
        <v>0.65900000000000003</v>
      </c>
      <c r="X10" s="1707">
        <v>0.65900000000000003</v>
      </c>
      <c r="Y10" s="1707">
        <v>6.7040000000000006</v>
      </c>
      <c r="Z10" s="2093">
        <v>6.5662011483714006E-2</v>
      </c>
      <c r="AA10" s="2093">
        <v>0.10245969029074609</v>
      </c>
      <c r="AB10" s="2114">
        <v>0.16812170177446009</v>
      </c>
    </row>
    <row r="11" spans="1:28">
      <c r="B11" s="89">
        <v>27</v>
      </c>
      <c r="C11" s="1">
        <v>0.436</v>
      </c>
      <c r="D11" s="1">
        <v>6.8890000000000002</v>
      </c>
      <c r="E11" s="1">
        <v>1.1279999999999999</v>
      </c>
      <c r="F11" s="1">
        <v>1.1279999999999999</v>
      </c>
      <c r="G11" s="1">
        <v>6.4530000000000003</v>
      </c>
      <c r="H11" s="742">
        <v>6.7565473423214006E-2</v>
      </c>
      <c r="I11" s="742">
        <v>0.17480241748024172</v>
      </c>
      <c r="J11" s="2099">
        <v>0.24236789090345573</v>
      </c>
      <c r="K11" s="89">
        <v>27</v>
      </c>
      <c r="L11" s="1">
        <v>0.49399999999999999</v>
      </c>
      <c r="M11" s="1">
        <v>7.8170000000000002</v>
      </c>
      <c r="N11" s="1427">
        <v>0.28599999999999998</v>
      </c>
      <c r="O11" s="1">
        <v>0.28599999999999998</v>
      </c>
      <c r="P11" s="1">
        <v>7.3230000000000004</v>
      </c>
      <c r="Q11" s="742">
        <v>6.7458691792981015E-2</v>
      </c>
      <c r="R11" s="742">
        <v>3.9055032090673215E-2</v>
      </c>
      <c r="S11" s="2100">
        <v>0.10651372388365424</v>
      </c>
      <c r="T11" s="89">
        <v>27</v>
      </c>
      <c r="U11" s="741">
        <v>0.46499999999999997</v>
      </c>
      <c r="V11" s="741">
        <v>7.3529999999999998</v>
      </c>
      <c r="W11" s="741">
        <v>0.70699999999999996</v>
      </c>
      <c r="X11" s="741">
        <v>0.70699999999999996</v>
      </c>
      <c r="Y11" s="741">
        <v>6.8879999999999999</v>
      </c>
      <c r="Z11" s="2088">
        <v>6.7512082608097518E-2</v>
      </c>
      <c r="AA11" s="2088">
        <v>0.10692872478545747</v>
      </c>
      <c r="AB11" s="2115">
        <v>0.174440807393555</v>
      </c>
    </row>
    <row r="12" spans="1:28">
      <c r="B12" s="2098">
        <v>28</v>
      </c>
      <c r="C12" s="2090">
        <v>0.45600000000000002</v>
      </c>
      <c r="D12" s="2090">
        <v>7.0910000000000002</v>
      </c>
      <c r="E12" s="2090">
        <v>1.2010000000000001</v>
      </c>
      <c r="F12" s="2090">
        <v>1.2010000000000001</v>
      </c>
      <c r="G12" s="2090">
        <v>6.6349999999999998</v>
      </c>
      <c r="H12" s="2091">
        <v>6.8726450640542586E-2</v>
      </c>
      <c r="I12" s="2091">
        <v>0.1810097965335343</v>
      </c>
      <c r="J12" s="2099">
        <v>0.24973624717407689</v>
      </c>
      <c r="K12" s="2098">
        <v>28</v>
      </c>
      <c r="L12" s="2090">
        <v>0.52200000000000002</v>
      </c>
      <c r="M12" s="2090">
        <v>8.0429999999999993</v>
      </c>
      <c r="N12" s="2092">
        <v>0.30599999999999999</v>
      </c>
      <c r="O12" s="2090">
        <v>0.30599999999999999</v>
      </c>
      <c r="P12" s="2090">
        <v>7.520999999999999</v>
      </c>
      <c r="Q12" s="2091">
        <v>6.9405664140406872E-2</v>
      </c>
      <c r="R12" s="2091">
        <v>4.0686078978859196E-2</v>
      </c>
      <c r="S12" s="2099">
        <v>0.11009174311926606</v>
      </c>
      <c r="T12" s="2098">
        <v>28</v>
      </c>
      <c r="U12" s="1707">
        <v>0.48899999999999999</v>
      </c>
      <c r="V12" s="1707">
        <v>7.5670000000000002</v>
      </c>
      <c r="W12" s="1707">
        <v>0.75350000000000006</v>
      </c>
      <c r="X12" s="1707">
        <v>0.75350000000000006</v>
      </c>
      <c r="Y12" s="1707">
        <v>7.0779999999999994</v>
      </c>
      <c r="Z12" s="2093">
        <v>6.9066057390474722E-2</v>
      </c>
      <c r="AA12" s="2093">
        <v>0.11084793775619675</v>
      </c>
      <c r="AB12" s="2114">
        <v>0.17991399514667147</v>
      </c>
    </row>
    <row r="13" spans="1:28">
      <c r="B13" s="89">
        <v>29</v>
      </c>
      <c r="C13" s="1">
        <v>0.47299999999999998</v>
      </c>
      <c r="D13" s="1">
        <v>7.298</v>
      </c>
      <c r="E13" s="1">
        <v>1.274</v>
      </c>
      <c r="F13" s="1">
        <v>1.274</v>
      </c>
      <c r="G13" s="1">
        <v>6.8250000000000002</v>
      </c>
      <c r="H13" s="742">
        <v>6.9304029304029305E-2</v>
      </c>
      <c r="I13" s="742">
        <v>0.18666666666666668</v>
      </c>
      <c r="J13" s="2099">
        <v>0.25597069597069599</v>
      </c>
      <c r="K13" s="89">
        <v>29</v>
      </c>
      <c r="L13" s="1">
        <v>0.54700000000000004</v>
      </c>
      <c r="M13" s="1">
        <v>8.2739999999999991</v>
      </c>
      <c r="N13" s="1427">
        <v>0.32600000000000001</v>
      </c>
      <c r="O13" s="1">
        <v>0.32600000000000001</v>
      </c>
      <c r="P13" s="1">
        <v>7.7269999999999994</v>
      </c>
      <c r="Q13" s="742">
        <v>7.0790733790604382E-2</v>
      </c>
      <c r="R13" s="742">
        <v>4.2189724343212116E-2</v>
      </c>
      <c r="S13" s="2100">
        <v>0.11298045813381649</v>
      </c>
      <c r="T13" s="89">
        <v>29</v>
      </c>
      <c r="U13" s="741">
        <v>0.51</v>
      </c>
      <c r="V13" s="741">
        <v>7.7859999999999996</v>
      </c>
      <c r="W13" s="741">
        <v>0.8</v>
      </c>
      <c r="X13" s="741">
        <v>0.8</v>
      </c>
      <c r="Y13" s="741">
        <v>7.2759999999999998</v>
      </c>
      <c r="Z13" s="2088">
        <v>7.004738154731685E-2</v>
      </c>
      <c r="AA13" s="2088">
        <v>0.11442819550493939</v>
      </c>
      <c r="AB13" s="2115">
        <v>0.18447557705225626</v>
      </c>
    </row>
    <row r="14" spans="1:28">
      <c r="B14" s="2098">
        <v>30</v>
      </c>
      <c r="C14" s="2090">
        <v>0.48899999999999999</v>
      </c>
      <c r="D14" s="2090">
        <v>7.5110000000000001</v>
      </c>
      <c r="E14" s="2090">
        <v>1.345</v>
      </c>
      <c r="F14" s="2090">
        <v>1.345</v>
      </c>
      <c r="G14" s="2090">
        <v>7.0220000000000002</v>
      </c>
      <c r="H14" s="2091">
        <v>6.9638279692395319E-2</v>
      </c>
      <c r="I14" s="2091">
        <v>0.19154087154656793</v>
      </c>
      <c r="J14" s="2099">
        <v>0.26117915123896324</v>
      </c>
      <c r="K14" s="2098">
        <v>30</v>
      </c>
      <c r="L14" s="2090">
        <v>0.57099999999999995</v>
      </c>
      <c r="M14" s="2090">
        <v>8.5090000000000003</v>
      </c>
      <c r="N14" s="2092">
        <v>0.34499999999999997</v>
      </c>
      <c r="O14" s="2090">
        <v>0.34499999999999997</v>
      </c>
      <c r="P14" s="2090">
        <v>7.9380000000000006</v>
      </c>
      <c r="Q14" s="2091">
        <v>7.193247669438145E-2</v>
      </c>
      <c r="R14" s="2091">
        <v>4.3461829176114887E-2</v>
      </c>
      <c r="S14" s="2099">
        <v>0.11539430587049634</v>
      </c>
      <c r="T14" s="2098">
        <v>30</v>
      </c>
      <c r="U14" s="1707">
        <v>0.53</v>
      </c>
      <c r="V14" s="1707">
        <v>8.01</v>
      </c>
      <c r="W14" s="1707">
        <v>0.84499999999999997</v>
      </c>
      <c r="X14" s="1707">
        <v>0.84499999999999997</v>
      </c>
      <c r="Y14" s="1707">
        <v>7.48</v>
      </c>
      <c r="Z14" s="2093">
        <v>7.0785378193388385E-2</v>
      </c>
      <c r="AA14" s="2093">
        <v>0.11750135036134141</v>
      </c>
      <c r="AB14" s="2114">
        <v>0.18828672855472978</v>
      </c>
    </row>
    <row r="15" spans="1:28">
      <c r="B15" s="89">
        <v>31</v>
      </c>
      <c r="C15" s="1">
        <v>0.503</v>
      </c>
      <c r="D15" s="1">
        <v>7.73</v>
      </c>
      <c r="E15" s="1">
        <v>1.4159999999999999</v>
      </c>
      <c r="F15" s="1">
        <v>1.4159999999999999</v>
      </c>
      <c r="G15" s="1">
        <v>7.2270000000000003</v>
      </c>
      <c r="H15" s="742">
        <v>6.9600110696001111E-2</v>
      </c>
      <c r="I15" s="742">
        <v>0.19593192195931919</v>
      </c>
      <c r="J15" s="2099">
        <v>0.26553203265532033</v>
      </c>
      <c r="K15" s="89">
        <v>31</v>
      </c>
      <c r="L15" s="1">
        <v>0.59099999999999997</v>
      </c>
      <c r="M15" s="1">
        <v>8.7509999999999994</v>
      </c>
      <c r="N15" s="1427">
        <v>0.36399999999999999</v>
      </c>
      <c r="O15" s="1">
        <v>0.36399999999999999</v>
      </c>
      <c r="P15" s="1">
        <v>8.16</v>
      </c>
      <c r="Q15" s="742">
        <v>7.2426470588235287E-2</v>
      </c>
      <c r="R15" s="742">
        <v>4.4607843137254903E-2</v>
      </c>
      <c r="S15" s="2100">
        <v>0.1170343137254902</v>
      </c>
      <c r="T15" s="89">
        <v>31</v>
      </c>
      <c r="U15" s="741">
        <v>0.54699999999999993</v>
      </c>
      <c r="V15" s="741">
        <v>8.2405000000000008</v>
      </c>
      <c r="W15" s="741">
        <v>0.8899999999999999</v>
      </c>
      <c r="X15" s="741">
        <v>0.8899999999999999</v>
      </c>
      <c r="Y15" s="741">
        <v>7.6935000000000002</v>
      </c>
      <c r="Z15" s="2088">
        <v>7.1013290642118199E-2</v>
      </c>
      <c r="AA15" s="2088">
        <v>0.12026988254828705</v>
      </c>
      <c r="AB15" s="2115">
        <v>0.19128317319040528</v>
      </c>
    </row>
    <row r="16" spans="1:28">
      <c r="B16" s="2098">
        <v>32</v>
      </c>
      <c r="C16" s="2090">
        <v>0.51700000000000002</v>
      </c>
      <c r="D16" s="2090">
        <v>7.9539999999999997</v>
      </c>
      <c r="E16" s="2090">
        <v>1.488</v>
      </c>
      <c r="F16" s="2090">
        <v>1.488</v>
      </c>
      <c r="G16" s="2090">
        <v>7.4369999999999994</v>
      </c>
      <c r="H16" s="2091">
        <v>6.9517278472502358E-2</v>
      </c>
      <c r="I16" s="2091">
        <v>0.200080677692618</v>
      </c>
      <c r="J16" s="2099">
        <v>0.26959795616512039</v>
      </c>
      <c r="K16" s="2098">
        <v>32</v>
      </c>
      <c r="L16" s="2090">
        <v>0.61</v>
      </c>
      <c r="M16" s="2090">
        <v>8.9969999999999999</v>
      </c>
      <c r="N16" s="2092">
        <v>0.38200000000000001</v>
      </c>
      <c r="O16" s="2090">
        <v>0.38200000000000001</v>
      </c>
      <c r="P16" s="2090">
        <v>8.3870000000000005</v>
      </c>
      <c r="Q16" s="2091">
        <v>7.2731608441635856E-2</v>
      </c>
      <c r="R16" s="2091">
        <v>4.5546679384762132E-2</v>
      </c>
      <c r="S16" s="2099">
        <v>0.11827828782639799</v>
      </c>
      <c r="T16" s="2098">
        <v>32</v>
      </c>
      <c r="U16" s="1707">
        <v>0.5635</v>
      </c>
      <c r="V16" s="1707">
        <v>8.4755000000000003</v>
      </c>
      <c r="W16" s="1707">
        <v>0.93500000000000005</v>
      </c>
      <c r="X16" s="1707">
        <v>0.93500000000000005</v>
      </c>
      <c r="Y16" s="1707">
        <v>7.9119999999999999</v>
      </c>
      <c r="Z16" s="2093">
        <v>7.1124443457069114E-2</v>
      </c>
      <c r="AA16" s="2093">
        <v>0.12281367853869007</v>
      </c>
      <c r="AB16" s="2114">
        <v>0.19393812199575919</v>
      </c>
    </row>
    <row r="17" spans="2:28">
      <c r="B17" s="89">
        <v>33</v>
      </c>
      <c r="C17" s="1">
        <v>0.52800000000000002</v>
      </c>
      <c r="D17" s="1">
        <v>8.1839999999999993</v>
      </c>
      <c r="E17" s="1">
        <v>1.5589999999999999</v>
      </c>
      <c r="F17" s="1">
        <v>1.5589999999999999</v>
      </c>
      <c r="G17" s="1">
        <v>7.6559999999999988</v>
      </c>
      <c r="H17" s="742">
        <v>6.8965517241379323E-2</v>
      </c>
      <c r="I17" s="742">
        <v>0.20363113897596657</v>
      </c>
      <c r="J17" s="2099">
        <v>0.27259665621734591</v>
      </c>
      <c r="K17" s="89">
        <v>33</v>
      </c>
      <c r="L17" s="1">
        <v>0.626</v>
      </c>
      <c r="M17" s="1">
        <v>9.25</v>
      </c>
      <c r="N17" s="1427">
        <v>0.4</v>
      </c>
      <c r="O17" s="1">
        <v>0.4</v>
      </c>
      <c r="P17" s="1">
        <v>8.6240000000000006</v>
      </c>
      <c r="Q17" s="742">
        <v>7.2588126159554733E-2</v>
      </c>
      <c r="R17" s="742">
        <v>4.6382189239332093E-2</v>
      </c>
      <c r="S17" s="2100">
        <v>0.11897031539888683</v>
      </c>
      <c r="T17" s="89">
        <v>33</v>
      </c>
      <c r="U17" s="741">
        <v>0.57699999999999996</v>
      </c>
      <c r="V17" s="741">
        <v>8.7169999999999987</v>
      </c>
      <c r="W17" s="741">
        <v>0.97950000000000004</v>
      </c>
      <c r="X17" s="741">
        <v>0.97950000000000004</v>
      </c>
      <c r="Y17" s="741">
        <v>8.14</v>
      </c>
      <c r="Z17" s="2088">
        <v>7.0776821700467035E-2</v>
      </c>
      <c r="AA17" s="2088">
        <v>0.12500666410764932</v>
      </c>
      <c r="AB17" s="2115">
        <v>0.19578348580811639</v>
      </c>
    </row>
    <row r="18" spans="2:28">
      <c r="B18" s="2098">
        <v>34</v>
      </c>
      <c r="C18" s="2090">
        <v>0.53800000000000003</v>
      </c>
      <c r="D18" s="2090">
        <v>8.4209999999999994</v>
      </c>
      <c r="E18" s="2090">
        <v>1.63</v>
      </c>
      <c r="F18" s="2090">
        <v>1.63</v>
      </c>
      <c r="G18" s="2090">
        <v>7.8829999999999991</v>
      </c>
      <c r="H18" s="2091">
        <v>6.8248128884942291E-2</v>
      </c>
      <c r="I18" s="2091">
        <v>0.20677407078523405</v>
      </c>
      <c r="J18" s="2099">
        <v>0.27502219967017633</v>
      </c>
      <c r="K18" s="2098">
        <v>34</v>
      </c>
      <c r="L18" s="2090">
        <v>0.63800000000000001</v>
      </c>
      <c r="M18" s="2090">
        <v>9.5079999999999991</v>
      </c>
      <c r="N18" s="2092">
        <v>0.41799999999999998</v>
      </c>
      <c r="O18" s="2090">
        <v>0.41799999999999998</v>
      </c>
      <c r="P18" s="2090">
        <v>8.8699999999999992</v>
      </c>
      <c r="Q18" s="2091">
        <v>7.1927846674182644E-2</v>
      </c>
      <c r="R18" s="2091">
        <v>4.7125140924464487E-2</v>
      </c>
      <c r="S18" s="2099">
        <v>0.11905298759864713</v>
      </c>
      <c r="T18" s="2098">
        <v>34</v>
      </c>
      <c r="U18" s="1707">
        <v>0.58800000000000008</v>
      </c>
      <c r="V18" s="1707">
        <v>8.9644999999999992</v>
      </c>
      <c r="W18" s="1707">
        <v>1.024</v>
      </c>
      <c r="X18" s="1707">
        <v>1.024</v>
      </c>
      <c r="Y18" s="1707">
        <v>8.3765000000000001</v>
      </c>
      <c r="Z18" s="2093">
        <v>7.0087987779562461E-2</v>
      </c>
      <c r="AA18" s="2093">
        <v>0.12694960585484927</v>
      </c>
      <c r="AB18" s="2114">
        <v>0.19703759363441173</v>
      </c>
    </row>
    <row r="19" spans="2:28">
      <c r="B19" s="89">
        <v>35</v>
      </c>
      <c r="C19" s="1">
        <v>0.54600000000000004</v>
      </c>
      <c r="D19" s="1">
        <v>8.6630000000000003</v>
      </c>
      <c r="E19" s="1">
        <v>1.702</v>
      </c>
      <c r="F19" s="1">
        <v>1.702</v>
      </c>
      <c r="G19" s="1">
        <v>8.1170000000000009</v>
      </c>
      <c r="H19" s="742">
        <v>6.7266231366268317E-2</v>
      </c>
      <c r="I19" s="742">
        <v>0.20968338055931993</v>
      </c>
      <c r="J19" s="2099">
        <v>0.27694961192558826</v>
      </c>
      <c r="K19" s="89">
        <v>35</v>
      </c>
      <c r="L19" s="1">
        <v>0.64700000000000002</v>
      </c>
      <c r="M19" s="1">
        <v>9.7710000000000008</v>
      </c>
      <c r="N19" s="1427">
        <v>0.435</v>
      </c>
      <c r="O19" s="1">
        <v>0.435</v>
      </c>
      <c r="P19" s="1">
        <v>9.1240000000000006</v>
      </c>
      <c r="Q19" s="742">
        <v>7.0911880754055232E-2</v>
      </c>
      <c r="R19" s="742">
        <v>4.7676457693993861E-2</v>
      </c>
      <c r="S19" s="2100">
        <v>0.11858833844804909</v>
      </c>
      <c r="T19" s="89">
        <v>35</v>
      </c>
      <c r="U19" s="741">
        <v>0.59650000000000003</v>
      </c>
      <c r="V19" s="741">
        <v>9.2170000000000005</v>
      </c>
      <c r="W19" s="741">
        <v>1.0685</v>
      </c>
      <c r="X19" s="741">
        <v>1.0685</v>
      </c>
      <c r="Y19" s="741">
        <v>8.6204999999999998</v>
      </c>
      <c r="Z19" s="2088">
        <v>6.9089056060161774E-2</v>
      </c>
      <c r="AA19" s="2088">
        <v>0.12867991912665688</v>
      </c>
      <c r="AB19" s="2115">
        <v>0.19776897518681869</v>
      </c>
    </row>
    <row r="20" spans="2:28">
      <c r="B20" s="2098">
        <v>36</v>
      </c>
      <c r="C20" s="2090">
        <v>0.55100000000000005</v>
      </c>
      <c r="D20" s="2090">
        <v>8.9109999999999996</v>
      </c>
      <c r="E20" s="2090">
        <v>1.774</v>
      </c>
      <c r="F20" s="2090">
        <v>1.774</v>
      </c>
      <c r="G20" s="2090">
        <v>8.36</v>
      </c>
      <c r="H20" s="2091">
        <v>6.5909090909090917E-2</v>
      </c>
      <c r="I20" s="2091">
        <v>0.21220095693779906</v>
      </c>
      <c r="J20" s="2099">
        <v>0.27811004784688997</v>
      </c>
      <c r="K20" s="2098">
        <v>36</v>
      </c>
      <c r="L20" s="2090">
        <v>0.65200000000000002</v>
      </c>
      <c r="M20" s="2090">
        <v>10.039999999999999</v>
      </c>
      <c r="N20" s="2092">
        <v>0.45100000000000001</v>
      </c>
      <c r="O20" s="2090">
        <v>0.45100000000000001</v>
      </c>
      <c r="P20" s="2090">
        <v>9.3879999999999999</v>
      </c>
      <c r="Q20" s="2091">
        <v>6.9450362164465276E-2</v>
      </c>
      <c r="R20" s="2091">
        <v>4.804005112910098E-2</v>
      </c>
      <c r="S20" s="2099">
        <v>0.11749041329356626</v>
      </c>
      <c r="T20" s="2098">
        <v>36</v>
      </c>
      <c r="U20" s="1707">
        <v>0.60150000000000003</v>
      </c>
      <c r="V20" s="1707">
        <v>9.4755000000000003</v>
      </c>
      <c r="W20" s="1707">
        <v>1.1125</v>
      </c>
      <c r="X20" s="1707">
        <v>1.1125</v>
      </c>
      <c r="Y20" s="1707">
        <v>8.8739999999999988</v>
      </c>
      <c r="Z20" s="2093">
        <v>6.767972653677809E-2</v>
      </c>
      <c r="AA20" s="2093">
        <v>0.13012050403345002</v>
      </c>
      <c r="AB20" s="2114">
        <v>0.19780023057022811</v>
      </c>
    </row>
    <row r="21" spans="2:28">
      <c r="B21" s="89">
        <v>37</v>
      </c>
      <c r="C21" s="1">
        <v>0.55100000000000005</v>
      </c>
      <c r="D21" s="1">
        <v>9.1630000000000003</v>
      </c>
      <c r="E21" s="1">
        <v>1.8460000000000001</v>
      </c>
      <c r="F21" s="1">
        <v>1.8460000000000001</v>
      </c>
      <c r="G21" s="1">
        <v>8.6120000000000001</v>
      </c>
      <c r="H21" s="742">
        <v>6.3980492336274966E-2</v>
      </c>
      <c r="I21" s="742">
        <v>0.21435206688341849</v>
      </c>
      <c r="J21" s="2099">
        <v>0.27833255921969347</v>
      </c>
      <c r="K21" s="89">
        <v>37</v>
      </c>
      <c r="L21" s="1">
        <v>0.65100000000000002</v>
      </c>
      <c r="M21" s="1">
        <v>10.313000000000001</v>
      </c>
      <c r="N21" s="1427">
        <v>0.46700000000000003</v>
      </c>
      <c r="O21" s="1">
        <v>0.46700000000000003</v>
      </c>
      <c r="P21" s="1">
        <v>9.6620000000000008</v>
      </c>
      <c r="Q21" s="742">
        <v>6.7377354584972057E-2</v>
      </c>
      <c r="R21" s="742">
        <v>4.8333678327468432E-2</v>
      </c>
      <c r="S21" s="2100">
        <v>0.11571103291244049</v>
      </c>
      <c r="T21" s="89">
        <v>37</v>
      </c>
      <c r="U21" s="741">
        <v>0.60099999999999998</v>
      </c>
      <c r="V21" s="741">
        <v>9.7379999999999995</v>
      </c>
      <c r="W21" s="741">
        <v>1.1565000000000001</v>
      </c>
      <c r="X21" s="741">
        <v>1.1565000000000001</v>
      </c>
      <c r="Y21" s="741">
        <v>9.1370000000000005</v>
      </c>
      <c r="Z21" s="2088">
        <v>6.5678923460623512E-2</v>
      </c>
      <c r="AA21" s="2088">
        <v>0.13134287260544347</v>
      </c>
      <c r="AB21" s="2115">
        <v>0.19702179606606698</v>
      </c>
    </row>
    <row r="22" spans="2:28">
      <c r="B22" s="2098">
        <v>38</v>
      </c>
      <c r="C22" s="2090">
        <v>0.54500000000000004</v>
      </c>
      <c r="D22" s="2090">
        <v>9.42</v>
      </c>
      <c r="E22" s="2090">
        <v>1.919</v>
      </c>
      <c r="F22" s="2090">
        <v>1.919</v>
      </c>
      <c r="G22" s="2090">
        <v>8.875</v>
      </c>
      <c r="H22" s="2091">
        <v>6.1408450704225355E-2</v>
      </c>
      <c r="I22" s="2091">
        <v>0.21622535211267607</v>
      </c>
      <c r="J22" s="2099">
        <v>0.27763380281690142</v>
      </c>
      <c r="K22" s="2098">
        <v>38</v>
      </c>
      <c r="L22" s="2090">
        <v>0.64400000000000002</v>
      </c>
      <c r="M22" s="2090">
        <v>10.590999999999999</v>
      </c>
      <c r="N22" s="2092">
        <v>0.48199999999999998</v>
      </c>
      <c r="O22" s="2090">
        <v>0.48199999999999998</v>
      </c>
      <c r="P22" s="2090">
        <v>9.9469999999999992</v>
      </c>
      <c r="Q22" s="2091">
        <v>6.4743138634764261E-2</v>
      </c>
      <c r="R22" s="2091">
        <v>4.8456821152106165E-2</v>
      </c>
      <c r="S22" s="2099">
        <v>0.11319995978687042</v>
      </c>
      <c r="T22" s="2098">
        <v>38</v>
      </c>
      <c r="U22" s="1707">
        <v>0.59450000000000003</v>
      </c>
      <c r="V22" s="1707">
        <v>10.0055</v>
      </c>
      <c r="W22" s="1707">
        <v>1.2004999999999999</v>
      </c>
      <c r="X22" s="1707">
        <v>1.2004999999999999</v>
      </c>
      <c r="Y22" s="1707">
        <v>9.4109999999999996</v>
      </c>
      <c r="Z22" s="2093">
        <v>6.3075794669494811E-2</v>
      </c>
      <c r="AA22" s="2093">
        <v>0.13234108663239111</v>
      </c>
      <c r="AB22" s="2114">
        <v>0.19541688130188592</v>
      </c>
    </row>
    <row r="23" spans="2:28">
      <c r="B23" s="89">
        <v>39</v>
      </c>
      <c r="C23" s="1">
        <v>0.53500000000000003</v>
      </c>
      <c r="D23" s="1">
        <v>9.6820000000000004</v>
      </c>
      <c r="E23" s="1">
        <v>1.9910000000000001</v>
      </c>
      <c r="F23" s="1">
        <v>1.9910000000000001</v>
      </c>
      <c r="G23" s="1">
        <v>9.1470000000000002</v>
      </c>
      <c r="H23" s="742">
        <v>5.8489122116540941E-2</v>
      </c>
      <c r="I23" s="742">
        <v>0.21766699464305236</v>
      </c>
      <c r="J23" s="2099">
        <v>0.27615611675959328</v>
      </c>
      <c r="K23" s="89">
        <v>39</v>
      </c>
      <c r="L23" s="1">
        <v>0.63200000000000001</v>
      </c>
      <c r="M23" s="1">
        <v>10.874000000000001</v>
      </c>
      <c r="N23" s="1427">
        <v>0.496</v>
      </c>
      <c r="O23" s="1">
        <v>0.496</v>
      </c>
      <c r="P23" s="1">
        <v>10.242000000000001</v>
      </c>
      <c r="Q23" s="742">
        <v>6.1706697910564337E-2</v>
      </c>
      <c r="R23" s="742">
        <v>4.8428041398164416E-2</v>
      </c>
      <c r="S23" s="2100">
        <v>0.11013473930872875</v>
      </c>
      <c r="T23" s="89">
        <v>39</v>
      </c>
      <c r="U23" s="741">
        <v>0.58350000000000002</v>
      </c>
      <c r="V23" s="741">
        <v>10.278</v>
      </c>
      <c r="W23" s="741">
        <v>1.2435</v>
      </c>
      <c r="X23" s="741">
        <v>1.2435</v>
      </c>
      <c r="Y23" s="741">
        <v>9.6945000000000014</v>
      </c>
      <c r="Z23" s="2088">
        <v>6.0097910013552636E-2</v>
      </c>
      <c r="AA23" s="2088">
        <v>0.13304751802060838</v>
      </c>
      <c r="AB23" s="2115">
        <v>0.19314542803416102</v>
      </c>
    </row>
    <row r="24" spans="2:28">
      <c r="B24" s="2098">
        <v>40</v>
      </c>
      <c r="C24" s="2090">
        <v>0.52100000000000002</v>
      </c>
      <c r="D24" s="2090">
        <v>9.9499999999999993</v>
      </c>
      <c r="E24" s="2090">
        <v>2.0640000000000001</v>
      </c>
      <c r="F24" s="2090">
        <v>2.0640000000000001</v>
      </c>
      <c r="G24" s="2090">
        <v>9.4289999999999985</v>
      </c>
      <c r="H24" s="2091">
        <v>5.5255064163750145E-2</v>
      </c>
      <c r="I24" s="2091">
        <v>0.21889914094813875</v>
      </c>
      <c r="J24" s="2099">
        <v>0.27415420511188893</v>
      </c>
      <c r="K24" s="2098">
        <v>40</v>
      </c>
      <c r="L24" s="2090">
        <v>0.61499999999999999</v>
      </c>
      <c r="M24" s="2090">
        <v>11.163</v>
      </c>
      <c r="N24" s="2092">
        <v>0.51</v>
      </c>
      <c r="O24" s="2090">
        <v>0.51</v>
      </c>
      <c r="P24" s="2090">
        <v>10.548</v>
      </c>
      <c r="Q24" s="2091">
        <v>5.8304891922639365E-2</v>
      </c>
      <c r="R24" s="2091">
        <v>4.8350398179749718E-2</v>
      </c>
      <c r="S24" s="2099">
        <v>0.10665529010238908</v>
      </c>
      <c r="T24" s="2098">
        <v>40</v>
      </c>
      <c r="U24" s="1707">
        <v>0.56800000000000006</v>
      </c>
      <c r="V24" s="1707">
        <v>10.5565</v>
      </c>
      <c r="W24" s="1707">
        <v>1.2869999999999999</v>
      </c>
      <c r="X24" s="1707">
        <v>1.2869999999999999</v>
      </c>
      <c r="Y24" s="1707">
        <v>9.9884999999999984</v>
      </c>
      <c r="Z24" s="2093">
        <v>5.6779978043194755E-2</v>
      </c>
      <c r="AA24" s="2093">
        <v>0.13362476956394423</v>
      </c>
      <c r="AB24" s="2114">
        <v>0.19040474760713899</v>
      </c>
    </row>
    <row r="25" spans="2:28">
      <c r="B25" s="89">
        <v>41</v>
      </c>
      <c r="C25" s="1">
        <v>0.505</v>
      </c>
      <c r="D25" s="1">
        <v>10.226000000000001</v>
      </c>
      <c r="E25" s="1">
        <v>2.1389999999999998</v>
      </c>
      <c r="F25" s="1">
        <v>2.1389999999999998</v>
      </c>
      <c r="G25" s="1">
        <v>9.7210000000000001</v>
      </c>
      <c r="H25" s="742">
        <v>5.1949387923053182E-2</v>
      </c>
      <c r="I25" s="742">
        <v>0.22003909062853613</v>
      </c>
      <c r="J25" s="2099">
        <v>0.27198847855158931</v>
      </c>
      <c r="K25" s="89">
        <v>41</v>
      </c>
      <c r="L25" s="1">
        <v>0.59499999999999997</v>
      </c>
      <c r="M25" s="1">
        <v>11.46</v>
      </c>
      <c r="N25" s="1427">
        <v>0.52300000000000002</v>
      </c>
      <c r="O25" s="1">
        <v>0.52300000000000002</v>
      </c>
      <c r="P25" s="1">
        <v>10.865</v>
      </c>
      <c r="Q25" s="742">
        <v>5.4763000460193278E-2</v>
      </c>
      <c r="R25" s="742">
        <v>4.8136217211228717E-2</v>
      </c>
      <c r="S25" s="2100">
        <v>0.10289921767142199</v>
      </c>
      <c r="T25" s="89">
        <v>41</v>
      </c>
      <c r="U25" s="741">
        <v>0.55000000000000004</v>
      </c>
      <c r="V25" s="741">
        <v>10.843</v>
      </c>
      <c r="W25" s="741">
        <v>1.331</v>
      </c>
      <c r="X25" s="741">
        <v>1.331</v>
      </c>
      <c r="Y25" s="741">
        <v>10.292999999999999</v>
      </c>
      <c r="Z25" s="2088">
        <v>5.3356194191623227E-2</v>
      </c>
      <c r="AA25" s="2088">
        <v>0.13408765391988242</v>
      </c>
      <c r="AB25" s="2115">
        <v>0.18744384811150566</v>
      </c>
    </row>
    <row r="26" spans="2:28">
      <c r="B26" s="2098">
        <v>42</v>
      </c>
      <c r="C26" s="2090">
        <v>0.48899999999999999</v>
      </c>
      <c r="D26" s="2090">
        <v>10.512</v>
      </c>
      <c r="E26" s="2090">
        <v>2.214</v>
      </c>
      <c r="F26" s="2090">
        <v>2.214</v>
      </c>
      <c r="G26" s="2090">
        <v>10.023</v>
      </c>
      <c r="H26" s="2091">
        <v>4.8787788087398982E-2</v>
      </c>
      <c r="I26" s="2091">
        <v>0.22089194851840765</v>
      </c>
      <c r="J26" s="2099">
        <v>0.26967973660580663</v>
      </c>
      <c r="K26" s="2098">
        <v>42</v>
      </c>
      <c r="L26" s="2090">
        <v>0.57199999999999995</v>
      </c>
      <c r="M26" s="2090">
        <v>11.766</v>
      </c>
      <c r="N26" s="2092">
        <v>0.53700000000000003</v>
      </c>
      <c r="O26" s="2090">
        <v>0.53700000000000003</v>
      </c>
      <c r="P26" s="2090">
        <v>11.194000000000001</v>
      </c>
      <c r="Q26" s="2091">
        <v>5.1098802930141136E-2</v>
      </c>
      <c r="R26" s="2091">
        <v>4.7972127925674471E-2</v>
      </c>
      <c r="S26" s="2099">
        <v>9.9070930855815614E-2</v>
      </c>
      <c r="T26" s="2098">
        <v>42</v>
      </c>
      <c r="U26" s="1707">
        <v>0.53049999999999997</v>
      </c>
      <c r="V26" s="1707">
        <v>11.138999999999999</v>
      </c>
      <c r="W26" s="1707">
        <v>1.3754999999999999</v>
      </c>
      <c r="X26" s="1707">
        <v>1.3754999999999999</v>
      </c>
      <c r="Y26" s="1707">
        <v>10.608499999999999</v>
      </c>
      <c r="Z26" s="2093">
        <v>4.9943295508770059E-2</v>
      </c>
      <c r="AA26" s="2093">
        <v>0.13443203822204106</v>
      </c>
      <c r="AB26" s="2114">
        <v>0.18437533373081111</v>
      </c>
    </row>
    <row r="27" spans="2:28">
      <c r="B27" s="89">
        <v>43</v>
      </c>
      <c r="C27" s="1">
        <v>0.47199999999999998</v>
      </c>
      <c r="D27" s="1">
        <v>10.808</v>
      </c>
      <c r="E27" s="1">
        <v>2.2909999999999999</v>
      </c>
      <c r="F27" s="1">
        <v>2.2909999999999999</v>
      </c>
      <c r="G27" s="1">
        <v>10.336</v>
      </c>
      <c r="H27" s="742">
        <v>4.5665634674922594E-2</v>
      </c>
      <c r="I27" s="742">
        <v>0.22165247678018574</v>
      </c>
      <c r="J27" s="2099">
        <v>0.26731811145510831</v>
      </c>
      <c r="K27" s="89">
        <v>43</v>
      </c>
      <c r="L27" s="1">
        <v>0.54700000000000004</v>
      </c>
      <c r="M27" s="1">
        <v>12.081</v>
      </c>
      <c r="N27" s="1427">
        <v>0.55000000000000004</v>
      </c>
      <c r="O27" s="1">
        <v>0.55000000000000004</v>
      </c>
      <c r="P27" s="1">
        <v>11.533999999999999</v>
      </c>
      <c r="Q27" s="742">
        <v>4.7425004335009548E-2</v>
      </c>
      <c r="R27" s="742">
        <v>4.7685104907230803E-2</v>
      </c>
      <c r="S27" s="2100">
        <v>9.5110109242240351E-2</v>
      </c>
      <c r="T27" s="89">
        <v>43</v>
      </c>
      <c r="U27" s="741">
        <v>0.50950000000000006</v>
      </c>
      <c r="V27" s="741">
        <v>11.4445</v>
      </c>
      <c r="W27" s="741">
        <v>1.4205000000000001</v>
      </c>
      <c r="X27" s="741">
        <v>1.4205000000000001</v>
      </c>
      <c r="Y27" s="741">
        <v>10.934999999999999</v>
      </c>
      <c r="Z27" s="2088">
        <v>4.6545319504966071E-2</v>
      </c>
      <c r="AA27" s="2088">
        <v>0.13466879084370828</v>
      </c>
      <c r="AB27" s="2115">
        <v>0.18121411034867432</v>
      </c>
    </row>
    <row r="28" spans="2:28">
      <c r="B28" s="2098">
        <v>44</v>
      </c>
      <c r="C28" s="2090">
        <v>0.45400000000000001</v>
      </c>
      <c r="D28" s="2090">
        <v>11.115</v>
      </c>
      <c r="E28" s="2090">
        <v>2.3690000000000002</v>
      </c>
      <c r="F28" s="2090">
        <v>2.3690000000000002</v>
      </c>
      <c r="G28" s="2090">
        <v>10.661</v>
      </c>
      <c r="H28" s="2091">
        <v>4.2585123346777977E-2</v>
      </c>
      <c r="I28" s="2091">
        <v>0.22221180001876001</v>
      </c>
      <c r="J28" s="2099">
        <v>0.26479692336553801</v>
      </c>
      <c r="K28" s="2098">
        <v>44</v>
      </c>
      <c r="L28" s="2090">
        <v>0.52100000000000002</v>
      </c>
      <c r="M28" s="2090">
        <v>12.407</v>
      </c>
      <c r="N28" s="2092">
        <v>0.56299999999999994</v>
      </c>
      <c r="O28" s="2090">
        <v>0.56299999999999994</v>
      </c>
      <c r="P28" s="2090">
        <v>11.885999999999999</v>
      </c>
      <c r="Q28" s="2091">
        <v>4.3833080935554436E-2</v>
      </c>
      <c r="R28" s="2091">
        <v>4.7366649840148073E-2</v>
      </c>
      <c r="S28" s="2099">
        <v>9.1199730775702509E-2</v>
      </c>
      <c r="T28" s="2098">
        <v>44</v>
      </c>
      <c r="U28" s="1707">
        <v>0.48750000000000004</v>
      </c>
      <c r="V28" s="1707">
        <v>11.760999999999999</v>
      </c>
      <c r="W28" s="1707">
        <v>1.4660000000000002</v>
      </c>
      <c r="X28" s="1707">
        <v>1.4660000000000002</v>
      </c>
      <c r="Y28" s="1707">
        <v>11.273499999999999</v>
      </c>
      <c r="Z28" s="2093">
        <v>4.3209102141166203E-2</v>
      </c>
      <c r="AA28" s="2093">
        <v>0.13478922492945405</v>
      </c>
      <c r="AB28" s="2114">
        <v>0.17799832707062024</v>
      </c>
    </row>
    <row r="29" spans="2:28">
      <c r="B29" s="89">
        <v>45</v>
      </c>
      <c r="C29" s="1">
        <v>0.436</v>
      </c>
      <c r="D29" s="1">
        <v>11.433</v>
      </c>
      <c r="E29" s="1">
        <v>2.448</v>
      </c>
      <c r="F29" s="1">
        <v>2.448</v>
      </c>
      <c r="G29" s="1">
        <v>10.997</v>
      </c>
      <c r="H29" s="742">
        <v>3.9647176502682548E-2</v>
      </c>
      <c r="I29" s="742">
        <v>0.22260616531781394</v>
      </c>
      <c r="J29" s="2099">
        <v>0.26225334182049648</v>
      </c>
      <c r="K29" s="89">
        <v>45</v>
      </c>
      <c r="L29" s="1">
        <v>0.49399999999999999</v>
      </c>
      <c r="M29" s="1">
        <v>12.744</v>
      </c>
      <c r="N29" s="1427">
        <v>0.57599999999999996</v>
      </c>
      <c r="O29" s="1">
        <v>0.57599999999999996</v>
      </c>
      <c r="P29" s="1">
        <v>12.25</v>
      </c>
      <c r="Q29" s="742">
        <v>4.03265306122449E-2</v>
      </c>
      <c r="R29" s="742">
        <v>4.7020408163265304E-2</v>
      </c>
      <c r="S29" s="2100">
        <v>8.7346938775510197E-2</v>
      </c>
      <c r="T29" s="89">
        <v>45</v>
      </c>
      <c r="U29" s="741">
        <v>0.46499999999999997</v>
      </c>
      <c r="V29" s="741">
        <v>12.0885</v>
      </c>
      <c r="W29" s="741">
        <v>1.512</v>
      </c>
      <c r="X29" s="741">
        <v>1.512</v>
      </c>
      <c r="Y29" s="741">
        <v>11.6235</v>
      </c>
      <c r="Z29" s="2088">
        <v>3.9986853557463724E-2</v>
      </c>
      <c r="AA29" s="2088">
        <v>0.13481328674053961</v>
      </c>
      <c r="AB29" s="2115">
        <v>0.17480014029800334</v>
      </c>
    </row>
    <row r="30" spans="2:28">
      <c r="B30" s="2098">
        <v>46</v>
      </c>
      <c r="C30" s="2090">
        <v>0.41699999999999998</v>
      </c>
      <c r="D30" s="2090">
        <v>11.762</v>
      </c>
      <c r="E30" s="2090">
        <v>2.5259999999999998</v>
      </c>
      <c r="F30" s="2090">
        <v>2.5259999999999998</v>
      </c>
      <c r="G30" s="2090">
        <v>11.345000000000001</v>
      </c>
      <c r="H30" s="2091">
        <v>3.6756280299691489E-2</v>
      </c>
      <c r="I30" s="2091">
        <v>0.22265315116791534</v>
      </c>
      <c r="J30" s="2099">
        <v>0.25940943146760681</v>
      </c>
      <c r="K30" s="2098">
        <v>46</v>
      </c>
      <c r="L30" s="2090">
        <v>0.46500000000000002</v>
      </c>
      <c r="M30" s="2090">
        <v>13.092000000000001</v>
      </c>
      <c r="N30" s="2092">
        <v>0.58899999999999997</v>
      </c>
      <c r="O30" s="2090">
        <v>0.58899999999999997</v>
      </c>
      <c r="P30" s="2090">
        <v>12.627000000000001</v>
      </c>
      <c r="Q30" s="2091">
        <v>3.682584937039677E-2</v>
      </c>
      <c r="R30" s="2091">
        <v>4.6646075869169239E-2</v>
      </c>
      <c r="S30" s="2099">
        <v>8.3471925239566008E-2</v>
      </c>
      <c r="T30" s="2098">
        <v>46</v>
      </c>
      <c r="U30" s="1707">
        <v>0.441</v>
      </c>
      <c r="V30" s="1707">
        <v>12.427</v>
      </c>
      <c r="W30" s="1707">
        <v>1.5574999999999999</v>
      </c>
      <c r="X30" s="1707">
        <v>1.5574999999999999</v>
      </c>
      <c r="Y30" s="1707">
        <v>11.986000000000001</v>
      </c>
      <c r="Z30" s="2093">
        <v>3.6791064835044129E-2</v>
      </c>
      <c r="AA30" s="2093">
        <v>0.13464961351854229</v>
      </c>
      <c r="AB30" s="2114">
        <v>0.1714406783535864</v>
      </c>
    </row>
    <row r="31" spans="2:28">
      <c r="B31" s="89">
        <v>47</v>
      </c>
      <c r="C31" s="1">
        <v>0.39500000000000002</v>
      </c>
      <c r="D31" s="1">
        <v>12.103</v>
      </c>
      <c r="E31" s="1">
        <v>2.6040000000000001</v>
      </c>
      <c r="F31" s="1">
        <v>2.6040000000000001</v>
      </c>
      <c r="G31" s="1">
        <v>11.708</v>
      </c>
      <c r="H31" s="742">
        <v>3.3737615305773828E-2</v>
      </c>
      <c r="I31" s="742">
        <v>0.22241202596515203</v>
      </c>
      <c r="J31" s="2099">
        <v>0.25614964127092588</v>
      </c>
      <c r="K31" s="89">
        <v>47</v>
      </c>
      <c r="L31" s="1">
        <v>0.435</v>
      </c>
      <c r="M31" s="1">
        <v>13.452</v>
      </c>
      <c r="N31" s="1427">
        <v>0.60099999999999998</v>
      </c>
      <c r="O31" s="1">
        <v>0.60099999999999998</v>
      </c>
      <c r="P31" s="1">
        <v>13.016999999999999</v>
      </c>
      <c r="Q31" s="742">
        <v>3.3417838211569489E-2</v>
      </c>
      <c r="R31" s="742">
        <v>4.6170392563570715E-2</v>
      </c>
      <c r="S31" s="2100">
        <v>7.9588230775140212E-2</v>
      </c>
      <c r="T31" s="89">
        <v>47</v>
      </c>
      <c r="U31" s="741">
        <v>0.41500000000000004</v>
      </c>
      <c r="V31" s="741">
        <v>12.7775</v>
      </c>
      <c r="W31" s="741">
        <v>1.6025</v>
      </c>
      <c r="X31" s="741">
        <v>1.6025</v>
      </c>
      <c r="Y31" s="741">
        <v>12.362500000000001</v>
      </c>
      <c r="Z31" s="2088">
        <v>3.3577726758671655E-2</v>
      </c>
      <c r="AA31" s="2088">
        <v>0.13429120926436136</v>
      </c>
      <c r="AB31" s="2115">
        <v>0.16786893602303304</v>
      </c>
    </row>
    <row r="32" spans="2:28">
      <c r="B32" s="2098">
        <v>48</v>
      </c>
      <c r="C32" s="2090">
        <v>0.371</v>
      </c>
      <c r="D32" s="2090">
        <v>12.455</v>
      </c>
      <c r="E32" s="2090">
        <v>2.6819999999999999</v>
      </c>
      <c r="F32" s="2090">
        <v>2.6819999999999999</v>
      </c>
      <c r="G32" s="2090">
        <v>12.084</v>
      </c>
      <c r="H32" s="2091">
        <v>3.0701754385964914E-2</v>
      </c>
      <c r="I32" s="2091">
        <v>0.22194637537239326</v>
      </c>
      <c r="J32" s="2099">
        <v>0.25264812975835815</v>
      </c>
      <c r="K32" s="2098">
        <v>48</v>
      </c>
      <c r="L32" s="2090">
        <v>0.40300000000000002</v>
      </c>
      <c r="M32" s="2090">
        <v>13.823</v>
      </c>
      <c r="N32" s="2092">
        <v>0.61299999999999999</v>
      </c>
      <c r="O32" s="2090">
        <v>0.61299999999999999</v>
      </c>
      <c r="P32" s="2090">
        <v>13.42</v>
      </c>
      <c r="Q32" s="2091">
        <v>3.0029806259314458E-2</v>
      </c>
      <c r="R32" s="2091">
        <v>4.5678092399403875E-2</v>
      </c>
      <c r="S32" s="2099">
        <v>7.5707898658718326E-2</v>
      </c>
      <c r="T32" s="2098">
        <v>48</v>
      </c>
      <c r="U32" s="1707">
        <v>0.38700000000000001</v>
      </c>
      <c r="V32" s="1707">
        <v>13.138999999999999</v>
      </c>
      <c r="W32" s="1707">
        <v>1.6475</v>
      </c>
      <c r="X32" s="1707">
        <v>1.6475</v>
      </c>
      <c r="Y32" s="1707">
        <v>12.751999999999999</v>
      </c>
      <c r="Z32" s="2093">
        <v>3.0365780322639688E-2</v>
      </c>
      <c r="AA32" s="2093">
        <v>0.13381223388589858</v>
      </c>
      <c r="AB32" s="2114">
        <v>0.16417801420853823</v>
      </c>
    </row>
    <row r="33" spans="2:28">
      <c r="B33" s="89">
        <v>49</v>
      </c>
      <c r="C33" s="1">
        <v>0.34399999999999997</v>
      </c>
      <c r="D33" s="1">
        <v>12.82</v>
      </c>
      <c r="E33" s="1">
        <v>2.758</v>
      </c>
      <c r="F33" s="1">
        <v>2.758</v>
      </c>
      <c r="G33" s="1">
        <v>12.476000000000001</v>
      </c>
      <c r="H33" s="742">
        <v>2.7572940044886179E-2</v>
      </c>
      <c r="I33" s="742">
        <v>0.22106444373196535</v>
      </c>
      <c r="J33" s="2099">
        <v>0.24863738377685152</v>
      </c>
      <c r="K33" s="89">
        <v>49</v>
      </c>
      <c r="L33" s="1">
        <v>0.36899999999999999</v>
      </c>
      <c r="M33" s="1">
        <v>14.207000000000001</v>
      </c>
      <c r="N33" s="1427">
        <v>0.624</v>
      </c>
      <c r="O33" s="1">
        <v>0.624</v>
      </c>
      <c r="P33" s="1">
        <v>13.838000000000001</v>
      </c>
      <c r="Q33" s="742">
        <v>2.6665703136291369E-2</v>
      </c>
      <c r="R33" s="742">
        <v>4.5093221563809793E-2</v>
      </c>
      <c r="S33" s="2100">
        <v>7.1758924700101159E-2</v>
      </c>
      <c r="T33" s="89">
        <v>49</v>
      </c>
      <c r="U33" s="741">
        <v>0.35649999999999998</v>
      </c>
      <c r="V33" s="741">
        <v>13.513500000000001</v>
      </c>
      <c r="W33" s="741">
        <v>1.6910000000000001</v>
      </c>
      <c r="X33" s="741">
        <v>1.6910000000000001</v>
      </c>
      <c r="Y33" s="741">
        <v>13.157</v>
      </c>
      <c r="Z33" s="2088">
        <v>2.7119321590588774E-2</v>
      </c>
      <c r="AA33" s="2088">
        <v>0.13307883264788756</v>
      </c>
      <c r="AB33" s="2115">
        <v>0.16019815423847633</v>
      </c>
    </row>
    <row r="34" spans="2:28">
      <c r="B34" s="2098">
        <v>50</v>
      </c>
      <c r="C34" s="2090">
        <v>0.314</v>
      </c>
      <c r="D34" s="2090">
        <v>13.196999999999999</v>
      </c>
      <c r="E34" s="2090">
        <v>2.8330000000000002</v>
      </c>
      <c r="F34" s="2090">
        <v>2.8330000000000002</v>
      </c>
      <c r="G34" s="2090">
        <v>12.882999999999999</v>
      </c>
      <c r="H34" s="2091">
        <v>2.4373204998835676E-2</v>
      </c>
      <c r="I34" s="2091">
        <v>0.21990219669331681</v>
      </c>
      <c r="J34" s="2099">
        <v>0.24427540169215251</v>
      </c>
      <c r="K34" s="2098">
        <v>50</v>
      </c>
      <c r="L34" s="2090">
        <v>0.33300000000000002</v>
      </c>
      <c r="M34" s="2090">
        <v>14.603999999999999</v>
      </c>
      <c r="N34" s="2092">
        <v>0.63400000000000001</v>
      </c>
      <c r="O34" s="2090">
        <v>0.63400000000000001</v>
      </c>
      <c r="P34" s="2090">
        <v>14.270999999999999</v>
      </c>
      <c r="Q34" s="2091">
        <v>2.3334034055076731E-2</v>
      </c>
      <c r="R34" s="2091">
        <v>4.4425758531287232E-2</v>
      </c>
      <c r="S34" s="2099">
        <v>6.7759792586363971E-2</v>
      </c>
      <c r="T34" s="2098">
        <v>50</v>
      </c>
      <c r="U34" s="1707">
        <v>0.32350000000000001</v>
      </c>
      <c r="V34" s="1707">
        <v>13.900499999999999</v>
      </c>
      <c r="W34" s="1707">
        <v>1.7335</v>
      </c>
      <c r="X34" s="1707">
        <v>1.7335</v>
      </c>
      <c r="Y34" s="1707">
        <v>13.576999999999998</v>
      </c>
      <c r="Z34" s="2093">
        <v>2.3853619526956204E-2</v>
      </c>
      <c r="AA34" s="2093">
        <v>0.13216397761230203</v>
      </c>
      <c r="AB34" s="2114">
        <v>0.15601759713925822</v>
      </c>
    </row>
    <row r="35" spans="2:28">
      <c r="B35" s="89">
        <v>51</v>
      </c>
      <c r="C35" s="1">
        <v>0.28100000000000003</v>
      </c>
      <c r="D35" s="1">
        <v>13.587999999999999</v>
      </c>
      <c r="E35" s="1">
        <v>2.907</v>
      </c>
      <c r="F35" s="1">
        <v>2.907</v>
      </c>
      <c r="G35" s="1">
        <v>13.306999999999999</v>
      </c>
      <c r="H35" s="742">
        <v>2.1116705493349368E-2</v>
      </c>
      <c r="I35" s="742">
        <v>0.21845645149169612</v>
      </c>
      <c r="J35" s="2099">
        <v>0.2395731569850455</v>
      </c>
      <c r="K35" s="89">
        <v>51</v>
      </c>
      <c r="L35" s="1">
        <v>0.29499999999999998</v>
      </c>
      <c r="M35" s="1">
        <v>15.013</v>
      </c>
      <c r="N35" s="1427">
        <v>0.64400000000000002</v>
      </c>
      <c r="O35" s="1">
        <v>0.64400000000000002</v>
      </c>
      <c r="P35" s="1">
        <v>14.718</v>
      </c>
      <c r="Q35" s="742">
        <v>2.0043484169044706E-2</v>
      </c>
      <c r="R35" s="742">
        <v>4.3755945101236579E-2</v>
      </c>
      <c r="S35" s="2100">
        <v>6.3799429270281288E-2</v>
      </c>
      <c r="T35" s="89">
        <v>51</v>
      </c>
      <c r="U35" s="741">
        <v>0.28800000000000003</v>
      </c>
      <c r="V35" s="741">
        <v>14.3005</v>
      </c>
      <c r="W35" s="741">
        <v>1.7755000000000001</v>
      </c>
      <c r="X35" s="741">
        <v>1.7755000000000001</v>
      </c>
      <c r="Y35" s="741">
        <v>14.012499999999999</v>
      </c>
      <c r="Z35" s="2088">
        <v>2.0580094831197035E-2</v>
      </c>
      <c r="AA35" s="2088">
        <v>0.13110619829646636</v>
      </c>
      <c r="AB35" s="2115">
        <v>0.15168629312766341</v>
      </c>
    </row>
    <row r="36" spans="2:28">
      <c r="B36" s="2098">
        <v>52</v>
      </c>
      <c r="C36" s="2090">
        <v>0.246</v>
      </c>
      <c r="D36" s="2090">
        <v>13.993</v>
      </c>
      <c r="E36" s="2090">
        <v>2.9790000000000001</v>
      </c>
      <c r="F36" s="2090">
        <v>2.9790000000000001</v>
      </c>
      <c r="G36" s="2090">
        <v>13.747</v>
      </c>
      <c r="H36" s="2091">
        <v>1.7894813413835746E-2</v>
      </c>
      <c r="I36" s="2091">
        <v>0.21670182585291337</v>
      </c>
      <c r="J36" s="2099">
        <v>0.23459663926674912</v>
      </c>
      <c r="K36" s="2098">
        <v>52</v>
      </c>
      <c r="L36" s="2090">
        <v>0.254</v>
      </c>
      <c r="M36" s="2090">
        <v>15.436</v>
      </c>
      <c r="N36" s="2092">
        <v>0.65200000000000002</v>
      </c>
      <c r="O36" s="2090">
        <v>0.65200000000000002</v>
      </c>
      <c r="P36" s="2090">
        <v>15.182</v>
      </c>
      <c r="Q36" s="2091">
        <v>1.6730338558819655E-2</v>
      </c>
      <c r="R36" s="2091">
        <v>4.2945593465946515E-2</v>
      </c>
      <c r="S36" s="2099">
        <v>5.9675932024766169E-2</v>
      </c>
      <c r="T36" s="2098">
        <v>52</v>
      </c>
      <c r="U36" s="1707">
        <v>0.25</v>
      </c>
      <c r="V36" s="1707">
        <v>14.714500000000001</v>
      </c>
      <c r="W36" s="1707">
        <v>1.8155000000000001</v>
      </c>
      <c r="X36" s="1707">
        <v>1.8155000000000001</v>
      </c>
      <c r="Y36" s="1707">
        <v>14.464500000000001</v>
      </c>
      <c r="Z36" s="2093">
        <v>1.73125759863277E-2</v>
      </c>
      <c r="AA36" s="2093">
        <v>0.12982370965942994</v>
      </c>
      <c r="AB36" s="2114">
        <v>0.14713628564575765</v>
      </c>
    </row>
    <row r="37" spans="2:28">
      <c r="B37" s="89">
        <v>53</v>
      </c>
      <c r="C37" s="1">
        <v>0.20799999999999999</v>
      </c>
      <c r="D37" s="1">
        <v>14.414999999999999</v>
      </c>
      <c r="E37" s="1">
        <v>3.05</v>
      </c>
      <c r="F37" s="1">
        <v>3.05</v>
      </c>
      <c r="G37" s="1">
        <v>14.206999999999999</v>
      </c>
      <c r="H37" s="742">
        <v>1.4640670092208067E-2</v>
      </c>
      <c r="I37" s="742">
        <v>0.21468290279439714</v>
      </c>
      <c r="J37" s="2099">
        <v>0.22932357288660521</v>
      </c>
      <c r="K37" s="89">
        <v>53</v>
      </c>
      <c r="L37" s="1">
        <v>0.21299999999999999</v>
      </c>
      <c r="M37" s="1">
        <v>15.874000000000001</v>
      </c>
      <c r="N37" s="1427">
        <v>0.66</v>
      </c>
      <c r="O37" s="1">
        <v>0.66</v>
      </c>
      <c r="P37" s="1">
        <v>15.661000000000001</v>
      </c>
      <c r="Q37" s="742">
        <v>1.3600664069982758E-2</v>
      </c>
      <c r="R37" s="742">
        <v>4.2142902752059251E-2</v>
      </c>
      <c r="S37" s="2100">
        <v>5.5743566822042012E-2</v>
      </c>
      <c r="T37" s="89">
        <v>53</v>
      </c>
      <c r="U37" s="741">
        <v>0.21049999999999999</v>
      </c>
      <c r="V37" s="741">
        <v>15.144500000000001</v>
      </c>
      <c r="W37" s="741">
        <v>1.855</v>
      </c>
      <c r="X37" s="741">
        <v>1.855</v>
      </c>
      <c r="Y37" s="741">
        <v>14.934000000000001</v>
      </c>
      <c r="Z37" s="2088">
        <v>1.4120667081095412E-2</v>
      </c>
      <c r="AA37" s="2088">
        <v>0.1284129027732282</v>
      </c>
      <c r="AB37" s="2115">
        <v>0.14253356985432361</v>
      </c>
    </row>
    <row r="38" spans="2:28">
      <c r="B38" s="2098">
        <v>54</v>
      </c>
      <c r="C38" s="2090">
        <v>0.16900000000000001</v>
      </c>
      <c r="D38" s="2090">
        <v>14.853</v>
      </c>
      <c r="E38" s="2090">
        <v>3.12</v>
      </c>
      <c r="F38" s="2090">
        <v>3.12</v>
      </c>
      <c r="G38" s="2090">
        <v>14.683999999999999</v>
      </c>
      <c r="H38" s="2091">
        <v>1.1509125578861346E-2</v>
      </c>
      <c r="I38" s="2091">
        <v>0.21247616453282486</v>
      </c>
      <c r="J38" s="2099">
        <v>0.22398529011168622</v>
      </c>
      <c r="K38" s="2098">
        <v>54</v>
      </c>
      <c r="L38" s="2090">
        <v>0.17100000000000001</v>
      </c>
      <c r="M38" s="2090">
        <v>16.327999999999999</v>
      </c>
      <c r="N38" s="2092">
        <v>0.66700000000000004</v>
      </c>
      <c r="O38" s="2090">
        <v>0.66700000000000004</v>
      </c>
      <c r="P38" s="2090">
        <v>16.157</v>
      </c>
      <c r="Q38" s="2091">
        <v>1.058364795444699E-2</v>
      </c>
      <c r="R38" s="2091">
        <v>4.1282416290152876E-2</v>
      </c>
      <c r="S38" s="2099">
        <v>5.1866064244599865E-2</v>
      </c>
      <c r="T38" s="2098">
        <v>54</v>
      </c>
      <c r="U38" s="1707">
        <v>0.17</v>
      </c>
      <c r="V38" s="1707">
        <v>15.590499999999999</v>
      </c>
      <c r="W38" s="1707">
        <v>1.8935</v>
      </c>
      <c r="X38" s="1707">
        <v>1.8935</v>
      </c>
      <c r="Y38" s="1707">
        <v>15.420500000000001</v>
      </c>
      <c r="Z38" s="2093">
        <v>1.1046386766654169E-2</v>
      </c>
      <c r="AA38" s="2093">
        <v>0.12687929041148888</v>
      </c>
      <c r="AB38" s="2114">
        <v>0.13792567717814305</v>
      </c>
    </row>
    <row r="39" spans="2:28">
      <c r="B39" s="89">
        <v>55</v>
      </c>
      <c r="C39" s="1">
        <v>0.13</v>
      </c>
      <c r="D39" s="1">
        <v>15.308999999999999</v>
      </c>
      <c r="E39" s="1">
        <v>3.19</v>
      </c>
      <c r="F39" s="1">
        <v>3.19</v>
      </c>
      <c r="G39" s="1">
        <v>15.178999999999998</v>
      </c>
      <c r="H39" s="742">
        <v>8.564464062191187E-3</v>
      </c>
      <c r="I39" s="742">
        <v>0.21015877198761448</v>
      </c>
      <c r="J39" s="2099">
        <v>0.21872323604980567</v>
      </c>
      <c r="K39" s="89">
        <v>55</v>
      </c>
      <c r="L39" s="1">
        <v>0.129</v>
      </c>
      <c r="M39" s="1">
        <v>16.798999999999999</v>
      </c>
      <c r="N39" s="1427">
        <v>0.67400000000000004</v>
      </c>
      <c r="O39" s="1">
        <v>0.67400000000000004</v>
      </c>
      <c r="P39" s="1">
        <v>16.669999999999998</v>
      </c>
      <c r="Q39" s="742">
        <v>7.7384523095380938E-3</v>
      </c>
      <c r="R39" s="742">
        <v>4.0431913617276549E-2</v>
      </c>
      <c r="S39" s="2100">
        <v>4.8170365926814646E-2</v>
      </c>
      <c r="T39" s="89">
        <v>55</v>
      </c>
      <c r="U39" s="741">
        <v>0.1295</v>
      </c>
      <c r="V39" s="741">
        <v>16.053999999999998</v>
      </c>
      <c r="W39" s="741">
        <v>1.9319999999999999</v>
      </c>
      <c r="X39" s="741">
        <v>1.9319999999999999</v>
      </c>
      <c r="Y39" s="741">
        <v>15.924499999999998</v>
      </c>
      <c r="Z39" s="2088">
        <v>8.15145818586464E-3</v>
      </c>
      <c r="AA39" s="2088">
        <v>0.12529534280244553</v>
      </c>
      <c r="AB39" s="2115">
        <v>0.13344680098831016</v>
      </c>
    </row>
    <row r="40" spans="2:28">
      <c r="B40" s="2098">
        <v>56</v>
      </c>
      <c r="C40" s="2090">
        <v>9.0999999999999998E-2</v>
      </c>
      <c r="D40" s="2090">
        <v>15.784000000000001</v>
      </c>
      <c r="E40" s="2090">
        <v>3.26</v>
      </c>
      <c r="F40" s="2090">
        <v>3.26</v>
      </c>
      <c r="G40" s="2090">
        <v>15.693000000000001</v>
      </c>
      <c r="H40" s="2091">
        <v>5.7987637800293122E-3</v>
      </c>
      <c r="I40" s="2091">
        <v>0.20773593321863248</v>
      </c>
      <c r="J40" s="2099">
        <v>0.21353469699866179</v>
      </c>
      <c r="K40" s="2098">
        <v>56</v>
      </c>
      <c r="L40" s="2090">
        <v>8.7999999999999995E-2</v>
      </c>
      <c r="M40" s="2090">
        <v>17.288</v>
      </c>
      <c r="N40" s="2092">
        <v>0.68</v>
      </c>
      <c r="O40" s="2090">
        <v>0.68</v>
      </c>
      <c r="P40" s="2090">
        <v>17.2</v>
      </c>
      <c r="Q40" s="2091">
        <v>5.1162790697674414E-3</v>
      </c>
      <c r="R40" s="2091">
        <v>3.9534883720930239E-2</v>
      </c>
      <c r="S40" s="2099">
        <v>4.4651162790697682E-2</v>
      </c>
      <c r="T40" s="2098">
        <v>56</v>
      </c>
      <c r="U40" s="1707">
        <v>8.9499999999999996E-2</v>
      </c>
      <c r="V40" s="1707">
        <v>16.536000000000001</v>
      </c>
      <c r="W40" s="1707">
        <v>1.97</v>
      </c>
      <c r="X40" s="1707">
        <v>1.97</v>
      </c>
      <c r="Y40" s="1707">
        <v>16.4465</v>
      </c>
      <c r="Z40" s="2093">
        <v>5.4575214248983768E-3</v>
      </c>
      <c r="AA40" s="2093">
        <v>0.12363540846978135</v>
      </c>
      <c r="AB40" s="2114">
        <v>0.12909292989467974</v>
      </c>
    </row>
    <row r="41" spans="2:28">
      <c r="B41" s="89">
        <v>57</v>
      </c>
      <c r="C41" s="1">
        <v>5.5E-2</v>
      </c>
      <c r="D41" s="1">
        <v>16.279</v>
      </c>
      <c r="E41" s="1">
        <v>3.3319999999999999</v>
      </c>
      <c r="F41" s="1">
        <v>3.3319999999999999</v>
      </c>
      <c r="G41" s="1">
        <v>16.224</v>
      </c>
      <c r="H41" s="742">
        <v>3.3900394477317554E-3</v>
      </c>
      <c r="I41" s="742">
        <v>0.20537475345167652</v>
      </c>
      <c r="J41" s="2099">
        <v>0.20876479289940827</v>
      </c>
      <c r="K41" s="89">
        <v>57</v>
      </c>
      <c r="L41" s="1">
        <v>5.2999999999999999E-2</v>
      </c>
      <c r="M41" s="1">
        <v>17.798999999999999</v>
      </c>
      <c r="N41" s="1427">
        <v>0.68600000000000005</v>
      </c>
      <c r="O41" s="1">
        <v>0.68600000000000005</v>
      </c>
      <c r="P41" s="1">
        <v>17.745999999999999</v>
      </c>
      <c r="Q41" s="742">
        <v>2.9865885269919983E-3</v>
      </c>
      <c r="R41" s="742">
        <v>3.8656598670122853E-2</v>
      </c>
      <c r="S41" s="2100">
        <v>4.164318719711485E-2</v>
      </c>
      <c r="T41" s="89">
        <v>57</v>
      </c>
      <c r="U41" s="741">
        <v>5.3999999999999999E-2</v>
      </c>
      <c r="V41" s="741">
        <v>17.039000000000001</v>
      </c>
      <c r="W41" s="741">
        <v>2.0089999999999999</v>
      </c>
      <c r="X41" s="741">
        <v>2.0089999999999999</v>
      </c>
      <c r="Y41" s="741">
        <v>16.984999999999999</v>
      </c>
      <c r="Z41" s="2088">
        <v>3.1883139873618771E-3</v>
      </c>
      <c r="AA41" s="2088">
        <v>0.12201567606089969</v>
      </c>
      <c r="AB41" s="2115">
        <v>0.12520399004826155</v>
      </c>
    </row>
    <row r="42" spans="2:28">
      <c r="B42" s="2098">
        <v>58</v>
      </c>
      <c r="C42" s="2090">
        <v>2.5999999999999999E-2</v>
      </c>
      <c r="D42" s="2090">
        <v>16.797000000000001</v>
      </c>
      <c r="E42" s="2090">
        <v>3.407</v>
      </c>
      <c r="F42" s="2090">
        <v>3.407</v>
      </c>
      <c r="G42" s="2090">
        <v>16.771000000000001</v>
      </c>
      <c r="H42" s="2091">
        <v>1.5502951523463119E-3</v>
      </c>
      <c r="I42" s="2091">
        <v>0.20314829169399559</v>
      </c>
      <c r="J42" s="2099">
        <v>0.2046985868463419</v>
      </c>
      <c r="K42" s="2098">
        <v>58</v>
      </c>
      <c r="L42" s="2090">
        <v>2.4E-2</v>
      </c>
      <c r="M42" s="2090">
        <v>18.332999999999998</v>
      </c>
      <c r="N42" s="2092">
        <v>0.69299999999999995</v>
      </c>
      <c r="O42" s="2090">
        <v>0.69299999999999995</v>
      </c>
      <c r="P42" s="2090">
        <v>18.308999999999997</v>
      </c>
      <c r="Q42" s="2091">
        <v>1.3108307389808292E-3</v>
      </c>
      <c r="R42" s="2091">
        <v>3.7850237588071441E-2</v>
      </c>
      <c r="S42" s="2099">
        <v>3.9161068327052267E-2</v>
      </c>
      <c r="T42" s="2098">
        <v>58</v>
      </c>
      <c r="U42" s="1707">
        <v>2.5000000000000001E-2</v>
      </c>
      <c r="V42" s="1707">
        <v>17.564999999999998</v>
      </c>
      <c r="W42" s="1707">
        <v>2.0499999999999998</v>
      </c>
      <c r="X42" s="1707">
        <v>2.0499999999999998</v>
      </c>
      <c r="Y42" s="1707">
        <v>17.54</v>
      </c>
      <c r="Z42" s="2093">
        <v>1.4305629456635707E-3</v>
      </c>
      <c r="AA42" s="2093">
        <v>0.12049926464103351</v>
      </c>
      <c r="AB42" s="2114">
        <v>0.12192982758669708</v>
      </c>
    </row>
    <row r="43" spans="2:28">
      <c r="B43" s="89">
        <v>59</v>
      </c>
      <c r="C43" s="1">
        <v>6.0000000000000001E-3</v>
      </c>
      <c r="D43" s="1">
        <v>17.341000000000001</v>
      </c>
      <c r="E43" s="1">
        <v>3.4860000000000002</v>
      </c>
      <c r="F43" s="1">
        <v>3.4860000000000002</v>
      </c>
      <c r="G43" s="1">
        <v>17.335000000000001</v>
      </c>
      <c r="H43" s="742">
        <v>3.4612056533025667E-4</v>
      </c>
      <c r="I43" s="742">
        <v>0.20109604845687915</v>
      </c>
      <c r="J43" s="2099">
        <v>0.20144216902220941</v>
      </c>
      <c r="K43" s="89">
        <v>59</v>
      </c>
      <c r="L43" s="1">
        <v>6.0000000000000001E-3</v>
      </c>
      <c r="M43" s="1">
        <v>18.896000000000001</v>
      </c>
      <c r="N43" s="1427">
        <v>0.7</v>
      </c>
      <c r="O43" s="1">
        <v>0.7</v>
      </c>
      <c r="P43" s="1">
        <v>18.89</v>
      </c>
      <c r="Q43" s="742">
        <v>3.1762837480148225E-4</v>
      </c>
      <c r="R43" s="742">
        <v>3.7056643726839596E-2</v>
      </c>
      <c r="S43" s="2100">
        <v>3.7374272101641078E-2</v>
      </c>
      <c r="T43" s="89">
        <v>59</v>
      </c>
      <c r="U43" s="741">
        <v>6.0000000000000001E-3</v>
      </c>
      <c r="V43" s="741">
        <v>18.118500000000001</v>
      </c>
      <c r="W43" s="741">
        <v>2.093</v>
      </c>
      <c r="X43" s="741">
        <v>2.093</v>
      </c>
      <c r="Y43" s="741">
        <v>18.112500000000001</v>
      </c>
      <c r="Z43" s="2088">
        <v>3.3187447006586949E-4</v>
      </c>
      <c r="AA43" s="2088">
        <v>0.11907634609185937</v>
      </c>
      <c r="AB43" s="2115">
        <v>0.11940822056192524</v>
      </c>
    </row>
    <row r="44" spans="2:28">
      <c r="B44" s="2119">
        <v>60</v>
      </c>
      <c r="C44" s="2120">
        <v>0</v>
      </c>
      <c r="D44" s="2120">
        <v>17.913</v>
      </c>
      <c r="E44" s="2120">
        <v>3.569</v>
      </c>
      <c r="F44" s="2120">
        <v>3.569</v>
      </c>
      <c r="G44" s="2120">
        <v>17.913</v>
      </c>
      <c r="H44" s="2121">
        <v>0</v>
      </c>
      <c r="I44" s="2121">
        <v>0.19924077485624964</v>
      </c>
      <c r="J44" s="2122">
        <v>0.19924077485624964</v>
      </c>
      <c r="K44" s="2119">
        <v>60</v>
      </c>
      <c r="L44" s="2120">
        <v>0</v>
      </c>
      <c r="M44" s="2120">
        <v>19.489000000000001</v>
      </c>
      <c r="N44" s="2123">
        <v>0.70699999999999996</v>
      </c>
      <c r="O44" s="2120">
        <v>0.70699999999999996</v>
      </c>
      <c r="P44" s="2120">
        <v>19.489000000000001</v>
      </c>
      <c r="Q44" s="2121">
        <v>0</v>
      </c>
      <c r="R44" s="2121">
        <v>3.6276874134126939E-2</v>
      </c>
      <c r="S44" s="2122">
        <v>3.6276874134126939E-2</v>
      </c>
      <c r="T44" s="2119">
        <v>60</v>
      </c>
      <c r="U44" s="2124">
        <v>0</v>
      </c>
      <c r="V44" s="2124">
        <v>18.701000000000001</v>
      </c>
      <c r="W44" s="2124">
        <v>2.1379999999999999</v>
      </c>
      <c r="X44" s="2124">
        <v>2.1379999999999999</v>
      </c>
      <c r="Y44" s="2124">
        <v>18.701000000000001</v>
      </c>
      <c r="Z44" s="2125">
        <v>0</v>
      </c>
      <c r="AA44" s="2125">
        <v>0.11775882449518829</v>
      </c>
      <c r="AB44" s="2126">
        <v>0.11775882449518829</v>
      </c>
    </row>
    <row r="45" spans="2:28">
      <c r="B45" s="89">
        <v>61</v>
      </c>
      <c r="C45" s="1">
        <v>0</v>
      </c>
      <c r="D45" s="1">
        <v>17.553000000000001</v>
      </c>
      <c r="E45" s="1">
        <v>3.5979999999999999</v>
      </c>
      <c r="F45" s="1">
        <v>3.5979999999999999</v>
      </c>
      <c r="G45" s="1">
        <v>17.553000000000001</v>
      </c>
      <c r="H45" s="742">
        <v>0</v>
      </c>
      <c r="I45" s="742">
        <v>0.20497920583376059</v>
      </c>
      <c r="J45" s="2099">
        <v>0.20497920583376059</v>
      </c>
      <c r="K45" s="89">
        <v>61</v>
      </c>
      <c r="L45" s="1">
        <v>0</v>
      </c>
      <c r="M45" s="1">
        <v>19.131</v>
      </c>
      <c r="N45" s="1427">
        <v>0.69199999999999995</v>
      </c>
      <c r="O45" s="1">
        <v>0.69199999999999995</v>
      </c>
      <c r="P45" s="1">
        <v>19.131</v>
      </c>
      <c r="Q45" s="742">
        <v>0</v>
      </c>
      <c r="R45" s="742">
        <v>3.6171658564633315E-2</v>
      </c>
      <c r="S45" s="2100">
        <v>3.6171658564633315E-2</v>
      </c>
      <c r="T45" s="89">
        <v>61</v>
      </c>
      <c r="U45" s="741">
        <v>0</v>
      </c>
      <c r="V45" s="741">
        <v>18.341999999999999</v>
      </c>
      <c r="W45" s="741">
        <v>2.145</v>
      </c>
      <c r="X45" s="741">
        <v>2.145</v>
      </c>
      <c r="Y45" s="741">
        <v>18.341999999999999</v>
      </c>
      <c r="Z45" s="2088">
        <v>0</v>
      </c>
      <c r="AA45" s="2088">
        <v>0.12057543219919695</v>
      </c>
      <c r="AB45" s="2115">
        <v>0.12057543219919695</v>
      </c>
    </row>
    <row r="46" spans="2:28">
      <c r="B46" s="2098">
        <v>62</v>
      </c>
      <c r="C46" s="2090">
        <v>0</v>
      </c>
      <c r="D46" s="2090">
        <v>17.187000000000001</v>
      </c>
      <c r="E46" s="2090">
        <v>3.6219999999999999</v>
      </c>
      <c r="F46" s="2090">
        <v>3.6219999999999999</v>
      </c>
      <c r="G46" s="2090">
        <v>17.187000000000001</v>
      </c>
      <c r="H46" s="2091">
        <v>0</v>
      </c>
      <c r="I46" s="2091">
        <v>0.21074067609239538</v>
      </c>
      <c r="J46" s="2099">
        <v>0.21074067609239538</v>
      </c>
      <c r="K46" s="2098">
        <v>62</v>
      </c>
      <c r="L46" s="2090">
        <v>0</v>
      </c>
      <c r="M46" s="2090">
        <v>18.765999999999998</v>
      </c>
      <c r="N46" s="2092">
        <v>0.67600000000000005</v>
      </c>
      <c r="O46" s="2090">
        <v>0.67600000000000005</v>
      </c>
      <c r="P46" s="2090">
        <v>18.765999999999998</v>
      </c>
      <c r="Q46" s="2091">
        <v>0</v>
      </c>
      <c r="R46" s="2091">
        <v>3.6022594053074716E-2</v>
      </c>
      <c r="S46" s="2099">
        <v>3.6022594053074716E-2</v>
      </c>
      <c r="T46" s="2098">
        <v>62</v>
      </c>
      <c r="U46" s="1707">
        <v>0</v>
      </c>
      <c r="V46" s="1707">
        <v>17.976500000000001</v>
      </c>
      <c r="W46" s="1707">
        <v>2.149</v>
      </c>
      <c r="X46" s="1707">
        <v>2.149</v>
      </c>
      <c r="Y46" s="1707">
        <v>17.976500000000001</v>
      </c>
      <c r="Z46" s="2093">
        <v>0</v>
      </c>
      <c r="AA46" s="2093">
        <v>0.12338163507273506</v>
      </c>
      <c r="AB46" s="2114">
        <v>0.12338163507273506</v>
      </c>
    </row>
    <row r="47" spans="2:28">
      <c r="B47" s="89">
        <v>63</v>
      </c>
      <c r="C47" s="1">
        <v>0</v>
      </c>
      <c r="D47" s="1">
        <v>16.815000000000001</v>
      </c>
      <c r="E47" s="1">
        <v>3.6419999999999999</v>
      </c>
      <c r="F47" s="1">
        <v>3.6419999999999999</v>
      </c>
      <c r="G47" s="1">
        <v>16.815000000000001</v>
      </c>
      <c r="H47" s="742">
        <v>0</v>
      </c>
      <c r="I47" s="742">
        <v>0.21659232827832289</v>
      </c>
      <c r="J47" s="2099">
        <v>0.21659232827832289</v>
      </c>
      <c r="K47" s="89">
        <v>63</v>
      </c>
      <c r="L47" s="1">
        <v>0</v>
      </c>
      <c r="M47" s="1">
        <v>18.393000000000001</v>
      </c>
      <c r="N47" s="1427">
        <v>0.65900000000000003</v>
      </c>
      <c r="O47" s="1">
        <v>0.65900000000000003</v>
      </c>
      <c r="P47" s="1">
        <v>18.393000000000001</v>
      </c>
      <c r="Q47" s="742">
        <v>0</v>
      </c>
      <c r="R47" s="742">
        <v>3.5828847931278204E-2</v>
      </c>
      <c r="S47" s="2100">
        <v>3.5828847931278204E-2</v>
      </c>
      <c r="T47" s="89">
        <v>63</v>
      </c>
      <c r="U47" s="741">
        <v>0</v>
      </c>
      <c r="V47" s="741">
        <v>17.603999999999999</v>
      </c>
      <c r="W47" s="741">
        <v>2.1505000000000001</v>
      </c>
      <c r="X47" s="741">
        <v>2.1505000000000001</v>
      </c>
      <c r="Y47" s="741">
        <v>17.603999999999999</v>
      </c>
      <c r="Z47" s="2088">
        <v>0</v>
      </c>
      <c r="AA47" s="2088">
        <v>0.12621058810480054</v>
      </c>
      <c r="AB47" s="2115">
        <v>0.12621058810480054</v>
      </c>
    </row>
    <row r="48" spans="2:28">
      <c r="B48" s="2098">
        <v>64</v>
      </c>
      <c r="C48" s="2090">
        <v>0</v>
      </c>
      <c r="D48" s="2090">
        <v>16.437999999999999</v>
      </c>
      <c r="E48" s="2090">
        <v>3.6579999999999999</v>
      </c>
      <c r="F48" s="2090">
        <v>3.6579999999999999</v>
      </c>
      <c r="G48" s="2090">
        <v>16.437999999999999</v>
      </c>
      <c r="H48" s="2091">
        <v>0</v>
      </c>
      <c r="I48" s="2091">
        <v>0.22253315488502251</v>
      </c>
      <c r="J48" s="2099">
        <v>0.22253315488502251</v>
      </c>
      <c r="K48" s="2098">
        <v>64</v>
      </c>
      <c r="L48" s="2090">
        <v>0</v>
      </c>
      <c r="M48" s="2090">
        <v>18.010999999999999</v>
      </c>
      <c r="N48" s="2092">
        <v>0.64100000000000001</v>
      </c>
      <c r="O48" s="2090">
        <v>0.64100000000000001</v>
      </c>
      <c r="P48" s="2090">
        <v>18.010999999999999</v>
      </c>
      <c r="Q48" s="2091">
        <v>0</v>
      </c>
      <c r="R48" s="2091">
        <v>3.5589362056521016E-2</v>
      </c>
      <c r="S48" s="2099">
        <v>3.5589362056521016E-2</v>
      </c>
      <c r="T48" s="2098">
        <v>64</v>
      </c>
      <c r="U48" s="1707">
        <v>0</v>
      </c>
      <c r="V48" s="1707">
        <v>17.224499999999999</v>
      </c>
      <c r="W48" s="1707">
        <v>2.1494999999999997</v>
      </c>
      <c r="X48" s="1707">
        <v>2.1494999999999997</v>
      </c>
      <c r="Y48" s="1707">
        <v>17.224499999999999</v>
      </c>
      <c r="Z48" s="2093">
        <v>0</v>
      </c>
      <c r="AA48" s="2093">
        <v>0.12906125847077177</v>
      </c>
      <c r="AB48" s="2114">
        <v>0.12906125847077177</v>
      </c>
    </row>
    <row r="49" spans="2:28">
      <c r="B49" s="89">
        <v>65</v>
      </c>
      <c r="C49" s="1">
        <v>0</v>
      </c>
      <c r="D49" s="1">
        <v>16.053000000000001</v>
      </c>
      <c r="E49" s="1">
        <v>3.6680000000000001</v>
      </c>
      <c r="F49" s="1">
        <v>3.6680000000000001</v>
      </c>
      <c r="G49" s="1">
        <v>16.053000000000001</v>
      </c>
      <c r="H49" s="742">
        <v>0</v>
      </c>
      <c r="I49" s="742">
        <v>0.2284931165514234</v>
      </c>
      <c r="J49" s="2100">
        <v>0.2284931165514234</v>
      </c>
      <c r="K49" s="89">
        <v>65</v>
      </c>
      <c r="L49" s="1">
        <v>0</v>
      </c>
      <c r="M49" s="1">
        <v>17.619</v>
      </c>
      <c r="N49" s="1427">
        <v>0.623</v>
      </c>
      <c r="O49" s="1">
        <v>0.623</v>
      </c>
      <c r="P49" s="1">
        <v>17.619</v>
      </c>
      <c r="Q49" s="742">
        <v>0</v>
      </c>
      <c r="R49" s="742">
        <v>3.5359555025824392E-2</v>
      </c>
      <c r="S49" s="2100">
        <v>3.5359555025824392E-2</v>
      </c>
      <c r="T49" s="89">
        <v>65</v>
      </c>
      <c r="U49" s="741">
        <v>0</v>
      </c>
      <c r="V49" s="741">
        <v>16.835999999999999</v>
      </c>
      <c r="W49" s="741">
        <v>2.1455000000000002</v>
      </c>
      <c r="X49" s="741">
        <v>2.1455000000000002</v>
      </c>
      <c r="Y49" s="741">
        <v>16.835999999999999</v>
      </c>
      <c r="Z49" s="960">
        <v>0</v>
      </c>
      <c r="AA49" s="960">
        <v>0.13192633578862389</v>
      </c>
      <c r="AB49" s="961">
        <v>0.13192633578862389</v>
      </c>
    </row>
    <row r="50" spans="2:28">
      <c r="B50" s="2098">
        <v>66</v>
      </c>
      <c r="C50" s="2090"/>
      <c r="D50" s="2090">
        <v>15.661</v>
      </c>
      <c r="E50" s="2090">
        <v>3.6739999999999999</v>
      </c>
      <c r="F50" s="2090">
        <v>3.6739999999999999</v>
      </c>
      <c r="G50" s="2090">
        <v>15.661</v>
      </c>
      <c r="H50" s="2091">
        <v>0</v>
      </c>
      <c r="I50" s="2091">
        <v>0.23459549198646318</v>
      </c>
      <c r="J50" s="2099">
        <v>0.23459549198646318</v>
      </c>
      <c r="K50" s="2098">
        <v>66</v>
      </c>
      <c r="L50" s="2090">
        <v>0</v>
      </c>
      <c r="M50" s="2090">
        <v>17.216999999999999</v>
      </c>
      <c r="N50" s="2092">
        <v>0.60399999999999998</v>
      </c>
      <c r="O50" s="2090">
        <v>0.60399999999999998</v>
      </c>
      <c r="P50" s="2090">
        <v>17.216999999999999</v>
      </c>
      <c r="Q50" s="2091">
        <v>0</v>
      </c>
      <c r="R50" s="2091">
        <v>3.5081605390021489E-2</v>
      </c>
      <c r="S50" s="2099">
        <v>3.5081605390021489E-2</v>
      </c>
      <c r="T50" s="2098">
        <v>66</v>
      </c>
      <c r="U50" s="1707">
        <v>0</v>
      </c>
      <c r="V50" s="1707">
        <v>16.439</v>
      </c>
      <c r="W50" s="1707">
        <v>2.1389999999999998</v>
      </c>
      <c r="X50" s="1707">
        <v>2.1389999999999998</v>
      </c>
      <c r="Y50" s="1707">
        <v>16.439</v>
      </c>
      <c r="Z50" s="2093">
        <v>0</v>
      </c>
      <c r="AA50" s="2093">
        <v>0.13483854868824233</v>
      </c>
      <c r="AB50" s="2114">
        <v>0.13483854868824233</v>
      </c>
    </row>
    <row r="51" spans="2:28">
      <c r="B51" s="89">
        <v>67</v>
      </c>
      <c r="C51" s="1"/>
      <c r="D51" s="1">
        <v>15.260999999999999</v>
      </c>
      <c r="E51" s="1">
        <v>3.6779999999999999</v>
      </c>
      <c r="F51" s="1">
        <v>3.6779999999999999</v>
      </c>
      <c r="G51" s="1">
        <v>15.260999999999999</v>
      </c>
      <c r="H51" s="742">
        <v>0</v>
      </c>
      <c r="I51" s="742">
        <v>0.24100648712404169</v>
      </c>
      <c r="J51" s="2099">
        <v>0.24100648712404169</v>
      </c>
      <c r="K51" s="89">
        <v>67</v>
      </c>
      <c r="L51" s="1">
        <v>0</v>
      </c>
      <c r="M51" s="1">
        <v>16.803000000000001</v>
      </c>
      <c r="N51" s="1427">
        <v>0.58599999999999997</v>
      </c>
      <c r="O51" s="1">
        <v>0.58599999999999997</v>
      </c>
      <c r="P51" s="1">
        <v>16.803000000000001</v>
      </c>
      <c r="Q51" s="742">
        <v>0</v>
      </c>
      <c r="R51" s="742">
        <v>3.4874724751532464E-2</v>
      </c>
      <c r="S51" s="2100">
        <v>3.4874724751532464E-2</v>
      </c>
      <c r="T51" s="89">
        <v>67</v>
      </c>
      <c r="U51" s="741">
        <v>0</v>
      </c>
      <c r="V51" s="741">
        <v>16.032</v>
      </c>
      <c r="W51" s="741">
        <v>2.1320000000000001</v>
      </c>
      <c r="X51" s="741">
        <v>2.1320000000000001</v>
      </c>
      <c r="Y51" s="741">
        <v>16.032</v>
      </c>
      <c r="Z51" s="2088">
        <v>0</v>
      </c>
      <c r="AA51" s="2088">
        <v>0.13794060593778706</v>
      </c>
      <c r="AB51" s="2115">
        <v>0.13794060593778706</v>
      </c>
    </row>
    <row r="52" spans="2:28">
      <c r="B52" s="2098">
        <v>68</v>
      </c>
      <c r="C52" s="2090"/>
      <c r="D52" s="2090">
        <v>14.851000000000001</v>
      </c>
      <c r="E52" s="2090">
        <v>3.68</v>
      </c>
      <c r="F52" s="2090">
        <v>3.68</v>
      </c>
      <c r="G52" s="2090">
        <v>14.851000000000001</v>
      </c>
      <c r="H52" s="2091">
        <v>0</v>
      </c>
      <c r="I52" s="2091">
        <v>0.24779476129553565</v>
      </c>
      <c r="J52" s="2099">
        <v>0.24779476129553565</v>
      </c>
      <c r="K52" s="2098">
        <v>68</v>
      </c>
      <c r="L52" s="2090">
        <v>0</v>
      </c>
      <c r="M52" s="2090">
        <v>16.378</v>
      </c>
      <c r="N52" s="2092">
        <v>0.56699999999999995</v>
      </c>
      <c r="O52" s="2090">
        <v>0.56699999999999995</v>
      </c>
      <c r="P52" s="2090">
        <v>16.378</v>
      </c>
      <c r="Q52" s="2091">
        <v>0</v>
      </c>
      <c r="R52" s="2091">
        <v>3.4619611674197089E-2</v>
      </c>
      <c r="S52" s="2099">
        <v>3.4619611674197089E-2</v>
      </c>
      <c r="T52" s="2098">
        <v>68</v>
      </c>
      <c r="U52" s="1707">
        <v>0</v>
      </c>
      <c r="V52" s="1707">
        <v>15.6145</v>
      </c>
      <c r="W52" s="1707">
        <v>2.1234999999999999</v>
      </c>
      <c r="X52" s="1707">
        <v>2.1234999999999999</v>
      </c>
      <c r="Y52" s="1707">
        <v>15.6145</v>
      </c>
      <c r="Z52" s="2093">
        <v>0</v>
      </c>
      <c r="AA52" s="2093">
        <v>0.14120718648486638</v>
      </c>
      <c r="AB52" s="2114">
        <v>0.14120718648486638</v>
      </c>
    </row>
    <row r="53" spans="2:28">
      <c r="B53" s="89">
        <v>69</v>
      </c>
      <c r="C53" s="1"/>
      <c r="D53" s="1">
        <v>14.432</v>
      </c>
      <c r="E53" s="1">
        <v>3.681</v>
      </c>
      <c r="F53" s="1">
        <v>3.681</v>
      </c>
      <c r="G53" s="1">
        <v>14.432</v>
      </c>
      <c r="H53" s="742">
        <v>0</v>
      </c>
      <c r="I53" s="742">
        <v>0.25505820399113083</v>
      </c>
      <c r="J53" s="2099">
        <v>0.25505820399113083</v>
      </c>
      <c r="K53" s="89">
        <v>69</v>
      </c>
      <c r="L53" s="1">
        <v>0</v>
      </c>
      <c r="M53" s="1">
        <v>15.94</v>
      </c>
      <c r="N53" s="1427">
        <v>0.54900000000000004</v>
      </c>
      <c r="O53" s="1">
        <v>0.54900000000000004</v>
      </c>
      <c r="P53" s="1">
        <v>15.94</v>
      </c>
      <c r="Q53" s="742">
        <v>0</v>
      </c>
      <c r="R53" s="742">
        <v>3.4441656210790469E-2</v>
      </c>
      <c r="S53" s="2100">
        <v>3.4441656210790469E-2</v>
      </c>
      <c r="T53" s="89">
        <v>69</v>
      </c>
      <c r="U53" s="741">
        <v>0</v>
      </c>
      <c r="V53" s="741">
        <v>15.186</v>
      </c>
      <c r="W53" s="741">
        <v>2.1150000000000002</v>
      </c>
      <c r="X53" s="741">
        <v>2.1150000000000002</v>
      </c>
      <c r="Y53" s="741">
        <v>15.186</v>
      </c>
      <c r="Z53" s="2088">
        <v>0</v>
      </c>
      <c r="AA53" s="2088">
        <v>0.14474993010096066</v>
      </c>
      <c r="AB53" s="2115">
        <v>0.14474993010096066</v>
      </c>
    </row>
    <row r="54" spans="2:28">
      <c r="B54" s="2098">
        <v>70</v>
      </c>
      <c r="C54" s="2090"/>
      <c r="D54" s="2090">
        <v>14.002000000000001</v>
      </c>
      <c r="E54" s="2090">
        <v>3.6789999999999998</v>
      </c>
      <c r="F54" s="2090">
        <v>3.6789999999999998</v>
      </c>
      <c r="G54" s="2090">
        <v>14.002000000000001</v>
      </c>
      <c r="H54" s="2091">
        <v>0</v>
      </c>
      <c r="I54" s="2091">
        <v>0.26274817883159546</v>
      </c>
      <c r="J54" s="2099">
        <v>0.26274817883159546</v>
      </c>
      <c r="K54" s="2098">
        <v>70</v>
      </c>
      <c r="L54" s="2090">
        <v>0</v>
      </c>
      <c r="M54" s="2090">
        <v>15.49</v>
      </c>
      <c r="N54" s="2092">
        <v>0.53</v>
      </c>
      <c r="O54" s="2090">
        <v>0.53</v>
      </c>
      <c r="P54" s="2090">
        <v>15.49</v>
      </c>
      <c r="Q54" s="2091">
        <v>0</v>
      </c>
      <c r="R54" s="2091">
        <v>3.4215622982569402E-2</v>
      </c>
      <c r="S54" s="2099">
        <v>3.4215622982569402E-2</v>
      </c>
      <c r="T54" s="2098">
        <v>70</v>
      </c>
      <c r="U54" s="1707">
        <v>0</v>
      </c>
      <c r="V54" s="1707">
        <v>14.746</v>
      </c>
      <c r="W54" s="1707">
        <v>2.1044999999999998</v>
      </c>
      <c r="X54" s="1707">
        <v>2.1044999999999998</v>
      </c>
      <c r="Y54" s="1707">
        <v>14.746</v>
      </c>
      <c r="Z54" s="2093">
        <v>0</v>
      </c>
      <c r="AA54" s="2093">
        <v>0.14848190090708244</v>
      </c>
      <c r="AB54" s="2114">
        <v>0.14848190090708244</v>
      </c>
    </row>
    <row r="55" spans="2:28">
      <c r="B55" s="89">
        <v>71</v>
      </c>
      <c r="C55" s="1"/>
      <c r="D55" s="1">
        <v>13.561999999999999</v>
      </c>
      <c r="E55" s="1">
        <v>3.6749999999999998</v>
      </c>
      <c r="F55" s="1">
        <v>3.6749999999999998</v>
      </c>
      <c r="G55" s="1">
        <v>13.561999999999999</v>
      </c>
      <c r="H55" s="742">
        <v>0</v>
      </c>
      <c r="I55" s="742">
        <v>0.27097773189795016</v>
      </c>
      <c r="J55" s="2099">
        <v>0.27097773189795016</v>
      </c>
      <c r="K55" s="89">
        <v>71</v>
      </c>
      <c r="L55" s="1">
        <v>0</v>
      </c>
      <c r="M55" s="1">
        <v>15.026</v>
      </c>
      <c r="N55" s="1427">
        <v>0.51</v>
      </c>
      <c r="O55" s="1">
        <v>0.51</v>
      </c>
      <c r="P55" s="1">
        <v>15.026</v>
      </c>
      <c r="Q55" s="742">
        <v>0</v>
      </c>
      <c r="R55" s="742">
        <v>3.3941168641022229E-2</v>
      </c>
      <c r="S55" s="2100">
        <v>3.3941168641022229E-2</v>
      </c>
      <c r="T55" s="89">
        <v>71</v>
      </c>
      <c r="U55" s="741">
        <v>0</v>
      </c>
      <c r="V55" s="741">
        <v>14.294</v>
      </c>
      <c r="W55" s="741">
        <v>2.0924999999999998</v>
      </c>
      <c r="X55" s="741">
        <v>2.0924999999999998</v>
      </c>
      <c r="Y55" s="741">
        <v>14.294</v>
      </c>
      <c r="Z55" s="2088">
        <v>0</v>
      </c>
      <c r="AA55" s="2088">
        <v>0.15245945026948621</v>
      </c>
      <c r="AB55" s="2115">
        <v>0.15245945026948621</v>
      </c>
    </row>
    <row r="56" spans="2:28">
      <c r="B56" s="2098">
        <v>72</v>
      </c>
      <c r="C56" s="2090"/>
      <c r="D56" s="2090">
        <v>13.111000000000001</v>
      </c>
      <c r="E56" s="2090">
        <v>3.669</v>
      </c>
      <c r="F56" s="2090">
        <v>3.669</v>
      </c>
      <c r="G56" s="2090">
        <v>13.111000000000001</v>
      </c>
      <c r="H56" s="2091">
        <v>0</v>
      </c>
      <c r="I56" s="2091">
        <v>0.27984135458775072</v>
      </c>
      <c r="J56" s="2099">
        <v>0.27984135458775072</v>
      </c>
      <c r="K56" s="2098">
        <v>72</v>
      </c>
      <c r="L56" s="2090">
        <v>0</v>
      </c>
      <c r="M56" s="2090">
        <v>14.55</v>
      </c>
      <c r="N56" s="2092">
        <v>0.49099999999999999</v>
      </c>
      <c r="O56" s="2090">
        <v>0.49099999999999999</v>
      </c>
      <c r="P56" s="2090">
        <v>14.55</v>
      </c>
      <c r="Q56" s="2091">
        <v>0</v>
      </c>
      <c r="R56" s="2091">
        <v>3.3745704467353949E-2</v>
      </c>
      <c r="S56" s="2099">
        <v>3.3745704467353949E-2</v>
      </c>
      <c r="T56" s="2098">
        <v>72</v>
      </c>
      <c r="U56" s="1707">
        <v>0</v>
      </c>
      <c r="V56" s="1707">
        <v>13.830500000000001</v>
      </c>
      <c r="W56" s="1707">
        <v>2.08</v>
      </c>
      <c r="X56" s="1707">
        <v>2.08</v>
      </c>
      <c r="Y56" s="1707">
        <v>13.830500000000001</v>
      </c>
      <c r="Z56" s="2093">
        <v>0</v>
      </c>
      <c r="AA56" s="2093">
        <v>0.15679352952755232</v>
      </c>
      <c r="AB56" s="2114">
        <v>0.15679352952755232</v>
      </c>
    </row>
    <row r="57" spans="2:28">
      <c r="B57" s="89">
        <v>73</v>
      </c>
      <c r="C57" s="1"/>
      <c r="D57" s="1">
        <v>12.65</v>
      </c>
      <c r="E57" s="1">
        <v>3.6669999999999998</v>
      </c>
      <c r="F57" s="1">
        <v>3.6669999999999998</v>
      </c>
      <c r="G57" s="1">
        <v>12.65</v>
      </c>
      <c r="H57" s="742">
        <v>0</v>
      </c>
      <c r="I57" s="742">
        <v>0.28988142292490116</v>
      </c>
      <c r="J57" s="2099">
        <v>0.28988142292490116</v>
      </c>
      <c r="K57" s="89">
        <v>73</v>
      </c>
      <c r="L57" s="1">
        <v>0</v>
      </c>
      <c r="M57" s="1">
        <v>14.061999999999999</v>
      </c>
      <c r="N57" s="1427">
        <v>0.47199999999999998</v>
      </c>
      <c r="O57" s="1">
        <v>0.47199999999999998</v>
      </c>
      <c r="P57" s="1">
        <v>14.061999999999999</v>
      </c>
      <c r="Q57" s="742">
        <v>0</v>
      </c>
      <c r="R57" s="742">
        <v>3.3565637889347175E-2</v>
      </c>
      <c r="S57" s="2100">
        <v>3.3565637889347175E-2</v>
      </c>
      <c r="T57" s="89">
        <v>73</v>
      </c>
      <c r="U57" s="741">
        <v>0</v>
      </c>
      <c r="V57" s="741">
        <v>13.356</v>
      </c>
      <c r="W57" s="741">
        <v>2.0694999999999997</v>
      </c>
      <c r="X57" s="741">
        <v>2.0694999999999997</v>
      </c>
      <c r="Y57" s="741">
        <v>13.356</v>
      </c>
      <c r="Z57" s="2088">
        <v>0</v>
      </c>
      <c r="AA57" s="2088">
        <v>0.16172353040712417</v>
      </c>
      <c r="AB57" s="2115">
        <v>0.16172353040712417</v>
      </c>
    </row>
    <row r="58" spans="2:28">
      <c r="B58" s="2098">
        <v>74</v>
      </c>
      <c r="C58" s="2090"/>
      <c r="D58" s="2090">
        <v>12.18</v>
      </c>
      <c r="E58" s="2090">
        <v>3.6619999999999999</v>
      </c>
      <c r="F58" s="2090">
        <v>3.6619999999999999</v>
      </c>
      <c r="G58" s="2090">
        <v>12.18</v>
      </c>
      <c r="H58" s="2091">
        <v>0</v>
      </c>
      <c r="I58" s="2091">
        <v>0.30065681444991788</v>
      </c>
      <c r="J58" s="2099">
        <v>0.30065681444991788</v>
      </c>
      <c r="K58" s="2098">
        <v>74</v>
      </c>
      <c r="L58" s="2090">
        <v>0</v>
      </c>
      <c r="M58" s="2090">
        <v>13.561999999999999</v>
      </c>
      <c r="N58" s="2092">
        <v>0.45300000000000001</v>
      </c>
      <c r="O58" s="2090">
        <v>0.45300000000000001</v>
      </c>
      <c r="P58" s="2090">
        <v>13.561999999999999</v>
      </c>
      <c r="Q58" s="2091">
        <v>0</v>
      </c>
      <c r="R58" s="2091">
        <v>3.3402153074767738E-2</v>
      </c>
      <c r="S58" s="2099">
        <v>3.3402153074767738E-2</v>
      </c>
      <c r="T58" s="2098">
        <v>74</v>
      </c>
      <c r="U58" s="1707">
        <v>0</v>
      </c>
      <c r="V58" s="1707">
        <v>12.870999999999999</v>
      </c>
      <c r="W58" s="1707">
        <v>2.0575000000000001</v>
      </c>
      <c r="X58" s="1707">
        <v>2.0575000000000001</v>
      </c>
      <c r="Y58" s="1707">
        <v>12.870999999999999</v>
      </c>
      <c r="Z58" s="2093">
        <v>0</v>
      </c>
      <c r="AA58" s="2093">
        <v>0.16702948376234281</v>
      </c>
      <c r="AB58" s="2114">
        <v>0.16702948376234281</v>
      </c>
    </row>
    <row r="59" spans="2:28">
      <c r="B59" s="89">
        <v>75</v>
      </c>
      <c r="C59" s="1"/>
      <c r="D59" s="1">
        <v>11.701000000000001</v>
      </c>
      <c r="E59" s="1">
        <v>3.6549999999999998</v>
      </c>
      <c r="F59" s="1">
        <v>3.6549999999999998</v>
      </c>
      <c r="G59" s="1">
        <v>11.701000000000001</v>
      </c>
      <c r="H59" s="742">
        <v>0</v>
      </c>
      <c r="I59" s="742">
        <v>0.31236646440475169</v>
      </c>
      <c r="J59" s="2099">
        <v>0.31236646440475169</v>
      </c>
      <c r="K59" s="89">
        <v>75</v>
      </c>
      <c r="L59" s="1">
        <v>0</v>
      </c>
      <c r="M59" s="1">
        <v>13.051</v>
      </c>
      <c r="N59" s="1427">
        <v>0.434</v>
      </c>
      <c r="O59" s="1">
        <v>0.434</v>
      </c>
      <c r="P59" s="1">
        <v>13.051</v>
      </c>
      <c r="Q59" s="742">
        <v>0</v>
      </c>
      <c r="R59" s="742">
        <v>3.3254156769596199E-2</v>
      </c>
      <c r="S59" s="2100">
        <v>3.3254156769596199E-2</v>
      </c>
      <c r="T59" s="89">
        <v>75</v>
      </c>
      <c r="U59" s="741">
        <v>0</v>
      </c>
      <c r="V59" s="741">
        <v>12.376000000000001</v>
      </c>
      <c r="W59" s="741">
        <v>2.0444999999999998</v>
      </c>
      <c r="X59" s="741">
        <v>2.0444999999999998</v>
      </c>
      <c r="Y59" s="741">
        <v>12.376000000000001</v>
      </c>
      <c r="Z59" s="2088">
        <v>0</v>
      </c>
      <c r="AA59" s="2088">
        <v>0.17281031058717394</v>
      </c>
      <c r="AB59" s="2115">
        <v>0.17281031058717394</v>
      </c>
    </row>
    <row r="60" spans="2:28">
      <c r="B60" s="2098">
        <v>76</v>
      </c>
      <c r="C60" s="2090"/>
      <c r="D60" s="2090">
        <v>11.215</v>
      </c>
      <c r="E60" s="2090">
        <v>3.6429999999999998</v>
      </c>
      <c r="F60" s="2090">
        <v>3.6429999999999998</v>
      </c>
      <c r="G60" s="2090">
        <v>11.215</v>
      </c>
      <c r="H60" s="2091">
        <v>0</v>
      </c>
      <c r="I60" s="2091">
        <v>0.32483281319661167</v>
      </c>
      <c r="J60" s="2099">
        <v>0.32483281319661167</v>
      </c>
      <c r="K60" s="2098">
        <v>76</v>
      </c>
      <c r="L60" s="2090">
        <v>0</v>
      </c>
      <c r="M60" s="2090">
        <v>12.531000000000001</v>
      </c>
      <c r="N60" s="2092">
        <v>0.41399999999999998</v>
      </c>
      <c r="O60" s="2090">
        <v>0.41399999999999998</v>
      </c>
      <c r="P60" s="2090">
        <v>12.531000000000001</v>
      </c>
      <c r="Q60" s="2091">
        <v>0</v>
      </c>
      <c r="R60" s="2091">
        <v>3.3038065597318644E-2</v>
      </c>
      <c r="S60" s="2099">
        <v>3.3038065597318644E-2</v>
      </c>
      <c r="T60" s="2098">
        <v>76</v>
      </c>
      <c r="U60" s="1707">
        <v>0</v>
      </c>
      <c r="V60" s="1707">
        <v>11.873000000000001</v>
      </c>
      <c r="W60" s="1707">
        <v>2.0284999999999997</v>
      </c>
      <c r="X60" s="1707">
        <v>2.0284999999999997</v>
      </c>
      <c r="Y60" s="1707">
        <v>11.873000000000001</v>
      </c>
      <c r="Z60" s="2093">
        <v>0</v>
      </c>
      <c r="AA60" s="2093">
        <v>0.17893543939696516</v>
      </c>
      <c r="AB60" s="2114">
        <v>0.17893543939696516</v>
      </c>
    </row>
    <row r="61" spans="2:28">
      <c r="B61" s="89">
        <v>77</v>
      </c>
      <c r="C61" s="1"/>
      <c r="D61" s="1">
        <v>10.724</v>
      </c>
      <c r="E61" s="1">
        <v>3.625</v>
      </c>
      <c r="F61" s="1">
        <v>3.625</v>
      </c>
      <c r="G61" s="1">
        <v>10.724</v>
      </c>
      <c r="H61" s="742">
        <v>0</v>
      </c>
      <c r="I61" s="742">
        <v>0.33802685565087653</v>
      </c>
      <c r="J61" s="2099">
        <v>0.33802685565087653</v>
      </c>
      <c r="K61" s="89">
        <v>77</v>
      </c>
      <c r="L61" s="1">
        <v>0</v>
      </c>
      <c r="M61" s="1">
        <v>12.003</v>
      </c>
      <c r="N61" s="1427">
        <v>0.39300000000000002</v>
      </c>
      <c r="O61" s="1">
        <v>0.39300000000000002</v>
      </c>
      <c r="P61" s="1">
        <v>12.003</v>
      </c>
      <c r="Q61" s="742">
        <v>0</v>
      </c>
      <c r="R61" s="742">
        <v>3.2741814546363407E-2</v>
      </c>
      <c r="S61" s="2100">
        <v>3.2741814546363407E-2</v>
      </c>
      <c r="T61" s="89">
        <v>77</v>
      </c>
      <c r="U61" s="741">
        <v>0</v>
      </c>
      <c r="V61" s="741">
        <v>11.3635</v>
      </c>
      <c r="W61" s="741">
        <v>2.0089999999999999</v>
      </c>
      <c r="X61" s="741">
        <v>2.0089999999999999</v>
      </c>
      <c r="Y61" s="741">
        <v>11.3635</v>
      </c>
      <c r="Z61" s="2088">
        <v>0</v>
      </c>
      <c r="AA61" s="2088">
        <v>0.18538433509861996</v>
      </c>
      <c r="AB61" s="2115">
        <v>0.18538433509861996</v>
      </c>
    </row>
    <row r="62" spans="2:28">
      <c r="B62" s="2098">
        <v>78</v>
      </c>
      <c r="C62" s="2090"/>
      <c r="D62" s="2090">
        <v>10.228999999999999</v>
      </c>
      <c r="E62" s="2090">
        <v>3.601</v>
      </c>
      <c r="F62" s="2090">
        <v>3.601</v>
      </c>
      <c r="G62" s="2090">
        <v>10.228999999999999</v>
      </c>
      <c r="H62" s="2091">
        <v>0</v>
      </c>
      <c r="I62" s="2091">
        <v>0.35203832241665856</v>
      </c>
      <c r="J62" s="2099">
        <v>0.35203832241665856</v>
      </c>
      <c r="K62" s="2098">
        <v>78</v>
      </c>
      <c r="L62" s="2090">
        <v>0</v>
      </c>
      <c r="M62" s="2090">
        <v>11.47</v>
      </c>
      <c r="N62" s="2092">
        <v>0.371</v>
      </c>
      <c r="O62" s="2090">
        <v>0.371</v>
      </c>
      <c r="P62" s="2090">
        <v>11.47</v>
      </c>
      <c r="Q62" s="2091">
        <v>0</v>
      </c>
      <c r="R62" s="2091">
        <v>3.2345248474280733E-2</v>
      </c>
      <c r="S62" s="2099">
        <v>3.2345248474280733E-2</v>
      </c>
      <c r="T62" s="2098">
        <v>78</v>
      </c>
      <c r="U62" s="1707">
        <v>0</v>
      </c>
      <c r="V62" s="1707">
        <v>10.849499999999999</v>
      </c>
      <c r="W62" s="1707">
        <v>1.986</v>
      </c>
      <c r="X62" s="1707">
        <v>1.986</v>
      </c>
      <c r="Y62" s="1707">
        <v>10.849499999999999</v>
      </c>
      <c r="Z62" s="2093">
        <v>0</v>
      </c>
      <c r="AA62" s="2093">
        <v>0.19219178544546964</v>
      </c>
      <c r="AB62" s="2114">
        <v>0.19219178544546964</v>
      </c>
    </row>
    <row r="63" spans="2:28">
      <c r="B63" s="89">
        <v>79</v>
      </c>
      <c r="C63" s="1"/>
      <c r="D63" s="1">
        <v>9.7330000000000005</v>
      </c>
      <c r="E63" s="1">
        <v>3.57</v>
      </c>
      <c r="F63" s="1">
        <v>3.57</v>
      </c>
      <c r="G63" s="1">
        <v>9.7330000000000005</v>
      </c>
      <c r="H63" s="742">
        <v>0</v>
      </c>
      <c r="I63" s="742">
        <v>0.36679338333504569</v>
      </c>
      <c r="J63" s="2099">
        <v>0.36679338333504569</v>
      </c>
      <c r="K63" s="89">
        <v>79</v>
      </c>
      <c r="L63" s="1">
        <v>0</v>
      </c>
      <c r="M63" s="1">
        <v>10.932</v>
      </c>
      <c r="N63" s="1427">
        <v>0.34899999999999998</v>
      </c>
      <c r="O63" s="1">
        <v>0.34899999999999998</v>
      </c>
      <c r="P63" s="1">
        <v>10.932</v>
      </c>
      <c r="Q63" s="742">
        <v>0</v>
      </c>
      <c r="R63" s="742">
        <v>3.1924624954262709E-2</v>
      </c>
      <c r="S63" s="2100">
        <v>3.1924624954262709E-2</v>
      </c>
      <c r="T63" s="89">
        <v>79</v>
      </c>
      <c r="U63" s="741">
        <v>0</v>
      </c>
      <c r="V63" s="741">
        <v>10.3325</v>
      </c>
      <c r="W63" s="741">
        <v>1.9594999999999998</v>
      </c>
      <c r="X63" s="741">
        <v>1.9594999999999998</v>
      </c>
      <c r="Y63" s="741">
        <v>10.3325</v>
      </c>
      <c r="Z63" s="2088">
        <v>0</v>
      </c>
      <c r="AA63" s="2088">
        <v>0.19935900414465418</v>
      </c>
      <c r="AB63" s="2115">
        <v>0.19935900414465418</v>
      </c>
    </row>
    <row r="64" spans="2:28">
      <c r="B64" s="2098">
        <v>80</v>
      </c>
      <c r="C64" s="2090"/>
      <c r="D64" s="2090">
        <v>9.2379999999999995</v>
      </c>
      <c r="E64" s="2090">
        <v>3.5310000000000001</v>
      </c>
      <c r="F64" s="2090">
        <v>3.5310000000000001</v>
      </c>
      <c r="G64" s="2090">
        <v>9.2379999999999995</v>
      </c>
      <c r="H64" s="2091">
        <v>0</v>
      </c>
      <c r="I64" s="2091">
        <v>0.38222558995453565</v>
      </c>
      <c r="J64" s="2099">
        <v>0.38222558995453565</v>
      </c>
      <c r="K64" s="2098">
        <v>80</v>
      </c>
      <c r="L64" s="2090">
        <v>0</v>
      </c>
      <c r="M64" s="2090">
        <v>10.391999999999999</v>
      </c>
      <c r="N64" s="2092">
        <v>0.32700000000000001</v>
      </c>
      <c r="O64" s="2090">
        <v>0.32700000000000001</v>
      </c>
      <c r="P64" s="2090">
        <v>10.391999999999999</v>
      </c>
      <c r="Q64" s="2091">
        <v>0</v>
      </c>
      <c r="R64" s="2091">
        <v>3.1466512702078522E-2</v>
      </c>
      <c r="S64" s="2099">
        <v>3.1466512702078522E-2</v>
      </c>
      <c r="T64" s="2098">
        <v>80</v>
      </c>
      <c r="U64" s="1707">
        <v>0</v>
      </c>
      <c r="V64" s="1707">
        <v>9.8149999999999995</v>
      </c>
      <c r="W64" s="1707">
        <v>1.929</v>
      </c>
      <c r="X64" s="1707">
        <v>1.929</v>
      </c>
      <c r="Y64" s="1707">
        <v>9.8149999999999995</v>
      </c>
      <c r="Z64" s="2093">
        <v>0</v>
      </c>
      <c r="AA64" s="2093">
        <v>0.20684605132830708</v>
      </c>
      <c r="AB64" s="2114">
        <v>0.20684605132830708</v>
      </c>
    </row>
    <row r="65" spans="2:28">
      <c r="B65" s="89">
        <v>81</v>
      </c>
      <c r="C65" s="1"/>
      <c r="D65" s="1">
        <v>8.7469999999999999</v>
      </c>
      <c r="E65" s="1">
        <v>3.4820000000000002</v>
      </c>
      <c r="F65" s="1">
        <v>3.4820000000000002</v>
      </c>
      <c r="G65" s="1">
        <v>8.7469999999999999</v>
      </c>
      <c r="H65" s="742">
        <v>0</v>
      </c>
      <c r="I65" s="742">
        <v>0.39807934148851037</v>
      </c>
      <c r="J65" s="2099">
        <v>0.39807934148851037</v>
      </c>
      <c r="K65" s="89">
        <v>81</v>
      </c>
      <c r="L65" s="1">
        <v>0</v>
      </c>
      <c r="M65" s="1">
        <v>9.8529999999999998</v>
      </c>
      <c r="N65" s="1427">
        <v>0.30399999999999999</v>
      </c>
      <c r="O65" s="1">
        <v>0.30399999999999999</v>
      </c>
      <c r="P65" s="1">
        <v>9.8529999999999998</v>
      </c>
      <c r="Q65" s="742">
        <v>0</v>
      </c>
      <c r="R65" s="742">
        <v>3.0853547143002133E-2</v>
      </c>
      <c r="S65" s="2100">
        <v>3.0853547143002133E-2</v>
      </c>
      <c r="T65" s="89">
        <v>81</v>
      </c>
      <c r="U65" s="741">
        <v>0</v>
      </c>
      <c r="V65" s="741">
        <v>9.3000000000000007</v>
      </c>
      <c r="W65" s="741">
        <v>1.893</v>
      </c>
      <c r="X65" s="741">
        <v>1.893</v>
      </c>
      <c r="Y65" s="741">
        <v>9.3000000000000007</v>
      </c>
      <c r="Z65" s="2088">
        <v>0</v>
      </c>
      <c r="AA65" s="2088">
        <v>0.21446644431575626</v>
      </c>
      <c r="AB65" s="2115">
        <v>0.21446644431575626</v>
      </c>
    </row>
    <row r="66" spans="2:28">
      <c r="B66" s="2098">
        <v>82</v>
      </c>
      <c r="C66" s="2090"/>
      <c r="D66" s="2090">
        <v>8.2629999999999999</v>
      </c>
      <c r="E66" s="2090">
        <v>3.4089999999999998</v>
      </c>
      <c r="F66" s="2090">
        <v>3.4089999999999998</v>
      </c>
      <c r="G66" s="2090">
        <v>8.2629999999999999</v>
      </c>
      <c r="H66" s="2091">
        <v>0</v>
      </c>
      <c r="I66" s="2091">
        <v>0.41256202347815563</v>
      </c>
      <c r="J66" s="2099">
        <v>0.41256202347815563</v>
      </c>
      <c r="K66" s="2098">
        <v>82</v>
      </c>
      <c r="L66" s="2090">
        <v>0</v>
      </c>
      <c r="M66" s="2090">
        <v>9.3179999999999996</v>
      </c>
      <c r="N66" s="2092">
        <v>0.28100000000000003</v>
      </c>
      <c r="O66" s="2090">
        <v>0.28100000000000003</v>
      </c>
      <c r="P66" s="2090">
        <v>9.3179999999999996</v>
      </c>
      <c r="Q66" s="2091">
        <v>0</v>
      </c>
      <c r="R66" s="2091">
        <v>3.0156685984116766E-2</v>
      </c>
      <c r="S66" s="2099">
        <v>3.0156685984116766E-2</v>
      </c>
      <c r="T66" s="2098">
        <v>82</v>
      </c>
      <c r="U66" s="1707">
        <v>0</v>
      </c>
      <c r="V66" s="1707">
        <v>8.7904999999999998</v>
      </c>
      <c r="W66" s="1707">
        <v>1.845</v>
      </c>
      <c r="X66" s="1707">
        <v>1.845</v>
      </c>
      <c r="Y66" s="1707">
        <v>8.7904999999999998</v>
      </c>
      <c r="Z66" s="2093">
        <v>0</v>
      </c>
      <c r="AA66" s="2093">
        <v>0.22135935473113619</v>
      </c>
      <c r="AB66" s="2114">
        <v>0.22135935473113619</v>
      </c>
    </row>
    <row r="67" spans="2:28">
      <c r="B67" s="89">
        <v>83</v>
      </c>
      <c r="C67" s="1"/>
      <c r="D67" s="1">
        <v>7.7880000000000003</v>
      </c>
      <c r="E67" s="1">
        <v>3.3220000000000001</v>
      </c>
      <c r="F67" s="1">
        <v>3.3220000000000001</v>
      </c>
      <c r="G67" s="1">
        <v>7.7880000000000003</v>
      </c>
      <c r="H67" s="742">
        <v>0</v>
      </c>
      <c r="I67" s="742">
        <v>0.42655367231638419</v>
      </c>
      <c r="J67" s="2099">
        <v>0.42655367231638419</v>
      </c>
      <c r="K67" s="89">
        <v>83</v>
      </c>
      <c r="L67" s="1">
        <v>0</v>
      </c>
      <c r="M67" s="1">
        <v>8.7889999999999997</v>
      </c>
      <c r="N67" s="1427">
        <v>0.25800000000000001</v>
      </c>
      <c r="O67" s="1">
        <v>0.25800000000000001</v>
      </c>
      <c r="P67" s="1">
        <v>8.7889999999999997</v>
      </c>
      <c r="Q67" s="742">
        <v>0</v>
      </c>
      <c r="R67" s="742">
        <v>2.9354875412447381E-2</v>
      </c>
      <c r="S67" s="2100">
        <v>2.9354875412447381E-2</v>
      </c>
      <c r="T67" s="89">
        <v>83</v>
      </c>
      <c r="U67" s="741">
        <v>0</v>
      </c>
      <c r="V67" s="741">
        <v>8.2884999999999991</v>
      </c>
      <c r="W67" s="741">
        <v>1.79</v>
      </c>
      <c r="X67" s="741">
        <v>1.79</v>
      </c>
      <c r="Y67" s="741">
        <v>8.2884999999999991</v>
      </c>
      <c r="Z67" s="2088">
        <v>0</v>
      </c>
      <c r="AA67" s="2088">
        <v>0.22795427386441577</v>
      </c>
      <c r="AB67" s="2115">
        <v>0.22795427386441577</v>
      </c>
    </row>
    <row r="68" spans="2:28">
      <c r="B68" s="2098">
        <v>84</v>
      </c>
      <c r="C68" s="2090"/>
      <c r="D68" s="2090">
        <v>7.327</v>
      </c>
      <c r="E68" s="2090">
        <v>3.2229999999999999</v>
      </c>
      <c r="F68" s="2090">
        <v>3.2229999999999999</v>
      </c>
      <c r="G68" s="2090">
        <v>7.327</v>
      </c>
      <c r="H68" s="2091">
        <v>0</v>
      </c>
      <c r="I68" s="2091">
        <v>0.43987989627405483</v>
      </c>
      <c r="J68" s="2099">
        <v>0.43987989627405483</v>
      </c>
      <c r="K68" s="2098">
        <v>84</v>
      </c>
      <c r="L68" s="2090">
        <v>0</v>
      </c>
      <c r="M68" s="2090">
        <v>8.2710000000000008</v>
      </c>
      <c r="N68" s="2092">
        <v>0.23499999999999999</v>
      </c>
      <c r="O68" s="2090">
        <v>0.23499999999999999</v>
      </c>
      <c r="P68" s="2090">
        <v>8.2710000000000008</v>
      </c>
      <c r="Q68" s="2091">
        <v>0</v>
      </c>
      <c r="R68" s="2091">
        <v>2.8412525692177483E-2</v>
      </c>
      <c r="S68" s="2099">
        <v>2.8412525692177483E-2</v>
      </c>
      <c r="T68" s="2098">
        <v>84</v>
      </c>
      <c r="U68" s="1707">
        <v>0</v>
      </c>
      <c r="V68" s="1707">
        <v>7.7990000000000004</v>
      </c>
      <c r="W68" s="1707">
        <v>1.7289999999999999</v>
      </c>
      <c r="X68" s="1707">
        <v>1.7289999999999999</v>
      </c>
      <c r="Y68" s="1707">
        <v>7.7990000000000004</v>
      </c>
      <c r="Z68" s="2093">
        <v>0</v>
      </c>
      <c r="AA68" s="2093">
        <v>0.23414621098311617</v>
      </c>
      <c r="AB68" s="2114">
        <v>0.23414621098311617</v>
      </c>
    </row>
    <row r="69" spans="2:28">
      <c r="B69" s="89">
        <v>85</v>
      </c>
      <c r="C69" s="1"/>
      <c r="D69" s="1">
        <v>6.883</v>
      </c>
      <c r="E69" s="1">
        <v>3.1139999999999999</v>
      </c>
      <c r="F69" s="1">
        <v>3.1139999999999999</v>
      </c>
      <c r="G69" s="1">
        <v>6.883</v>
      </c>
      <c r="H69" s="742">
        <v>0</v>
      </c>
      <c r="I69" s="742">
        <v>0.45241900334156615</v>
      </c>
      <c r="J69" s="2099">
        <v>0.45241900334156615</v>
      </c>
      <c r="K69" s="89">
        <v>85</v>
      </c>
      <c r="L69" s="1">
        <v>0</v>
      </c>
      <c r="M69" s="1">
        <v>7.7679999999999998</v>
      </c>
      <c r="N69" s="1427">
        <v>0.21</v>
      </c>
      <c r="O69" s="1">
        <v>0.21</v>
      </c>
      <c r="P69" s="1">
        <v>7.7679999999999998</v>
      </c>
      <c r="Q69" s="742">
        <v>0</v>
      </c>
      <c r="R69" s="742">
        <v>2.7033985581874358E-2</v>
      </c>
      <c r="S69" s="2100">
        <v>2.7033985581874358E-2</v>
      </c>
      <c r="T69" s="89">
        <v>85</v>
      </c>
      <c r="U69" s="741">
        <v>0</v>
      </c>
      <c r="V69" s="741">
        <v>7.3254999999999999</v>
      </c>
      <c r="W69" s="741">
        <v>1.6619999999999999</v>
      </c>
      <c r="X69" s="741">
        <v>1.6619999999999999</v>
      </c>
      <c r="Y69" s="741">
        <v>7.3254999999999999</v>
      </c>
      <c r="Z69" s="2088">
        <v>0</v>
      </c>
      <c r="AA69" s="2088">
        <v>0.23972649446172026</v>
      </c>
      <c r="AB69" s="2115">
        <v>0.23972649446172026</v>
      </c>
    </row>
    <row r="70" spans="2:28">
      <c r="B70" s="2098">
        <v>86</v>
      </c>
      <c r="C70" s="2090"/>
      <c r="D70" s="2090">
        <v>6.4619999999999997</v>
      </c>
      <c r="E70" s="2090">
        <v>2.9969999999999999</v>
      </c>
      <c r="F70" s="2090">
        <v>2.9969999999999999</v>
      </c>
      <c r="G70" s="2090">
        <v>6.4619999999999997</v>
      </c>
      <c r="H70" s="2091">
        <v>0</v>
      </c>
      <c r="I70" s="2091">
        <v>0.46378830083565459</v>
      </c>
      <c r="J70" s="2099">
        <v>0.46378830083565459</v>
      </c>
      <c r="K70" s="2098">
        <v>86</v>
      </c>
      <c r="L70" s="2090">
        <v>0</v>
      </c>
      <c r="M70" s="2090">
        <v>7.2850000000000001</v>
      </c>
      <c r="N70" s="2092">
        <v>0.186</v>
      </c>
      <c r="O70" s="2090">
        <v>0.186</v>
      </c>
      <c r="P70" s="2090">
        <v>7.2850000000000001</v>
      </c>
      <c r="Q70" s="2091">
        <v>0</v>
      </c>
      <c r="R70" s="2091">
        <v>2.553191489361702E-2</v>
      </c>
      <c r="S70" s="2099">
        <v>2.553191489361702E-2</v>
      </c>
      <c r="T70" s="2098">
        <v>86</v>
      </c>
      <c r="U70" s="1707">
        <v>0</v>
      </c>
      <c r="V70" s="1707">
        <v>6.8734999999999999</v>
      </c>
      <c r="W70" s="1707">
        <v>1.5914999999999999</v>
      </c>
      <c r="X70" s="1707">
        <v>1.5914999999999999</v>
      </c>
      <c r="Y70" s="1707">
        <v>6.8734999999999999</v>
      </c>
      <c r="Z70" s="2093">
        <v>0</v>
      </c>
      <c r="AA70" s="2093">
        <v>0.2446601078646358</v>
      </c>
      <c r="AB70" s="2114">
        <v>0.2446601078646358</v>
      </c>
    </row>
    <row r="71" spans="2:28">
      <c r="B71" s="89">
        <v>87</v>
      </c>
      <c r="C71" s="1"/>
      <c r="D71" s="1">
        <v>6.069</v>
      </c>
      <c r="E71" s="1">
        <v>2.8730000000000002</v>
      </c>
      <c r="F71" s="1">
        <v>2.8730000000000002</v>
      </c>
      <c r="G71" s="1">
        <v>6.069</v>
      </c>
      <c r="H71" s="742">
        <v>0</v>
      </c>
      <c r="I71" s="742">
        <v>0.47338935574229696</v>
      </c>
      <c r="J71" s="2099">
        <v>0.47338935574229696</v>
      </c>
      <c r="K71" s="89">
        <v>87</v>
      </c>
      <c r="L71" s="1">
        <v>0</v>
      </c>
      <c r="M71" s="1">
        <v>6.8259999999999996</v>
      </c>
      <c r="N71" s="1427">
        <v>0.16200000000000001</v>
      </c>
      <c r="O71" s="1">
        <v>0.16200000000000001</v>
      </c>
      <c r="P71" s="1">
        <v>6.8259999999999996</v>
      </c>
      <c r="Q71" s="742">
        <v>0</v>
      </c>
      <c r="R71" s="742">
        <v>2.3732786404922358E-2</v>
      </c>
      <c r="S71" s="2100">
        <v>2.3732786404922358E-2</v>
      </c>
      <c r="T71" s="89">
        <v>87</v>
      </c>
      <c r="U71" s="741">
        <v>0</v>
      </c>
      <c r="V71" s="741">
        <v>6.4474999999999998</v>
      </c>
      <c r="W71" s="741">
        <v>1.5175000000000001</v>
      </c>
      <c r="X71" s="741">
        <v>1.5175000000000001</v>
      </c>
      <c r="Y71" s="741">
        <v>6.4474999999999998</v>
      </c>
      <c r="Z71" s="2088">
        <v>0</v>
      </c>
      <c r="AA71" s="2088">
        <v>0.24856107107360967</v>
      </c>
      <c r="AB71" s="2115">
        <v>0.24856107107360967</v>
      </c>
    </row>
    <row r="72" spans="2:28">
      <c r="B72" s="2098">
        <v>88</v>
      </c>
      <c r="C72" s="2090"/>
      <c r="D72" s="2090">
        <v>5.7119999999999997</v>
      </c>
      <c r="E72" s="2090">
        <v>2.7149999999999999</v>
      </c>
      <c r="F72" s="2090">
        <v>2.7149999999999999</v>
      </c>
      <c r="G72" s="2090">
        <v>5.7119999999999997</v>
      </c>
      <c r="H72" s="2091">
        <v>0</v>
      </c>
      <c r="I72" s="2091">
        <v>0.47531512605042014</v>
      </c>
      <c r="J72" s="2099">
        <v>0.47531512605042014</v>
      </c>
      <c r="K72" s="2098">
        <v>88</v>
      </c>
      <c r="L72" s="2090">
        <v>0</v>
      </c>
      <c r="M72" s="2090">
        <v>6.3979999999999997</v>
      </c>
      <c r="N72" s="2092">
        <v>0.14000000000000001</v>
      </c>
      <c r="O72" s="2090">
        <v>0.14000000000000001</v>
      </c>
      <c r="P72" s="2090">
        <v>6.3979999999999997</v>
      </c>
      <c r="Q72" s="2091">
        <v>0</v>
      </c>
      <c r="R72" s="2091">
        <v>2.1881838074398252E-2</v>
      </c>
      <c r="S72" s="2099">
        <v>2.1881838074398252E-2</v>
      </c>
      <c r="T72" s="2098">
        <v>88</v>
      </c>
      <c r="U72" s="1707">
        <v>0</v>
      </c>
      <c r="V72" s="1707">
        <v>6.0549999999999997</v>
      </c>
      <c r="W72" s="1707">
        <v>1.4275</v>
      </c>
      <c r="X72" s="1707">
        <v>1.4275</v>
      </c>
      <c r="Y72" s="1707">
        <v>6.0549999999999997</v>
      </c>
      <c r="Z72" s="2093">
        <v>0</v>
      </c>
      <c r="AA72" s="2093">
        <v>0.2485984820624092</v>
      </c>
      <c r="AB72" s="2114">
        <v>0.2485984820624092</v>
      </c>
    </row>
    <row r="73" spans="2:28">
      <c r="B73" s="89">
        <v>89</v>
      </c>
      <c r="C73" s="1"/>
      <c r="D73" s="1">
        <v>5.3979999999999997</v>
      </c>
      <c r="E73" s="1">
        <v>2.5489999999999999</v>
      </c>
      <c r="F73" s="1">
        <v>2.5489999999999999</v>
      </c>
      <c r="G73" s="1">
        <v>5.3979999999999997</v>
      </c>
      <c r="H73" s="742">
        <v>0</v>
      </c>
      <c r="I73" s="742">
        <v>0.4722119303445721</v>
      </c>
      <c r="J73" s="2099">
        <v>0.4722119303445721</v>
      </c>
      <c r="K73" s="89">
        <v>89</v>
      </c>
      <c r="L73" s="1">
        <v>0</v>
      </c>
      <c r="M73" s="1">
        <v>6.0069999999999997</v>
      </c>
      <c r="N73" s="1427">
        <v>0.11700000000000001</v>
      </c>
      <c r="O73" s="1">
        <v>0.11700000000000001</v>
      </c>
      <c r="P73" s="1">
        <v>6.0069999999999997</v>
      </c>
      <c r="Q73" s="742">
        <v>0</v>
      </c>
      <c r="R73" s="742">
        <v>1.9477276510737475E-2</v>
      </c>
      <c r="S73" s="2100">
        <v>1.9477276510737475E-2</v>
      </c>
      <c r="T73" s="89">
        <v>89</v>
      </c>
      <c r="U73" s="741">
        <v>0</v>
      </c>
      <c r="V73" s="741">
        <v>5.7024999999999997</v>
      </c>
      <c r="W73" s="741">
        <v>1.333</v>
      </c>
      <c r="X73" s="741">
        <v>1.333</v>
      </c>
      <c r="Y73" s="741">
        <v>5.7024999999999997</v>
      </c>
      <c r="Z73" s="2088">
        <v>0</v>
      </c>
      <c r="AA73" s="2088">
        <v>0.2458446034276548</v>
      </c>
      <c r="AB73" s="2115">
        <v>0.2458446034276548</v>
      </c>
    </row>
    <row r="74" spans="2:28">
      <c r="B74" s="2098">
        <v>90</v>
      </c>
      <c r="C74" s="2090"/>
      <c r="D74" s="2090">
        <v>5.1150000000000002</v>
      </c>
      <c r="E74" s="2090">
        <v>2.387</v>
      </c>
      <c r="F74" s="2090">
        <v>2.387</v>
      </c>
      <c r="G74" s="2090">
        <v>5.1150000000000002</v>
      </c>
      <c r="H74" s="2091">
        <v>0</v>
      </c>
      <c r="I74" s="2091">
        <v>0.46666666666666667</v>
      </c>
      <c r="J74" s="2099">
        <v>0.46666666666666667</v>
      </c>
      <c r="K74" s="2098">
        <v>90</v>
      </c>
      <c r="L74" s="2090">
        <v>0</v>
      </c>
      <c r="M74" s="2090">
        <v>5.6550000000000002</v>
      </c>
      <c r="N74" s="2092">
        <v>9.7000000000000003E-2</v>
      </c>
      <c r="O74" s="2090">
        <v>9.7000000000000003E-2</v>
      </c>
      <c r="P74" s="2090">
        <v>5.6550000000000002</v>
      </c>
      <c r="Q74" s="2091">
        <v>0</v>
      </c>
      <c r="R74" s="2091">
        <v>1.7152961980548186E-2</v>
      </c>
      <c r="S74" s="2099">
        <v>1.7152961980548186E-2</v>
      </c>
      <c r="T74" s="2098">
        <v>90</v>
      </c>
      <c r="U74" s="1707">
        <v>0</v>
      </c>
      <c r="V74" s="1707">
        <v>5.3849999999999998</v>
      </c>
      <c r="W74" s="1707">
        <v>1.242</v>
      </c>
      <c r="X74" s="1707">
        <v>1.242</v>
      </c>
      <c r="Y74" s="1707">
        <v>5.3849999999999998</v>
      </c>
      <c r="Z74" s="2093">
        <v>0</v>
      </c>
      <c r="AA74" s="2093">
        <v>0.24190981432360742</v>
      </c>
      <c r="AB74" s="2114">
        <v>0.24190981432360742</v>
      </c>
    </row>
    <row r="75" spans="2:28">
      <c r="B75" s="89">
        <v>91</v>
      </c>
      <c r="C75" s="1"/>
      <c r="D75" s="1">
        <v>4.8499999999999996</v>
      </c>
      <c r="E75" s="1">
        <v>2.2040000000000002</v>
      </c>
      <c r="F75" s="1">
        <v>2.2040000000000002</v>
      </c>
      <c r="G75" s="1">
        <v>4.8499999999999996</v>
      </c>
      <c r="H75" s="742">
        <v>0</v>
      </c>
      <c r="I75" s="742">
        <v>0.45443298969072171</v>
      </c>
      <c r="J75" s="2099">
        <v>0.45443298969072171</v>
      </c>
      <c r="K75" s="89">
        <v>91</v>
      </c>
      <c r="L75" s="1">
        <v>0</v>
      </c>
      <c r="M75" s="1">
        <v>5.3319999999999999</v>
      </c>
      <c r="N75" s="1427">
        <v>0.08</v>
      </c>
      <c r="O75" s="1">
        <v>0.08</v>
      </c>
      <c r="P75" s="1">
        <v>5.3319999999999999</v>
      </c>
      <c r="Q75" s="742">
        <v>0</v>
      </c>
      <c r="R75" s="742">
        <v>1.5003750937734435E-2</v>
      </c>
      <c r="S75" s="2100">
        <v>1.5003750937734435E-2</v>
      </c>
      <c r="T75" s="89">
        <v>91</v>
      </c>
      <c r="U75" s="741">
        <v>0</v>
      </c>
      <c r="V75" s="741">
        <v>5.0909999999999993</v>
      </c>
      <c r="W75" s="741">
        <v>1.1420000000000001</v>
      </c>
      <c r="X75" s="741">
        <v>1.1420000000000001</v>
      </c>
      <c r="Y75" s="741">
        <v>5.0909999999999993</v>
      </c>
      <c r="Z75" s="2088">
        <v>0</v>
      </c>
      <c r="AA75" s="2088">
        <v>0.23471837031422807</v>
      </c>
      <c r="AB75" s="2115">
        <v>0.23471837031422807</v>
      </c>
    </row>
    <row r="76" spans="2:28">
      <c r="B76" s="2098">
        <v>92</v>
      </c>
      <c r="C76" s="2090"/>
      <c r="D76" s="2090">
        <v>4.6040000000000001</v>
      </c>
      <c r="E76" s="2090">
        <v>2.0350000000000001</v>
      </c>
      <c r="F76" s="2090">
        <v>2.0350000000000001</v>
      </c>
      <c r="G76" s="2090">
        <v>4.6040000000000001</v>
      </c>
      <c r="H76" s="2091">
        <v>0</v>
      </c>
      <c r="I76" s="2091">
        <v>0.44200695047784538</v>
      </c>
      <c r="J76" s="2099">
        <v>0.44200695047784538</v>
      </c>
      <c r="K76" s="2098">
        <v>92</v>
      </c>
      <c r="L76" s="2090">
        <v>0</v>
      </c>
      <c r="M76" s="2090">
        <v>5.0289999999999999</v>
      </c>
      <c r="N76" s="2092">
        <v>6.5000000000000002E-2</v>
      </c>
      <c r="O76" s="2090">
        <v>6.5000000000000002E-2</v>
      </c>
      <c r="P76" s="2090">
        <v>5.0289999999999999</v>
      </c>
      <c r="Q76" s="2091">
        <v>0</v>
      </c>
      <c r="R76" s="2091">
        <v>1.2925034798170611E-2</v>
      </c>
      <c r="S76" s="2099">
        <v>1.2925034798170611E-2</v>
      </c>
      <c r="T76" s="2098">
        <v>92</v>
      </c>
      <c r="U76" s="1707">
        <v>0</v>
      </c>
      <c r="V76" s="1707">
        <v>4.8164999999999996</v>
      </c>
      <c r="W76" s="1707">
        <v>1.05</v>
      </c>
      <c r="X76" s="1707">
        <v>1.05</v>
      </c>
      <c r="Y76" s="1707">
        <v>4.8164999999999996</v>
      </c>
      <c r="Z76" s="2093">
        <v>0</v>
      </c>
      <c r="AA76" s="2093">
        <v>0.22746599263800799</v>
      </c>
      <c r="AB76" s="2114">
        <v>0.22746599263800799</v>
      </c>
    </row>
    <row r="77" spans="2:28">
      <c r="B77" s="89">
        <v>93</v>
      </c>
      <c r="C77" s="1"/>
      <c r="D77" s="1">
        <v>4.3760000000000003</v>
      </c>
      <c r="E77" s="1">
        <v>1.85</v>
      </c>
      <c r="F77" s="1">
        <v>1.85</v>
      </c>
      <c r="G77" s="1">
        <v>4.3760000000000003</v>
      </c>
      <c r="H77" s="742">
        <v>0</v>
      </c>
      <c r="I77" s="742">
        <v>0.42276051188299818</v>
      </c>
      <c r="J77" s="2099">
        <v>0.42276051188299818</v>
      </c>
      <c r="K77" s="89">
        <v>93</v>
      </c>
      <c r="L77" s="1">
        <v>0</v>
      </c>
      <c r="M77" s="1">
        <v>4.7469999999999999</v>
      </c>
      <c r="N77" s="1427">
        <v>5.2999999999999999E-2</v>
      </c>
      <c r="O77" s="1">
        <v>5.2999999999999999E-2</v>
      </c>
      <c r="P77" s="1">
        <v>4.7469999999999999</v>
      </c>
      <c r="Q77" s="742">
        <v>0</v>
      </c>
      <c r="R77" s="742">
        <v>1.1164946281862228E-2</v>
      </c>
      <c r="S77" s="2100">
        <v>1.1164946281862228E-2</v>
      </c>
      <c r="T77" s="89">
        <v>93</v>
      </c>
      <c r="U77" s="741">
        <v>0</v>
      </c>
      <c r="V77" s="741">
        <v>4.5615000000000006</v>
      </c>
      <c r="W77" s="741">
        <v>0.95150000000000001</v>
      </c>
      <c r="X77" s="741">
        <v>0.95150000000000001</v>
      </c>
      <c r="Y77" s="741">
        <v>4.5615000000000006</v>
      </c>
      <c r="Z77" s="2088">
        <v>0</v>
      </c>
      <c r="AA77" s="2088">
        <v>0.21696272908243019</v>
      </c>
      <c r="AB77" s="2115">
        <v>0.21696272908243019</v>
      </c>
    </row>
    <row r="78" spans="2:28">
      <c r="B78" s="2098">
        <v>94</v>
      </c>
      <c r="C78" s="2090"/>
      <c r="D78" s="2090">
        <v>4.1660000000000004</v>
      </c>
      <c r="E78" s="2090">
        <v>1.6830000000000001</v>
      </c>
      <c r="F78" s="2090">
        <v>1.6830000000000001</v>
      </c>
      <c r="G78" s="2090">
        <v>4.1660000000000004</v>
      </c>
      <c r="H78" s="2091">
        <v>0</v>
      </c>
      <c r="I78" s="2091">
        <v>0.4039846375420067</v>
      </c>
      <c r="J78" s="2099">
        <v>0.4039846375420067</v>
      </c>
      <c r="K78" s="2098">
        <v>94</v>
      </c>
      <c r="L78" s="2090">
        <v>0</v>
      </c>
      <c r="M78" s="2090">
        <v>4.4850000000000003</v>
      </c>
      <c r="N78" s="2092">
        <v>4.2000000000000003E-2</v>
      </c>
      <c r="O78" s="2090">
        <v>4.2000000000000003E-2</v>
      </c>
      <c r="P78" s="2090">
        <v>4.4850000000000003</v>
      </c>
      <c r="Q78" s="2091">
        <v>0</v>
      </c>
      <c r="R78" s="2091">
        <v>9.3645484949832769E-3</v>
      </c>
      <c r="S78" s="2099">
        <v>9.3645484949832769E-3</v>
      </c>
      <c r="T78" s="2098">
        <v>94</v>
      </c>
      <c r="U78" s="1707">
        <v>0</v>
      </c>
      <c r="V78" s="1707">
        <v>4.3254999999999999</v>
      </c>
      <c r="W78" s="1707">
        <v>0.86250000000000004</v>
      </c>
      <c r="X78" s="1707">
        <v>0.86250000000000004</v>
      </c>
      <c r="Y78" s="1707">
        <v>4.3254999999999999</v>
      </c>
      <c r="Z78" s="2093">
        <v>0</v>
      </c>
      <c r="AA78" s="2093">
        <v>0.206674593018495</v>
      </c>
      <c r="AB78" s="2114">
        <v>0.206674593018495</v>
      </c>
    </row>
    <row r="79" spans="2:28">
      <c r="B79" s="89">
        <v>95</v>
      </c>
      <c r="C79" s="1"/>
      <c r="D79" s="1">
        <v>3.9740000000000002</v>
      </c>
      <c r="E79" s="1">
        <v>1.5349999999999999</v>
      </c>
      <c r="F79" s="1">
        <v>1.5349999999999999</v>
      </c>
      <c r="G79" s="1">
        <v>3.9740000000000002</v>
      </c>
      <c r="H79" s="742">
        <v>0</v>
      </c>
      <c r="I79" s="742">
        <v>0.38626069451434319</v>
      </c>
      <c r="J79" s="2099">
        <v>0.38626069451434319</v>
      </c>
      <c r="K79" s="89">
        <v>95</v>
      </c>
      <c r="L79" s="1">
        <v>0</v>
      </c>
      <c r="M79" s="1">
        <v>4.2450000000000001</v>
      </c>
      <c r="N79" s="1427">
        <v>3.4000000000000002E-2</v>
      </c>
      <c r="O79" s="1">
        <v>3.4000000000000002E-2</v>
      </c>
      <c r="P79" s="1">
        <v>4.2450000000000001</v>
      </c>
      <c r="Q79" s="742">
        <v>0</v>
      </c>
      <c r="R79" s="742">
        <v>8.0094228504122497E-3</v>
      </c>
      <c r="S79" s="2100">
        <v>8.0094228504122497E-3</v>
      </c>
      <c r="T79" s="89">
        <v>95</v>
      </c>
      <c r="U79" s="741">
        <v>0</v>
      </c>
      <c r="V79" s="741">
        <v>4.1095000000000006</v>
      </c>
      <c r="W79" s="741">
        <v>0.78449999999999998</v>
      </c>
      <c r="X79" s="741">
        <v>0.78449999999999998</v>
      </c>
      <c r="Y79" s="741">
        <v>4.1095000000000006</v>
      </c>
      <c r="Z79" s="2088">
        <v>0</v>
      </c>
      <c r="AA79" s="2088">
        <v>0.19713505868237771</v>
      </c>
      <c r="AB79" s="2115">
        <v>0.19713505868237771</v>
      </c>
    </row>
    <row r="80" spans="2:28">
      <c r="B80" s="2098">
        <v>96</v>
      </c>
      <c r="C80" s="2090"/>
      <c r="D80" s="2090">
        <v>3.798</v>
      </c>
      <c r="E80" s="2090">
        <v>1.371</v>
      </c>
      <c r="F80" s="2090">
        <v>1.371</v>
      </c>
      <c r="G80" s="2090">
        <v>3.798</v>
      </c>
      <c r="H80" s="2091">
        <v>0</v>
      </c>
      <c r="I80" s="2091">
        <v>0.36097946287519744</v>
      </c>
      <c r="J80" s="2099">
        <v>0.36097946287519744</v>
      </c>
      <c r="K80" s="2098">
        <v>96</v>
      </c>
      <c r="L80" s="2090">
        <v>0</v>
      </c>
      <c r="M80" s="2090">
        <v>4.024</v>
      </c>
      <c r="N80" s="2092">
        <v>2.7E-2</v>
      </c>
      <c r="O80" s="2090">
        <v>2.7E-2</v>
      </c>
      <c r="P80" s="2090">
        <v>4.024</v>
      </c>
      <c r="Q80" s="2091">
        <v>0</v>
      </c>
      <c r="R80" s="2091">
        <v>6.7097415506958248E-3</v>
      </c>
      <c r="S80" s="2099">
        <v>6.7097415506958248E-3</v>
      </c>
      <c r="T80" s="2098">
        <v>96</v>
      </c>
      <c r="U80" s="1707">
        <v>0</v>
      </c>
      <c r="V80" s="1707">
        <v>3.911</v>
      </c>
      <c r="W80" s="1707">
        <v>0.69899999999999995</v>
      </c>
      <c r="X80" s="1707">
        <v>0.69899999999999995</v>
      </c>
      <c r="Y80" s="1707">
        <v>3.911</v>
      </c>
      <c r="Z80" s="2093">
        <v>0</v>
      </c>
      <c r="AA80" s="2093">
        <v>0.18384460221294663</v>
      </c>
      <c r="AB80" s="2114">
        <v>0.18384460221294663</v>
      </c>
    </row>
    <row r="81" spans="2:28">
      <c r="B81" s="89">
        <v>97</v>
      </c>
      <c r="C81" s="1"/>
      <c r="D81" s="1">
        <v>3.6389999999999998</v>
      </c>
      <c r="E81" s="1">
        <v>1.216</v>
      </c>
      <c r="F81" s="1">
        <v>1.216</v>
      </c>
      <c r="G81" s="1">
        <v>3.6389999999999998</v>
      </c>
      <c r="H81" s="742">
        <v>0</v>
      </c>
      <c r="I81" s="742">
        <v>0.33415773564165979</v>
      </c>
      <c r="J81" s="2099">
        <v>0.33415773564165979</v>
      </c>
      <c r="K81" s="89">
        <v>97</v>
      </c>
      <c r="L81" s="1">
        <v>0</v>
      </c>
      <c r="M81" s="1">
        <v>3.8239999999999998</v>
      </c>
      <c r="N81" s="1427">
        <v>2.1000000000000001E-2</v>
      </c>
      <c r="O81" s="1">
        <v>2.1000000000000001E-2</v>
      </c>
      <c r="P81" s="1">
        <v>3.8239999999999998</v>
      </c>
      <c r="Q81" s="742">
        <v>0</v>
      </c>
      <c r="R81" s="742">
        <v>5.4916317991631804E-3</v>
      </c>
      <c r="S81" s="2100">
        <v>5.4916317991631804E-3</v>
      </c>
      <c r="T81" s="89">
        <v>97</v>
      </c>
      <c r="U81" s="741">
        <v>0</v>
      </c>
      <c r="V81" s="741">
        <v>3.7314999999999996</v>
      </c>
      <c r="W81" s="741">
        <v>0.61849999999999994</v>
      </c>
      <c r="X81" s="741">
        <v>0.61849999999999994</v>
      </c>
      <c r="Y81" s="741">
        <v>3.7314999999999996</v>
      </c>
      <c r="Z81" s="2088">
        <v>0</v>
      </c>
      <c r="AA81" s="2088">
        <v>0.16982468372041148</v>
      </c>
      <c r="AB81" s="2115">
        <v>0.16982468372041148</v>
      </c>
    </row>
    <row r="82" spans="2:28">
      <c r="B82" s="2098">
        <v>98</v>
      </c>
      <c r="C82" s="2090"/>
      <c r="D82" s="2090">
        <v>3.4950000000000001</v>
      </c>
      <c r="E82" s="2090">
        <v>1.0409999999999999</v>
      </c>
      <c r="F82" s="2090">
        <v>1.0409999999999999</v>
      </c>
      <c r="G82" s="2090">
        <v>3.4950000000000001</v>
      </c>
      <c r="H82" s="2091">
        <v>0</v>
      </c>
      <c r="I82" s="2091">
        <v>0.29785407725321883</v>
      </c>
      <c r="J82" s="2099">
        <v>0.29785407725321883</v>
      </c>
      <c r="K82" s="2098">
        <v>98</v>
      </c>
      <c r="L82" s="2090">
        <v>0</v>
      </c>
      <c r="M82" s="2090">
        <v>3.6429999999999998</v>
      </c>
      <c r="N82" s="2092">
        <v>1.7000000000000001E-2</v>
      </c>
      <c r="O82" s="2090">
        <v>1.7000000000000001E-2</v>
      </c>
      <c r="P82" s="2090">
        <v>3.6429999999999998</v>
      </c>
      <c r="Q82" s="2091">
        <v>0</v>
      </c>
      <c r="R82" s="2091">
        <v>4.6664836673071652E-3</v>
      </c>
      <c r="S82" s="2099">
        <v>4.6664836673071652E-3</v>
      </c>
      <c r="T82" s="2098">
        <v>98</v>
      </c>
      <c r="U82" s="1707">
        <v>0</v>
      </c>
      <c r="V82" s="1707">
        <v>3.569</v>
      </c>
      <c r="W82" s="1707">
        <v>0.52899999999999991</v>
      </c>
      <c r="X82" s="1707">
        <v>0.52899999999999991</v>
      </c>
      <c r="Y82" s="1707">
        <v>3.569</v>
      </c>
      <c r="Z82" s="2093">
        <v>0</v>
      </c>
      <c r="AA82" s="2093">
        <v>0.15126028046026299</v>
      </c>
      <c r="AB82" s="2114">
        <v>0.15126028046026299</v>
      </c>
    </row>
    <row r="83" spans="2:28">
      <c r="B83" s="89">
        <v>99</v>
      </c>
      <c r="C83" s="1"/>
      <c r="D83" s="1">
        <v>3.3639999999999999</v>
      </c>
      <c r="E83" s="1">
        <v>0.84799999999999998</v>
      </c>
      <c r="F83" s="1">
        <v>0.84799999999999998</v>
      </c>
      <c r="G83" s="1">
        <v>3.3639999999999999</v>
      </c>
      <c r="H83" s="742">
        <v>0</v>
      </c>
      <c r="I83" s="742">
        <v>0.25208085612366232</v>
      </c>
      <c r="J83" s="2099">
        <v>0.25208085612366232</v>
      </c>
      <c r="K83" s="89">
        <v>99</v>
      </c>
      <c r="L83" s="1">
        <v>0</v>
      </c>
      <c r="M83" s="1">
        <v>3.48</v>
      </c>
      <c r="N83" s="1427">
        <v>1.2999999999999999E-2</v>
      </c>
      <c r="O83" s="1">
        <v>1.2999999999999999E-2</v>
      </c>
      <c r="P83" s="1">
        <v>3.48</v>
      </c>
      <c r="Q83" s="742">
        <v>0</v>
      </c>
      <c r="R83" s="742">
        <v>3.7356321839080459E-3</v>
      </c>
      <c r="S83" s="2100">
        <v>3.7356321839080459E-3</v>
      </c>
      <c r="T83" s="89">
        <v>99</v>
      </c>
      <c r="U83" s="741">
        <v>0</v>
      </c>
      <c r="V83" s="741">
        <v>3.4219999999999997</v>
      </c>
      <c r="W83" s="741">
        <v>0.43049999999999999</v>
      </c>
      <c r="X83" s="741">
        <v>0.43049999999999999</v>
      </c>
      <c r="Y83" s="741">
        <v>3.4219999999999997</v>
      </c>
      <c r="Z83" s="2088">
        <v>0</v>
      </c>
      <c r="AA83" s="2088">
        <v>0.12790824415378518</v>
      </c>
      <c r="AB83" s="2115">
        <v>0.12790824415378518</v>
      </c>
    </row>
    <row r="84" spans="2:28" ht="15" thickBot="1">
      <c r="B84" s="2101">
        <v>100</v>
      </c>
      <c r="C84" s="2102"/>
      <c r="D84" s="2102">
        <v>3.2450000000000001</v>
      </c>
      <c r="E84" s="2102">
        <v>0.67200000000000004</v>
      </c>
      <c r="F84" s="2102">
        <v>0.67200000000000004</v>
      </c>
      <c r="G84" s="2102">
        <v>3.2450000000000001</v>
      </c>
      <c r="H84" s="2103">
        <v>0</v>
      </c>
      <c r="I84" s="2103">
        <v>0.20708782742681048</v>
      </c>
      <c r="J84" s="2099">
        <v>0.20708782742681048</v>
      </c>
      <c r="K84" s="2101">
        <v>100</v>
      </c>
      <c r="L84" s="2102">
        <v>0</v>
      </c>
      <c r="M84" s="2102">
        <v>3.335</v>
      </c>
      <c r="N84" s="2109">
        <v>0.01</v>
      </c>
      <c r="O84" s="2102">
        <v>0.01</v>
      </c>
      <c r="P84" s="2102">
        <v>3.335</v>
      </c>
      <c r="Q84" s="2103">
        <v>0</v>
      </c>
      <c r="R84" s="2103">
        <v>2.9985007496251873E-3</v>
      </c>
      <c r="S84" s="2104">
        <v>2.9985007496251873E-3</v>
      </c>
      <c r="T84" s="2101">
        <v>100</v>
      </c>
      <c r="U84" s="2116">
        <v>0</v>
      </c>
      <c r="V84" s="2116">
        <v>3.29</v>
      </c>
      <c r="W84" s="2116">
        <v>0.34100000000000003</v>
      </c>
      <c r="X84" s="2116">
        <v>0.34100000000000003</v>
      </c>
      <c r="Y84" s="2116">
        <v>3.29</v>
      </c>
      <c r="Z84" s="2117">
        <v>0</v>
      </c>
      <c r="AA84" s="2117">
        <v>0.10504316408821783</v>
      </c>
      <c r="AB84" s="2118">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125" defaultRowHeight="14.25"/>
  <cols>
    <col min="1" max="1" width="5.5" style="25" customWidth="1"/>
    <col min="2" max="122" width="5.5" customWidth="1"/>
  </cols>
  <sheetData>
    <row r="1" spans="1:122" s="25" customFormat="1">
      <c r="A1" s="904" t="s">
        <v>927</v>
      </c>
      <c r="B1" s="910">
        <v>1900</v>
      </c>
      <c r="C1" s="910">
        <v>1901</v>
      </c>
      <c r="D1" s="910">
        <v>1902</v>
      </c>
      <c r="E1" s="910">
        <v>1903</v>
      </c>
      <c r="F1" s="910">
        <v>1904</v>
      </c>
      <c r="G1" s="910">
        <v>1905</v>
      </c>
      <c r="H1" s="910">
        <v>1906</v>
      </c>
      <c r="I1" s="910">
        <v>1907</v>
      </c>
      <c r="J1" s="910">
        <v>1908</v>
      </c>
      <c r="K1" s="910">
        <v>1909</v>
      </c>
      <c r="L1" s="910">
        <v>1910</v>
      </c>
      <c r="M1" s="910">
        <v>1911</v>
      </c>
      <c r="N1" s="910">
        <v>1912</v>
      </c>
      <c r="O1" s="910">
        <v>1913</v>
      </c>
      <c r="P1" s="910">
        <v>1914</v>
      </c>
      <c r="Q1" s="910">
        <v>1915</v>
      </c>
      <c r="R1" s="910">
        <v>1916</v>
      </c>
      <c r="S1" s="910">
        <v>1917</v>
      </c>
      <c r="T1" s="910">
        <v>1918</v>
      </c>
      <c r="U1" s="910">
        <v>1919</v>
      </c>
      <c r="V1" s="910">
        <v>1920</v>
      </c>
      <c r="W1" s="910">
        <v>1921</v>
      </c>
      <c r="X1" s="910">
        <v>1922</v>
      </c>
      <c r="Y1" s="910">
        <v>1923</v>
      </c>
      <c r="Z1" s="910">
        <v>1924</v>
      </c>
      <c r="AA1" s="910">
        <v>1925</v>
      </c>
      <c r="AB1" s="910">
        <v>1926</v>
      </c>
      <c r="AC1" s="910">
        <v>1927</v>
      </c>
      <c r="AD1" s="910">
        <v>1928</v>
      </c>
      <c r="AE1" s="910">
        <v>1929</v>
      </c>
      <c r="AF1" s="910">
        <v>1930</v>
      </c>
      <c r="AG1" s="910">
        <v>1931</v>
      </c>
      <c r="AH1" s="910">
        <v>1932</v>
      </c>
      <c r="AI1" s="910">
        <v>1933</v>
      </c>
      <c r="AJ1" s="910">
        <v>1934</v>
      </c>
      <c r="AK1" s="910">
        <v>1935</v>
      </c>
      <c r="AL1" s="910">
        <v>1936</v>
      </c>
      <c r="AM1" s="910">
        <v>1937</v>
      </c>
      <c r="AN1" s="910">
        <v>1938</v>
      </c>
      <c r="AO1" s="910">
        <v>1939</v>
      </c>
      <c r="AP1" s="910">
        <v>1940</v>
      </c>
      <c r="AQ1" s="910">
        <v>1941</v>
      </c>
      <c r="AR1" s="910">
        <v>1942</v>
      </c>
      <c r="AS1" s="910">
        <v>1943</v>
      </c>
      <c r="AT1" s="910">
        <v>1944</v>
      </c>
      <c r="AU1" s="910">
        <v>1945</v>
      </c>
      <c r="AV1" s="910">
        <v>1946</v>
      </c>
      <c r="AW1" s="910">
        <v>1947</v>
      </c>
      <c r="AX1" s="910">
        <v>1948</v>
      </c>
      <c r="AY1" s="910">
        <v>1949</v>
      </c>
      <c r="AZ1" s="910">
        <v>1950</v>
      </c>
      <c r="BA1" s="910">
        <v>1951</v>
      </c>
      <c r="BB1" s="910">
        <v>1952</v>
      </c>
      <c r="BC1" s="910">
        <v>1953</v>
      </c>
      <c r="BD1" s="910">
        <v>1954</v>
      </c>
      <c r="BE1" s="910">
        <v>1955</v>
      </c>
      <c r="BF1" s="910">
        <v>1956</v>
      </c>
      <c r="BG1" s="910">
        <v>1957</v>
      </c>
      <c r="BH1" s="910">
        <v>1958</v>
      </c>
      <c r="BI1" s="910">
        <v>1959</v>
      </c>
      <c r="BJ1" s="910">
        <v>1960</v>
      </c>
      <c r="BK1" s="910">
        <v>1961</v>
      </c>
      <c r="BL1" s="910">
        <v>1962</v>
      </c>
      <c r="BM1" s="910">
        <v>1963</v>
      </c>
      <c r="BN1" s="910">
        <v>1964</v>
      </c>
      <c r="BO1" s="910">
        <v>1965</v>
      </c>
      <c r="BP1" s="910">
        <v>1966</v>
      </c>
      <c r="BQ1" s="910">
        <v>1967</v>
      </c>
      <c r="BR1" s="910">
        <v>1968</v>
      </c>
      <c r="BS1" s="910">
        <v>1969</v>
      </c>
      <c r="BT1" s="910">
        <v>1970</v>
      </c>
      <c r="BU1" s="910">
        <v>1971</v>
      </c>
      <c r="BV1" s="910">
        <v>1972</v>
      </c>
      <c r="BW1" s="910">
        <v>1973</v>
      </c>
      <c r="BX1" s="910">
        <v>1974</v>
      </c>
      <c r="BY1" s="910">
        <v>1975</v>
      </c>
      <c r="BZ1" s="910">
        <v>1976</v>
      </c>
      <c r="CA1" s="910">
        <v>1977</v>
      </c>
      <c r="CB1" s="910">
        <v>1978</v>
      </c>
      <c r="CC1" s="910">
        <v>1979</v>
      </c>
      <c r="CD1" s="910">
        <v>1980</v>
      </c>
      <c r="CE1" s="910">
        <v>1981</v>
      </c>
      <c r="CF1" s="910">
        <v>1982</v>
      </c>
      <c r="CG1" s="910">
        <v>1983</v>
      </c>
      <c r="CH1" s="910">
        <v>1984</v>
      </c>
      <c r="CI1" s="910">
        <v>1985</v>
      </c>
      <c r="CJ1" s="910">
        <v>1986</v>
      </c>
      <c r="CK1" s="910">
        <v>1987</v>
      </c>
      <c r="CL1" s="910">
        <v>1988</v>
      </c>
      <c r="CM1" s="910">
        <v>1989</v>
      </c>
      <c r="CN1" s="910">
        <v>1990</v>
      </c>
      <c r="CO1" s="910">
        <v>1991</v>
      </c>
      <c r="CP1" s="910">
        <v>1992</v>
      </c>
      <c r="CQ1" s="910">
        <v>1993</v>
      </c>
      <c r="CR1" s="910">
        <v>1994</v>
      </c>
      <c r="CS1" s="910">
        <v>1995</v>
      </c>
      <c r="CT1" s="910">
        <v>1996</v>
      </c>
      <c r="CU1" s="910">
        <v>1997</v>
      </c>
      <c r="CV1" s="910">
        <v>1998</v>
      </c>
      <c r="CW1" s="910">
        <v>1999</v>
      </c>
      <c r="CX1" s="910">
        <v>2000</v>
      </c>
      <c r="CY1" s="910">
        <v>2001</v>
      </c>
      <c r="CZ1" s="910">
        <v>2002</v>
      </c>
      <c r="DA1" s="910">
        <v>2003</v>
      </c>
      <c r="DB1" s="910">
        <v>2004</v>
      </c>
      <c r="DC1" s="910">
        <v>2005</v>
      </c>
      <c r="DD1" s="910">
        <v>2006</v>
      </c>
      <c r="DE1" s="910">
        <v>2007</v>
      </c>
      <c r="DF1" s="910">
        <v>2008</v>
      </c>
      <c r="DG1" s="910">
        <v>2009</v>
      </c>
      <c r="DH1" s="910">
        <v>2010</v>
      </c>
      <c r="DI1" s="910">
        <v>2011</v>
      </c>
      <c r="DJ1" s="910">
        <v>2012</v>
      </c>
      <c r="DK1" s="910">
        <v>2013</v>
      </c>
      <c r="DL1" s="910">
        <v>2014</v>
      </c>
      <c r="DM1" s="910">
        <v>2015</v>
      </c>
      <c r="DN1" s="910">
        <v>2016</v>
      </c>
      <c r="DO1" s="910">
        <v>2017</v>
      </c>
      <c r="DP1" s="910">
        <v>2018</v>
      </c>
      <c r="DQ1" s="910">
        <v>2019</v>
      </c>
      <c r="DR1" s="910">
        <v>2020</v>
      </c>
    </row>
    <row r="2" spans="1:122">
      <c r="A2" s="912">
        <v>0</v>
      </c>
      <c r="B2" s="90"/>
      <c r="C2" s="90"/>
      <c r="D2" s="90"/>
      <c r="E2" s="90"/>
      <c r="F2" s="90"/>
      <c r="G2" s="90"/>
      <c r="H2" s="90"/>
      <c r="I2" s="90"/>
      <c r="J2" s="90"/>
      <c r="K2" s="90"/>
      <c r="L2" s="90"/>
      <c r="M2" s="90"/>
      <c r="N2" s="90"/>
      <c r="O2" s="90"/>
      <c r="P2" s="90"/>
      <c r="Q2" s="90"/>
      <c r="R2" s="90"/>
      <c r="S2" s="90"/>
      <c r="T2" s="90"/>
      <c r="U2" s="90"/>
      <c r="V2" s="740"/>
      <c r="W2" s="740">
        <v>65.28</v>
      </c>
      <c r="X2" s="740">
        <v>66.06</v>
      </c>
      <c r="Y2" s="740">
        <v>66.28</v>
      </c>
      <c r="Z2" s="740">
        <v>68.099999999999994</v>
      </c>
      <c r="AA2" s="740">
        <v>68.569999999999993</v>
      </c>
      <c r="AB2" s="740">
        <v>69.209999999999994</v>
      </c>
      <c r="AC2" s="740">
        <v>70.08</v>
      </c>
      <c r="AD2" s="740">
        <v>70.86</v>
      </c>
      <c r="AE2" s="740">
        <v>70.98</v>
      </c>
      <c r="AF2" s="740">
        <v>72.040000000000006</v>
      </c>
      <c r="AG2" s="740">
        <v>72.569999999999993</v>
      </c>
      <c r="AH2" s="740">
        <v>72.86</v>
      </c>
      <c r="AI2" s="740">
        <v>73.349999999999994</v>
      </c>
      <c r="AJ2" s="740">
        <v>74.55</v>
      </c>
      <c r="AK2" s="740">
        <v>74.78</v>
      </c>
      <c r="AL2" s="740">
        <v>75.31</v>
      </c>
      <c r="AM2" s="740">
        <v>75.75</v>
      </c>
      <c r="AN2" s="740">
        <v>76.33</v>
      </c>
      <c r="AO2" s="740">
        <v>76.489999999999995</v>
      </c>
      <c r="AP2" s="740">
        <v>76.69</v>
      </c>
      <c r="AQ2" s="740">
        <v>76.81</v>
      </c>
      <c r="AR2" s="740">
        <v>76.88</v>
      </c>
      <c r="AS2" s="740">
        <v>76.489999999999995</v>
      </c>
      <c r="AT2" s="740">
        <v>75.92</v>
      </c>
      <c r="AU2" s="740">
        <v>75.05</v>
      </c>
      <c r="AV2" s="740">
        <v>75.27</v>
      </c>
      <c r="AW2" s="740">
        <v>75.73</v>
      </c>
      <c r="AX2" s="740">
        <v>77.45</v>
      </c>
      <c r="AY2" s="740">
        <v>78.94</v>
      </c>
      <c r="AZ2" s="740">
        <v>79.13</v>
      </c>
      <c r="BA2" s="740">
        <v>79.3</v>
      </c>
      <c r="BB2" s="740">
        <v>79.900000000000006</v>
      </c>
      <c r="BC2" s="740">
        <v>80.22</v>
      </c>
      <c r="BD2" s="740">
        <v>80.59</v>
      </c>
      <c r="BE2" s="740">
        <v>80.78</v>
      </c>
      <c r="BF2" s="740">
        <v>81.209999999999994</v>
      </c>
      <c r="BG2" s="740">
        <v>81.5</v>
      </c>
      <c r="BH2" s="740">
        <v>81.83</v>
      </c>
      <c r="BI2" s="740">
        <v>82.04</v>
      </c>
      <c r="BJ2" s="740">
        <v>82.37</v>
      </c>
      <c r="BK2" s="740">
        <v>82.73</v>
      </c>
      <c r="BL2" s="740">
        <v>83.14</v>
      </c>
      <c r="BM2" s="740">
        <v>83.5</v>
      </c>
      <c r="BN2" s="740">
        <v>83.84</v>
      </c>
      <c r="BO2" s="740">
        <v>84.12</v>
      </c>
      <c r="BP2" s="740">
        <v>84.41</v>
      </c>
      <c r="BQ2" s="740">
        <v>84.61</v>
      </c>
      <c r="BR2" s="740">
        <v>84.83</v>
      </c>
      <c r="BS2" s="740">
        <v>84.98</v>
      </c>
      <c r="BT2" s="740">
        <v>85.18</v>
      </c>
      <c r="BU2" s="740">
        <v>85.36</v>
      </c>
      <c r="BV2" s="740">
        <v>85.58</v>
      </c>
      <c r="BW2" s="740">
        <v>85.79</v>
      </c>
      <c r="BX2" s="740">
        <v>86.01</v>
      </c>
      <c r="BY2" s="740">
        <v>86.22</v>
      </c>
      <c r="BZ2" s="740">
        <v>86.54</v>
      </c>
      <c r="CA2" s="740">
        <v>86.82</v>
      </c>
      <c r="CB2" s="740">
        <v>87.04</v>
      </c>
      <c r="CC2" s="740">
        <v>87.24</v>
      </c>
      <c r="CD2" s="740">
        <v>87.44</v>
      </c>
      <c r="CE2" s="740">
        <v>87.64</v>
      </c>
      <c r="CF2" s="740">
        <v>87.83</v>
      </c>
      <c r="CG2" s="740">
        <v>88.04</v>
      </c>
      <c r="CH2" s="740">
        <v>88.22</v>
      </c>
      <c r="CI2" s="740">
        <v>88.43</v>
      </c>
      <c r="CJ2" s="740">
        <v>88.59</v>
      </c>
      <c r="CK2" s="740">
        <v>88.77</v>
      </c>
      <c r="CL2" s="740">
        <v>88.98</v>
      </c>
      <c r="CM2" s="740">
        <v>89.13</v>
      </c>
      <c r="CN2" s="740">
        <v>89.31</v>
      </c>
      <c r="CO2" s="740">
        <v>89.46</v>
      </c>
      <c r="CP2" s="740">
        <v>89.64</v>
      </c>
      <c r="CQ2" s="740">
        <v>89.79</v>
      </c>
      <c r="CR2" s="740">
        <v>89.95</v>
      </c>
      <c r="CS2" s="740">
        <v>90.1</v>
      </c>
      <c r="CT2" s="740">
        <v>90.25</v>
      </c>
      <c r="CU2" s="740">
        <v>90.39</v>
      </c>
      <c r="CV2" s="740">
        <v>90.5</v>
      </c>
      <c r="CW2" s="740">
        <v>90.65</v>
      </c>
      <c r="CX2" s="740">
        <v>90.79</v>
      </c>
      <c r="CY2" s="740">
        <v>90.92</v>
      </c>
      <c r="CZ2" s="740">
        <v>91.02</v>
      </c>
      <c r="DA2" s="740">
        <v>91.15</v>
      </c>
      <c r="DB2" s="740">
        <v>91.27</v>
      </c>
      <c r="DC2" s="740">
        <v>91.42</v>
      </c>
      <c r="DD2" s="740">
        <v>91.53</v>
      </c>
      <c r="DE2" s="740">
        <v>91.66</v>
      </c>
      <c r="DF2" s="740">
        <v>91.81</v>
      </c>
      <c r="DG2" s="740">
        <v>91.9</v>
      </c>
      <c r="DH2" s="740">
        <v>92.03</v>
      </c>
      <c r="DI2" s="740">
        <v>92.11</v>
      </c>
      <c r="DJ2" s="740">
        <v>92.24</v>
      </c>
      <c r="DK2" s="740">
        <v>92.36</v>
      </c>
      <c r="DL2" s="740">
        <v>92.47</v>
      </c>
      <c r="DM2" s="740">
        <v>92.55</v>
      </c>
      <c r="DN2" s="740">
        <v>92.66</v>
      </c>
      <c r="DO2" s="740">
        <v>92.77</v>
      </c>
      <c r="DP2" s="740">
        <v>92.89</v>
      </c>
      <c r="DQ2" s="740">
        <v>93.01</v>
      </c>
      <c r="DR2" s="740">
        <v>93.12</v>
      </c>
    </row>
    <row r="3" spans="1:122">
      <c r="A3" s="912">
        <v>1</v>
      </c>
      <c r="B3" s="90"/>
      <c r="C3" s="90"/>
      <c r="D3" s="90"/>
      <c r="E3" s="90"/>
      <c r="F3" s="90"/>
      <c r="G3" s="90"/>
      <c r="H3" s="90"/>
      <c r="I3" s="90"/>
      <c r="J3" s="90"/>
      <c r="K3" s="90"/>
      <c r="L3" s="90"/>
      <c r="M3" s="90"/>
      <c r="N3" s="90"/>
      <c r="O3" s="90"/>
      <c r="P3" s="90"/>
      <c r="Q3" s="90"/>
      <c r="R3" s="90"/>
      <c r="S3" s="90"/>
      <c r="T3" s="90"/>
      <c r="U3" s="90"/>
      <c r="V3" s="740"/>
      <c r="W3" s="740">
        <v>73.16</v>
      </c>
      <c r="X3" s="740">
        <v>73.69</v>
      </c>
      <c r="Y3" s="740">
        <v>74.2</v>
      </c>
      <c r="Z3" s="740">
        <v>74.47</v>
      </c>
      <c r="AA3" s="740">
        <v>74.66</v>
      </c>
      <c r="AB3" s="740">
        <v>75.11</v>
      </c>
      <c r="AC3" s="740">
        <v>75.650000000000006</v>
      </c>
      <c r="AD3" s="740">
        <v>75.92</v>
      </c>
      <c r="AE3" s="740">
        <v>76.5</v>
      </c>
      <c r="AF3" s="740">
        <v>76.86</v>
      </c>
      <c r="AG3" s="740">
        <v>77.150000000000006</v>
      </c>
      <c r="AH3" s="740">
        <v>77.41</v>
      </c>
      <c r="AI3" s="740">
        <v>77.680000000000007</v>
      </c>
      <c r="AJ3" s="740">
        <v>78.13</v>
      </c>
      <c r="AK3" s="740">
        <v>78.53</v>
      </c>
      <c r="AL3" s="740">
        <v>78.930000000000007</v>
      </c>
      <c r="AM3" s="740">
        <v>79.27</v>
      </c>
      <c r="AN3" s="740">
        <v>79.540000000000006</v>
      </c>
      <c r="AO3" s="740">
        <v>79.81</v>
      </c>
      <c r="AP3" s="740">
        <v>80.02</v>
      </c>
      <c r="AQ3" s="740">
        <v>80.14</v>
      </c>
      <c r="AR3" s="740">
        <v>80.209999999999994</v>
      </c>
      <c r="AS3" s="740">
        <v>80.260000000000005</v>
      </c>
      <c r="AT3" s="740">
        <v>80.34</v>
      </c>
      <c r="AU3" s="740">
        <v>80.58</v>
      </c>
      <c r="AV3" s="740">
        <v>80.849999999999994</v>
      </c>
      <c r="AW3" s="740">
        <v>81.36</v>
      </c>
      <c r="AX3" s="740">
        <v>81.81</v>
      </c>
      <c r="AY3" s="740">
        <v>82.01</v>
      </c>
      <c r="AZ3" s="740">
        <v>82.2</v>
      </c>
      <c r="BA3" s="740">
        <v>82.38</v>
      </c>
      <c r="BB3" s="740">
        <v>82.53</v>
      </c>
      <c r="BC3" s="740">
        <v>82.69</v>
      </c>
      <c r="BD3" s="740">
        <v>82.82</v>
      </c>
      <c r="BE3" s="740">
        <v>82.97</v>
      </c>
      <c r="BF3" s="740">
        <v>83.16</v>
      </c>
      <c r="BG3" s="740">
        <v>83.38</v>
      </c>
      <c r="BH3" s="740">
        <v>83.57</v>
      </c>
      <c r="BI3" s="740">
        <v>83.74</v>
      </c>
      <c r="BJ3" s="740">
        <v>83.92</v>
      </c>
      <c r="BK3" s="740">
        <v>84.11</v>
      </c>
      <c r="BL3" s="740">
        <v>84.34</v>
      </c>
      <c r="BM3" s="740">
        <v>84.56</v>
      </c>
      <c r="BN3" s="740">
        <v>84.74</v>
      </c>
      <c r="BO3" s="740">
        <v>84.92</v>
      </c>
      <c r="BP3" s="740">
        <v>85.13</v>
      </c>
      <c r="BQ3" s="740">
        <v>85.31</v>
      </c>
      <c r="BR3" s="740">
        <v>85.46</v>
      </c>
      <c r="BS3" s="740">
        <v>85.67</v>
      </c>
      <c r="BT3" s="740">
        <v>85.84</v>
      </c>
      <c r="BU3" s="740">
        <v>86</v>
      </c>
      <c r="BV3" s="740">
        <v>86.17</v>
      </c>
      <c r="BW3" s="740">
        <v>86.33</v>
      </c>
      <c r="BX3" s="740">
        <v>86.49</v>
      </c>
      <c r="BY3" s="740">
        <v>86.65</v>
      </c>
      <c r="BZ3" s="740">
        <v>86.78</v>
      </c>
      <c r="CA3" s="740">
        <v>86.94</v>
      </c>
      <c r="CB3" s="740">
        <v>87.11</v>
      </c>
      <c r="CC3" s="740">
        <v>87.24</v>
      </c>
      <c r="CD3" s="740">
        <v>87.4</v>
      </c>
      <c r="CE3" s="740">
        <v>87.54</v>
      </c>
      <c r="CF3" s="740">
        <v>87.68</v>
      </c>
      <c r="CG3" s="740">
        <v>87.83</v>
      </c>
      <c r="CH3" s="740">
        <v>87.98</v>
      </c>
      <c r="CI3" s="740">
        <v>88.14</v>
      </c>
      <c r="CJ3" s="740">
        <v>88.26</v>
      </c>
      <c r="CK3" s="740">
        <v>88.41</v>
      </c>
      <c r="CL3" s="740">
        <v>88.56</v>
      </c>
      <c r="CM3" s="740">
        <v>88.7</v>
      </c>
      <c r="CN3" s="740">
        <v>88.85</v>
      </c>
      <c r="CO3" s="740">
        <v>88.98</v>
      </c>
      <c r="CP3" s="740">
        <v>89.12</v>
      </c>
      <c r="CQ3" s="740">
        <v>89.24</v>
      </c>
      <c r="CR3" s="740">
        <v>89.38</v>
      </c>
      <c r="CS3" s="740">
        <v>89.52</v>
      </c>
      <c r="CT3" s="740">
        <v>89.65</v>
      </c>
      <c r="CU3" s="740">
        <v>89.77</v>
      </c>
      <c r="CV3" s="740">
        <v>89.88</v>
      </c>
      <c r="CW3" s="740">
        <v>90.01</v>
      </c>
      <c r="CX3" s="740">
        <v>90.14</v>
      </c>
      <c r="CY3" s="740">
        <v>90.26</v>
      </c>
      <c r="CZ3" s="740">
        <v>90.37</v>
      </c>
      <c r="DA3" s="740">
        <v>90.5</v>
      </c>
      <c r="DB3" s="740">
        <v>90.61</v>
      </c>
      <c r="DC3" s="740">
        <v>90.73</v>
      </c>
      <c r="DD3" s="740">
        <v>90.85</v>
      </c>
      <c r="DE3" s="740">
        <v>90.97</v>
      </c>
      <c r="DF3" s="740">
        <v>91.09</v>
      </c>
      <c r="DG3" s="740">
        <v>91.19</v>
      </c>
      <c r="DH3" s="740">
        <v>91.31</v>
      </c>
      <c r="DI3" s="740">
        <v>91.42</v>
      </c>
      <c r="DJ3" s="740">
        <v>91.52</v>
      </c>
      <c r="DK3" s="740">
        <v>91.63</v>
      </c>
      <c r="DL3" s="740">
        <v>91.74</v>
      </c>
      <c r="DM3" s="740">
        <v>91.84</v>
      </c>
      <c r="DN3" s="740">
        <v>91.95</v>
      </c>
      <c r="DO3" s="740">
        <v>92.05</v>
      </c>
      <c r="DP3" s="740">
        <v>92.16</v>
      </c>
      <c r="DQ3" s="740">
        <v>92.26</v>
      </c>
      <c r="DR3" s="740">
        <v>92.36</v>
      </c>
    </row>
    <row r="4" spans="1:122">
      <c r="A4" s="912">
        <v>2</v>
      </c>
      <c r="B4" s="90"/>
      <c r="C4" s="90"/>
      <c r="D4" s="90"/>
      <c r="E4" s="90"/>
      <c r="F4" s="90"/>
      <c r="G4" s="90"/>
      <c r="H4" s="90"/>
      <c r="I4" s="90"/>
      <c r="J4" s="90"/>
      <c r="K4" s="90"/>
      <c r="L4" s="90"/>
      <c r="M4" s="90"/>
      <c r="N4" s="90"/>
      <c r="O4" s="90"/>
      <c r="P4" s="90"/>
      <c r="Q4" s="90"/>
      <c r="R4" s="90"/>
      <c r="S4" s="90"/>
      <c r="T4" s="90"/>
      <c r="U4" s="90"/>
      <c r="V4" s="740"/>
      <c r="W4" s="740">
        <v>73.52</v>
      </c>
      <c r="X4" s="740">
        <v>74.099999999999994</v>
      </c>
      <c r="Y4" s="740">
        <v>74.31</v>
      </c>
      <c r="Z4" s="740">
        <v>74.59</v>
      </c>
      <c r="AA4" s="740">
        <v>74.790000000000006</v>
      </c>
      <c r="AB4" s="740">
        <v>75.150000000000006</v>
      </c>
      <c r="AC4" s="740">
        <v>75.489999999999995</v>
      </c>
      <c r="AD4" s="740">
        <v>75.819999999999993</v>
      </c>
      <c r="AE4" s="740">
        <v>76.19</v>
      </c>
      <c r="AF4" s="740">
        <v>76.52</v>
      </c>
      <c r="AG4" s="740">
        <v>76.78</v>
      </c>
      <c r="AH4" s="740">
        <v>77.05</v>
      </c>
      <c r="AI4" s="740">
        <v>77.319999999999993</v>
      </c>
      <c r="AJ4" s="740">
        <v>77.69</v>
      </c>
      <c r="AK4" s="740">
        <v>78.08</v>
      </c>
      <c r="AL4" s="740">
        <v>78.47</v>
      </c>
      <c r="AM4" s="740">
        <v>78.77</v>
      </c>
      <c r="AN4" s="740">
        <v>79.05</v>
      </c>
      <c r="AO4" s="740">
        <v>79.319999999999993</v>
      </c>
      <c r="AP4" s="740">
        <v>79.53</v>
      </c>
      <c r="AQ4" s="740">
        <v>79.66</v>
      </c>
      <c r="AR4" s="740">
        <v>79.78</v>
      </c>
      <c r="AS4" s="740">
        <v>79.91</v>
      </c>
      <c r="AT4" s="740">
        <v>80.12</v>
      </c>
      <c r="AU4" s="740">
        <v>80.349999999999994</v>
      </c>
      <c r="AV4" s="740">
        <v>80.63</v>
      </c>
      <c r="AW4" s="740">
        <v>80.98</v>
      </c>
      <c r="AX4" s="740">
        <v>81.099999999999994</v>
      </c>
      <c r="AY4" s="740">
        <v>81.3</v>
      </c>
      <c r="AZ4" s="740">
        <v>81.5</v>
      </c>
      <c r="BA4" s="740">
        <v>81.650000000000006</v>
      </c>
      <c r="BB4" s="740">
        <v>81.78</v>
      </c>
      <c r="BC4" s="740">
        <v>81.92</v>
      </c>
      <c r="BD4" s="740">
        <v>82.06</v>
      </c>
      <c r="BE4" s="740">
        <v>82.18</v>
      </c>
      <c r="BF4" s="740">
        <v>82.39</v>
      </c>
      <c r="BG4" s="740">
        <v>82.57</v>
      </c>
      <c r="BH4" s="740">
        <v>82.77</v>
      </c>
      <c r="BI4" s="740">
        <v>82.92</v>
      </c>
      <c r="BJ4" s="740">
        <v>83.1</v>
      </c>
      <c r="BK4" s="740">
        <v>83.28</v>
      </c>
      <c r="BL4" s="740">
        <v>83.49</v>
      </c>
      <c r="BM4" s="740">
        <v>83.71</v>
      </c>
      <c r="BN4" s="740">
        <v>83.88</v>
      </c>
      <c r="BO4" s="740">
        <v>84.05</v>
      </c>
      <c r="BP4" s="740">
        <v>84.26</v>
      </c>
      <c r="BQ4" s="740">
        <v>84.43</v>
      </c>
      <c r="BR4" s="740">
        <v>84.59</v>
      </c>
      <c r="BS4" s="740">
        <v>84.79</v>
      </c>
      <c r="BT4" s="740">
        <v>84.95</v>
      </c>
      <c r="BU4" s="740">
        <v>85.1</v>
      </c>
      <c r="BV4" s="740">
        <v>85.27</v>
      </c>
      <c r="BW4" s="740">
        <v>85.43</v>
      </c>
      <c r="BX4" s="740">
        <v>85.58</v>
      </c>
      <c r="BY4" s="740">
        <v>85.73</v>
      </c>
      <c r="BZ4" s="740">
        <v>85.86</v>
      </c>
      <c r="CA4" s="740">
        <v>86.02</v>
      </c>
      <c r="CB4" s="740">
        <v>86.19</v>
      </c>
      <c r="CC4" s="740">
        <v>86.32</v>
      </c>
      <c r="CD4" s="740">
        <v>86.47</v>
      </c>
      <c r="CE4" s="740">
        <v>86.61</v>
      </c>
      <c r="CF4" s="740">
        <v>86.75</v>
      </c>
      <c r="CG4" s="740">
        <v>86.89</v>
      </c>
      <c r="CH4" s="740">
        <v>87.05</v>
      </c>
      <c r="CI4" s="740">
        <v>87.2</v>
      </c>
      <c r="CJ4" s="740">
        <v>87.31</v>
      </c>
      <c r="CK4" s="740">
        <v>87.46</v>
      </c>
      <c r="CL4" s="740">
        <v>87.61</v>
      </c>
      <c r="CM4" s="740">
        <v>87.75</v>
      </c>
      <c r="CN4" s="740">
        <v>87.9</v>
      </c>
      <c r="CO4" s="740">
        <v>88.03</v>
      </c>
      <c r="CP4" s="740">
        <v>88.17</v>
      </c>
      <c r="CQ4" s="740">
        <v>88.29</v>
      </c>
      <c r="CR4" s="740">
        <v>88.42</v>
      </c>
      <c r="CS4" s="740">
        <v>88.55</v>
      </c>
      <c r="CT4" s="740">
        <v>88.69</v>
      </c>
      <c r="CU4" s="740">
        <v>88.8</v>
      </c>
      <c r="CV4" s="740">
        <v>88.91</v>
      </c>
      <c r="CW4" s="740">
        <v>89.05</v>
      </c>
      <c r="CX4" s="740">
        <v>89.17</v>
      </c>
      <c r="CY4" s="740">
        <v>89.3</v>
      </c>
      <c r="CZ4" s="740">
        <v>89.41</v>
      </c>
      <c r="DA4" s="740">
        <v>89.53</v>
      </c>
      <c r="DB4" s="740">
        <v>89.64</v>
      </c>
      <c r="DC4" s="740">
        <v>89.76</v>
      </c>
      <c r="DD4" s="740">
        <v>89.88</v>
      </c>
      <c r="DE4" s="740">
        <v>89.99</v>
      </c>
      <c r="DF4" s="740">
        <v>90.11</v>
      </c>
      <c r="DG4" s="740">
        <v>90.22</v>
      </c>
      <c r="DH4" s="740">
        <v>90.33</v>
      </c>
      <c r="DI4" s="740">
        <v>90.44</v>
      </c>
      <c r="DJ4" s="740">
        <v>90.54</v>
      </c>
      <c r="DK4" s="740">
        <v>90.65</v>
      </c>
      <c r="DL4" s="740">
        <v>90.76</v>
      </c>
      <c r="DM4" s="740">
        <v>90.86</v>
      </c>
      <c r="DN4" s="740">
        <v>90.97</v>
      </c>
      <c r="DO4" s="740">
        <v>91.07</v>
      </c>
      <c r="DP4" s="740">
        <v>91.18</v>
      </c>
      <c r="DQ4" s="740">
        <v>91.28</v>
      </c>
      <c r="DR4" s="740">
        <v>91.38</v>
      </c>
    </row>
    <row r="5" spans="1:122">
      <c r="A5" s="912">
        <v>3</v>
      </c>
      <c r="B5" s="90"/>
      <c r="C5" s="90"/>
      <c r="D5" s="90"/>
      <c r="E5" s="90"/>
      <c r="F5" s="90"/>
      <c r="G5" s="90"/>
      <c r="H5" s="90"/>
      <c r="I5" s="90"/>
      <c r="J5" s="90"/>
      <c r="K5" s="90"/>
      <c r="L5" s="90"/>
      <c r="M5" s="90"/>
      <c r="N5" s="90"/>
      <c r="O5" s="90"/>
      <c r="P5" s="90"/>
      <c r="Q5" s="90"/>
      <c r="R5" s="90"/>
      <c r="S5" s="90"/>
      <c r="T5" s="90"/>
      <c r="U5" s="90"/>
      <c r="V5" s="740"/>
      <c r="W5" s="740">
        <v>73.31</v>
      </c>
      <c r="X5" s="740">
        <v>73.53</v>
      </c>
      <c r="Y5" s="740">
        <v>73.739999999999995</v>
      </c>
      <c r="Z5" s="740">
        <v>74.010000000000005</v>
      </c>
      <c r="AA5" s="740">
        <v>74.239999999999995</v>
      </c>
      <c r="AB5" s="740">
        <v>74.56</v>
      </c>
      <c r="AC5" s="740">
        <v>74.95</v>
      </c>
      <c r="AD5" s="740">
        <v>75.19</v>
      </c>
      <c r="AE5" s="740">
        <v>75.52</v>
      </c>
      <c r="AF5" s="740">
        <v>75.819999999999993</v>
      </c>
      <c r="AG5" s="740">
        <v>76.09</v>
      </c>
      <c r="AH5" s="740">
        <v>76.36</v>
      </c>
      <c r="AI5" s="740">
        <v>76.67</v>
      </c>
      <c r="AJ5" s="740">
        <v>77.08</v>
      </c>
      <c r="AK5" s="740">
        <v>77.41</v>
      </c>
      <c r="AL5" s="740">
        <v>77.78</v>
      </c>
      <c r="AM5" s="740">
        <v>78.099999999999994</v>
      </c>
      <c r="AN5" s="740">
        <v>78.38</v>
      </c>
      <c r="AO5" s="740">
        <v>78.650000000000006</v>
      </c>
      <c r="AP5" s="740">
        <v>78.86</v>
      </c>
      <c r="AQ5" s="740">
        <v>79.02</v>
      </c>
      <c r="AR5" s="740">
        <v>79.2</v>
      </c>
      <c r="AS5" s="740">
        <v>79.41</v>
      </c>
      <c r="AT5" s="740">
        <v>79.5</v>
      </c>
      <c r="AU5" s="740">
        <v>79.73</v>
      </c>
      <c r="AV5" s="740">
        <v>79.88</v>
      </c>
      <c r="AW5" s="740">
        <v>80.16</v>
      </c>
      <c r="AX5" s="740">
        <v>80.27</v>
      </c>
      <c r="AY5" s="740">
        <v>80.48</v>
      </c>
      <c r="AZ5" s="740">
        <v>80.62</v>
      </c>
      <c r="BA5" s="740">
        <v>80.78</v>
      </c>
      <c r="BB5" s="740">
        <v>80.900000000000006</v>
      </c>
      <c r="BC5" s="740">
        <v>81.040000000000006</v>
      </c>
      <c r="BD5" s="740">
        <v>81.17</v>
      </c>
      <c r="BE5" s="740">
        <v>81.290000000000006</v>
      </c>
      <c r="BF5" s="740">
        <v>81.489999999999995</v>
      </c>
      <c r="BG5" s="740">
        <v>81.67</v>
      </c>
      <c r="BH5" s="740">
        <v>81.86</v>
      </c>
      <c r="BI5" s="740">
        <v>82.01</v>
      </c>
      <c r="BJ5" s="740">
        <v>82.19</v>
      </c>
      <c r="BK5" s="740">
        <v>82.37</v>
      </c>
      <c r="BL5" s="740">
        <v>82.57</v>
      </c>
      <c r="BM5" s="740">
        <v>82.78</v>
      </c>
      <c r="BN5" s="740">
        <v>82.96</v>
      </c>
      <c r="BO5" s="740">
        <v>83.12</v>
      </c>
      <c r="BP5" s="740">
        <v>83.33</v>
      </c>
      <c r="BQ5" s="740">
        <v>83.51</v>
      </c>
      <c r="BR5" s="740">
        <v>83.65</v>
      </c>
      <c r="BS5" s="740">
        <v>83.85</v>
      </c>
      <c r="BT5" s="740">
        <v>84.01</v>
      </c>
      <c r="BU5" s="740">
        <v>84.16</v>
      </c>
      <c r="BV5" s="740">
        <v>84.33</v>
      </c>
      <c r="BW5" s="740">
        <v>84.48</v>
      </c>
      <c r="BX5" s="740">
        <v>84.63</v>
      </c>
      <c r="BY5" s="740">
        <v>84.78</v>
      </c>
      <c r="BZ5" s="740">
        <v>84.91</v>
      </c>
      <c r="CA5" s="740">
        <v>85.07</v>
      </c>
      <c r="CB5" s="740">
        <v>85.23</v>
      </c>
      <c r="CC5" s="740">
        <v>85.37</v>
      </c>
      <c r="CD5" s="740">
        <v>85.51</v>
      </c>
      <c r="CE5" s="740">
        <v>85.64</v>
      </c>
      <c r="CF5" s="740">
        <v>85.79</v>
      </c>
      <c r="CG5" s="740">
        <v>85.92</v>
      </c>
      <c r="CH5" s="740">
        <v>86.08</v>
      </c>
      <c r="CI5" s="740">
        <v>86.23</v>
      </c>
      <c r="CJ5" s="740">
        <v>86.35</v>
      </c>
      <c r="CK5" s="740">
        <v>86.49</v>
      </c>
      <c r="CL5" s="740">
        <v>86.64</v>
      </c>
      <c r="CM5" s="740">
        <v>86.78</v>
      </c>
      <c r="CN5" s="740">
        <v>86.92</v>
      </c>
      <c r="CO5" s="740">
        <v>87.05</v>
      </c>
      <c r="CP5" s="740">
        <v>87.19</v>
      </c>
      <c r="CQ5" s="740">
        <v>87.31</v>
      </c>
      <c r="CR5" s="740">
        <v>87.44</v>
      </c>
      <c r="CS5" s="740">
        <v>87.58</v>
      </c>
      <c r="CT5" s="740">
        <v>87.71</v>
      </c>
      <c r="CU5" s="740">
        <v>87.82</v>
      </c>
      <c r="CV5" s="740">
        <v>87.93</v>
      </c>
      <c r="CW5" s="740">
        <v>88.06</v>
      </c>
      <c r="CX5" s="740">
        <v>88.19</v>
      </c>
      <c r="CY5" s="740">
        <v>88.32</v>
      </c>
      <c r="CZ5" s="740">
        <v>88.42</v>
      </c>
      <c r="DA5" s="740">
        <v>88.54</v>
      </c>
      <c r="DB5" s="740">
        <v>88.65</v>
      </c>
      <c r="DC5" s="740">
        <v>88.77</v>
      </c>
      <c r="DD5" s="740">
        <v>88.89</v>
      </c>
      <c r="DE5" s="740">
        <v>89</v>
      </c>
      <c r="DF5" s="740">
        <v>89.13</v>
      </c>
      <c r="DG5" s="740">
        <v>89.23</v>
      </c>
      <c r="DH5" s="740">
        <v>89.34</v>
      </c>
      <c r="DI5" s="740">
        <v>89.45</v>
      </c>
      <c r="DJ5" s="740">
        <v>89.55</v>
      </c>
      <c r="DK5" s="740">
        <v>89.67</v>
      </c>
      <c r="DL5" s="740">
        <v>89.77</v>
      </c>
      <c r="DM5" s="740">
        <v>89.88</v>
      </c>
      <c r="DN5" s="740">
        <v>89.98</v>
      </c>
      <c r="DO5" s="740">
        <v>90.09</v>
      </c>
      <c r="DP5" s="740">
        <v>90.19</v>
      </c>
      <c r="DQ5" s="740">
        <v>90.29</v>
      </c>
      <c r="DR5" s="740">
        <v>90.39</v>
      </c>
    </row>
    <row r="6" spans="1:122">
      <c r="A6" s="912">
        <v>4</v>
      </c>
      <c r="B6" s="90"/>
      <c r="C6" s="90"/>
      <c r="D6" s="90"/>
      <c r="E6" s="90"/>
      <c r="F6" s="90"/>
      <c r="G6" s="90"/>
      <c r="H6" s="90"/>
      <c r="I6" s="90"/>
      <c r="J6" s="90"/>
      <c r="K6" s="90"/>
      <c r="L6" s="90"/>
      <c r="M6" s="90"/>
      <c r="N6" s="90"/>
      <c r="O6" s="90"/>
      <c r="P6" s="90"/>
      <c r="Q6" s="90"/>
      <c r="R6" s="90"/>
      <c r="S6" s="90"/>
      <c r="T6" s="90"/>
      <c r="U6" s="90"/>
      <c r="V6" s="740"/>
      <c r="W6" s="740">
        <v>72.569999999999993</v>
      </c>
      <c r="X6" s="740">
        <v>72.790000000000006</v>
      </c>
      <c r="Y6" s="740">
        <v>73.010000000000005</v>
      </c>
      <c r="Z6" s="740">
        <v>73.3</v>
      </c>
      <c r="AA6" s="740">
        <v>73.52</v>
      </c>
      <c r="AB6" s="740">
        <v>73.86</v>
      </c>
      <c r="AC6" s="740">
        <v>74.22</v>
      </c>
      <c r="AD6" s="740">
        <v>74.430000000000007</v>
      </c>
      <c r="AE6" s="740">
        <v>74.739999999999995</v>
      </c>
      <c r="AF6" s="740">
        <v>75.040000000000006</v>
      </c>
      <c r="AG6" s="740">
        <v>75.31</v>
      </c>
      <c r="AH6" s="740">
        <v>75.61</v>
      </c>
      <c r="AI6" s="740">
        <v>75.95</v>
      </c>
      <c r="AJ6" s="740">
        <v>76.319999999999993</v>
      </c>
      <c r="AK6" s="740">
        <v>76.63</v>
      </c>
      <c r="AL6" s="740">
        <v>77.010000000000005</v>
      </c>
      <c r="AM6" s="740">
        <v>77.34</v>
      </c>
      <c r="AN6" s="740">
        <v>77.62</v>
      </c>
      <c r="AO6" s="740">
        <v>77.89</v>
      </c>
      <c r="AP6" s="740">
        <v>78.13</v>
      </c>
      <c r="AQ6" s="740">
        <v>78.319999999999993</v>
      </c>
      <c r="AR6" s="740">
        <v>78.56</v>
      </c>
      <c r="AS6" s="740">
        <v>78.69</v>
      </c>
      <c r="AT6" s="740">
        <v>78.78</v>
      </c>
      <c r="AU6" s="740">
        <v>78.92</v>
      </c>
      <c r="AV6" s="740">
        <v>79.010000000000005</v>
      </c>
      <c r="AW6" s="740">
        <v>79.290000000000006</v>
      </c>
      <c r="AX6" s="740">
        <v>79.400000000000006</v>
      </c>
      <c r="AY6" s="740">
        <v>79.56</v>
      </c>
      <c r="AZ6" s="740">
        <v>79.7</v>
      </c>
      <c r="BA6" s="740">
        <v>79.86</v>
      </c>
      <c r="BB6" s="740">
        <v>79.98</v>
      </c>
      <c r="BC6" s="740">
        <v>80.12</v>
      </c>
      <c r="BD6" s="740">
        <v>80.25</v>
      </c>
      <c r="BE6" s="740">
        <v>80.36</v>
      </c>
      <c r="BF6" s="740">
        <v>80.56</v>
      </c>
      <c r="BG6" s="740">
        <v>80.739999999999995</v>
      </c>
      <c r="BH6" s="740">
        <v>80.930000000000007</v>
      </c>
      <c r="BI6" s="740">
        <v>81.069999999999993</v>
      </c>
      <c r="BJ6" s="740">
        <v>81.25</v>
      </c>
      <c r="BK6" s="740">
        <v>81.42</v>
      </c>
      <c r="BL6" s="740">
        <v>81.62</v>
      </c>
      <c r="BM6" s="740">
        <v>81.84</v>
      </c>
      <c r="BN6" s="740">
        <v>82.01</v>
      </c>
      <c r="BO6" s="740">
        <v>82.18</v>
      </c>
      <c r="BP6" s="740">
        <v>82.38</v>
      </c>
      <c r="BQ6" s="740">
        <v>82.56</v>
      </c>
      <c r="BR6" s="740">
        <v>82.7</v>
      </c>
      <c r="BS6" s="740">
        <v>82.9</v>
      </c>
      <c r="BT6" s="740">
        <v>83.06</v>
      </c>
      <c r="BU6" s="740">
        <v>83.2</v>
      </c>
      <c r="BV6" s="740">
        <v>83.37</v>
      </c>
      <c r="BW6" s="740">
        <v>83.52</v>
      </c>
      <c r="BX6" s="740">
        <v>83.68</v>
      </c>
      <c r="BY6" s="740">
        <v>83.82</v>
      </c>
      <c r="BZ6" s="740">
        <v>83.95</v>
      </c>
      <c r="CA6" s="740">
        <v>84.1</v>
      </c>
      <c r="CB6" s="740">
        <v>84.26</v>
      </c>
      <c r="CC6" s="740">
        <v>84.4</v>
      </c>
      <c r="CD6" s="740">
        <v>84.54</v>
      </c>
      <c r="CE6" s="740">
        <v>84.67</v>
      </c>
      <c r="CF6" s="740">
        <v>84.82</v>
      </c>
      <c r="CG6" s="740">
        <v>84.95</v>
      </c>
      <c r="CH6" s="740">
        <v>85.11</v>
      </c>
      <c r="CI6" s="740">
        <v>85.26</v>
      </c>
      <c r="CJ6" s="740">
        <v>85.37</v>
      </c>
      <c r="CK6" s="740">
        <v>85.52</v>
      </c>
      <c r="CL6" s="740">
        <v>85.66</v>
      </c>
      <c r="CM6" s="740">
        <v>85.8</v>
      </c>
      <c r="CN6" s="740">
        <v>85.94</v>
      </c>
      <c r="CO6" s="740">
        <v>86.07</v>
      </c>
      <c r="CP6" s="740">
        <v>86.21</v>
      </c>
      <c r="CQ6" s="740">
        <v>86.32</v>
      </c>
      <c r="CR6" s="740">
        <v>86.45</v>
      </c>
      <c r="CS6" s="740">
        <v>86.59</v>
      </c>
      <c r="CT6" s="740">
        <v>86.72</v>
      </c>
      <c r="CU6" s="740">
        <v>86.84</v>
      </c>
      <c r="CV6" s="740">
        <v>86.94</v>
      </c>
      <c r="CW6" s="740">
        <v>87.08</v>
      </c>
      <c r="CX6" s="740">
        <v>87.2</v>
      </c>
      <c r="CY6" s="740">
        <v>87.33</v>
      </c>
      <c r="CZ6" s="740">
        <v>87.43</v>
      </c>
      <c r="DA6" s="740">
        <v>87.56</v>
      </c>
      <c r="DB6" s="740">
        <v>87.67</v>
      </c>
      <c r="DC6" s="740">
        <v>87.79</v>
      </c>
      <c r="DD6" s="740">
        <v>87.9</v>
      </c>
      <c r="DE6" s="740">
        <v>88.01</v>
      </c>
      <c r="DF6" s="740">
        <v>88.14</v>
      </c>
      <c r="DG6" s="740">
        <v>88.24</v>
      </c>
      <c r="DH6" s="740">
        <v>88.35</v>
      </c>
      <c r="DI6" s="740">
        <v>88.46</v>
      </c>
      <c r="DJ6" s="740">
        <v>88.56</v>
      </c>
      <c r="DK6" s="740">
        <v>88.68</v>
      </c>
      <c r="DL6" s="740">
        <v>88.78</v>
      </c>
      <c r="DM6" s="740">
        <v>88.89</v>
      </c>
      <c r="DN6" s="740">
        <v>88.99</v>
      </c>
      <c r="DO6" s="740">
        <v>89.1</v>
      </c>
      <c r="DP6" s="740">
        <v>89.2</v>
      </c>
      <c r="DQ6" s="740">
        <v>89.3</v>
      </c>
      <c r="DR6" s="740">
        <v>89.4</v>
      </c>
    </row>
    <row r="7" spans="1:122">
      <c r="A7" s="912">
        <v>5</v>
      </c>
      <c r="B7" s="90"/>
      <c r="C7" s="90"/>
      <c r="D7" s="90"/>
      <c r="E7" s="90"/>
      <c r="F7" s="90"/>
      <c r="G7" s="90"/>
      <c r="H7" s="90"/>
      <c r="I7" s="90"/>
      <c r="J7" s="90"/>
      <c r="K7" s="90"/>
      <c r="L7" s="90"/>
      <c r="M7" s="90"/>
      <c r="N7" s="90"/>
      <c r="O7" s="90"/>
      <c r="P7" s="90"/>
      <c r="Q7" s="90"/>
      <c r="R7" s="90"/>
      <c r="S7" s="90"/>
      <c r="T7" s="90"/>
      <c r="U7" s="90"/>
      <c r="V7" s="740"/>
      <c r="W7" s="740">
        <v>71.78</v>
      </c>
      <c r="X7" s="740">
        <v>72</v>
      </c>
      <c r="Y7" s="740">
        <v>72.23</v>
      </c>
      <c r="Z7" s="740">
        <v>72.52</v>
      </c>
      <c r="AA7" s="740">
        <v>72.760000000000005</v>
      </c>
      <c r="AB7" s="740">
        <v>73.09</v>
      </c>
      <c r="AC7" s="740">
        <v>73.41</v>
      </c>
      <c r="AD7" s="740">
        <v>73.61</v>
      </c>
      <c r="AE7" s="740">
        <v>73.92</v>
      </c>
      <c r="AF7" s="740">
        <v>74.23</v>
      </c>
      <c r="AG7" s="740">
        <v>74.52</v>
      </c>
      <c r="AH7" s="740">
        <v>74.84</v>
      </c>
      <c r="AI7" s="740">
        <v>75.150000000000006</v>
      </c>
      <c r="AJ7" s="740">
        <v>75.510000000000005</v>
      </c>
      <c r="AK7" s="740">
        <v>75.83</v>
      </c>
      <c r="AL7" s="740">
        <v>76.209999999999994</v>
      </c>
      <c r="AM7" s="740">
        <v>76.540000000000006</v>
      </c>
      <c r="AN7" s="740">
        <v>76.819999999999993</v>
      </c>
      <c r="AO7" s="740">
        <v>77.11</v>
      </c>
      <c r="AP7" s="740">
        <v>77.38</v>
      </c>
      <c r="AQ7" s="740">
        <v>77.63</v>
      </c>
      <c r="AR7" s="740">
        <v>77.75</v>
      </c>
      <c r="AS7" s="740">
        <v>77.88</v>
      </c>
      <c r="AT7" s="740">
        <v>77.91</v>
      </c>
      <c r="AU7" s="740">
        <v>78.02</v>
      </c>
      <c r="AV7" s="740">
        <v>78.11</v>
      </c>
      <c r="AW7" s="740">
        <v>78.39</v>
      </c>
      <c r="AX7" s="740">
        <v>78.47</v>
      </c>
      <c r="AY7" s="740">
        <v>78.63</v>
      </c>
      <c r="AZ7" s="740">
        <v>78.77</v>
      </c>
      <c r="BA7" s="740">
        <v>78.91</v>
      </c>
      <c r="BB7" s="740">
        <v>79.040000000000006</v>
      </c>
      <c r="BC7" s="740">
        <v>79.180000000000007</v>
      </c>
      <c r="BD7" s="740">
        <v>79.31</v>
      </c>
      <c r="BE7" s="740">
        <v>79.41</v>
      </c>
      <c r="BF7" s="740">
        <v>79.62</v>
      </c>
      <c r="BG7" s="740">
        <v>79.790000000000006</v>
      </c>
      <c r="BH7" s="740">
        <v>79.97</v>
      </c>
      <c r="BI7" s="740">
        <v>80.12</v>
      </c>
      <c r="BJ7" s="740">
        <v>80.290000000000006</v>
      </c>
      <c r="BK7" s="740">
        <v>80.47</v>
      </c>
      <c r="BL7" s="740">
        <v>80.67</v>
      </c>
      <c r="BM7" s="740">
        <v>80.89</v>
      </c>
      <c r="BN7" s="740">
        <v>81.06</v>
      </c>
      <c r="BO7" s="740">
        <v>81.22</v>
      </c>
      <c r="BP7" s="740">
        <v>81.42</v>
      </c>
      <c r="BQ7" s="740">
        <v>81.599999999999994</v>
      </c>
      <c r="BR7" s="740">
        <v>81.75</v>
      </c>
      <c r="BS7" s="740">
        <v>81.93</v>
      </c>
      <c r="BT7" s="740">
        <v>82.1</v>
      </c>
      <c r="BU7" s="740">
        <v>82.24</v>
      </c>
      <c r="BV7" s="740">
        <v>82.41</v>
      </c>
      <c r="BW7" s="740">
        <v>82.56</v>
      </c>
      <c r="BX7" s="740">
        <v>82.71</v>
      </c>
      <c r="BY7" s="740">
        <v>82.85</v>
      </c>
      <c r="BZ7" s="740">
        <v>82.98</v>
      </c>
      <c r="CA7" s="740">
        <v>83.13</v>
      </c>
      <c r="CB7" s="740">
        <v>83.29</v>
      </c>
      <c r="CC7" s="740">
        <v>83.42</v>
      </c>
      <c r="CD7" s="740">
        <v>83.56</v>
      </c>
      <c r="CE7" s="740">
        <v>83.69</v>
      </c>
      <c r="CF7" s="740">
        <v>83.84</v>
      </c>
      <c r="CG7" s="740">
        <v>83.97</v>
      </c>
      <c r="CH7" s="740">
        <v>84.12</v>
      </c>
      <c r="CI7" s="740">
        <v>84.28</v>
      </c>
      <c r="CJ7" s="740">
        <v>84.39</v>
      </c>
      <c r="CK7" s="740">
        <v>84.54</v>
      </c>
      <c r="CL7" s="740">
        <v>84.68</v>
      </c>
      <c r="CM7" s="740">
        <v>84.82</v>
      </c>
      <c r="CN7" s="740">
        <v>84.96</v>
      </c>
      <c r="CO7" s="740">
        <v>85.09</v>
      </c>
      <c r="CP7" s="740">
        <v>85.22</v>
      </c>
      <c r="CQ7" s="740">
        <v>85.34</v>
      </c>
      <c r="CR7" s="740">
        <v>85.46</v>
      </c>
      <c r="CS7" s="740">
        <v>85.61</v>
      </c>
      <c r="CT7" s="740">
        <v>85.73</v>
      </c>
      <c r="CU7" s="740">
        <v>85.85</v>
      </c>
      <c r="CV7" s="740">
        <v>85.96</v>
      </c>
      <c r="CW7" s="740">
        <v>86.09</v>
      </c>
      <c r="CX7" s="740">
        <v>86.21</v>
      </c>
      <c r="CY7" s="740">
        <v>86.34</v>
      </c>
      <c r="CZ7" s="740">
        <v>86.44</v>
      </c>
      <c r="DA7" s="740">
        <v>86.57</v>
      </c>
      <c r="DB7" s="740">
        <v>86.68</v>
      </c>
      <c r="DC7" s="740">
        <v>86.8</v>
      </c>
      <c r="DD7" s="740">
        <v>86.91</v>
      </c>
      <c r="DE7" s="740">
        <v>87.02</v>
      </c>
      <c r="DF7" s="740">
        <v>87.14</v>
      </c>
      <c r="DG7" s="740">
        <v>87.25</v>
      </c>
      <c r="DH7" s="740">
        <v>87.36</v>
      </c>
      <c r="DI7" s="740">
        <v>87.47</v>
      </c>
      <c r="DJ7" s="740">
        <v>87.57</v>
      </c>
      <c r="DK7" s="740">
        <v>87.68</v>
      </c>
      <c r="DL7" s="740">
        <v>87.79</v>
      </c>
      <c r="DM7" s="740">
        <v>87.9</v>
      </c>
      <c r="DN7" s="740">
        <v>88</v>
      </c>
      <c r="DO7" s="740">
        <v>88.1</v>
      </c>
      <c r="DP7" s="740">
        <v>88.21</v>
      </c>
      <c r="DQ7" s="740">
        <v>88.31</v>
      </c>
      <c r="DR7" s="740">
        <v>88.41</v>
      </c>
    </row>
    <row r="8" spans="1:122">
      <c r="A8" s="912">
        <v>6</v>
      </c>
      <c r="B8" s="90"/>
      <c r="C8" s="90"/>
      <c r="D8" s="90"/>
      <c r="E8" s="90"/>
      <c r="F8" s="90"/>
      <c r="G8" s="90"/>
      <c r="H8" s="90"/>
      <c r="I8" s="90"/>
      <c r="J8" s="90"/>
      <c r="K8" s="90"/>
      <c r="L8" s="90"/>
      <c r="M8" s="90"/>
      <c r="N8" s="90"/>
      <c r="O8" s="90"/>
      <c r="P8" s="90"/>
      <c r="Q8" s="90"/>
      <c r="R8" s="90"/>
      <c r="S8" s="90"/>
      <c r="T8" s="90"/>
      <c r="U8" s="90"/>
      <c r="V8" s="740"/>
      <c r="W8" s="740">
        <v>70.94</v>
      </c>
      <c r="X8" s="740">
        <v>71.17</v>
      </c>
      <c r="Y8" s="740">
        <v>71.41</v>
      </c>
      <c r="Z8" s="740">
        <v>71.72</v>
      </c>
      <c r="AA8" s="740">
        <v>71.959999999999994</v>
      </c>
      <c r="AB8" s="740">
        <v>72.260000000000005</v>
      </c>
      <c r="AC8" s="740">
        <v>72.569999999999993</v>
      </c>
      <c r="AD8" s="740">
        <v>72.77</v>
      </c>
      <c r="AE8" s="740">
        <v>73.08</v>
      </c>
      <c r="AF8" s="740">
        <v>73.41</v>
      </c>
      <c r="AG8" s="740">
        <v>73.72</v>
      </c>
      <c r="AH8" s="740">
        <v>74.02</v>
      </c>
      <c r="AI8" s="740">
        <v>74.31</v>
      </c>
      <c r="AJ8" s="740">
        <v>74.680000000000007</v>
      </c>
      <c r="AK8" s="740">
        <v>75</v>
      </c>
      <c r="AL8" s="740">
        <v>75.39</v>
      </c>
      <c r="AM8" s="740">
        <v>75.709999999999994</v>
      </c>
      <c r="AN8" s="740">
        <v>76.010000000000005</v>
      </c>
      <c r="AO8" s="740">
        <v>76.33</v>
      </c>
      <c r="AP8" s="740">
        <v>76.64</v>
      </c>
      <c r="AQ8" s="740">
        <v>76.760000000000005</v>
      </c>
      <c r="AR8" s="740">
        <v>76.89</v>
      </c>
      <c r="AS8" s="740">
        <v>76.98</v>
      </c>
      <c r="AT8" s="740">
        <v>76.98</v>
      </c>
      <c r="AU8" s="740">
        <v>77.099999999999994</v>
      </c>
      <c r="AV8" s="740">
        <v>77.19</v>
      </c>
      <c r="AW8" s="740">
        <v>77.45</v>
      </c>
      <c r="AX8" s="740">
        <v>77.52</v>
      </c>
      <c r="AY8" s="740">
        <v>77.69</v>
      </c>
      <c r="AZ8" s="740">
        <v>77.819999999999993</v>
      </c>
      <c r="BA8" s="740">
        <v>77.959999999999994</v>
      </c>
      <c r="BB8" s="740">
        <v>78.09</v>
      </c>
      <c r="BC8" s="740">
        <v>78.23</v>
      </c>
      <c r="BD8" s="740">
        <v>78.349999999999994</v>
      </c>
      <c r="BE8" s="740">
        <v>78.459999999999994</v>
      </c>
      <c r="BF8" s="740">
        <v>78.66</v>
      </c>
      <c r="BG8" s="740">
        <v>78.83</v>
      </c>
      <c r="BH8" s="740">
        <v>79.010000000000005</v>
      </c>
      <c r="BI8" s="740">
        <v>79.16</v>
      </c>
      <c r="BJ8" s="740">
        <v>79.33</v>
      </c>
      <c r="BK8" s="740">
        <v>79.510000000000005</v>
      </c>
      <c r="BL8" s="740">
        <v>79.709999999999994</v>
      </c>
      <c r="BM8" s="740">
        <v>79.92</v>
      </c>
      <c r="BN8" s="740">
        <v>80.099999999999994</v>
      </c>
      <c r="BO8" s="740">
        <v>80.260000000000005</v>
      </c>
      <c r="BP8" s="740">
        <v>80.459999999999994</v>
      </c>
      <c r="BQ8" s="740">
        <v>80.64</v>
      </c>
      <c r="BR8" s="740">
        <v>80.78</v>
      </c>
      <c r="BS8" s="740">
        <v>80.97</v>
      </c>
      <c r="BT8" s="740">
        <v>81.13</v>
      </c>
      <c r="BU8" s="740">
        <v>81.27</v>
      </c>
      <c r="BV8" s="740">
        <v>81.430000000000007</v>
      </c>
      <c r="BW8" s="740">
        <v>81.59</v>
      </c>
      <c r="BX8" s="740">
        <v>81.73</v>
      </c>
      <c r="BY8" s="740">
        <v>81.87</v>
      </c>
      <c r="BZ8" s="740">
        <v>82.01</v>
      </c>
      <c r="CA8" s="740">
        <v>82.15</v>
      </c>
      <c r="CB8" s="740">
        <v>82.31</v>
      </c>
      <c r="CC8" s="740">
        <v>82.45</v>
      </c>
      <c r="CD8" s="740">
        <v>82.58</v>
      </c>
      <c r="CE8" s="740">
        <v>82.71</v>
      </c>
      <c r="CF8" s="740">
        <v>82.85</v>
      </c>
      <c r="CG8" s="740">
        <v>82.98</v>
      </c>
      <c r="CH8" s="740">
        <v>83.14</v>
      </c>
      <c r="CI8" s="740">
        <v>83.29</v>
      </c>
      <c r="CJ8" s="740">
        <v>83.41</v>
      </c>
      <c r="CK8" s="740">
        <v>83.56</v>
      </c>
      <c r="CL8" s="740">
        <v>83.69</v>
      </c>
      <c r="CM8" s="740">
        <v>83.83</v>
      </c>
      <c r="CN8" s="740">
        <v>83.97</v>
      </c>
      <c r="CO8" s="740">
        <v>84.1</v>
      </c>
      <c r="CP8" s="740">
        <v>84.23</v>
      </c>
      <c r="CQ8" s="740">
        <v>84.35</v>
      </c>
      <c r="CR8" s="740">
        <v>84.47</v>
      </c>
      <c r="CS8" s="740">
        <v>84.61</v>
      </c>
      <c r="CT8" s="740">
        <v>84.74</v>
      </c>
      <c r="CU8" s="740">
        <v>84.86</v>
      </c>
      <c r="CV8" s="740">
        <v>84.97</v>
      </c>
      <c r="CW8" s="740">
        <v>85.1</v>
      </c>
      <c r="CX8" s="740">
        <v>85.22</v>
      </c>
      <c r="CY8" s="740">
        <v>85.34</v>
      </c>
      <c r="CZ8" s="740">
        <v>85.45</v>
      </c>
      <c r="DA8" s="740">
        <v>85.57</v>
      </c>
      <c r="DB8" s="740">
        <v>85.69</v>
      </c>
      <c r="DC8" s="740">
        <v>85.81</v>
      </c>
      <c r="DD8" s="740">
        <v>85.92</v>
      </c>
      <c r="DE8" s="740">
        <v>86.03</v>
      </c>
      <c r="DF8" s="740">
        <v>86.15</v>
      </c>
      <c r="DG8" s="740">
        <v>86.26</v>
      </c>
      <c r="DH8" s="740">
        <v>86.36</v>
      </c>
      <c r="DI8" s="740">
        <v>86.47</v>
      </c>
      <c r="DJ8" s="740">
        <v>86.58</v>
      </c>
      <c r="DK8" s="740">
        <v>86.69</v>
      </c>
      <c r="DL8" s="740">
        <v>86.8</v>
      </c>
      <c r="DM8" s="740">
        <v>86.9</v>
      </c>
      <c r="DN8" s="740">
        <v>87.01</v>
      </c>
      <c r="DO8" s="740">
        <v>87.11</v>
      </c>
      <c r="DP8" s="740">
        <v>87.21</v>
      </c>
      <c r="DQ8" s="740">
        <v>87.31</v>
      </c>
      <c r="DR8" s="740">
        <v>87.41</v>
      </c>
    </row>
    <row r="9" spans="1:122">
      <c r="A9" s="912">
        <v>7</v>
      </c>
      <c r="B9" s="90"/>
      <c r="C9" s="90"/>
      <c r="D9" s="90"/>
      <c r="E9" s="90"/>
      <c r="F9" s="90"/>
      <c r="G9" s="90"/>
      <c r="H9" s="90"/>
      <c r="I9" s="90"/>
      <c r="J9" s="90"/>
      <c r="K9" s="90"/>
      <c r="L9" s="90"/>
      <c r="M9" s="90"/>
      <c r="N9" s="90"/>
      <c r="O9" s="90"/>
      <c r="P9" s="90"/>
      <c r="Q9" s="90"/>
      <c r="R9" s="90"/>
      <c r="S9" s="90"/>
      <c r="T9" s="90"/>
      <c r="U9" s="90"/>
      <c r="V9" s="740"/>
      <c r="W9" s="740">
        <v>70.069999999999993</v>
      </c>
      <c r="X9" s="740">
        <v>70.319999999999993</v>
      </c>
      <c r="Y9" s="740">
        <v>70.58</v>
      </c>
      <c r="Z9" s="740">
        <v>70.900000000000006</v>
      </c>
      <c r="AA9" s="740">
        <v>71.11</v>
      </c>
      <c r="AB9" s="740">
        <v>71.400000000000006</v>
      </c>
      <c r="AC9" s="740">
        <v>71.709999999999994</v>
      </c>
      <c r="AD9" s="740">
        <v>71.91</v>
      </c>
      <c r="AE9" s="740">
        <v>72.239999999999995</v>
      </c>
      <c r="AF9" s="740">
        <v>72.59</v>
      </c>
      <c r="AG9" s="740">
        <v>72.87</v>
      </c>
      <c r="AH9" s="740">
        <v>73.16</v>
      </c>
      <c r="AI9" s="740">
        <v>73.47</v>
      </c>
      <c r="AJ9" s="740">
        <v>73.83</v>
      </c>
      <c r="AK9" s="740">
        <v>74.16</v>
      </c>
      <c r="AL9" s="740">
        <v>74.540000000000006</v>
      </c>
      <c r="AM9" s="740">
        <v>74.88</v>
      </c>
      <c r="AN9" s="740">
        <v>75.209999999999994</v>
      </c>
      <c r="AO9" s="740">
        <v>75.56</v>
      </c>
      <c r="AP9" s="740">
        <v>75.75</v>
      </c>
      <c r="AQ9" s="740">
        <v>75.87</v>
      </c>
      <c r="AR9" s="740">
        <v>75.959999999999994</v>
      </c>
      <c r="AS9" s="740">
        <v>76.040000000000006</v>
      </c>
      <c r="AT9" s="740">
        <v>76.05</v>
      </c>
      <c r="AU9" s="740">
        <v>76.16</v>
      </c>
      <c r="AV9" s="740">
        <v>76.239999999999995</v>
      </c>
      <c r="AW9" s="740">
        <v>76.489999999999995</v>
      </c>
      <c r="AX9" s="740">
        <v>76.569999999999993</v>
      </c>
      <c r="AY9" s="740">
        <v>76.73</v>
      </c>
      <c r="AZ9" s="740">
        <v>76.86</v>
      </c>
      <c r="BA9" s="740">
        <v>77</v>
      </c>
      <c r="BB9" s="740">
        <v>77.13</v>
      </c>
      <c r="BC9" s="740">
        <v>77.260000000000005</v>
      </c>
      <c r="BD9" s="740">
        <v>77.38</v>
      </c>
      <c r="BE9" s="740">
        <v>77.489999999999995</v>
      </c>
      <c r="BF9" s="740">
        <v>77.69</v>
      </c>
      <c r="BG9" s="740">
        <v>77.87</v>
      </c>
      <c r="BH9" s="740">
        <v>78.05</v>
      </c>
      <c r="BI9" s="740">
        <v>78.19</v>
      </c>
      <c r="BJ9" s="740">
        <v>78.37</v>
      </c>
      <c r="BK9" s="740">
        <v>78.55</v>
      </c>
      <c r="BL9" s="740">
        <v>78.739999999999995</v>
      </c>
      <c r="BM9" s="740">
        <v>78.959999999999994</v>
      </c>
      <c r="BN9" s="740">
        <v>79.13</v>
      </c>
      <c r="BO9" s="740">
        <v>79.3</v>
      </c>
      <c r="BP9" s="740">
        <v>79.489999999999995</v>
      </c>
      <c r="BQ9" s="740">
        <v>79.67</v>
      </c>
      <c r="BR9" s="740">
        <v>79.81</v>
      </c>
      <c r="BS9" s="740">
        <v>80</v>
      </c>
      <c r="BT9" s="740">
        <v>80.16</v>
      </c>
      <c r="BU9" s="740">
        <v>80.3</v>
      </c>
      <c r="BV9" s="740">
        <v>80.459999999999994</v>
      </c>
      <c r="BW9" s="740">
        <v>80.62</v>
      </c>
      <c r="BX9" s="740">
        <v>80.75</v>
      </c>
      <c r="BY9" s="740">
        <v>80.900000000000006</v>
      </c>
      <c r="BZ9" s="740">
        <v>81.03</v>
      </c>
      <c r="CA9" s="740">
        <v>81.16</v>
      </c>
      <c r="CB9" s="740">
        <v>81.33</v>
      </c>
      <c r="CC9" s="740">
        <v>81.459999999999994</v>
      </c>
      <c r="CD9" s="740">
        <v>81.59</v>
      </c>
      <c r="CE9" s="740">
        <v>81.72</v>
      </c>
      <c r="CF9" s="740">
        <v>81.87</v>
      </c>
      <c r="CG9" s="740">
        <v>82</v>
      </c>
      <c r="CH9" s="740">
        <v>82.16</v>
      </c>
      <c r="CI9" s="740">
        <v>82.31</v>
      </c>
      <c r="CJ9" s="740">
        <v>82.42</v>
      </c>
      <c r="CK9" s="740">
        <v>82.56</v>
      </c>
      <c r="CL9" s="740">
        <v>82.71</v>
      </c>
      <c r="CM9" s="740">
        <v>82.84</v>
      </c>
      <c r="CN9" s="740">
        <v>82.98</v>
      </c>
      <c r="CO9" s="740">
        <v>83.11</v>
      </c>
      <c r="CP9" s="740">
        <v>83.24</v>
      </c>
      <c r="CQ9" s="740">
        <v>83.36</v>
      </c>
      <c r="CR9" s="740">
        <v>83.49</v>
      </c>
      <c r="CS9" s="740">
        <v>83.62</v>
      </c>
      <c r="CT9" s="740">
        <v>83.75</v>
      </c>
      <c r="CU9" s="740">
        <v>83.87</v>
      </c>
      <c r="CV9" s="740">
        <v>83.98</v>
      </c>
      <c r="CW9" s="740">
        <v>84.11</v>
      </c>
      <c r="CX9" s="740">
        <v>84.23</v>
      </c>
      <c r="CY9" s="740">
        <v>84.35</v>
      </c>
      <c r="CZ9" s="740">
        <v>84.46</v>
      </c>
      <c r="DA9" s="740">
        <v>84.58</v>
      </c>
      <c r="DB9" s="740">
        <v>84.69</v>
      </c>
      <c r="DC9" s="740">
        <v>84.81</v>
      </c>
      <c r="DD9" s="740">
        <v>84.93</v>
      </c>
      <c r="DE9" s="740">
        <v>85.04</v>
      </c>
      <c r="DF9" s="740">
        <v>85.15</v>
      </c>
      <c r="DG9" s="740">
        <v>85.26</v>
      </c>
      <c r="DH9" s="740">
        <v>85.37</v>
      </c>
      <c r="DI9" s="740">
        <v>85.48</v>
      </c>
      <c r="DJ9" s="740">
        <v>85.59</v>
      </c>
      <c r="DK9" s="740">
        <v>85.7</v>
      </c>
      <c r="DL9" s="740">
        <v>85.8</v>
      </c>
      <c r="DM9" s="740">
        <v>85.91</v>
      </c>
      <c r="DN9" s="740">
        <v>86.01</v>
      </c>
      <c r="DO9" s="740">
        <v>86.11</v>
      </c>
      <c r="DP9" s="740">
        <v>86.22</v>
      </c>
      <c r="DQ9" s="740">
        <v>86.32</v>
      </c>
      <c r="DR9" s="740">
        <v>86.42</v>
      </c>
    </row>
    <row r="10" spans="1:122">
      <c r="A10" s="912">
        <v>8</v>
      </c>
      <c r="B10" s="90"/>
      <c r="C10" s="90"/>
      <c r="D10" s="90"/>
      <c r="E10" s="90"/>
      <c r="F10" s="90"/>
      <c r="G10" s="90"/>
      <c r="H10" s="90"/>
      <c r="I10" s="90"/>
      <c r="J10" s="90"/>
      <c r="K10" s="90"/>
      <c r="L10" s="90"/>
      <c r="M10" s="90"/>
      <c r="N10" s="90"/>
      <c r="O10" s="90"/>
      <c r="P10" s="90"/>
      <c r="Q10" s="90"/>
      <c r="R10" s="90"/>
      <c r="S10" s="90"/>
      <c r="T10" s="90"/>
      <c r="U10" s="90"/>
      <c r="V10" s="740"/>
      <c r="W10" s="740">
        <v>69.2</v>
      </c>
      <c r="X10" s="740">
        <v>69.45</v>
      </c>
      <c r="Y10" s="740">
        <v>69.709999999999994</v>
      </c>
      <c r="Z10" s="740">
        <v>70.010000000000005</v>
      </c>
      <c r="AA10" s="740">
        <v>70.23</v>
      </c>
      <c r="AB10" s="740">
        <v>70.52</v>
      </c>
      <c r="AC10" s="740">
        <v>70.83</v>
      </c>
      <c r="AD10" s="740">
        <v>71.06</v>
      </c>
      <c r="AE10" s="740">
        <v>71.39</v>
      </c>
      <c r="AF10" s="740">
        <v>71.72</v>
      </c>
      <c r="AG10" s="740">
        <v>72</v>
      </c>
      <c r="AH10" s="740">
        <v>72.290000000000006</v>
      </c>
      <c r="AI10" s="740">
        <v>72.599999999999994</v>
      </c>
      <c r="AJ10" s="740">
        <v>72.959999999999994</v>
      </c>
      <c r="AK10" s="740">
        <v>73.290000000000006</v>
      </c>
      <c r="AL10" s="740">
        <v>73.69</v>
      </c>
      <c r="AM10" s="740">
        <v>74.05</v>
      </c>
      <c r="AN10" s="740">
        <v>74.41</v>
      </c>
      <c r="AO10" s="740">
        <v>74.650000000000006</v>
      </c>
      <c r="AP10" s="740">
        <v>74.83</v>
      </c>
      <c r="AQ10" s="740">
        <v>74.94</v>
      </c>
      <c r="AR10" s="740">
        <v>75.010000000000005</v>
      </c>
      <c r="AS10" s="740">
        <v>75.09</v>
      </c>
      <c r="AT10" s="740">
        <v>75.09</v>
      </c>
      <c r="AU10" s="740">
        <v>75.2</v>
      </c>
      <c r="AV10" s="740">
        <v>75.27</v>
      </c>
      <c r="AW10" s="740">
        <v>75.52</v>
      </c>
      <c r="AX10" s="740">
        <v>75.599999999999994</v>
      </c>
      <c r="AY10" s="740">
        <v>75.760000000000005</v>
      </c>
      <c r="AZ10" s="740">
        <v>75.89</v>
      </c>
      <c r="BA10" s="740">
        <v>76.03</v>
      </c>
      <c r="BB10" s="740">
        <v>76.16</v>
      </c>
      <c r="BC10" s="740">
        <v>76.290000000000006</v>
      </c>
      <c r="BD10" s="740">
        <v>76.42</v>
      </c>
      <c r="BE10" s="740">
        <v>76.53</v>
      </c>
      <c r="BF10" s="740">
        <v>76.72</v>
      </c>
      <c r="BG10" s="740">
        <v>76.900000000000006</v>
      </c>
      <c r="BH10" s="740">
        <v>77.08</v>
      </c>
      <c r="BI10" s="740">
        <v>77.22</v>
      </c>
      <c r="BJ10" s="740">
        <v>77.400000000000006</v>
      </c>
      <c r="BK10" s="740">
        <v>77.58</v>
      </c>
      <c r="BL10" s="740">
        <v>77.77</v>
      </c>
      <c r="BM10" s="740">
        <v>77.989999999999995</v>
      </c>
      <c r="BN10" s="740">
        <v>78.16</v>
      </c>
      <c r="BO10" s="740">
        <v>78.33</v>
      </c>
      <c r="BP10" s="740">
        <v>78.52</v>
      </c>
      <c r="BQ10" s="740">
        <v>78.7</v>
      </c>
      <c r="BR10" s="740">
        <v>78.84</v>
      </c>
      <c r="BS10" s="740">
        <v>79.02</v>
      </c>
      <c r="BT10" s="740">
        <v>79.180000000000007</v>
      </c>
      <c r="BU10" s="740">
        <v>79.319999999999993</v>
      </c>
      <c r="BV10" s="740">
        <v>79.48</v>
      </c>
      <c r="BW10" s="740">
        <v>79.64</v>
      </c>
      <c r="BX10" s="740">
        <v>79.77</v>
      </c>
      <c r="BY10" s="740">
        <v>79.92</v>
      </c>
      <c r="BZ10" s="740">
        <v>80.05</v>
      </c>
      <c r="CA10" s="740">
        <v>80.180000000000007</v>
      </c>
      <c r="CB10" s="740">
        <v>80.34</v>
      </c>
      <c r="CC10" s="740">
        <v>80.48</v>
      </c>
      <c r="CD10" s="740">
        <v>80.61</v>
      </c>
      <c r="CE10" s="740">
        <v>80.739999999999995</v>
      </c>
      <c r="CF10" s="740">
        <v>80.89</v>
      </c>
      <c r="CG10" s="740">
        <v>81.010000000000005</v>
      </c>
      <c r="CH10" s="740">
        <v>81.17</v>
      </c>
      <c r="CI10" s="740">
        <v>81.319999999999993</v>
      </c>
      <c r="CJ10" s="740">
        <v>81.44</v>
      </c>
      <c r="CK10" s="740">
        <v>81.58</v>
      </c>
      <c r="CL10" s="740">
        <v>81.72</v>
      </c>
      <c r="CM10" s="740">
        <v>81.849999999999994</v>
      </c>
      <c r="CN10" s="740">
        <v>81.99</v>
      </c>
      <c r="CO10" s="740">
        <v>82.11</v>
      </c>
      <c r="CP10" s="740">
        <v>82.25</v>
      </c>
      <c r="CQ10" s="740">
        <v>82.36</v>
      </c>
      <c r="CR10" s="740">
        <v>82.49</v>
      </c>
      <c r="CS10" s="740">
        <v>82.63</v>
      </c>
      <c r="CT10" s="740">
        <v>82.76</v>
      </c>
      <c r="CU10" s="740">
        <v>82.87</v>
      </c>
      <c r="CV10" s="740">
        <v>82.99</v>
      </c>
      <c r="CW10" s="740">
        <v>83.11</v>
      </c>
      <c r="CX10" s="740">
        <v>83.23</v>
      </c>
      <c r="CY10" s="740">
        <v>83.35</v>
      </c>
      <c r="CZ10" s="740">
        <v>83.47</v>
      </c>
      <c r="DA10" s="740">
        <v>83.59</v>
      </c>
      <c r="DB10" s="740">
        <v>83.7</v>
      </c>
      <c r="DC10" s="740">
        <v>83.82</v>
      </c>
      <c r="DD10" s="740">
        <v>83.93</v>
      </c>
      <c r="DE10" s="740">
        <v>84.04</v>
      </c>
      <c r="DF10" s="740">
        <v>84.16</v>
      </c>
      <c r="DG10" s="740">
        <v>84.27</v>
      </c>
      <c r="DH10" s="740">
        <v>84.38</v>
      </c>
      <c r="DI10" s="740">
        <v>84.49</v>
      </c>
      <c r="DJ10" s="740">
        <v>84.59</v>
      </c>
      <c r="DK10" s="740">
        <v>84.7</v>
      </c>
      <c r="DL10" s="740">
        <v>84.81</v>
      </c>
      <c r="DM10" s="740">
        <v>84.91</v>
      </c>
      <c r="DN10" s="740">
        <v>85.02</v>
      </c>
      <c r="DO10" s="740">
        <v>85.12</v>
      </c>
      <c r="DP10" s="740">
        <v>85.22</v>
      </c>
      <c r="DQ10" s="740">
        <v>85.32</v>
      </c>
      <c r="DR10" s="740">
        <v>85.42</v>
      </c>
    </row>
    <row r="11" spans="1:122">
      <c r="A11" s="912">
        <v>9</v>
      </c>
      <c r="B11" s="90"/>
      <c r="C11" s="90"/>
      <c r="D11" s="90"/>
      <c r="E11" s="90"/>
      <c r="F11" s="90"/>
      <c r="G11" s="90"/>
      <c r="H11" s="90"/>
      <c r="I11" s="90"/>
      <c r="J11" s="90"/>
      <c r="K11" s="90"/>
      <c r="L11" s="90"/>
      <c r="M11" s="90"/>
      <c r="N11" s="90"/>
      <c r="O11" s="90"/>
      <c r="P11" s="90"/>
      <c r="Q11" s="90"/>
      <c r="R11" s="90"/>
      <c r="S11" s="90"/>
      <c r="T11" s="90"/>
      <c r="U11" s="90"/>
      <c r="V11" s="740"/>
      <c r="W11" s="740">
        <v>68.31</v>
      </c>
      <c r="X11" s="740">
        <v>68.569999999999993</v>
      </c>
      <c r="Y11" s="740">
        <v>68.8</v>
      </c>
      <c r="Z11" s="740">
        <v>69.11</v>
      </c>
      <c r="AA11" s="740">
        <v>69.33</v>
      </c>
      <c r="AB11" s="740">
        <v>69.63</v>
      </c>
      <c r="AC11" s="740">
        <v>69.959999999999994</v>
      </c>
      <c r="AD11" s="740">
        <v>70.180000000000007</v>
      </c>
      <c r="AE11" s="740">
        <v>70.5</v>
      </c>
      <c r="AF11" s="740">
        <v>70.819999999999993</v>
      </c>
      <c r="AG11" s="740">
        <v>71.11</v>
      </c>
      <c r="AH11" s="740">
        <v>71.400000000000006</v>
      </c>
      <c r="AI11" s="740">
        <v>71.709999999999994</v>
      </c>
      <c r="AJ11" s="740">
        <v>72.069999999999993</v>
      </c>
      <c r="AK11" s="740">
        <v>72.41</v>
      </c>
      <c r="AL11" s="740">
        <v>72.83</v>
      </c>
      <c r="AM11" s="740">
        <v>73.22</v>
      </c>
      <c r="AN11" s="740">
        <v>73.48</v>
      </c>
      <c r="AO11" s="740">
        <v>73.73</v>
      </c>
      <c r="AP11" s="740">
        <v>73.89</v>
      </c>
      <c r="AQ11" s="740">
        <v>73.98</v>
      </c>
      <c r="AR11" s="740">
        <v>74.05</v>
      </c>
      <c r="AS11" s="740">
        <v>74.13</v>
      </c>
      <c r="AT11" s="740">
        <v>74.13</v>
      </c>
      <c r="AU11" s="740">
        <v>74.23</v>
      </c>
      <c r="AV11" s="740">
        <v>74.3</v>
      </c>
      <c r="AW11" s="740">
        <v>74.55</v>
      </c>
      <c r="AX11" s="740">
        <v>74.63</v>
      </c>
      <c r="AY11" s="740">
        <v>74.78</v>
      </c>
      <c r="AZ11" s="740">
        <v>74.92</v>
      </c>
      <c r="BA11" s="740">
        <v>75.06</v>
      </c>
      <c r="BB11" s="740">
        <v>75.19</v>
      </c>
      <c r="BC11" s="740">
        <v>75.319999999999993</v>
      </c>
      <c r="BD11" s="740">
        <v>75.45</v>
      </c>
      <c r="BE11" s="740">
        <v>75.55</v>
      </c>
      <c r="BF11" s="740">
        <v>75.739999999999995</v>
      </c>
      <c r="BG11" s="740">
        <v>75.92</v>
      </c>
      <c r="BH11" s="740">
        <v>76.099999999999994</v>
      </c>
      <c r="BI11" s="740">
        <v>76.25</v>
      </c>
      <c r="BJ11" s="740">
        <v>76.42</v>
      </c>
      <c r="BK11" s="740">
        <v>76.599999999999994</v>
      </c>
      <c r="BL11" s="740">
        <v>76.8</v>
      </c>
      <c r="BM11" s="740">
        <v>77.02</v>
      </c>
      <c r="BN11" s="740">
        <v>77.19</v>
      </c>
      <c r="BO11" s="740">
        <v>77.349999999999994</v>
      </c>
      <c r="BP11" s="740">
        <v>77.540000000000006</v>
      </c>
      <c r="BQ11" s="740">
        <v>77.72</v>
      </c>
      <c r="BR11" s="740">
        <v>77.86</v>
      </c>
      <c r="BS11" s="740">
        <v>78.040000000000006</v>
      </c>
      <c r="BT11" s="740">
        <v>78.2</v>
      </c>
      <c r="BU11" s="740">
        <v>78.34</v>
      </c>
      <c r="BV11" s="740">
        <v>78.5</v>
      </c>
      <c r="BW11" s="740">
        <v>78.650000000000006</v>
      </c>
      <c r="BX11" s="740">
        <v>78.790000000000006</v>
      </c>
      <c r="BY11" s="740">
        <v>78.930000000000007</v>
      </c>
      <c r="BZ11" s="740">
        <v>79.06</v>
      </c>
      <c r="CA11" s="740">
        <v>79.2</v>
      </c>
      <c r="CB11" s="740">
        <v>79.36</v>
      </c>
      <c r="CC11" s="740">
        <v>79.489999999999995</v>
      </c>
      <c r="CD11" s="740">
        <v>79.62</v>
      </c>
      <c r="CE11" s="740">
        <v>79.760000000000005</v>
      </c>
      <c r="CF11" s="740">
        <v>79.900000000000006</v>
      </c>
      <c r="CG11" s="740">
        <v>80.03</v>
      </c>
      <c r="CH11" s="740">
        <v>80.180000000000007</v>
      </c>
      <c r="CI11" s="740">
        <v>80.33</v>
      </c>
      <c r="CJ11" s="740">
        <v>80.45</v>
      </c>
      <c r="CK11" s="740">
        <v>80.59</v>
      </c>
      <c r="CL11" s="740">
        <v>80.72</v>
      </c>
      <c r="CM11" s="740">
        <v>80.86</v>
      </c>
      <c r="CN11" s="740">
        <v>80.989999999999995</v>
      </c>
      <c r="CO11" s="740">
        <v>81.12</v>
      </c>
      <c r="CP11" s="740">
        <v>81.25</v>
      </c>
      <c r="CQ11" s="740">
        <v>81.37</v>
      </c>
      <c r="CR11" s="740">
        <v>81.5</v>
      </c>
      <c r="CS11" s="740">
        <v>81.64</v>
      </c>
      <c r="CT11" s="740">
        <v>81.760000000000005</v>
      </c>
      <c r="CU11" s="740">
        <v>81.88</v>
      </c>
      <c r="CV11" s="740">
        <v>81.99</v>
      </c>
      <c r="CW11" s="740">
        <v>82.12</v>
      </c>
      <c r="CX11" s="740">
        <v>82.24</v>
      </c>
      <c r="CY11" s="740">
        <v>82.36</v>
      </c>
      <c r="CZ11" s="740">
        <v>82.48</v>
      </c>
      <c r="DA11" s="740">
        <v>82.59</v>
      </c>
      <c r="DB11" s="740">
        <v>82.71</v>
      </c>
      <c r="DC11" s="740">
        <v>82.82</v>
      </c>
      <c r="DD11" s="740">
        <v>82.94</v>
      </c>
      <c r="DE11" s="740">
        <v>83.05</v>
      </c>
      <c r="DF11" s="740">
        <v>83.16</v>
      </c>
      <c r="DG11" s="740">
        <v>83.27</v>
      </c>
      <c r="DH11" s="740">
        <v>83.38</v>
      </c>
      <c r="DI11" s="740">
        <v>83.49</v>
      </c>
      <c r="DJ11" s="740">
        <v>83.6</v>
      </c>
      <c r="DK11" s="740">
        <v>83.71</v>
      </c>
      <c r="DL11" s="740">
        <v>83.81</v>
      </c>
      <c r="DM11" s="740">
        <v>83.92</v>
      </c>
      <c r="DN11" s="740">
        <v>84.02</v>
      </c>
      <c r="DO11" s="740">
        <v>84.12</v>
      </c>
      <c r="DP11" s="740">
        <v>84.22</v>
      </c>
      <c r="DQ11" s="740">
        <v>84.33</v>
      </c>
      <c r="DR11" s="740">
        <v>84.43</v>
      </c>
    </row>
    <row r="12" spans="1:122">
      <c r="A12" s="912">
        <v>10</v>
      </c>
      <c r="B12" s="90"/>
      <c r="C12" s="90"/>
      <c r="D12" s="90"/>
      <c r="E12" s="90"/>
      <c r="F12" s="90"/>
      <c r="G12" s="90"/>
      <c r="H12" s="90"/>
      <c r="I12" s="90"/>
      <c r="J12" s="90"/>
      <c r="K12" s="90"/>
      <c r="L12" s="90"/>
      <c r="M12" s="90"/>
      <c r="N12" s="90"/>
      <c r="O12" s="90"/>
      <c r="P12" s="90"/>
      <c r="Q12" s="90"/>
      <c r="R12" s="90"/>
      <c r="S12" s="90"/>
      <c r="T12" s="90"/>
      <c r="U12" s="90"/>
      <c r="V12" s="740"/>
      <c r="W12" s="740">
        <v>67.41</v>
      </c>
      <c r="X12" s="740">
        <v>67.650000000000006</v>
      </c>
      <c r="Y12" s="740">
        <v>67.89</v>
      </c>
      <c r="Z12" s="740">
        <v>68.2</v>
      </c>
      <c r="AA12" s="740">
        <v>68.42</v>
      </c>
      <c r="AB12" s="740">
        <v>68.73</v>
      </c>
      <c r="AC12" s="740">
        <v>69.069999999999993</v>
      </c>
      <c r="AD12" s="740">
        <v>69.27</v>
      </c>
      <c r="AE12" s="740">
        <v>69.58</v>
      </c>
      <c r="AF12" s="740">
        <v>69.92</v>
      </c>
      <c r="AG12" s="740">
        <v>70.2</v>
      </c>
      <c r="AH12" s="740">
        <v>70.5</v>
      </c>
      <c r="AI12" s="740">
        <v>70.8</v>
      </c>
      <c r="AJ12" s="740">
        <v>71.180000000000007</v>
      </c>
      <c r="AK12" s="740">
        <v>71.53</v>
      </c>
      <c r="AL12" s="740">
        <v>71.97</v>
      </c>
      <c r="AM12" s="740">
        <v>72.290000000000006</v>
      </c>
      <c r="AN12" s="740">
        <v>72.56</v>
      </c>
      <c r="AO12" s="740">
        <v>72.78</v>
      </c>
      <c r="AP12" s="740">
        <v>72.930000000000007</v>
      </c>
      <c r="AQ12" s="740">
        <v>73.02</v>
      </c>
      <c r="AR12" s="740">
        <v>73.09</v>
      </c>
      <c r="AS12" s="740">
        <v>73.16</v>
      </c>
      <c r="AT12" s="740">
        <v>73.16</v>
      </c>
      <c r="AU12" s="740">
        <v>73.25</v>
      </c>
      <c r="AV12" s="740">
        <v>73.319999999999993</v>
      </c>
      <c r="AW12" s="740">
        <v>73.58</v>
      </c>
      <c r="AX12" s="740">
        <v>73.66</v>
      </c>
      <c r="AY12" s="740">
        <v>73.81</v>
      </c>
      <c r="AZ12" s="740">
        <v>73.94</v>
      </c>
      <c r="BA12" s="740">
        <v>74.09</v>
      </c>
      <c r="BB12" s="740">
        <v>74.209999999999994</v>
      </c>
      <c r="BC12" s="740">
        <v>74.34</v>
      </c>
      <c r="BD12" s="740">
        <v>74.47</v>
      </c>
      <c r="BE12" s="740">
        <v>74.58</v>
      </c>
      <c r="BF12" s="740">
        <v>74.760000000000005</v>
      </c>
      <c r="BG12" s="740">
        <v>74.94</v>
      </c>
      <c r="BH12" s="740">
        <v>75.13</v>
      </c>
      <c r="BI12" s="740">
        <v>75.28</v>
      </c>
      <c r="BJ12" s="740">
        <v>75.45</v>
      </c>
      <c r="BK12" s="740">
        <v>75.63</v>
      </c>
      <c r="BL12" s="740">
        <v>75.83</v>
      </c>
      <c r="BM12" s="740">
        <v>76.040000000000006</v>
      </c>
      <c r="BN12" s="740">
        <v>76.209999999999994</v>
      </c>
      <c r="BO12" s="740">
        <v>76.37</v>
      </c>
      <c r="BP12" s="740">
        <v>76.569999999999993</v>
      </c>
      <c r="BQ12" s="740">
        <v>76.73</v>
      </c>
      <c r="BR12" s="740">
        <v>76.88</v>
      </c>
      <c r="BS12" s="740">
        <v>77.06</v>
      </c>
      <c r="BT12" s="740">
        <v>77.22</v>
      </c>
      <c r="BU12" s="740">
        <v>77.36</v>
      </c>
      <c r="BV12" s="740">
        <v>77.510000000000005</v>
      </c>
      <c r="BW12" s="740">
        <v>77.67</v>
      </c>
      <c r="BX12" s="740">
        <v>77.8</v>
      </c>
      <c r="BY12" s="740">
        <v>77.95</v>
      </c>
      <c r="BZ12" s="740">
        <v>78.08</v>
      </c>
      <c r="CA12" s="740">
        <v>78.209999999999994</v>
      </c>
      <c r="CB12" s="740">
        <v>78.37</v>
      </c>
      <c r="CC12" s="740">
        <v>78.5</v>
      </c>
      <c r="CD12" s="740">
        <v>78.63</v>
      </c>
      <c r="CE12" s="740">
        <v>78.77</v>
      </c>
      <c r="CF12" s="740">
        <v>78.91</v>
      </c>
      <c r="CG12" s="740">
        <v>79.040000000000006</v>
      </c>
      <c r="CH12" s="740">
        <v>79.19</v>
      </c>
      <c r="CI12" s="740">
        <v>79.34</v>
      </c>
      <c r="CJ12" s="740">
        <v>79.45</v>
      </c>
      <c r="CK12" s="740">
        <v>79.59</v>
      </c>
      <c r="CL12" s="740">
        <v>79.73</v>
      </c>
      <c r="CM12" s="740">
        <v>79.87</v>
      </c>
      <c r="CN12" s="740">
        <v>80</v>
      </c>
      <c r="CO12" s="740">
        <v>80.13</v>
      </c>
      <c r="CP12" s="740">
        <v>80.260000000000005</v>
      </c>
      <c r="CQ12" s="740">
        <v>80.38</v>
      </c>
      <c r="CR12" s="740">
        <v>80.5</v>
      </c>
      <c r="CS12" s="740">
        <v>80.650000000000006</v>
      </c>
      <c r="CT12" s="740">
        <v>80.77</v>
      </c>
      <c r="CU12" s="740">
        <v>80.89</v>
      </c>
      <c r="CV12" s="740">
        <v>81</v>
      </c>
      <c r="CW12" s="740">
        <v>81.12</v>
      </c>
      <c r="CX12" s="740">
        <v>81.239999999999995</v>
      </c>
      <c r="CY12" s="740">
        <v>81.37</v>
      </c>
      <c r="CZ12" s="740">
        <v>81.48</v>
      </c>
      <c r="DA12" s="740">
        <v>81.599999999999994</v>
      </c>
      <c r="DB12" s="740">
        <v>81.709999999999994</v>
      </c>
      <c r="DC12" s="740">
        <v>81.83</v>
      </c>
      <c r="DD12" s="740">
        <v>81.94</v>
      </c>
      <c r="DE12" s="740">
        <v>82.05</v>
      </c>
      <c r="DF12" s="740">
        <v>82.17</v>
      </c>
      <c r="DG12" s="740">
        <v>82.28</v>
      </c>
      <c r="DH12" s="740">
        <v>82.39</v>
      </c>
      <c r="DI12" s="740">
        <v>82.5</v>
      </c>
      <c r="DJ12" s="740">
        <v>82.6</v>
      </c>
      <c r="DK12" s="740">
        <v>82.71</v>
      </c>
      <c r="DL12" s="740">
        <v>82.82</v>
      </c>
      <c r="DM12" s="740">
        <v>82.92</v>
      </c>
      <c r="DN12" s="740">
        <v>83.02</v>
      </c>
      <c r="DO12" s="740">
        <v>83.13</v>
      </c>
      <c r="DP12" s="740">
        <v>83.23</v>
      </c>
      <c r="DQ12" s="740">
        <v>83.33</v>
      </c>
      <c r="DR12" s="740">
        <v>83.43</v>
      </c>
    </row>
    <row r="13" spans="1:122">
      <c r="A13" s="912">
        <v>11</v>
      </c>
      <c r="B13" s="90"/>
      <c r="C13" s="90"/>
      <c r="D13" s="90"/>
      <c r="E13" s="90"/>
      <c r="F13" s="90"/>
      <c r="G13" s="90"/>
      <c r="H13" s="90"/>
      <c r="I13" s="90"/>
      <c r="J13" s="90"/>
      <c r="K13" s="90"/>
      <c r="L13" s="90"/>
      <c r="M13" s="90"/>
      <c r="N13" s="90"/>
      <c r="O13" s="90"/>
      <c r="P13" s="90"/>
      <c r="Q13" s="90"/>
      <c r="R13" s="90"/>
      <c r="S13" s="90"/>
      <c r="T13" s="90"/>
      <c r="U13" s="90"/>
      <c r="V13" s="740"/>
      <c r="W13" s="740">
        <v>66.48</v>
      </c>
      <c r="X13" s="740">
        <v>66.72</v>
      </c>
      <c r="Y13" s="740">
        <v>66.97</v>
      </c>
      <c r="Z13" s="740">
        <v>67.28</v>
      </c>
      <c r="AA13" s="740">
        <v>67.52</v>
      </c>
      <c r="AB13" s="740">
        <v>67.819999999999993</v>
      </c>
      <c r="AC13" s="740">
        <v>68.150000000000006</v>
      </c>
      <c r="AD13" s="740">
        <v>68.349999999999994</v>
      </c>
      <c r="AE13" s="740">
        <v>68.67</v>
      </c>
      <c r="AF13" s="740">
        <v>69</v>
      </c>
      <c r="AG13" s="740">
        <v>69.290000000000006</v>
      </c>
      <c r="AH13" s="740">
        <v>69.58</v>
      </c>
      <c r="AI13" s="740">
        <v>69.900000000000006</v>
      </c>
      <c r="AJ13" s="740">
        <v>70.290000000000006</v>
      </c>
      <c r="AK13" s="740">
        <v>70.66</v>
      </c>
      <c r="AL13" s="740">
        <v>71.040000000000006</v>
      </c>
      <c r="AM13" s="740">
        <v>71.36</v>
      </c>
      <c r="AN13" s="740">
        <v>71.61</v>
      </c>
      <c r="AO13" s="740">
        <v>71.819999999999993</v>
      </c>
      <c r="AP13" s="740">
        <v>71.97</v>
      </c>
      <c r="AQ13" s="740">
        <v>72.05</v>
      </c>
      <c r="AR13" s="740">
        <v>72.11</v>
      </c>
      <c r="AS13" s="740">
        <v>72.19</v>
      </c>
      <c r="AT13" s="740">
        <v>72.180000000000007</v>
      </c>
      <c r="AU13" s="740">
        <v>72.27</v>
      </c>
      <c r="AV13" s="740">
        <v>72.349999999999994</v>
      </c>
      <c r="AW13" s="740">
        <v>72.61</v>
      </c>
      <c r="AX13" s="740">
        <v>72.680000000000007</v>
      </c>
      <c r="AY13" s="740">
        <v>72.83</v>
      </c>
      <c r="AZ13" s="740">
        <v>72.959999999999994</v>
      </c>
      <c r="BA13" s="740">
        <v>73.11</v>
      </c>
      <c r="BB13" s="740">
        <v>73.23</v>
      </c>
      <c r="BC13" s="740">
        <v>73.36</v>
      </c>
      <c r="BD13" s="740">
        <v>73.489999999999995</v>
      </c>
      <c r="BE13" s="740">
        <v>73.599999999999994</v>
      </c>
      <c r="BF13" s="740">
        <v>73.78</v>
      </c>
      <c r="BG13" s="740">
        <v>73.959999999999994</v>
      </c>
      <c r="BH13" s="740">
        <v>74.150000000000006</v>
      </c>
      <c r="BI13" s="740">
        <v>74.3</v>
      </c>
      <c r="BJ13" s="740">
        <v>74.47</v>
      </c>
      <c r="BK13" s="740">
        <v>74.650000000000006</v>
      </c>
      <c r="BL13" s="740">
        <v>74.849999999999994</v>
      </c>
      <c r="BM13" s="740">
        <v>75.06</v>
      </c>
      <c r="BN13" s="740">
        <v>75.22</v>
      </c>
      <c r="BO13" s="740">
        <v>75.39</v>
      </c>
      <c r="BP13" s="740">
        <v>75.58</v>
      </c>
      <c r="BQ13" s="740">
        <v>75.75</v>
      </c>
      <c r="BR13" s="740">
        <v>75.900000000000006</v>
      </c>
      <c r="BS13" s="740">
        <v>76.08</v>
      </c>
      <c r="BT13" s="740">
        <v>76.239999999999995</v>
      </c>
      <c r="BU13" s="740">
        <v>76.37</v>
      </c>
      <c r="BV13" s="740">
        <v>76.52</v>
      </c>
      <c r="BW13" s="740">
        <v>76.680000000000007</v>
      </c>
      <c r="BX13" s="740">
        <v>76.81</v>
      </c>
      <c r="BY13" s="740">
        <v>76.959999999999994</v>
      </c>
      <c r="BZ13" s="740">
        <v>77.09</v>
      </c>
      <c r="CA13" s="740">
        <v>77.22</v>
      </c>
      <c r="CB13" s="740">
        <v>77.38</v>
      </c>
      <c r="CC13" s="740">
        <v>77.510000000000005</v>
      </c>
      <c r="CD13" s="740">
        <v>77.64</v>
      </c>
      <c r="CE13" s="740">
        <v>77.78</v>
      </c>
      <c r="CF13" s="740">
        <v>77.92</v>
      </c>
      <c r="CG13" s="740">
        <v>78.05</v>
      </c>
      <c r="CH13" s="740">
        <v>78.19</v>
      </c>
      <c r="CI13" s="740">
        <v>78.349999999999994</v>
      </c>
      <c r="CJ13" s="740">
        <v>78.459999999999994</v>
      </c>
      <c r="CK13" s="740">
        <v>78.599999999999994</v>
      </c>
      <c r="CL13" s="740">
        <v>78.739999999999995</v>
      </c>
      <c r="CM13" s="740">
        <v>78.88</v>
      </c>
      <c r="CN13" s="740">
        <v>79.010000000000005</v>
      </c>
      <c r="CO13" s="740">
        <v>79.14</v>
      </c>
      <c r="CP13" s="740">
        <v>79.27</v>
      </c>
      <c r="CQ13" s="740">
        <v>79.38</v>
      </c>
      <c r="CR13" s="740">
        <v>79.510000000000005</v>
      </c>
      <c r="CS13" s="740">
        <v>79.650000000000006</v>
      </c>
      <c r="CT13" s="740">
        <v>79.77</v>
      </c>
      <c r="CU13" s="740">
        <v>79.89</v>
      </c>
      <c r="CV13" s="740">
        <v>80</v>
      </c>
      <c r="CW13" s="740">
        <v>80.13</v>
      </c>
      <c r="CX13" s="740">
        <v>80.25</v>
      </c>
      <c r="CY13" s="740">
        <v>80.37</v>
      </c>
      <c r="CZ13" s="740">
        <v>80.489999999999995</v>
      </c>
      <c r="DA13" s="740">
        <v>80.599999999999994</v>
      </c>
      <c r="DB13" s="740">
        <v>80.72</v>
      </c>
      <c r="DC13" s="740">
        <v>80.83</v>
      </c>
      <c r="DD13" s="740">
        <v>80.95</v>
      </c>
      <c r="DE13" s="740">
        <v>81.06</v>
      </c>
      <c r="DF13" s="740">
        <v>81.17</v>
      </c>
      <c r="DG13" s="740">
        <v>81.28</v>
      </c>
      <c r="DH13" s="740">
        <v>81.39</v>
      </c>
      <c r="DI13" s="740">
        <v>81.5</v>
      </c>
      <c r="DJ13" s="740">
        <v>81.61</v>
      </c>
      <c r="DK13" s="740">
        <v>81.709999999999994</v>
      </c>
      <c r="DL13" s="740">
        <v>81.819999999999993</v>
      </c>
      <c r="DM13" s="740">
        <v>81.92</v>
      </c>
      <c r="DN13" s="740">
        <v>82.03</v>
      </c>
      <c r="DO13" s="740">
        <v>82.13</v>
      </c>
      <c r="DP13" s="740">
        <v>82.23</v>
      </c>
      <c r="DQ13" s="740">
        <v>82.33</v>
      </c>
      <c r="DR13" s="740">
        <v>82.43</v>
      </c>
    </row>
    <row r="14" spans="1:122">
      <c r="A14" s="912">
        <v>12</v>
      </c>
      <c r="B14" s="90"/>
      <c r="C14" s="90"/>
      <c r="D14" s="90"/>
      <c r="E14" s="90"/>
      <c r="F14" s="90"/>
      <c r="G14" s="90"/>
      <c r="H14" s="90"/>
      <c r="I14" s="90"/>
      <c r="J14" s="90"/>
      <c r="K14" s="90"/>
      <c r="L14" s="90"/>
      <c r="M14" s="90"/>
      <c r="N14" s="90"/>
      <c r="O14" s="90"/>
      <c r="P14" s="90"/>
      <c r="Q14" s="90"/>
      <c r="R14" s="90"/>
      <c r="S14" s="90"/>
      <c r="T14" s="90"/>
      <c r="U14" s="90"/>
      <c r="V14" s="740"/>
      <c r="W14" s="740">
        <v>65.55</v>
      </c>
      <c r="X14" s="740">
        <v>65.790000000000006</v>
      </c>
      <c r="Y14" s="740">
        <v>66.040000000000006</v>
      </c>
      <c r="Z14" s="740">
        <v>66.36</v>
      </c>
      <c r="AA14" s="740">
        <v>66.599999999999994</v>
      </c>
      <c r="AB14" s="740">
        <v>66.900000000000006</v>
      </c>
      <c r="AC14" s="740">
        <v>67.22</v>
      </c>
      <c r="AD14" s="740">
        <v>67.430000000000007</v>
      </c>
      <c r="AE14" s="740">
        <v>67.739999999999995</v>
      </c>
      <c r="AF14" s="740">
        <v>68.08</v>
      </c>
      <c r="AG14" s="740">
        <v>68.36</v>
      </c>
      <c r="AH14" s="740">
        <v>68.66</v>
      </c>
      <c r="AI14" s="740">
        <v>68.989999999999995</v>
      </c>
      <c r="AJ14" s="740">
        <v>69.400000000000006</v>
      </c>
      <c r="AK14" s="740">
        <v>69.72</v>
      </c>
      <c r="AL14" s="740">
        <v>70.099999999999994</v>
      </c>
      <c r="AM14" s="740">
        <v>70.41</v>
      </c>
      <c r="AN14" s="740">
        <v>70.64</v>
      </c>
      <c r="AO14" s="740">
        <v>70.849999999999994</v>
      </c>
      <c r="AP14" s="740">
        <v>71</v>
      </c>
      <c r="AQ14" s="740">
        <v>71.08</v>
      </c>
      <c r="AR14" s="740">
        <v>71.14</v>
      </c>
      <c r="AS14" s="740">
        <v>71.209999999999994</v>
      </c>
      <c r="AT14" s="740">
        <v>71.2</v>
      </c>
      <c r="AU14" s="740">
        <v>71.3</v>
      </c>
      <c r="AV14" s="740">
        <v>71.37</v>
      </c>
      <c r="AW14" s="740">
        <v>71.63</v>
      </c>
      <c r="AX14" s="740">
        <v>71.7</v>
      </c>
      <c r="AY14" s="740">
        <v>71.849999999999994</v>
      </c>
      <c r="AZ14" s="740">
        <v>71.98</v>
      </c>
      <c r="BA14" s="740">
        <v>72.13</v>
      </c>
      <c r="BB14" s="740">
        <v>72.25</v>
      </c>
      <c r="BC14" s="740">
        <v>72.38</v>
      </c>
      <c r="BD14" s="740">
        <v>72.510000000000005</v>
      </c>
      <c r="BE14" s="740">
        <v>72.62</v>
      </c>
      <c r="BF14" s="740">
        <v>72.81</v>
      </c>
      <c r="BG14" s="740">
        <v>72.98</v>
      </c>
      <c r="BH14" s="740">
        <v>73.17</v>
      </c>
      <c r="BI14" s="740">
        <v>73.319999999999993</v>
      </c>
      <c r="BJ14" s="740">
        <v>73.489999999999995</v>
      </c>
      <c r="BK14" s="740">
        <v>73.67</v>
      </c>
      <c r="BL14" s="740">
        <v>73.86</v>
      </c>
      <c r="BM14" s="740">
        <v>74.069999999999993</v>
      </c>
      <c r="BN14" s="740">
        <v>74.239999999999995</v>
      </c>
      <c r="BO14" s="740">
        <v>74.41</v>
      </c>
      <c r="BP14" s="740">
        <v>74.599999999999994</v>
      </c>
      <c r="BQ14" s="740">
        <v>74.760000000000005</v>
      </c>
      <c r="BR14" s="740">
        <v>74.91</v>
      </c>
      <c r="BS14" s="740">
        <v>75.09</v>
      </c>
      <c r="BT14" s="740">
        <v>75.25</v>
      </c>
      <c r="BU14" s="740">
        <v>75.38</v>
      </c>
      <c r="BV14" s="740">
        <v>75.540000000000006</v>
      </c>
      <c r="BW14" s="740">
        <v>75.69</v>
      </c>
      <c r="BX14" s="740">
        <v>75.83</v>
      </c>
      <c r="BY14" s="740">
        <v>75.97</v>
      </c>
      <c r="BZ14" s="740">
        <v>76.099999999999994</v>
      </c>
      <c r="CA14" s="740">
        <v>76.23</v>
      </c>
      <c r="CB14" s="740">
        <v>76.39</v>
      </c>
      <c r="CC14" s="740">
        <v>76.53</v>
      </c>
      <c r="CD14" s="740">
        <v>76.650000000000006</v>
      </c>
      <c r="CE14" s="740">
        <v>76.790000000000006</v>
      </c>
      <c r="CF14" s="740">
        <v>76.930000000000007</v>
      </c>
      <c r="CG14" s="740">
        <v>77.06</v>
      </c>
      <c r="CH14" s="740">
        <v>77.2</v>
      </c>
      <c r="CI14" s="740">
        <v>77.36</v>
      </c>
      <c r="CJ14" s="740">
        <v>77.47</v>
      </c>
      <c r="CK14" s="740">
        <v>77.61</v>
      </c>
      <c r="CL14" s="740">
        <v>77.75</v>
      </c>
      <c r="CM14" s="740">
        <v>77.88</v>
      </c>
      <c r="CN14" s="740">
        <v>78.02</v>
      </c>
      <c r="CO14" s="740">
        <v>78.14</v>
      </c>
      <c r="CP14" s="740">
        <v>78.28</v>
      </c>
      <c r="CQ14" s="740">
        <v>78.39</v>
      </c>
      <c r="CR14" s="740">
        <v>78.52</v>
      </c>
      <c r="CS14" s="740">
        <v>78.66</v>
      </c>
      <c r="CT14" s="740">
        <v>78.78</v>
      </c>
      <c r="CU14" s="740">
        <v>78.900000000000006</v>
      </c>
      <c r="CV14" s="740">
        <v>79.010000000000005</v>
      </c>
      <c r="CW14" s="740">
        <v>79.14</v>
      </c>
      <c r="CX14" s="740">
        <v>79.260000000000005</v>
      </c>
      <c r="CY14" s="740">
        <v>79.37</v>
      </c>
      <c r="CZ14" s="740">
        <v>79.489999999999995</v>
      </c>
      <c r="DA14" s="740">
        <v>79.61</v>
      </c>
      <c r="DB14" s="740">
        <v>79.73</v>
      </c>
      <c r="DC14" s="740">
        <v>79.84</v>
      </c>
      <c r="DD14" s="740">
        <v>79.95</v>
      </c>
      <c r="DE14" s="740">
        <v>80.069999999999993</v>
      </c>
      <c r="DF14" s="740">
        <v>80.180000000000007</v>
      </c>
      <c r="DG14" s="740">
        <v>80.290000000000006</v>
      </c>
      <c r="DH14" s="740">
        <v>80.400000000000006</v>
      </c>
      <c r="DI14" s="740">
        <v>80.510000000000005</v>
      </c>
      <c r="DJ14" s="740">
        <v>80.61</v>
      </c>
      <c r="DK14" s="740">
        <v>80.72</v>
      </c>
      <c r="DL14" s="740">
        <v>80.819999999999993</v>
      </c>
      <c r="DM14" s="740">
        <v>80.930000000000007</v>
      </c>
      <c r="DN14" s="740">
        <v>81.03</v>
      </c>
      <c r="DO14" s="740">
        <v>81.13</v>
      </c>
      <c r="DP14" s="740">
        <v>81.239999999999995</v>
      </c>
      <c r="DQ14" s="740">
        <v>81.34</v>
      </c>
      <c r="DR14" s="740">
        <v>81.44</v>
      </c>
    </row>
    <row r="15" spans="1:122">
      <c r="A15" s="912">
        <v>13</v>
      </c>
      <c r="B15" s="90"/>
      <c r="C15" s="90"/>
      <c r="D15" s="90"/>
      <c r="E15" s="90"/>
      <c r="F15" s="90"/>
      <c r="G15" s="90"/>
      <c r="H15" s="90"/>
      <c r="I15" s="90"/>
      <c r="J15" s="90"/>
      <c r="K15" s="90"/>
      <c r="L15" s="90"/>
      <c r="M15" s="90"/>
      <c r="N15" s="90"/>
      <c r="O15" s="90"/>
      <c r="P15" s="90"/>
      <c r="Q15" s="90"/>
      <c r="R15" s="90"/>
      <c r="S15" s="90"/>
      <c r="T15" s="90"/>
      <c r="U15" s="90"/>
      <c r="V15" s="740"/>
      <c r="W15" s="740">
        <v>64.61</v>
      </c>
      <c r="X15" s="740">
        <v>64.86</v>
      </c>
      <c r="Y15" s="740">
        <v>65.12</v>
      </c>
      <c r="Z15" s="740">
        <v>65.45</v>
      </c>
      <c r="AA15" s="740">
        <v>65.680000000000007</v>
      </c>
      <c r="AB15" s="740">
        <v>65.97</v>
      </c>
      <c r="AC15" s="740">
        <v>66.3</v>
      </c>
      <c r="AD15" s="740">
        <v>66.510000000000005</v>
      </c>
      <c r="AE15" s="740">
        <v>66.819999999999993</v>
      </c>
      <c r="AF15" s="740">
        <v>67.16</v>
      </c>
      <c r="AG15" s="740">
        <v>67.45</v>
      </c>
      <c r="AH15" s="740">
        <v>67.77</v>
      </c>
      <c r="AI15" s="740">
        <v>68.12</v>
      </c>
      <c r="AJ15" s="740">
        <v>68.459999999999994</v>
      </c>
      <c r="AK15" s="740">
        <v>68.790000000000006</v>
      </c>
      <c r="AL15" s="740">
        <v>69.150000000000006</v>
      </c>
      <c r="AM15" s="740">
        <v>69.44</v>
      </c>
      <c r="AN15" s="740">
        <v>69.67</v>
      </c>
      <c r="AO15" s="740">
        <v>69.88</v>
      </c>
      <c r="AP15" s="740">
        <v>70.02</v>
      </c>
      <c r="AQ15" s="740">
        <v>70.099999999999994</v>
      </c>
      <c r="AR15" s="740">
        <v>70.16</v>
      </c>
      <c r="AS15" s="740">
        <v>70.23</v>
      </c>
      <c r="AT15" s="740">
        <v>70.22</v>
      </c>
      <c r="AU15" s="740">
        <v>70.319999999999993</v>
      </c>
      <c r="AV15" s="740">
        <v>70.39</v>
      </c>
      <c r="AW15" s="740">
        <v>70.650000000000006</v>
      </c>
      <c r="AX15" s="740">
        <v>70.72</v>
      </c>
      <c r="AY15" s="740">
        <v>70.88</v>
      </c>
      <c r="AZ15" s="740">
        <v>71</v>
      </c>
      <c r="BA15" s="740">
        <v>71.150000000000006</v>
      </c>
      <c r="BB15" s="740">
        <v>71.27</v>
      </c>
      <c r="BC15" s="740">
        <v>71.400000000000006</v>
      </c>
      <c r="BD15" s="740">
        <v>71.53</v>
      </c>
      <c r="BE15" s="740">
        <v>71.64</v>
      </c>
      <c r="BF15" s="740">
        <v>71.83</v>
      </c>
      <c r="BG15" s="740">
        <v>72</v>
      </c>
      <c r="BH15" s="740">
        <v>72.19</v>
      </c>
      <c r="BI15" s="740">
        <v>72.34</v>
      </c>
      <c r="BJ15" s="740">
        <v>72.510000000000005</v>
      </c>
      <c r="BK15" s="740">
        <v>72.680000000000007</v>
      </c>
      <c r="BL15" s="740">
        <v>72.88</v>
      </c>
      <c r="BM15" s="740">
        <v>73.09</v>
      </c>
      <c r="BN15" s="740">
        <v>73.260000000000005</v>
      </c>
      <c r="BO15" s="740">
        <v>73.42</v>
      </c>
      <c r="BP15" s="740">
        <v>73.61</v>
      </c>
      <c r="BQ15" s="740">
        <v>73.78</v>
      </c>
      <c r="BR15" s="740">
        <v>73.930000000000007</v>
      </c>
      <c r="BS15" s="740">
        <v>74.11</v>
      </c>
      <c r="BT15" s="740">
        <v>74.27</v>
      </c>
      <c r="BU15" s="740">
        <v>74.400000000000006</v>
      </c>
      <c r="BV15" s="740">
        <v>74.55</v>
      </c>
      <c r="BW15" s="740">
        <v>74.7</v>
      </c>
      <c r="BX15" s="740">
        <v>74.84</v>
      </c>
      <c r="BY15" s="740">
        <v>74.98</v>
      </c>
      <c r="BZ15" s="740">
        <v>75.11</v>
      </c>
      <c r="CA15" s="740">
        <v>75.239999999999995</v>
      </c>
      <c r="CB15" s="740">
        <v>75.400000000000006</v>
      </c>
      <c r="CC15" s="740">
        <v>75.540000000000006</v>
      </c>
      <c r="CD15" s="740">
        <v>75.66</v>
      </c>
      <c r="CE15" s="740">
        <v>75.8</v>
      </c>
      <c r="CF15" s="740">
        <v>75.94</v>
      </c>
      <c r="CG15" s="740">
        <v>76.069999999999993</v>
      </c>
      <c r="CH15" s="740">
        <v>76.209999999999994</v>
      </c>
      <c r="CI15" s="740">
        <v>76.37</v>
      </c>
      <c r="CJ15" s="740">
        <v>76.48</v>
      </c>
      <c r="CK15" s="740">
        <v>76.62</v>
      </c>
      <c r="CL15" s="740">
        <v>76.75</v>
      </c>
      <c r="CM15" s="740">
        <v>76.89</v>
      </c>
      <c r="CN15" s="740">
        <v>77.03</v>
      </c>
      <c r="CO15" s="740">
        <v>77.150000000000006</v>
      </c>
      <c r="CP15" s="740">
        <v>77.290000000000006</v>
      </c>
      <c r="CQ15" s="740">
        <v>77.39</v>
      </c>
      <c r="CR15" s="740">
        <v>77.53</v>
      </c>
      <c r="CS15" s="740">
        <v>77.66</v>
      </c>
      <c r="CT15" s="740">
        <v>77.790000000000006</v>
      </c>
      <c r="CU15" s="740">
        <v>77.900000000000006</v>
      </c>
      <c r="CV15" s="740">
        <v>78.02</v>
      </c>
      <c r="CW15" s="740">
        <v>78.14</v>
      </c>
      <c r="CX15" s="740">
        <v>78.260000000000005</v>
      </c>
      <c r="CY15" s="740">
        <v>78.38</v>
      </c>
      <c r="CZ15" s="740">
        <v>78.5</v>
      </c>
      <c r="DA15" s="740">
        <v>78.61</v>
      </c>
      <c r="DB15" s="740">
        <v>78.73</v>
      </c>
      <c r="DC15" s="740">
        <v>78.849999999999994</v>
      </c>
      <c r="DD15" s="740">
        <v>78.959999999999994</v>
      </c>
      <c r="DE15" s="740">
        <v>79.069999999999993</v>
      </c>
      <c r="DF15" s="740">
        <v>79.180000000000007</v>
      </c>
      <c r="DG15" s="740">
        <v>79.290000000000006</v>
      </c>
      <c r="DH15" s="740">
        <v>79.400000000000006</v>
      </c>
      <c r="DI15" s="740">
        <v>79.510000000000005</v>
      </c>
      <c r="DJ15" s="740">
        <v>79.62</v>
      </c>
      <c r="DK15" s="740">
        <v>79.72</v>
      </c>
      <c r="DL15" s="740">
        <v>79.83</v>
      </c>
      <c r="DM15" s="740">
        <v>79.930000000000007</v>
      </c>
      <c r="DN15" s="740">
        <v>80.040000000000006</v>
      </c>
      <c r="DO15" s="740">
        <v>80.14</v>
      </c>
      <c r="DP15" s="740">
        <v>80.239999999999995</v>
      </c>
      <c r="DQ15" s="740">
        <v>80.34</v>
      </c>
      <c r="DR15" s="740">
        <v>80.44</v>
      </c>
    </row>
    <row r="16" spans="1:122">
      <c r="A16" s="912">
        <v>14</v>
      </c>
      <c r="B16" s="90"/>
      <c r="C16" s="90"/>
      <c r="D16" s="90"/>
      <c r="E16" s="90"/>
      <c r="F16" s="90"/>
      <c r="G16" s="90"/>
      <c r="H16" s="90"/>
      <c r="I16" s="90"/>
      <c r="J16" s="90"/>
      <c r="K16" s="90"/>
      <c r="L16" s="90"/>
      <c r="M16" s="90"/>
      <c r="N16" s="90"/>
      <c r="O16" s="90"/>
      <c r="P16" s="90"/>
      <c r="Q16" s="90"/>
      <c r="R16" s="90"/>
      <c r="S16" s="90"/>
      <c r="T16" s="90"/>
      <c r="U16" s="90"/>
      <c r="V16" s="740"/>
      <c r="W16" s="740">
        <v>63.68</v>
      </c>
      <c r="X16" s="740">
        <v>63.95</v>
      </c>
      <c r="Y16" s="740">
        <v>64.209999999999994</v>
      </c>
      <c r="Z16" s="740">
        <v>64.53</v>
      </c>
      <c r="AA16" s="740">
        <v>64.760000000000005</v>
      </c>
      <c r="AB16" s="740">
        <v>65.06</v>
      </c>
      <c r="AC16" s="740">
        <v>65.38</v>
      </c>
      <c r="AD16" s="740">
        <v>65.59</v>
      </c>
      <c r="AE16" s="740">
        <v>65.91</v>
      </c>
      <c r="AF16" s="740">
        <v>66.25</v>
      </c>
      <c r="AG16" s="740">
        <v>66.56</v>
      </c>
      <c r="AH16" s="740">
        <v>66.900000000000006</v>
      </c>
      <c r="AI16" s="740">
        <v>67.180000000000007</v>
      </c>
      <c r="AJ16" s="740">
        <v>67.53</v>
      </c>
      <c r="AK16" s="740">
        <v>67.84</v>
      </c>
      <c r="AL16" s="740">
        <v>68.19</v>
      </c>
      <c r="AM16" s="740">
        <v>68.48</v>
      </c>
      <c r="AN16" s="740">
        <v>68.709999999999994</v>
      </c>
      <c r="AO16" s="740">
        <v>68.91</v>
      </c>
      <c r="AP16" s="740">
        <v>69.05</v>
      </c>
      <c r="AQ16" s="740">
        <v>69.13</v>
      </c>
      <c r="AR16" s="740">
        <v>69.19</v>
      </c>
      <c r="AS16" s="740">
        <v>69.260000000000005</v>
      </c>
      <c r="AT16" s="740">
        <v>69.25</v>
      </c>
      <c r="AU16" s="740">
        <v>69.34</v>
      </c>
      <c r="AV16" s="740">
        <v>69.41</v>
      </c>
      <c r="AW16" s="740">
        <v>69.67</v>
      </c>
      <c r="AX16" s="740">
        <v>69.739999999999995</v>
      </c>
      <c r="AY16" s="740">
        <v>69.900000000000006</v>
      </c>
      <c r="AZ16" s="740">
        <v>70.02</v>
      </c>
      <c r="BA16" s="740">
        <v>70.17</v>
      </c>
      <c r="BB16" s="740">
        <v>70.3</v>
      </c>
      <c r="BC16" s="740">
        <v>70.42</v>
      </c>
      <c r="BD16" s="740">
        <v>70.55</v>
      </c>
      <c r="BE16" s="740">
        <v>70.66</v>
      </c>
      <c r="BF16" s="740">
        <v>70.849999999999994</v>
      </c>
      <c r="BG16" s="740">
        <v>71.02</v>
      </c>
      <c r="BH16" s="740">
        <v>71.209999999999994</v>
      </c>
      <c r="BI16" s="740">
        <v>71.36</v>
      </c>
      <c r="BJ16" s="740">
        <v>71.53</v>
      </c>
      <c r="BK16" s="740">
        <v>71.7</v>
      </c>
      <c r="BL16" s="740">
        <v>71.900000000000006</v>
      </c>
      <c r="BM16" s="740">
        <v>72.11</v>
      </c>
      <c r="BN16" s="740">
        <v>72.27</v>
      </c>
      <c r="BO16" s="740">
        <v>72.44</v>
      </c>
      <c r="BP16" s="740">
        <v>72.63</v>
      </c>
      <c r="BQ16" s="740">
        <v>72.790000000000006</v>
      </c>
      <c r="BR16" s="740">
        <v>72.94</v>
      </c>
      <c r="BS16" s="740">
        <v>73.12</v>
      </c>
      <c r="BT16" s="740">
        <v>73.28</v>
      </c>
      <c r="BU16" s="740">
        <v>73.41</v>
      </c>
      <c r="BV16" s="740">
        <v>73.56</v>
      </c>
      <c r="BW16" s="740">
        <v>73.709999999999994</v>
      </c>
      <c r="BX16" s="740">
        <v>73.849999999999994</v>
      </c>
      <c r="BY16" s="740">
        <v>73.989999999999995</v>
      </c>
      <c r="BZ16" s="740">
        <v>74.12</v>
      </c>
      <c r="CA16" s="740">
        <v>74.25</v>
      </c>
      <c r="CB16" s="740">
        <v>74.41</v>
      </c>
      <c r="CC16" s="740">
        <v>74.55</v>
      </c>
      <c r="CD16" s="740">
        <v>74.680000000000007</v>
      </c>
      <c r="CE16" s="740">
        <v>74.81</v>
      </c>
      <c r="CF16" s="740">
        <v>74.95</v>
      </c>
      <c r="CG16" s="740">
        <v>75.069999999999993</v>
      </c>
      <c r="CH16" s="740">
        <v>75.22</v>
      </c>
      <c r="CI16" s="740">
        <v>75.37</v>
      </c>
      <c r="CJ16" s="740">
        <v>75.489999999999995</v>
      </c>
      <c r="CK16" s="740">
        <v>75.62</v>
      </c>
      <c r="CL16" s="740">
        <v>75.77</v>
      </c>
      <c r="CM16" s="740">
        <v>75.900000000000006</v>
      </c>
      <c r="CN16" s="740">
        <v>76.03</v>
      </c>
      <c r="CO16" s="740">
        <v>76.150000000000006</v>
      </c>
      <c r="CP16" s="740">
        <v>76.290000000000006</v>
      </c>
      <c r="CQ16" s="740">
        <v>76.400000000000006</v>
      </c>
      <c r="CR16" s="740">
        <v>76.540000000000006</v>
      </c>
      <c r="CS16" s="740">
        <v>76.67</v>
      </c>
      <c r="CT16" s="740">
        <v>76.790000000000006</v>
      </c>
      <c r="CU16" s="740">
        <v>76.91</v>
      </c>
      <c r="CV16" s="740">
        <v>77.03</v>
      </c>
      <c r="CW16" s="740">
        <v>77.150000000000006</v>
      </c>
      <c r="CX16" s="740">
        <v>77.27</v>
      </c>
      <c r="CY16" s="740">
        <v>77.39</v>
      </c>
      <c r="CZ16" s="740">
        <v>77.510000000000005</v>
      </c>
      <c r="DA16" s="740">
        <v>77.62</v>
      </c>
      <c r="DB16" s="740">
        <v>77.739999999999995</v>
      </c>
      <c r="DC16" s="740">
        <v>77.849999999999994</v>
      </c>
      <c r="DD16" s="740">
        <v>77.97</v>
      </c>
      <c r="DE16" s="740">
        <v>78.08</v>
      </c>
      <c r="DF16" s="740">
        <v>78.19</v>
      </c>
      <c r="DG16" s="740">
        <v>78.3</v>
      </c>
      <c r="DH16" s="740">
        <v>78.41</v>
      </c>
      <c r="DI16" s="740">
        <v>78.52</v>
      </c>
      <c r="DJ16" s="740">
        <v>78.62</v>
      </c>
      <c r="DK16" s="740">
        <v>78.73</v>
      </c>
      <c r="DL16" s="740">
        <v>78.83</v>
      </c>
      <c r="DM16" s="740">
        <v>78.94</v>
      </c>
      <c r="DN16" s="740">
        <v>79.040000000000006</v>
      </c>
      <c r="DO16" s="740">
        <v>79.14</v>
      </c>
      <c r="DP16" s="740">
        <v>79.239999999999995</v>
      </c>
      <c r="DQ16" s="740">
        <v>79.34</v>
      </c>
      <c r="DR16" s="740">
        <v>79.44</v>
      </c>
    </row>
    <row r="17" spans="1:122">
      <c r="A17" s="912">
        <v>15</v>
      </c>
      <c r="B17" s="90"/>
      <c r="C17" s="90"/>
      <c r="D17" s="90"/>
      <c r="E17" s="90"/>
      <c r="F17" s="90"/>
      <c r="G17" s="90"/>
      <c r="H17" s="90"/>
      <c r="I17" s="90"/>
      <c r="J17" s="90"/>
      <c r="K17" s="90"/>
      <c r="L17" s="90"/>
      <c r="M17" s="90"/>
      <c r="N17" s="90"/>
      <c r="O17" s="90"/>
      <c r="P17" s="90"/>
      <c r="Q17" s="90"/>
      <c r="R17" s="90"/>
      <c r="S17" s="90"/>
      <c r="T17" s="90"/>
      <c r="U17" s="90"/>
      <c r="V17" s="740"/>
      <c r="W17" s="740">
        <v>62.77</v>
      </c>
      <c r="X17" s="740">
        <v>63.04</v>
      </c>
      <c r="Y17" s="740">
        <v>63.3</v>
      </c>
      <c r="Z17" s="740">
        <v>63.61</v>
      </c>
      <c r="AA17" s="740">
        <v>63.84</v>
      </c>
      <c r="AB17" s="740">
        <v>64.14</v>
      </c>
      <c r="AC17" s="740">
        <v>64.47</v>
      </c>
      <c r="AD17" s="740">
        <v>64.680000000000007</v>
      </c>
      <c r="AE17" s="740">
        <v>65.010000000000005</v>
      </c>
      <c r="AF17" s="740">
        <v>65.36</v>
      </c>
      <c r="AG17" s="740">
        <v>65.69</v>
      </c>
      <c r="AH17" s="740">
        <v>65.97</v>
      </c>
      <c r="AI17" s="740">
        <v>66.25</v>
      </c>
      <c r="AJ17" s="740">
        <v>66.59</v>
      </c>
      <c r="AK17" s="740">
        <v>66.88</v>
      </c>
      <c r="AL17" s="740">
        <v>67.23</v>
      </c>
      <c r="AM17" s="740">
        <v>67.52</v>
      </c>
      <c r="AN17" s="740">
        <v>67.739999999999995</v>
      </c>
      <c r="AO17" s="740">
        <v>67.94</v>
      </c>
      <c r="AP17" s="740">
        <v>68.08</v>
      </c>
      <c r="AQ17" s="740">
        <v>68.150000000000006</v>
      </c>
      <c r="AR17" s="740">
        <v>68.209999999999994</v>
      </c>
      <c r="AS17" s="740">
        <v>68.290000000000006</v>
      </c>
      <c r="AT17" s="740">
        <v>68.28</v>
      </c>
      <c r="AU17" s="740">
        <v>68.37</v>
      </c>
      <c r="AV17" s="740">
        <v>68.430000000000007</v>
      </c>
      <c r="AW17" s="740">
        <v>68.7</v>
      </c>
      <c r="AX17" s="740">
        <v>68.760000000000005</v>
      </c>
      <c r="AY17" s="740">
        <v>68.92</v>
      </c>
      <c r="AZ17" s="740">
        <v>69.040000000000006</v>
      </c>
      <c r="BA17" s="740">
        <v>69.19</v>
      </c>
      <c r="BB17" s="740">
        <v>69.319999999999993</v>
      </c>
      <c r="BC17" s="740">
        <v>69.44</v>
      </c>
      <c r="BD17" s="740">
        <v>69.58</v>
      </c>
      <c r="BE17" s="740">
        <v>69.69</v>
      </c>
      <c r="BF17" s="740">
        <v>69.87</v>
      </c>
      <c r="BG17" s="740">
        <v>70.040000000000006</v>
      </c>
      <c r="BH17" s="740">
        <v>70.23</v>
      </c>
      <c r="BI17" s="740">
        <v>70.38</v>
      </c>
      <c r="BJ17" s="740">
        <v>70.55</v>
      </c>
      <c r="BK17" s="740">
        <v>70.72</v>
      </c>
      <c r="BL17" s="740">
        <v>70.92</v>
      </c>
      <c r="BM17" s="740">
        <v>71.13</v>
      </c>
      <c r="BN17" s="740">
        <v>71.290000000000006</v>
      </c>
      <c r="BO17" s="740">
        <v>71.459999999999994</v>
      </c>
      <c r="BP17" s="740">
        <v>71.650000000000006</v>
      </c>
      <c r="BQ17" s="740">
        <v>71.81</v>
      </c>
      <c r="BR17" s="740">
        <v>71.959999999999994</v>
      </c>
      <c r="BS17" s="740">
        <v>72.14</v>
      </c>
      <c r="BT17" s="740">
        <v>72.290000000000006</v>
      </c>
      <c r="BU17" s="740">
        <v>72.430000000000007</v>
      </c>
      <c r="BV17" s="740">
        <v>72.569999999999993</v>
      </c>
      <c r="BW17" s="740">
        <v>72.72</v>
      </c>
      <c r="BX17" s="740">
        <v>72.86</v>
      </c>
      <c r="BY17" s="740">
        <v>73</v>
      </c>
      <c r="BZ17" s="740">
        <v>73.14</v>
      </c>
      <c r="CA17" s="740">
        <v>73.260000000000005</v>
      </c>
      <c r="CB17" s="740">
        <v>73.42</v>
      </c>
      <c r="CC17" s="740">
        <v>73.56</v>
      </c>
      <c r="CD17" s="740">
        <v>73.69</v>
      </c>
      <c r="CE17" s="740">
        <v>73.819999999999993</v>
      </c>
      <c r="CF17" s="740">
        <v>73.959999999999994</v>
      </c>
      <c r="CG17" s="740">
        <v>74.08</v>
      </c>
      <c r="CH17" s="740">
        <v>74.23</v>
      </c>
      <c r="CI17" s="740">
        <v>74.39</v>
      </c>
      <c r="CJ17" s="740">
        <v>74.5</v>
      </c>
      <c r="CK17" s="740">
        <v>74.63</v>
      </c>
      <c r="CL17" s="740">
        <v>74.78</v>
      </c>
      <c r="CM17" s="740">
        <v>74.91</v>
      </c>
      <c r="CN17" s="740">
        <v>75.040000000000006</v>
      </c>
      <c r="CO17" s="740">
        <v>75.17</v>
      </c>
      <c r="CP17" s="740">
        <v>75.3</v>
      </c>
      <c r="CQ17" s="740">
        <v>75.41</v>
      </c>
      <c r="CR17" s="740">
        <v>75.540000000000006</v>
      </c>
      <c r="CS17" s="740">
        <v>75.680000000000007</v>
      </c>
      <c r="CT17" s="740">
        <v>75.8</v>
      </c>
      <c r="CU17" s="740">
        <v>75.91</v>
      </c>
      <c r="CV17" s="740">
        <v>76.03</v>
      </c>
      <c r="CW17" s="740">
        <v>76.16</v>
      </c>
      <c r="CX17" s="740">
        <v>76.28</v>
      </c>
      <c r="CY17" s="740">
        <v>76.39</v>
      </c>
      <c r="CZ17" s="740">
        <v>76.510000000000005</v>
      </c>
      <c r="DA17" s="740">
        <v>76.63</v>
      </c>
      <c r="DB17" s="740">
        <v>76.75</v>
      </c>
      <c r="DC17" s="740">
        <v>76.86</v>
      </c>
      <c r="DD17" s="740">
        <v>76.97</v>
      </c>
      <c r="DE17" s="740">
        <v>77.08</v>
      </c>
      <c r="DF17" s="740">
        <v>77.2</v>
      </c>
      <c r="DG17" s="740">
        <v>77.3</v>
      </c>
      <c r="DH17" s="740">
        <v>77.41</v>
      </c>
      <c r="DI17" s="740">
        <v>77.52</v>
      </c>
      <c r="DJ17" s="740">
        <v>77.63</v>
      </c>
      <c r="DK17" s="740">
        <v>77.73</v>
      </c>
      <c r="DL17" s="740">
        <v>77.84</v>
      </c>
      <c r="DM17" s="740">
        <v>77.94</v>
      </c>
      <c r="DN17" s="740">
        <v>78.05</v>
      </c>
      <c r="DO17" s="740">
        <v>78.150000000000006</v>
      </c>
      <c r="DP17" s="740">
        <v>78.25</v>
      </c>
      <c r="DQ17" s="740">
        <v>78.349999999999994</v>
      </c>
      <c r="DR17" s="740">
        <v>78.45</v>
      </c>
    </row>
    <row r="18" spans="1:122">
      <c r="A18" s="912">
        <v>16</v>
      </c>
      <c r="B18" s="90"/>
      <c r="C18" s="90"/>
      <c r="D18" s="90"/>
      <c r="E18" s="90"/>
      <c r="F18" s="90"/>
      <c r="G18" s="90"/>
      <c r="H18" s="90"/>
      <c r="I18" s="90"/>
      <c r="J18" s="90"/>
      <c r="K18" s="90"/>
      <c r="L18" s="90"/>
      <c r="M18" s="90"/>
      <c r="N18" s="90"/>
      <c r="O18" s="90"/>
      <c r="P18" s="90"/>
      <c r="Q18" s="90"/>
      <c r="R18" s="90"/>
      <c r="S18" s="90"/>
      <c r="T18" s="90"/>
      <c r="U18" s="90"/>
      <c r="V18" s="740"/>
      <c r="W18" s="740">
        <v>61.87</v>
      </c>
      <c r="X18" s="740">
        <v>62.13</v>
      </c>
      <c r="Y18" s="740">
        <v>62.39</v>
      </c>
      <c r="Z18" s="740">
        <v>62.7</v>
      </c>
      <c r="AA18" s="740">
        <v>62.93</v>
      </c>
      <c r="AB18" s="740">
        <v>63.24</v>
      </c>
      <c r="AC18" s="740">
        <v>63.56</v>
      </c>
      <c r="AD18" s="740">
        <v>63.78</v>
      </c>
      <c r="AE18" s="740">
        <v>64.12</v>
      </c>
      <c r="AF18" s="740">
        <v>64.510000000000005</v>
      </c>
      <c r="AG18" s="740">
        <v>64.78</v>
      </c>
      <c r="AH18" s="740">
        <v>65.06</v>
      </c>
      <c r="AI18" s="740">
        <v>65.319999999999993</v>
      </c>
      <c r="AJ18" s="740">
        <v>65.63</v>
      </c>
      <c r="AK18" s="740">
        <v>65.92</v>
      </c>
      <c r="AL18" s="740">
        <v>66.27</v>
      </c>
      <c r="AM18" s="740">
        <v>66.55</v>
      </c>
      <c r="AN18" s="740">
        <v>66.77</v>
      </c>
      <c r="AO18" s="740">
        <v>66.97</v>
      </c>
      <c r="AP18" s="740">
        <v>67.11</v>
      </c>
      <c r="AQ18" s="740">
        <v>67.19</v>
      </c>
      <c r="AR18" s="740">
        <v>67.239999999999995</v>
      </c>
      <c r="AS18" s="740">
        <v>67.31</v>
      </c>
      <c r="AT18" s="740">
        <v>67.31</v>
      </c>
      <c r="AU18" s="740">
        <v>67.400000000000006</v>
      </c>
      <c r="AV18" s="740">
        <v>67.459999999999994</v>
      </c>
      <c r="AW18" s="740">
        <v>67.73</v>
      </c>
      <c r="AX18" s="740">
        <v>67.790000000000006</v>
      </c>
      <c r="AY18" s="740">
        <v>67.94</v>
      </c>
      <c r="AZ18" s="740">
        <v>68.069999999999993</v>
      </c>
      <c r="BA18" s="740">
        <v>68.22</v>
      </c>
      <c r="BB18" s="740">
        <v>68.349999999999994</v>
      </c>
      <c r="BC18" s="740">
        <v>68.47</v>
      </c>
      <c r="BD18" s="740">
        <v>68.61</v>
      </c>
      <c r="BE18" s="740">
        <v>68.72</v>
      </c>
      <c r="BF18" s="740">
        <v>68.900000000000006</v>
      </c>
      <c r="BG18" s="740">
        <v>69.069999999999993</v>
      </c>
      <c r="BH18" s="740">
        <v>69.260000000000005</v>
      </c>
      <c r="BI18" s="740">
        <v>69.41</v>
      </c>
      <c r="BJ18" s="740">
        <v>69.58</v>
      </c>
      <c r="BK18" s="740">
        <v>69.75</v>
      </c>
      <c r="BL18" s="740">
        <v>69.95</v>
      </c>
      <c r="BM18" s="740">
        <v>70.150000000000006</v>
      </c>
      <c r="BN18" s="740">
        <v>70.319999999999993</v>
      </c>
      <c r="BO18" s="740">
        <v>70.48</v>
      </c>
      <c r="BP18" s="740">
        <v>70.67</v>
      </c>
      <c r="BQ18" s="740">
        <v>70.83</v>
      </c>
      <c r="BR18" s="740">
        <v>70.98</v>
      </c>
      <c r="BS18" s="740">
        <v>71.16</v>
      </c>
      <c r="BT18" s="740">
        <v>71.31</v>
      </c>
      <c r="BU18" s="740">
        <v>71.44</v>
      </c>
      <c r="BV18" s="740">
        <v>71.59</v>
      </c>
      <c r="BW18" s="740">
        <v>71.739999999999995</v>
      </c>
      <c r="BX18" s="740">
        <v>71.88</v>
      </c>
      <c r="BY18" s="740">
        <v>72.02</v>
      </c>
      <c r="BZ18" s="740">
        <v>72.16</v>
      </c>
      <c r="CA18" s="740">
        <v>72.27</v>
      </c>
      <c r="CB18" s="740">
        <v>72.44</v>
      </c>
      <c r="CC18" s="740">
        <v>72.58</v>
      </c>
      <c r="CD18" s="740">
        <v>72.709999999999994</v>
      </c>
      <c r="CE18" s="740">
        <v>72.83</v>
      </c>
      <c r="CF18" s="740">
        <v>72.98</v>
      </c>
      <c r="CG18" s="740">
        <v>73.099999999999994</v>
      </c>
      <c r="CH18" s="740">
        <v>73.25</v>
      </c>
      <c r="CI18" s="740">
        <v>73.400000000000006</v>
      </c>
      <c r="CJ18" s="740">
        <v>73.510000000000005</v>
      </c>
      <c r="CK18" s="740">
        <v>73.650000000000006</v>
      </c>
      <c r="CL18" s="740">
        <v>73.790000000000006</v>
      </c>
      <c r="CM18" s="740">
        <v>73.92</v>
      </c>
      <c r="CN18" s="740">
        <v>74.05</v>
      </c>
      <c r="CO18" s="740">
        <v>74.180000000000007</v>
      </c>
      <c r="CP18" s="740">
        <v>74.31</v>
      </c>
      <c r="CQ18" s="740">
        <v>74.42</v>
      </c>
      <c r="CR18" s="740">
        <v>74.56</v>
      </c>
      <c r="CS18" s="740">
        <v>74.69</v>
      </c>
      <c r="CT18" s="740">
        <v>74.81</v>
      </c>
      <c r="CU18" s="740">
        <v>74.92</v>
      </c>
      <c r="CV18" s="740">
        <v>75.040000000000006</v>
      </c>
      <c r="CW18" s="740">
        <v>75.17</v>
      </c>
      <c r="CX18" s="740">
        <v>75.290000000000006</v>
      </c>
      <c r="CY18" s="740">
        <v>75.400000000000006</v>
      </c>
      <c r="CZ18" s="740">
        <v>75.52</v>
      </c>
      <c r="DA18" s="740">
        <v>75.64</v>
      </c>
      <c r="DB18" s="740">
        <v>75.75</v>
      </c>
      <c r="DC18" s="740">
        <v>75.87</v>
      </c>
      <c r="DD18" s="740">
        <v>75.98</v>
      </c>
      <c r="DE18" s="740">
        <v>76.09</v>
      </c>
      <c r="DF18" s="740">
        <v>76.2</v>
      </c>
      <c r="DG18" s="740">
        <v>76.31</v>
      </c>
      <c r="DH18" s="740">
        <v>76.42</v>
      </c>
      <c r="DI18" s="740">
        <v>76.53</v>
      </c>
      <c r="DJ18" s="740">
        <v>76.63</v>
      </c>
      <c r="DK18" s="740">
        <v>76.739999999999995</v>
      </c>
      <c r="DL18" s="740">
        <v>76.849999999999994</v>
      </c>
      <c r="DM18" s="740">
        <v>76.95</v>
      </c>
      <c r="DN18" s="740">
        <v>77.05</v>
      </c>
      <c r="DO18" s="740">
        <v>77.150000000000006</v>
      </c>
      <c r="DP18" s="740">
        <v>77.25</v>
      </c>
      <c r="DQ18" s="740">
        <v>77.349999999999994</v>
      </c>
      <c r="DR18" s="740">
        <v>77.45</v>
      </c>
    </row>
    <row r="19" spans="1:122">
      <c r="A19" s="912">
        <v>17</v>
      </c>
      <c r="B19" s="90"/>
      <c r="C19" s="90"/>
      <c r="D19" s="90"/>
      <c r="E19" s="90"/>
      <c r="F19" s="90"/>
      <c r="G19" s="90"/>
      <c r="H19" s="90"/>
      <c r="I19" s="90"/>
      <c r="J19" s="90"/>
      <c r="K19" s="90"/>
      <c r="L19" s="90"/>
      <c r="M19" s="90"/>
      <c r="N19" s="90"/>
      <c r="O19" s="90"/>
      <c r="P19" s="90"/>
      <c r="Q19" s="90"/>
      <c r="R19" s="90"/>
      <c r="S19" s="90"/>
      <c r="T19" s="90"/>
      <c r="U19" s="90"/>
      <c r="V19" s="740"/>
      <c r="W19" s="740">
        <v>60.96</v>
      </c>
      <c r="X19" s="740">
        <v>61.22</v>
      </c>
      <c r="Y19" s="740">
        <v>61.48</v>
      </c>
      <c r="Z19" s="740">
        <v>61.8</v>
      </c>
      <c r="AA19" s="740">
        <v>62.03</v>
      </c>
      <c r="AB19" s="740">
        <v>62.33</v>
      </c>
      <c r="AC19" s="740">
        <v>62.67</v>
      </c>
      <c r="AD19" s="740">
        <v>62.9</v>
      </c>
      <c r="AE19" s="740">
        <v>63.29</v>
      </c>
      <c r="AF19" s="740">
        <v>63.61</v>
      </c>
      <c r="AG19" s="740">
        <v>63.88</v>
      </c>
      <c r="AH19" s="740">
        <v>64.14</v>
      </c>
      <c r="AI19" s="740">
        <v>64.37</v>
      </c>
      <c r="AJ19" s="740">
        <v>64.680000000000007</v>
      </c>
      <c r="AK19" s="740">
        <v>64.97</v>
      </c>
      <c r="AL19" s="740">
        <v>65.319999999999993</v>
      </c>
      <c r="AM19" s="740">
        <v>65.59</v>
      </c>
      <c r="AN19" s="740">
        <v>65.81</v>
      </c>
      <c r="AO19" s="740">
        <v>66</v>
      </c>
      <c r="AP19" s="740">
        <v>66.14</v>
      </c>
      <c r="AQ19" s="740">
        <v>66.22</v>
      </c>
      <c r="AR19" s="740">
        <v>66.28</v>
      </c>
      <c r="AS19" s="740">
        <v>66.349999999999994</v>
      </c>
      <c r="AT19" s="740">
        <v>66.34</v>
      </c>
      <c r="AU19" s="740">
        <v>66.430000000000007</v>
      </c>
      <c r="AV19" s="740">
        <v>66.489999999999995</v>
      </c>
      <c r="AW19" s="740">
        <v>66.760000000000005</v>
      </c>
      <c r="AX19" s="740">
        <v>66.819999999999993</v>
      </c>
      <c r="AY19" s="740">
        <v>66.97</v>
      </c>
      <c r="AZ19" s="740">
        <v>67.11</v>
      </c>
      <c r="BA19" s="740">
        <v>67.25</v>
      </c>
      <c r="BB19" s="740">
        <v>67.38</v>
      </c>
      <c r="BC19" s="740">
        <v>67.5</v>
      </c>
      <c r="BD19" s="740">
        <v>67.64</v>
      </c>
      <c r="BE19" s="740">
        <v>67.760000000000005</v>
      </c>
      <c r="BF19" s="740">
        <v>67.94</v>
      </c>
      <c r="BG19" s="740">
        <v>68.11</v>
      </c>
      <c r="BH19" s="740">
        <v>68.290000000000006</v>
      </c>
      <c r="BI19" s="740">
        <v>68.44</v>
      </c>
      <c r="BJ19" s="740">
        <v>68.62</v>
      </c>
      <c r="BK19" s="740">
        <v>68.790000000000006</v>
      </c>
      <c r="BL19" s="740">
        <v>68.98</v>
      </c>
      <c r="BM19" s="740">
        <v>69.19</v>
      </c>
      <c r="BN19" s="740">
        <v>69.349999999999994</v>
      </c>
      <c r="BO19" s="740">
        <v>69.510000000000005</v>
      </c>
      <c r="BP19" s="740">
        <v>69.7</v>
      </c>
      <c r="BQ19" s="740">
        <v>69.849999999999994</v>
      </c>
      <c r="BR19" s="740">
        <v>70</v>
      </c>
      <c r="BS19" s="740">
        <v>70.180000000000007</v>
      </c>
      <c r="BT19" s="740">
        <v>70.33</v>
      </c>
      <c r="BU19" s="740">
        <v>70.459999999999994</v>
      </c>
      <c r="BV19" s="740">
        <v>70.599999999999994</v>
      </c>
      <c r="BW19" s="740">
        <v>70.760000000000005</v>
      </c>
      <c r="BX19" s="740">
        <v>70.900000000000006</v>
      </c>
      <c r="BY19" s="740">
        <v>71.040000000000006</v>
      </c>
      <c r="BZ19" s="740">
        <v>71.180000000000007</v>
      </c>
      <c r="CA19" s="740">
        <v>71.3</v>
      </c>
      <c r="CB19" s="740">
        <v>71.459999999999994</v>
      </c>
      <c r="CC19" s="740">
        <v>71.599999999999994</v>
      </c>
      <c r="CD19" s="740">
        <v>71.73</v>
      </c>
      <c r="CE19" s="740">
        <v>71.849999999999994</v>
      </c>
      <c r="CF19" s="740">
        <v>71.989999999999995</v>
      </c>
      <c r="CG19" s="740">
        <v>72.11</v>
      </c>
      <c r="CH19" s="740">
        <v>72.260000000000005</v>
      </c>
      <c r="CI19" s="740">
        <v>72.41</v>
      </c>
      <c r="CJ19" s="740">
        <v>72.53</v>
      </c>
      <c r="CK19" s="740">
        <v>72.66</v>
      </c>
      <c r="CL19" s="740">
        <v>72.8</v>
      </c>
      <c r="CM19" s="740">
        <v>72.930000000000007</v>
      </c>
      <c r="CN19" s="740">
        <v>73.06</v>
      </c>
      <c r="CO19" s="740">
        <v>73.19</v>
      </c>
      <c r="CP19" s="740">
        <v>73.33</v>
      </c>
      <c r="CQ19" s="740">
        <v>73.430000000000007</v>
      </c>
      <c r="CR19" s="740">
        <v>73.569999999999993</v>
      </c>
      <c r="CS19" s="740">
        <v>73.7</v>
      </c>
      <c r="CT19" s="740">
        <v>73.81</v>
      </c>
      <c r="CU19" s="740">
        <v>73.94</v>
      </c>
      <c r="CV19" s="740">
        <v>74.05</v>
      </c>
      <c r="CW19" s="740">
        <v>74.180000000000007</v>
      </c>
      <c r="CX19" s="740">
        <v>74.3</v>
      </c>
      <c r="CY19" s="740">
        <v>74.42</v>
      </c>
      <c r="CZ19" s="740">
        <v>74.53</v>
      </c>
      <c r="DA19" s="740">
        <v>74.650000000000006</v>
      </c>
      <c r="DB19" s="740">
        <v>74.760000000000005</v>
      </c>
      <c r="DC19" s="740">
        <v>74.88</v>
      </c>
      <c r="DD19" s="740">
        <v>74.989999999999995</v>
      </c>
      <c r="DE19" s="740">
        <v>75.099999999999994</v>
      </c>
      <c r="DF19" s="740">
        <v>75.209999999999994</v>
      </c>
      <c r="DG19" s="740">
        <v>75.319999999999993</v>
      </c>
      <c r="DH19" s="740">
        <v>75.430000000000007</v>
      </c>
      <c r="DI19" s="740">
        <v>75.540000000000006</v>
      </c>
      <c r="DJ19" s="740">
        <v>75.64</v>
      </c>
      <c r="DK19" s="740">
        <v>75.75</v>
      </c>
      <c r="DL19" s="740">
        <v>75.849999999999994</v>
      </c>
      <c r="DM19" s="740">
        <v>75.959999999999994</v>
      </c>
      <c r="DN19" s="740">
        <v>76.06</v>
      </c>
      <c r="DO19" s="740">
        <v>76.16</v>
      </c>
      <c r="DP19" s="740">
        <v>76.260000000000005</v>
      </c>
      <c r="DQ19" s="740">
        <v>76.36</v>
      </c>
      <c r="DR19" s="740">
        <v>76.459999999999994</v>
      </c>
    </row>
    <row r="20" spans="1:122">
      <c r="A20" s="912">
        <v>18</v>
      </c>
      <c r="B20" s="90"/>
      <c r="C20" s="90"/>
      <c r="D20" s="90"/>
      <c r="E20" s="90"/>
      <c r="F20" s="90"/>
      <c r="G20" s="90"/>
      <c r="H20" s="90"/>
      <c r="I20" s="90"/>
      <c r="J20" s="90"/>
      <c r="K20" s="90"/>
      <c r="L20" s="90"/>
      <c r="M20" s="90"/>
      <c r="N20" s="90"/>
      <c r="O20" s="90"/>
      <c r="P20" s="90"/>
      <c r="Q20" s="90"/>
      <c r="R20" s="90"/>
      <c r="S20" s="90"/>
      <c r="T20" s="90"/>
      <c r="U20" s="90"/>
      <c r="V20" s="740"/>
      <c r="W20" s="740">
        <v>60.06</v>
      </c>
      <c r="X20" s="740">
        <v>60.32</v>
      </c>
      <c r="Y20" s="740">
        <v>60.58</v>
      </c>
      <c r="Z20" s="740">
        <v>60.9</v>
      </c>
      <c r="AA20" s="740">
        <v>61.13</v>
      </c>
      <c r="AB20" s="740">
        <v>61.44</v>
      </c>
      <c r="AC20" s="740">
        <v>61.79</v>
      </c>
      <c r="AD20" s="740">
        <v>62.08</v>
      </c>
      <c r="AE20" s="740">
        <v>62.4</v>
      </c>
      <c r="AF20" s="740">
        <v>62.72</v>
      </c>
      <c r="AG20" s="740">
        <v>62.96</v>
      </c>
      <c r="AH20" s="740">
        <v>63.19</v>
      </c>
      <c r="AI20" s="740">
        <v>63.43</v>
      </c>
      <c r="AJ20" s="740">
        <v>63.74</v>
      </c>
      <c r="AK20" s="740">
        <v>64.02</v>
      </c>
      <c r="AL20" s="740">
        <v>64.349999999999994</v>
      </c>
      <c r="AM20" s="740">
        <v>64.63</v>
      </c>
      <c r="AN20" s="740">
        <v>64.849999999999994</v>
      </c>
      <c r="AO20" s="740">
        <v>65.040000000000006</v>
      </c>
      <c r="AP20" s="740">
        <v>65.180000000000007</v>
      </c>
      <c r="AQ20" s="740">
        <v>65.25</v>
      </c>
      <c r="AR20" s="740">
        <v>65.31</v>
      </c>
      <c r="AS20" s="740">
        <v>65.38</v>
      </c>
      <c r="AT20" s="740">
        <v>65.37</v>
      </c>
      <c r="AU20" s="740">
        <v>65.459999999999994</v>
      </c>
      <c r="AV20" s="740">
        <v>65.52</v>
      </c>
      <c r="AW20" s="740">
        <v>65.790000000000006</v>
      </c>
      <c r="AX20" s="740">
        <v>65.849999999999994</v>
      </c>
      <c r="AY20" s="740">
        <v>66</v>
      </c>
      <c r="AZ20" s="740">
        <v>66.14</v>
      </c>
      <c r="BA20" s="740">
        <v>66.290000000000006</v>
      </c>
      <c r="BB20" s="740">
        <v>66.41</v>
      </c>
      <c r="BC20" s="740">
        <v>66.540000000000006</v>
      </c>
      <c r="BD20" s="740">
        <v>66.680000000000007</v>
      </c>
      <c r="BE20" s="740">
        <v>66.8</v>
      </c>
      <c r="BF20" s="740">
        <v>66.97</v>
      </c>
      <c r="BG20" s="740">
        <v>67.14</v>
      </c>
      <c r="BH20" s="740">
        <v>67.33</v>
      </c>
      <c r="BI20" s="740">
        <v>67.48</v>
      </c>
      <c r="BJ20" s="740">
        <v>67.66</v>
      </c>
      <c r="BK20" s="740">
        <v>67.83</v>
      </c>
      <c r="BL20" s="740">
        <v>68.010000000000005</v>
      </c>
      <c r="BM20" s="740">
        <v>68.22</v>
      </c>
      <c r="BN20" s="740">
        <v>68.39</v>
      </c>
      <c r="BO20" s="740">
        <v>68.540000000000006</v>
      </c>
      <c r="BP20" s="740">
        <v>68.73</v>
      </c>
      <c r="BQ20" s="740">
        <v>68.88</v>
      </c>
      <c r="BR20" s="740">
        <v>69.03</v>
      </c>
      <c r="BS20" s="740">
        <v>69.2</v>
      </c>
      <c r="BT20" s="740">
        <v>69.36</v>
      </c>
      <c r="BU20" s="740">
        <v>69.489999999999995</v>
      </c>
      <c r="BV20" s="740">
        <v>69.63</v>
      </c>
      <c r="BW20" s="740">
        <v>69.78</v>
      </c>
      <c r="BX20" s="740">
        <v>69.92</v>
      </c>
      <c r="BY20" s="740">
        <v>70.06</v>
      </c>
      <c r="BZ20" s="740">
        <v>70.2</v>
      </c>
      <c r="CA20" s="740">
        <v>70.319999999999993</v>
      </c>
      <c r="CB20" s="740">
        <v>70.48</v>
      </c>
      <c r="CC20" s="740">
        <v>70.61</v>
      </c>
      <c r="CD20" s="740">
        <v>70.739999999999995</v>
      </c>
      <c r="CE20" s="740">
        <v>70.88</v>
      </c>
      <c r="CF20" s="740">
        <v>71.02</v>
      </c>
      <c r="CG20" s="740">
        <v>71.13</v>
      </c>
      <c r="CH20" s="740">
        <v>71.28</v>
      </c>
      <c r="CI20" s="740">
        <v>71.430000000000007</v>
      </c>
      <c r="CJ20" s="740">
        <v>71.540000000000006</v>
      </c>
      <c r="CK20" s="740">
        <v>71.680000000000007</v>
      </c>
      <c r="CL20" s="740">
        <v>71.819999999999993</v>
      </c>
      <c r="CM20" s="740">
        <v>71.94</v>
      </c>
      <c r="CN20" s="740">
        <v>72.08</v>
      </c>
      <c r="CO20" s="740">
        <v>72.2</v>
      </c>
      <c r="CP20" s="740">
        <v>72.34</v>
      </c>
      <c r="CQ20" s="740">
        <v>72.45</v>
      </c>
      <c r="CR20" s="740">
        <v>72.58</v>
      </c>
      <c r="CS20" s="740">
        <v>72.709999999999994</v>
      </c>
      <c r="CT20" s="740">
        <v>72.83</v>
      </c>
      <c r="CU20" s="740">
        <v>72.94</v>
      </c>
      <c r="CV20" s="740">
        <v>73.069999999999993</v>
      </c>
      <c r="CW20" s="740">
        <v>73.19</v>
      </c>
      <c r="CX20" s="740">
        <v>73.31</v>
      </c>
      <c r="CY20" s="740">
        <v>73.430000000000007</v>
      </c>
      <c r="CZ20" s="740">
        <v>73.540000000000006</v>
      </c>
      <c r="DA20" s="740">
        <v>73.66</v>
      </c>
      <c r="DB20" s="740">
        <v>73.77</v>
      </c>
      <c r="DC20" s="740">
        <v>73.88</v>
      </c>
      <c r="DD20" s="740">
        <v>74</v>
      </c>
      <c r="DE20" s="740">
        <v>74.11</v>
      </c>
      <c r="DF20" s="740">
        <v>74.22</v>
      </c>
      <c r="DG20" s="740">
        <v>74.33</v>
      </c>
      <c r="DH20" s="740">
        <v>74.44</v>
      </c>
      <c r="DI20" s="740">
        <v>74.540000000000006</v>
      </c>
      <c r="DJ20" s="740">
        <v>74.650000000000006</v>
      </c>
      <c r="DK20" s="740">
        <v>74.75</v>
      </c>
      <c r="DL20" s="740">
        <v>74.86</v>
      </c>
      <c r="DM20" s="740">
        <v>74.959999999999994</v>
      </c>
      <c r="DN20" s="740">
        <v>75.06</v>
      </c>
      <c r="DO20" s="740">
        <v>75.17</v>
      </c>
      <c r="DP20" s="740">
        <v>75.27</v>
      </c>
      <c r="DQ20" s="740">
        <v>75.37</v>
      </c>
      <c r="DR20" s="740">
        <v>75.459999999999994</v>
      </c>
    </row>
    <row r="21" spans="1:122">
      <c r="A21" s="912">
        <v>19</v>
      </c>
      <c r="B21" s="90"/>
      <c r="C21" s="90"/>
      <c r="D21" s="90"/>
      <c r="E21" s="90"/>
      <c r="F21" s="90"/>
      <c r="G21" s="90"/>
      <c r="H21" s="90"/>
      <c r="I21" s="90"/>
      <c r="J21" s="90"/>
      <c r="K21" s="90"/>
      <c r="L21" s="90"/>
      <c r="M21" s="90"/>
      <c r="N21" s="90"/>
      <c r="O21" s="90"/>
      <c r="P21" s="90"/>
      <c r="Q21" s="90"/>
      <c r="R21" s="90"/>
      <c r="S21" s="90"/>
      <c r="T21" s="90"/>
      <c r="U21" s="90"/>
      <c r="V21" s="740"/>
      <c r="W21" s="740">
        <v>59.16</v>
      </c>
      <c r="X21" s="740">
        <v>59.43</v>
      </c>
      <c r="Y21" s="740">
        <v>59.69</v>
      </c>
      <c r="Z21" s="740">
        <v>60.01</v>
      </c>
      <c r="AA21" s="740">
        <v>60.25</v>
      </c>
      <c r="AB21" s="740">
        <v>60.58</v>
      </c>
      <c r="AC21" s="740">
        <v>60.99</v>
      </c>
      <c r="AD21" s="740">
        <v>61.2</v>
      </c>
      <c r="AE21" s="740">
        <v>61.52</v>
      </c>
      <c r="AF21" s="740">
        <v>61.81</v>
      </c>
      <c r="AG21" s="740">
        <v>62.02</v>
      </c>
      <c r="AH21" s="740">
        <v>62.25</v>
      </c>
      <c r="AI21" s="740">
        <v>62.49</v>
      </c>
      <c r="AJ21" s="740">
        <v>62.78</v>
      </c>
      <c r="AK21" s="740">
        <v>63.06</v>
      </c>
      <c r="AL21" s="740">
        <v>63.4</v>
      </c>
      <c r="AM21" s="740">
        <v>63.67</v>
      </c>
      <c r="AN21" s="740">
        <v>63.88</v>
      </c>
      <c r="AO21" s="740">
        <v>64.069999999999993</v>
      </c>
      <c r="AP21" s="740">
        <v>64.209999999999994</v>
      </c>
      <c r="AQ21" s="740">
        <v>64.290000000000006</v>
      </c>
      <c r="AR21" s="740">
        <v>64.349999999999994</v>
      </c>
      <c r="AS21" s="740">
        <v>64.42</v>
      </c>
      <c r="AT21" s="740">
        <v>64.41</v>
      </c>
      <c r="AU21" s="740">
        <v>64.489999999999995</v>
      </c>
      <c r="AV21" s="740">
        <v>64.56</v>
      </c>
      <c r="AW21" s="740">
        <v>64.83</v>
      </c>
      <c r="AX21" s="740">
        <v>64.89</v>
      </c>
      <c r="AY21" s="740">
        <v>65.040000000000006</v>
      </c>
      <c r="AZ21" s="740">
        <v>65.180000000000007</v>
      </c>
      <c r="BA21" s="740">
        <v>65.33</v>
      </c>
      <c r="BB21" s="740">
        <v>65.459999999999994</v>
      </c>
      <c r="BC21" s="740">
        <v>65.58</v>
      </c>
      <c r="BD21" s="740">
        <v>65.72</v>
      </c>
      <c r="BE21" s="740">
        <v>65.83</v>
      </c>
      <c r="BF21" s="740">
        <v>66.010000000000005</v>
      </c>
      <c r="BG21" s="740">
        <v>66.180000000000007</v>
      </c>
      <c r="BH21" s="740">
        <v>66.37</v>
      </c>
      <c r="BI21" s="740">
        <v>66.52</v>
      </c>
      <c r="BJ21" s="740">
        <v>66.69</v>
      </c>
      <c r="BK21" s="740">
        <v>66.86</v>
      </c>
      <c r="BL21" s="740">
        <v>67.05</v>
      </c>
      <c r="BM21" s="740">
        <v>67.260000000000005</v>
      </c>
      <c r="BN21" s="740">
        <v>67.42</v>
      </c>
      <c r="BO21" s="740">
        <v>67.569999999999993</v>
      </c>
      <c r="BP21" s="740">
        <v>67.760000000000005</v>
      </c>
      <c r="BQ21" s="740">
        <v>67.91</v>
      </c>
      <c r="BR21" s="740">
        <v>68.05</v>
      </c>
      <c r="BS21" s="740">
        <v>68.23</v>
      </c>
      <c r="BT21" s="740">
        <v>68.38</v>
      </c>
      <c r="BU21" s="740">
        <v>68.510000000000005</v>
      </c>
      <c r="BV21" s="740">
        <v>68.66</v>
      </c>
      <c r="BW21" s="740">
        <v>68.81</v>
      </c>
      <c r="BX21" s="740">
        <v>68.94</v>
      </c>
      <c r="BY21" s="740">
        <v>69.09</v>
      </c>
      <c r="BZ21" s="740">
        <v>69.23</v>
      </c>
      <c r="CA21" s="740">
        <v>69.34</v>
      </c>
      <c r="CB21" s="740">
        <v>69.510000000000005</v>
      </c>
      <c r="CC21" s="740">
        <v>69.64</v>
      </c>
      <c r="CD21" s="740">
        <v>69.77</v>
      </c>
      <c r="CE21" s="740">
        <v>69.900000000000006</v>
      </c>
      <c r="CF21" s="740">
        <v>70.040000000000006</v>
      </c>
      <c r="CG21" s="740">
        <v>70.16</v>
      </c>
      <c r="CH21" s="740">
        <v>70.3</v>
      </c>
      <c r="CI21" s="740">
        <v>70.45</v>
      </c>
      <c r="CJ21" s="740">
        <v>70.56</v>
      </c>
      <c r="CK21" s="740">
        <v>70.69</v>
      </c>
      <c r="CL21" s="740">
        <v>70.83</v>
      </c>
      <c r="CM21" s="740">
        <v>70.959999999999994</v>
      </c>
      <c r="CN21" s="740">
        <v>71.09</v>
      </c>
      <c r="CO21" s="740">
        <v>71.22</v>
      </c>
      <c r="CP21" s="740">
        <v>71.349999999999994</v>
      </c>
      <c r="CQ21" s="740">
        <v>71.459999999999994</v>
      </c>
      <c r="CR21" s="740">
        <v>71.599999999999994</v>
      </c>
      <c r="CS21" s="740">
        <v>71.72</v>
      </c>
      <c r="CT21" s="740">
        <v>71.84</v>
      </c>
      <c r="CU21" s="740">
        <v>71.959999999999994</v>
      </c>
      <c r="CV21" s="740">
        <v>72.08</v>
      </c>
      <c r="CW21" s="740">
        <v>72.2</v>
      </c>
      <c r="CX21" s="740">
        <v>72.319999999999993</v>
      </c>
      <c r="CY21" s="740">
        <v>72.44</v>
      </c>
      <c r="CZ21" s="740">
        <v>72.55</v>
      </c>
      <c r="DA21" s="740">
        <v>72.67</v>
      </c>
      <c r="DB21" s="740">
        <v>72.78</v>
      </c>
      <c r="DC21" s="740">
        <v>72.89</v>
      </c>
      <c r="DD21" s="740">
        <v>73.010000000000005</v>
      </c>
      <c r="DE21" s="740">
        <v>73.12</v>
      </c>
      <c r="DF21" s="740">
        <v>73.23</v>
      </c>
      <c r="DG21" s="740">
        <v>73.34</v>
      </c>
      <c r="DH21" s="740">
        <v>73.44</v>
      </c>
      <c r="DI21" s="740">
        <v>73.55</v>
      </c>
      <c r="DJ21" s="740">
        <v>73.66</v>
      </c>
      <c r="DK21" s="740">
        <v>73.760000000000005</v>
      </c>
      <c r="DL21" s="740">
        <v>73.87</v>
      </c>
      <c r="DM21" s="740">
        <v>73.97</v>
      </c>
      <c r="DN21" s="740">
        <v>74.069999999999993</v>
      </c>
      <c r="DO21" s="740">
        <v>74.17</v>
      </c>
      <c r="DP21" s="740">
        <v>74.27</v>
      </c>
      <c r="DQ21" s="740">
        <v>74.37</v>
      </c>
      <c r="DR21" s="740">
        <v>74.47</v>
      </c>
    </row>
    <row r="22" spans="1:122">
      <c r="A22" s="912">
        <v>20</v>
      </c>
      <c r="B22" s="90"/>
      <c r="C22" s="90"/>
      <c r="D22" s="90"/>
      <c r="E22" s="90"/>
      <c r="F22" s="90"/>
      <c r="G22" s="90"/>
      <c r="H22" s="90"/>
      <c r="I22" s="90"/>
      <c r="J22" s="90"/>
      <c r="K22" s="90"/>
      <c r="L22" s="90"/>
      <c r="M22" s="90"/>
      <c r="N22" s="90"/>
      <c r="O22" s="90"/>
      <c r="P22" s="90"/>
      <c r="Q22" s="90"/>
      <c r="R22" s="90"/>
      <c r="S22" s="90"/>
      <c r="T22" s="90"/>
      <c r="U22" s="90"/>
      <c r="V22" s="740"/>
      <c r="W22" s="740">
        <v>58.28</v>
      </c>
      <c r="X22" s="740">
        <v>58.54</v>
      </c>
      <c r="Y22" s="740">
        <v>58.8</v>
      </c>
      <c r="Z22" s="740">
        <v>59.13</v>
      </c>
      <c r="AA22" s="740">
        <v>59.39</v>
      </c>
      <c r="AB22" s="740">
        <v>59.78</v>
      </c>
      <c r="AC22" s="740">
        <v>60.12</v>
      </c>
      <c r="AD22" s="740">
        <v>60.34</v>
      </c>
      <c r="AE22" s="740">
        <v>60.62</v>
      </c>
      <c r="AF22" s="740">
        <v>60.88</v>
      </c>
      <c r="AG22" s="740">
        <v>61.09</v>
      </c>
      <c r="AH22" s="740">
        <v>61.32</v>
      </c>
      <c r="AI22" s="740">
        <v>61.54</v>
      </c>
      <c r="AJ22" s="740">
        <v>61.83</v>
      </c>
      <c r="AK22" s="740">
        <v>62.11</v>
      </c>
      <c r="AL22" s="740">
        <v>62.44</v>
      </c>
      <c r="AM22" s="740">
        <v>62.71</v>
      </c>
      <c r="AN22" s="740">
        <v>62.93</v>
      </c>
      <c r="AO22" s="740">
        <v>63.11</v>
      </c>
      <c r="AP22" s="740">
        <v>63.25</v>
      </c>
      <c r="AQ22" s="740">
        <v>63.33</v>
      </c>
      <c r="AR22" s="740">
        <v>63.39</v>
      </c>
      <c r="AS22" s="740">
        <v>63.46</v>
      </c>
      <c r="AT22" s="740">
        <v>63.45</v>
      </c>
      <c r="AU22" s="740">
        <v>63.53</v>
      </c>
      <c r="AV22" s="740">
        <v>63.6</v>
      </c>
      <c r="AW22" s="740">
        <v>63.86</v>
      </c>
      <c r="AX22" s="740">
        <v>63.93</v>
      </c>
      <c r="AY22" s="740">
        <v>64.08</v>
      </c>
      <c r="AZ22" s="740">
        <v>64.22</v>
      </c>
      <c r="BA22" s="740">
        <v>64.37</v>
      </c>
      <c r="BB22" s="740">
        <v>64.5</v>
      </c>
      <c r="BC22" s="740">
        <v>64.62</v>
      </c>
      <c r="BD22" s="740">
        <v>64.75</v>
      </c>
      <c r="BE22" s="740">
        <v>64.87</v>
      </c>
      <c r="BF22" s="740">
        <v>65.05</v>
      </c>
      <c r="BG22" s="740">
        <v>65.22</v>
      </c>
      <c r="BH22" s="740">
        <v>65.41</v>
      </c>
      <c r="BI22" s="740">
        <v>65.56</v>
      </c>
      <c r="BJ22" s="740">
        <v>65.73</v>
      </c>
      <c r="BK22" s="740">
        <v>65.900000000000006</v>
      </c>
      <c r="BL22" s="740">
        <v>66.09</v>
      </c>
      <c r="BM22" s="740">
        <v>66.290000000000006</v>
      </c>
      <c r="BN22" s="740">
        <v>66.459999999999994</v>
      </c>
      <c r="BO22" s="740">
        <v>66.61</v>
      </c>
      <c r="BP22" s="740">
        <v>66.78</v>
      </c>
      <c r="BQ22" s="740">
        <v>66.930000000000007</v>
      </c>
      <c r="BR22" s="740">
        <v>67.08</v>
      </c>
      <c r="BS22" s="740">
        <v>67.25</v>
      </c>
      <c r="BT22" s="740">
        <v>67.41</v>
      </c>
      <c r="BU22" s="740">
        <v>67.540000000000006</v>
      </c>
      <c r="BV22" s="740">
        <v>67.69</v>
      </c>
      <c r="BW22" s="740">
        <v>67.83</v>
      </c>
      <c r="BX22" s="740">
        <v>67.97</v>
      </c>
      <c r="BY22" s="740">
        <v>68.11</v>
      </c>
      <c r="BZ22" s="740">
        <v>68.25</v>
      </c>
      <c r="CA22" s="740">
        <v>68.37</v>
      </c>
      <c r="CB22" s="740">
        <v>68.53</v>
      </c>
      <c r="CC22" s="740">
        <v>68.67</v>
      </c>
      <c r="CD22" s="740">
        <v>68.790000000000006</v>
      </c>
      <c r="CE22" s="740">
        <v>68.930000000000007</v>
      </c>
      <c r="CF22" s="740">
        <v>69.06</v>
      </c>
      <c r="CG22" s="740">
        <v>69.180000000000007</v>
      </c>
      <c r="CH22" s="740">
        <v>69.319999999999993</v>
      </c>
      <c r="CI22" s="740">
        <v>69.459999999999994</v>
      </c>
      <c r="CJ22" s="740">
        <v>69.58</v>
      </c>
      <c r="CK22" s="740">
        <v>69.709999999999994</v>
      </c>
      <c r="CL22" s="740">
        <v>69.849999999999994</v>
      </c>
      <c r="CM22" s="740">
        <v>69.97</v>
      </c>
      <c r="CN22" s="740">
        <v>70.11</v>
      </c>
      <c r="CO22" s="740">
        <v>70.23</v>
      </c>
      <c r="CP22" s="740">
        <v>70.37</v>
      </c>
      <c r="CQ22" s="740">
        <v>70.48</v>
      </c>
      <c r="CR22" s="740">
        <v>70.61</v>
      </c>
      <c r="CS22" s="740">
        <v>70.73</v>
      </c>
      <c r="CT22" s="740">
        <v>70.849999999999994</v>
      </c>
      <c r="CU22" s="740">
        <v>70.97</v>
      </c>
      <c r="CV22" s="740">
        <v>71.09</v>
      </c>
      <c r="CW22" s="740">
        <v>71.209999999999994</v>
      </c>
      <c r="CX22" s="740">
        <v>71.33</v>
      </c>
      <c r="CY22" s="740">
        <v>71.45</v>
      </c>
      <c r="CZ22" s="740">
        <v>71.56</v>
      </c>
      <c r="DA22" s="740">
        <v>71.680000000000007</v>
      </c>
      <c r="DB22" s="740">
        <v>71.790000000000006</v>
      </c>
      <c r="DC22" s="740">
        <v>71.900000000000006</v>
      </c>
      <c r="DD22" s="740">
        <v>72.02</v>
      </c>
      <c r="DE22" s="740">
        <v>72.13</v>
      </c>
      <c r="DF22" s="740">
        <v>72.239999999999995</v>
      </c>
      <c r="DG22" s="740">
        <v>72.349999999999994</v>
      </c>
      <c r="DH22" s="740">
        <v>72.45</v>
      </c>
      <c r="DI22" s="740">
        <v>72.56</v>
      </c>
      <c r="DJ22" s="740">
        <v>72.67</v>
      </c>
      <c r="DK22" s="740">
        <v>72.77</v>
      </c>
      <c r="DL22" s="740">
        <v>72.87</v>
      </c>
      <c r="DM22" s="740">
        <v>72.98</v>
      </c>
      <c r="DN22" s="740">
        <v>73.08</v>
      </c>
      <c r="DO22" s="740">
        <v>73.180000000000007</v>
      </c>
      <c r="DP22" s="740">
        <v>73.28</v>
      </c>
      <c r="DQ22" s="740">
        <v>73.38</v>
      </c>
      <c r="DR22" s="740">
        <v>73.48</v>
      </c>
    </row>
    <row r="23" spans="1:122">
      <c r="A23" s="912">
        <v>21</v>
      </c>
      <c r="B23" s="90"/>
      <c r="C23" s="90"/>
      <c r="D23" s="90"/>
      <c r="E23" s="90"/>
      <c r="F23" s="90"/>
      <c r="G23" s="90"/>
      <c r="H23" s="90"/>
      <c r="I23" s="90"/>
      <c r="J23" s="90"/>
      <c r="K23" s="90"/>
      <c r="L23" s="90"/>
      <c r="M23" s="90"/>
      <c r="N23" s="90"/>
      <c r="O23" s="90"/>
      <c r="P23" s="90"/>
      <c r="Q23" s="90"/>
      <c r="R23" s="90"/>
      <c r="S23" s="90"/>
      <c r="T23" s="90"/>
      <c r="U23" s="90"/>
      <c r="V23" s="740"/>
      <c r="W23" s="740">
        <v>57.4</v>
      </c>
      <c r="X23" s="740">
        <v>57.66</v>
      </c>
      <c r="Y23" s="740">
        <v>57.93</v>
      </c>
      <c r="Z23" s="740">
        <v>58.28</v>
      </c>
      <c r="AA23" s="740">
        <v>58.61</v>
      </c>
      <c r="AB23" s="740">
        <v>58.93</v>
      </c>
      <c r="AC23" s="740">
        <v>59.27</v>
      </c>
      <c r="AD23" s="740">
        <v>59.44</v>
      </c>
      <c r="AE23" s="740">
        <v>59.69</v>
      </c>
      <c r="AF23" s="740">
        <v>59.95</v>
      </c>
      <c r="AG23" s="740">
        <v>60.16</v>
      </c>
      <c r="AH23" s="740">
        <v>60.37</v>
      </c>
      <c r="AI23" s="740">
        <v>60.59</v>
      </c>
      <c r="AJ23" s="740">
        <v>60.88</v>
      </c>
      <c r="AK23" s="740">
        <v>61.15</v>
      </c>
      <c r="AL23" s="740">
        <v>61.49</v>
      </c>
      <c r="AM23" s="740">
        <v>61.76</v>
      </c>
      <c r="AN23" s="740">
        <v>61.97</v>
      </c>
      <c r="AO23" s="740">
        <v>62.15</v>
      </c>
      <c r="AP23" s="740">
        <v>62.29</v>
      </c>
      <c r="AQ23" s="740">
        <v>62.37</v>
      </c>
      <c r="AR23" s="740">
        <v>62.43</v>
      </c>
      <c r="AS23" s="740">
        <v>62.49</v>
      </c>
      <c r="AT23" s="740">
        <v>62.48</v>
      </c>
      <c r="AU23" s="740">
        <v>62.57</v>
      </c>
      <c r="AV23" s="740">
        <v>62.64</v>
      </c>
      <c r="AW23" s="740">
        <v>62.9</v>
      </c>
      <c r="AX23" s="740">
        <v>62.97</v>
      </c>
      <c r="AY23" s="740">
        <v>63.12</v>
      </c>
      <c r="AZ23" s="740">
        <v>63.26</v>
      </c>
      <c r="BA23" s="740">
        <v>63.41</v>
      </c>
      <c r="BB23" s="740">
        <v>63.54</v>
      </c>
      <c r="BC23" s="740">
        <v>63.66</v>
      </c>
      <c r="BD23" s="740">
        <v>63.79</v>
      </c>
      <c r="BE23" s="740">
        <v>63.91</v>
      </c>
      <c r="BF23" s="740">
        <v>64.09</v>
      </c>
      <c r="BG23" s="740">
        <v>64.260000000000005</v>
      </c>
      <c r="BH23" s="740">
        <v>64.45</v>
      </c>
      <c r="BI23" s="740">
        <v>64.59</v>
      </c>
      <c r="BJ23" s="740">
        <v>64.760000000000005</v>
      </c>
      <c r="BK23" s="740">
        <v>64.930000000000007</v>
      </c>
      <c r="BL23" s="740">
        <v>65.12</v>
      </c>
      <c r="BM23" s="740">
        <v>65.319999999999993</v>
      </c>
      <c r="BN23" s="740">
        <v>65.489999999999995</v>
      </c>
      <c r="BO23" s="740">
        <v>65.63</v>
      </c>
      <c r="BP23" s="740">
        <v>65.81</v>
      </c>
      <c r="BQ23" s="740">
        <v>65.959999999999994</v>
      </c>
      <c r="BR23" s="740">
        <v>66.11</v>
      </c>
      <c r="BS23" s="740">
        <v>66.28</v>
      </c>
      <c r="BT23" s="740">
        <v>66.430000000000007</v>
      </c>
      <c r="BU23" s="740">
        <v>66.569999999999993</v>
      </c>
      <c r="BV23" s="740">
        <v>66.709999999999994</v>
      </c>
      <c r="BW23" s="740">
        <v>66.86</v>
      </c>
      <c r="BX23" s="740">
        <v>66.989999999999995</v>
      </c>
      <c r="BY23" s="740">
        <v>67.14</v>
      </c>
      <c r="BZ23" s="740">
        <v>67.28</v>
      </c>
      <c r="CA23" s="740">
        <v>67.400000000000006</v>
      </c>
      <c r="CB23" s="740">
        <v>67.55</v>
      </c>
      <c r="CC23" s="740">
        <v>67.69</v>
      </c>
      <c r="CD23" s="740">
        <v>67.819999999999993</v>
      </c>
      <c r="CE23" s="740">
        <v>67.95</v>
      </c>
      <c r="CF23" s="740">
        <v>68.08</v>
      </c>
      <c r="CG23" s="740">
        <v>68.2</v>
      </c>
      <c r="CH23" s="740">
        <v>68.34</v>
      </c>
      <c r="CI23" s="740">
        <v>68.48</v>
      </c>
      <c r="CJ23" s="740">
        <v>68.59</v>
      </c>
      <c r="CK23" s="740">
        <v>68.73</v>
      </c>
      <c r="CL23" s="740">
        <v>68.86</v>
      </c>
      <c r="CM23" s="740">
        <v>68.98</v>
      </c>
      <c r="CN23" s="740">
        <v>69.12</v>
      </c>
      <c r="CO23" s="740">
        <v>69.25</v>
      </c>
      <c r="CP23" s="740">
        <v>69.38</v>
      </c>
      <c r="CQ23" s="740">
        <v>69.489999999999995</v>
      </c>
      <c r="CR23" s="740">
        <v>69.62</v>
      </c>
      <c r="CS23" s="740">
        <v>69.75</v>
      </c>
      <c r="CT23" s="740">
        <v>69.87</v>
      </c>
      <c r="CU23" s="740">
        <v>69.989999999999995</v>
      </c>
      <c r="CV23" s="740">
        <v>70.11</v>
      </c>
      <c r="CW23" s="740">
        <v>70.22</v>
      </c>
      <c r="CX23" s="740">
        <v>70.34</v>
      </c>
      <c r="CY23" s="740">
        <v>70.459999999999994</v>
      </c>
      <c r="CZ23" s="740">
        <v>70.569999999999993</v>
      </c>
      <c r="DA23" s="740">
        <v>70.69</v>
      </c>
      <c r="DB23" s="740">
        <v>70.8</v>
      </c>
      <c r="DC23" s="740">
        <v>70.91</v>
      </c>
      <c r="DD23" s="740">
        <v>71.03</v>
      </c>
      <c r="DE23" s="740">
        <v>71.14</v>
      </c>
      <c r="DF23" s="740">
        <v>71.25</v>
      </c>
      <c r="DG23" s="740">
        <v>71.349999999999994</v>
      </c>
      <c r="DH23" s="740">
        <v>71.459999999999994</v>
      </c>
      <c r="DI23" s="740">
        <v>71.569999999999993</v>
      </c>
      <c r="DJ23" s="740">
        <v>71.67</v>
      </c>
      <c r="DK23" s="740">
        <v>71.78</v>
      </c>
      <c r="DL23" s="740">
        <v>71.88</v>
      </c>
      <c r="DM23" s="740">
        <v>71.98</v>
      </c>
      <c r="DN23" s="740">
        <v>72.09</v>
      </c>
      <c r="DO23" s="740">
        <v>72.19</v>
      </c>
      <c r="DP23" s="740">
        <v>72.290000000000006</v>
      </c>
      <c r="DQ23" s="740">
        <v>72.39</v>
      </c>
      <c r="DR23" s="740">
        <v>72.48</v>
      </c>
    </row>
    <row r="24" spans="1:122">
      <c r="A24" s="912">
        <v>22</v>
      </c>
      <c r="B24" s="90"/>
      <c r="C24" s="90"/>
      <c r="D24" s="90"/>
      <c r="E24" s="90"/>
      <c r="F24" s="90"/>
      <c r="G24" s="90"/>
      <c r="H24" s="90"/>
      <c r="I24" s="90"/>
      <c r="J24" s="90"/>
      <c r="K24" s="90"/>
      <c r="L24" s="90"/>
      <c r="M24" s="90"/>
      <c r="N24" s="90"/>
      <c r="O24" s="90"/>
      <c r="P24" s="90"/>
      <c r="Q24" s="90"/>
      <c r="R24" s="90"/>
      <c r="S24" s="90"/>
      <c r="T24" s="90"/>
      <c r="U24" s="90"/>
      <c r="V24" s="740"/>
      <c r="W24" s="740">
        <v>56.52</v>
      </c>
      <c r="X24" s="740">
        <v>56.8</v>
      </c>
      <c r="Y24" s="740">
        <v>57.09</v>
      </c>
      <c r="Z24" s="740">
        <v>57.51</v>
      </c>
      <c r="AA24" s="740">
        <v>57.75</v>
      </c>
      <c r="AB24" s="740">
        <v>58.07</v>
      </c>
      <c r="AC24" s="740">
        <v>58.37</v>
      </c>
      <c r="AD24" s="740">
        <v>58.52</v>
      </c>
      <c r="AE24" s="740">
        <v>58.76</v>
      </c>
      <c r="AF24" s="740">
        <v>59.02</v>
      </c>
      <c r="AG24" s="740">
        <v>59.21</v>
      </c>
      <c r="AH24" s="740">
        <v>59.42</v>
      </c>
      <c r="AI24" s="740">
        <v>59.64</v>
      </c>
      <c r="AJ24" s="740">
        <v>59.92</v>
      </c>
      <c r="AK24" s="740">
        <v>60.2</v>
      </c>
      <c r="AL24" s="740">
        <v>60.52</v>
      </c>
      <c r="AM24" s="740">
        <v>60.8</v>
      </c>
      <c r="AN24" s="740">
        <v>61</v>
      </c>
      <c r="AO24" s="740">
        <v>61.19</v>
      </c>
      <c r="AP24" s="740">
        <v>61.33</v>
      </c>
      <c r="AQ24" s="740">
        <v>61.4</v>
      </c>
      <c r="AR24" s="740">
        <v>61.46</v>
      </c>
      <c r="AS24" s="740">
        <v>61.53</v>
      </c>
      <c r="AT24" s="740">
        <v>61.52</v>
      </c>
      <c r="AU24" s="740">
        <v>61.6</v>
      </c>
      <c r="AV24" s="740">
        <v>61.67</v>
      </c>
      <c r="AW24" s="740">
        <v>61.93</v>
      </c>
      <c r="AX24" s="740">
        <v>62</v>
      </c>
      <c r="AY24" s="740">
        <v>62.15</v>
      </c>
      <c r="AZ24" s="740">
        <v>62.3</v>
      </c>
      <c r="BA24" s="740">
        <v>62.45</v>
      </c>
      <c r="BB24" s="740">
        <v>62.58</v>
      </c>
      <c r="BC24" s="740">
        <v>62.7</v>
      </c>
      <c r="BD24" s="740">
        <v>62.82</v>
      </c>
      <c r="BE24" s="740">
        <v>62.95</v>
      </c>
      <c r="BF24" s="740">
        <v>63.12</v>
      </c>
      <c r="BG24" s="740">
        <v>63.29</v>
      </c>
      <c r="BH24" s="740">
        <v>63.48</v>
      </c>
      <c r="BI24" s="740">
        <v>63.62</v>
      </c>
      <c r="BJ24" s="740">
        <v>63.79</v>
      </c>
      <c r="BK24" s="740">
        <v>63.95</v>
      </c>
      <c r="BL24" s="740">
        <v>64.150000000000006</v>
      </c>
      <c r="BM24" s="740">
        <v>64.34</v>
      </c>
      <c r="BN24" s="740">
        <v>64.510000000000005</v>
      </c>
      <c r="BO24" s="740">
        <v>64.650000000000006</v>
      </c>
      <c r="BP24" s="740">
        <v>64.84</v>
      </c>
      <c r="BQ24" s="740">
        <v>64.98</v>
      </c>
      <c r="BR24" s="740">
        <v>65.13</v>
      </c>
      <c r="BS24" s="740">
        <v>65.31</v>
      </c>
      <c r="BT24" s="740">
        <v>65.459999999999994</v>
      </c>
      <c r="BU24" s="740">
        <v>65.59</v>
      </c>
      <c r="BV24" s="740">
        <v>65.73</v>
      </c>
      <c r="BW24" s="740">
        <v>65.88</v>
      </c>
      <c r="BX24" s="740">
        <v>66.02</v>
      </c>
      <c r="BY24" s="740">
        <v>66.16</v>
      </c>
      <c r="BZ24" s="740">
        <v>66.3</v>
      </c>
      <c r="CA24" s="740">
        <v>66.42</v>
      </c>
      <c r="CB24" s="740">
        <v>66.58</v>
      </c>
      <c r="CC24" s="740">
        <v>66.709999999999994</v>
      </c>
      <c r="CD24" s="740">
        <v>66.84</v>
      </c>
      <c r="CE24" s="740">
        <v>66.959999999999994</v>
      </c>
      <c r="CF24" s="740">
        <v>67.099999999999994</v>
      </c>
      <c r="CG24" s="740">
        <v>67.22</v>
      </c>
      <c r="CH24" s="740">
        <v>67.36</v>
      </c>
      <c r="CI24" s="740">
        <v>67.489999999999995</v>
      </c>
      <c r="CJ24" s="740">
        <v>67.61</v>
      </c>
      <c r="CK24" s="740">
        <v>67.739999999999995</v>
      </c>
      <c r="CL24" s="740">
        <v>67.87</v>
      </c>
      <c r="CM24" s="740">
        <v>68</v>
      </c>
      <c r="CN24" s="740">
        <v>68.13</v>
      </c>
      <c r="CO24" s="740">
        <v>68.260000000000005</v>
      </c>
      <c r="CP24" s="740">
        <v>68.39</v>
      </c>
      <c r="CQ24" s="740">
        <v>68.5</v>
      </c>
      <c r="CR24" s="740">
        <v>68.63</v>
      </c>
      <c r="CS24" s="740">
        <v>68.760000000000005</v>
      </c>
      <c r="CT24" s="740">
        <v>68.88</v>
      </c>
      <c r="CU24" s="740">
        <v>69</v>
      </c>
      <c r="CV24" s="740">
        <v>69.12</v>
      </c>
      <c r="CW24" s="740">
        <v>69.239999999999995</v>
      </c>
      <c r="CX24" s="740">
        <v>69.349999999999994</v>
      </c>
      <c r="CY24" s="740">
        <v>69.47</v>
      </c>
      <c r="CZ24" s="740">
        <v>69.58</v>
      </c>
      <c r="DA24" s="740">
        <v>69.7</v>
      </c>
      <c r="DB24" s="740">
        <v>69.81</v>
      </c>
      <c r="DC24" s="740">
        <v>69.92</v>
      </c>
      <c r="DD24" s="740">
        <v>70.03</v>
      </c>
      <c r="DE24" s="740">
        <v>70.14</v>
      </c>
      <c r="DF24" s="740">
        <v>70.25</v>
      </c>
      <c r="DG24" s="740">
        <v>70.36</v>
      </c>
      <c r="DH24" s="740">
        <v>70.47</v>
      </c>
      <c r="DI24" s="740">
        <v>70.58</v>
      </c>
      <c r="DJ24" s="740">
        <v>70.680000000000007</v>
      </c>
      <c r="DK24" s="740">
        <v>70.790000000000006</v>
      </c>
      <c r="DL24" s="740">
        <v>70.89</v>
      </c>
      <c r="DM24" s="740">
        <v>70.989999999999995</v>
      </c>
      <c r="DN24" s="740">
        <v>71.09</v>
      </c>
      <c r="DO24" s="740">
        <v>71.19</v>
      </c>
      <c r="DP24" s="740">
        <v>71.290000000000006</v>
      </c>
      <c r="DQ24" s="740">
        <v>71.39</v>
      </c>
      <c r="DR24" s="740">
        <v>71.489999999999995</v>
      </c>
    </row>
    <row r="25" spans="1:122">
      <c r="A25" s="912">
        <v>23</v>
      </c>
      <c r="B25" s="90"/>
      <c r="C25" s="90"/>
      <c r="D25" s="90"/>
      <c r="E25" s="90"/>
      <c r="F25" s="90"/>
      <c r="G25" s="90"/>
      <c r="H25" s="90"/>
      <c r="I25" s="90"/>
      <c r="J25" s="90"/>
      <c r="K25" s="90"/>
      <c r="L25" s="90"/>
      <c r="M25" s="90"/>
      <c r="N25" s="90"/>
      <c r="O25" s="90"/>
      <c r="P25" s="90"/>
      <c r="Q25" s="90"/>
      <c r="R25" s="90"/>
      <c r="S25" s="90"/>
      <c r="T25" s="90"/>
      <c r="U25" s="90"/>
      <c r="V25" s="740"/>
      <c r="W25" s="740">
        <v>55.66</v>
      </c>
      <c r="X25" s="740">
        <v>55.95</v>
      </c>
      <c r="Y25" s="740">
        <v>56.32</v>
      </c>
      <c r="Z25" s="740">
        <v>56.65</v>
      </c>
      <c r="AA25" s="740">
        <v>56.9</v>
      </c>
      <c r="AB25" s="740">
        <v>57.18</v>
      </c>
      <c r="AC25" s="740">
        <v>57.44</v>
      </c>
      <c r="AD25" s="740">
        <v>57.59</v>
      </c>
      <c r="AE25" s="740">
        <v>57.84</v>
      </c>
      <c r="AF25" s="740">
        <v>58.08</v>
      </c>
      <c r="AG25" s="740">
        <v>58.27</v>
      </c>
      <c r="AH25" s="740">
        <v>58.47</v>
      </c>
      <c r="AI25" s="740">
        <v>58.68</v>
      </c>
      <c r="AJ25" s="740">
        <v>58.96</v>
      </c>
      <c r="AK25" s="740">
        <v>59.24</v>
      </c>
      <c r="AL25" s="740">
        <v>59.56</v>
      </c>
      <c r="AM25" s="740">
        <v>59.84</v>
      </c>
      <c r="AN25" s="740">
        <v>60.04</v>
      </c>
      <c r="AO25" s="740">
        <v>60.22</v>
      </c>
      <c r="AP25" s="740">
        <v>60.37</v>
      </c>
      <c r="AQ25" s="740">
        <v>60.43</v>
      </c>
      <c r="AR25" s="740">
        <v>60.5</v>
      </c>
      <c r="AS25" s="740">
        <v>60.56</v>
      </c>
      <c r="AT25" s="740">
        <v>60.56</v>
      </c>
      <c r="AU25" s="740">
        <v>60.64</v>
      </c>
      <c r="AV25" s="740">
        <v>60.71</v>
      </c>
      <c r="AW25" s="740">
        <v>60.97</v>
      </c>
      <c r="AX25" s="740">
        <v>61.04</v>
      </c>
      <c r="AY25" s="740">
        <v>61.19</v>
      </c>
      <c r="AZ25" s="740">
        <v>61.33</v>
      </c>
      <c r="BA25" s="740">
        <v>61.48</v>
      </c>
      <c r="BB25" s="740">
        <v>61.61</v>
      </c>
      <c r="BC25" s="740">
        <v>61.73</v>
      </c>
      <c r="BD25" s="740">
        <v>61.86</v>
      </c>
      <c r="BE25" s="740">
        <v>61.99</v>
      </c>
      <c r="BF25" s="740">
        <v>62.16</v>
      </c>
      <c r="BG25" s="740">
        <v>62.32</v>
      </c>
      <c r="BH25" s="740">
        <v>62.52</v>
      </c>
      <c r="BI25" s="740">
        <v>62.65</v>
      </c>
      <c r="BJ25" s="740">
        <v>62.82</v>
      </c>
      <c r="BK25" s="740">
        <v>62.98</v>
      </c>
      <c r="BL25" s="740">
        <v>63.17</v>
      </c>
      <c r="BM25" s="740">
        <v>63.37</v>
      </c>
      <c r="BN25" s="740">
        <v>63.54</v>
      </c>
      <c r="BO25" s="740">
        <v>63.68</v>
      </c>
      <c r="BP25" s="740">
        <v>63.86</v>
      </c>
      <c r="BQ25" s="740">
        <v>64.010000000000005</v>
      </c>
      <c r="BR25" s="740">
        <v>64.16</v>
      </c>
      <c r="BS25" s="740">
        <v>64.33</v>
      </c>
      <c r="BT25" s="740">
        <v>64.48</v>
      </c>
      <c r="BU25" s="740">
        <v>64.62</v>
      </c>
      <c r="BV25" s="740">
        <v>64.75</v>
      </c>
      <c r="BW25" s="740">
        <v>64.91</v>
      </c>
      <c r="BX25" s="740">
        <v>65.040000000000006</v>
      </c>
      <c r="BY25" s="740">
        <v>65.180000000000007</v>
      </c>
      <c r="BZ25" s="740">
        <v>65.319999999999993</v>
      </c>
      <c r="CA25" s="740">
        <v>65.44</v>
      </c>
      <c r="CB25" s="740">
        <v>65.59</v>
      </c>
      <c r="CC25" s="740">
        <v>65.73</v>
      </c>
      <c r="CD25" s="740">
        <v>65.86</v>
      </c>
      <c r="CE25" s="740">
        <v>65.98</v>
      </c>
      <c r="CF25" s="740">
        <v>66.11</v>
      </c>
      <c r="CG25" s="740">
        <v>66.23</v>
      </c>
      <c r="CH25" s="740">
        <v>66.37</v>
      </c>
      <c r="CI25" s="740">
        <v>66.510000000000005</v>
      </c>
      <c r="CJ25" s="740">
        <v>66.62</v>
      </c>
      <c r="CK25" s="740">
        <v>66.760000000000005</v>
      </c>
      <c r="CL25" s="740">
        <v>66.89</v>
      </c>
      <c r="CM25" s="740">
        <v>67.02</v>
      </c>
      <c r="CN25" s="740">
        <v>67.150000000000006</v>
      </c>
      <c r="CO25" s="740">
        <v>67.27</v>
      </c>
      <c r="CP25" s="740">
        <v>67.400000000000006</v>
      </c>
      <c r="CQ25" s="740">
        <v>67.52</v>
      </c>
      <c r="CR25" s="740">
        <v>67.64</v>
      </c>
      <c r="CS25" s="740">
        <v>67.77</v>
      </c>
      <c r="CT25" s="740">
        <v>67.89</v>
      </c>
      <c r="CU25" s="740">
        <v>68.010000000000005</v>
      </c>
      <c r="CV25" s="740">
        <v>68.13</v>
      </c>
      <c r="CW25" s="740">
        <v>68.25</v>
      </c>
      <c r="CX25" s="740">
        <v>68.36</v>
      </c>
      <c r="CY25" s="740">
        <v>68.48</v>
      </c>
      <c r="CZ25" s="740">
        <v>68.59</v>
      </c>
      <c r="DA25" s="740">
        <v>68.709999999999994</v>
      </c>
      <c r="DB25" s="740">
        <v>68.819999999999993</v>
      </c>
      <c r="DC25" s="740">
        <v>68.930000000000007</v>
      </c>
      <c r="DD25" s="740">
        <v>69.040000000000006</v>
      </c>
      <c r="DE25" s="740">
        <v>69.150000000000006</v>
      </c>
      <c r="DF25" s="740">
        <v>69.260000000000005</v>
      </c>
      <c r="DG25" s="740">
        <v>69.37</v>
      </c>
      <c r="DH25" s="740">
        <v>69.48</v>
      </c>
      <c r="DI25" s="740">
        <v>69.58</v>
      </c>
      <c r="DJ25" s="740">
        <v>69.69</v>
      </c>
      <c r="DK25" s="740">
        <v>69.790000000000006</v>
      </c>
      <c r="DL25" s="740">
        <v>69.900000000000006</v>
      </c>
      <c r="DM25" s="740">
        <v>70</v>
      </c>
      <c r="DN25" s="740">
        <v>70.099999999999994</v>
      </c>
      <c r="DO25" s="740">
        <v>70.2</v>
      </c>
      <c r="DP25" s="740">
        <v>70.3</v>
      </c>
      <c r="DQ25" s="740">
        <v>70.400000000000006</v>
      </c>
      <c r="DR25" s="740">
        <v>70.5</v>
      </c>
    </row>
    <row r="26" spans="1:122">
      <c r="A26" s="912">
        <v>24</v>
      </c>
      <c r="B26" s="90"/>
      <c r="C26" s="90"/>
      <c r="D26" s="90"/>
      <c r="E26" s="90"/>
      <c r="F26" s="90"/>
      <c r="G26" s="90"/>
      <c r="H26" s="90"/>
      <c r="I26" s="90"/>
      <c r="J26" s="90"/>
      <c r="K26" s="90"/>
      <c r="L26" s="90"/>
      <c r="M26" s="90"/>
      <c r="N26" s="90"/>
      <c r="O26" s="90"/>
      <c r="P26" s="90"/>
      <c r="Q26" s="90"/>
      <c r="R26" s="90"/>
      <c r="S26" s="90"/>
      <c r="T26" s="90"/>
      <c r="U26" s="90"/>
      <c r="V26" s="740"/>
      <c r="W26" s="740">
        <v>54.81</v>
      </c>
      <c r="X26" s="740">
        <v>55.18</v>
      </c>
      <c r="Y26" s="740">
        <v>55.46</v>
      </c>
      <c r="Z26" s="740">
        <v>55.8</v>
      </c>
      <c r="AA26" s="740">
        <v>56.01</v>
      </c>
      <c r="AB26" s="740">
        <v>56.26</v>
      </c>
      <c r="AC26" s="740">
        <v>56.52</v>
      </c>
      <c r="AD26" s="740">
        <v>56.66</v>
      </c>
      <c r="AE26" s="740">
        <v>56.9</v>
      </c>
      <c r="AF26" s="740">
        <v>57.13</v>
      </c>
      <c r="AG26" s="740">
        <v>57.32</v>
      </c>
      <c r="AH26" s="740">
        <v>57.52</v>
      </c>
      <c r="AI26" s="740">
        <v>57.73</v>
      </c>
      <c r="AJ26" s="740">
        <v>58.01</v>
      </c>
      <c r="AK26" s="740">
        <v>58.29</v>
      </c>
      <c r="AL26" s="740">
        <v>58.6</v>
      </c>
      <c r="AM26" s="740">
        <v>58.88</v>
      </c>
      <c r="AN26" s="740">
        <v>59.09</v>
      </c>
      <c r="AO26" s="740">
        <v>59.26</v>
      </c>
      <c r="AP26" s="740">
        <v>59.41</v>
      </c>
      <c r="AQ26" s="740">
        <v>59.47</v>
      </c>
      <c r="AR26" s="740">
        <v>59.54</v>
      </c>
      <c r="AS26" s="740">
        <v>59.6</v>
      </c>
      <c r="AT26" s="740">
        <v>59.59</v>
      </c>
      <c r="AU26" s="740">
        <v>59.67</v>
      </c>
      <c r="AV26" s="740">
        <v>59.75</v>
      </c>
      <c r="AW26" s="740">
        <v>60</v>
      </c>
      <c r="AX26" s="740">
        <v>60.07</v>
      </c>
      <c r="AY26" s="740">
        <v>60.23</v>
      </c>
      <c r="AZ26" s="740">
        <v>60.37</v>
      </c>
      <c r="BA26" s="740">
        <v>60.51</v>
      </c>
      <c r="BB26" s="740">
        <v>60.65</v>
      </c>
      <c r="BC26" s="740">
        <v>60.76</v>
      </c>
      <c r="BD26" s="740">
        <v>60.89</v>
      </c>
      <c r="BE26" s="740">
        <v>61.02</v>
      </c>
      <c r="BF26" s="740">
        <v>61.19</v>
      </c>
      <c r="BG26" s="740">
        <v>61.35</v>
      </c>
      <c r="BH26" s="740">
        <v>61.54</v>
      </c>
      <c r="BI26" s="740">
        <v>61.68</v>
      </c>
      <c r="BJ26" s="740">
        <v>61.85</v>
      </c>
      <c r="BK26" s="740">
        <v>62.01</v>
      </c>
      <c r="BL26" s="740">
        <v>62.2</v>
      </c>
      <c r="BM26" s="740">
        <v>62.39</v>
      </c>
      <c r="BN26" s="740">
        <v>62.56</v>
      </c>
      <c r="BO26" s="740">
        <v>62.7</v>
      </c>
      <c r="BP26" s="740">
        <v>62.89</v>
      </c>
      <c r="BQ26" s="740">
        <v>63.03</v>
      </c>
      <c r="BR26" s="740">
        <v>63.18</v>
      </c>
      <c r="BS26" s="740">
        <v>63.35</v>
      </c>
      <c r="BT26" s="740">
        <v>63.5</v>
      </c>
      <c r="BU26" s="740">
        <v>63.64</v>
      </c>
      <c r="BV26" s="740">
        <v>63.77</v>
      </c>
      <c r="BW26" s="740">
        <v>63.92</v>
      </c>
      <c r="BX26" s="740">
        <v>64.06</v>
      </c>
      <c r="BY26" s="740">
        <v>64.2</v>
      </c>
      <c r="BZ26" s="740">
        <v>64.34</v>
      </c>
      <c r="CA26" s="740">
        <v>64.459999999999994</v>
      </c>
      <c r="CB26" s="740">
        <v>64.61</v>
      </c>
      <c r="CC26" s="740">
        <v>64.739999999999995</v>
      </c>
      <c r="CD26" s="740">
        <v>64.87</v>
      </c>
      <c r="CE26" s="740">
        <v>65</v>
      </c>
      <c r="CF26" s="740">
        <v>65.13</v>
      </c>
      <c r="CG26" s="740">
        <v>65.25</v>
      </c>
      <c r="CH26" s="740">
        <v>65.39</v>
      </c>
      <c r="CI26" s="740">
        <v>65.52</v>
      </c>
      <c r="CJ26" s="740">
        <v>65.64</v>
      </c>
      <c r="CK26" s="740">
        <v>65.78</v>
      </c>
      <c r="CL26" s="740">
        <v>65.900000000000006</v>
      </c>
      <c r="CM26" s="740">
        <v>66.03</v>
      </c>
      <c r="CN26" s="740">
        <v>66.16</v>
      </c>
      <c r="CO26" s="740">
        <v>66.290000000000006</v>
      </c>
      <c r="CP26" s="740">
        <v>66.41</v>
      </c>
      <c r="CQ26" s="740">
        <v>66.53</v>
      </c>
      <c r="CR26" s="740">
        <v>66.66</v>
      </c>
      <c r="CS26" s="740">
        <v>66.78</v>
      </c>
      <c r="CT26" s="740">
        <v>66.900000000000006</v>
      </c>
      <c r="CU26" s="740">
        <v>67.02</v>
      </c>
      <c r="CV26" s="740">
        <v>67.14</v>
      </c>
      <c r="CW26" s="740">
        <v>67.260000000000005</v>
      </c>
      <c r="CX26" s="740">
        <v>67.37</v>
      </c>
      <c r="CY26" s="740">
        <v>67.489999999999995</v>
      </c>
      <c r="CZ26" s="740">
        <v>67.599999999999994</v>
      </c>
      <c r="DA26" s="740">
        <v>67.72</v>
      </c>
      <c r="DB26" s="740">
        <v>67.83</v>
      </c>
      <c r="DC26" s="740">
        <v>67.94</v>
      </c>
      <c r="DD26" s="740">
        <v>68.05</v>
      </c>
      <c r="DE26" s="740">
        <v>68.16</v>
      </c>
      <c r="DF26" s="740">
        <v>68.27</v>
      </c>
      <c r="DG26" s="740">
        <v>68.38</v>
      </c>
      <c r="DH26" s="740">
        <v>68.48</v>
      </c>
      <c r="DI26" s="740">
        <v>68.59</v>
      </c>
      <c r="DJ26" s="740">
        <v>68.69</v>
      </c>
      <c r="DK26" s="740">
        <v>68.8</v>
      </c>
      <c r="DL26" s="740">
        <v>68.900000000000006</v>
      </c>
      <c r="DM26" s="740">
        <v>69</v>
      </c>
      <c r="DN26" s="740">
        <v>69.11</v>
      </c>
      <c r="DO26" s="740">
        <v>69.209999999999994</v>
      </c>
      <c r="DP26" s="740">
        <v>69.3</v>
      </c>
      <c r="DQ26" s="740">
        <v>69.400000000000006</v>
      </c>
      <c r="DR26" s="740">
        <v>69.5</v>
      </c>
    </row>
    <row r="27" spans="1:122">
      <c r="A27" s="912">
        <v>25</v>
      </c>
      <c r="B27" s="90"/>
      <c r="C27" s="90"/>
      <c r="D27" s="90"/>
      <c r="E27" s="90"/>
      <c r="F27" s="90"/>
      <c r="G27" s="90"/>
      <c r="H27" s="90"/>
      <c r="I27" s="90"/>
      <c r="J27" s="90"/>
      <c r="K27" s="90"/>
      <c r="L27" s="90"/>
      <c r="M27" s="90"/>
      <c r="N27" s="90"/>
      <c r="O27" s="90"/>
      <c r="P27" s="90"/>
      <c r="Q27" s="90"/>
      <c r="R27" s="90"/>
      <c r="S27" s="90"/>
      <c r="T27" s="90"/>
      <c r="U27" s="90"/>
      <c r="V27" s="740"/>
      <c r="W27" s="740">
        <v>54.04</v>
      </c>
      <c r="X27" s="740">
        <v>54.32</v>
      </c>
      <c r="Y27" s="740">
        <v>54.6</v>
      </c>
      <c r="Z27" s="740">
        <v>54.92</v>
      </c>
      <c r="AA27" s="740">
        <v>55.09</v>
      </c>
      <c r="AB27" s="740">
        <v>55.33</v>
      </c>
      <c r="AC27" s="740">
        <v>55.59</v>
      </c>
      <c r="AD27" s="740">
        <v>55.73</v>
      </c>
      <c r="AE27" s="740">
        <v>55.95</v>
      </c>
      <c r="AF27" s="740">
        <v>56.18</v>
      </c>
      <c r="AG27" s="740">
        <v>56.37</v>
      </c>
      <c r="AH27" s="740">
        <v>56.57</v>
      </c>
      <c r="AI27" s="740">
        <v>56.77</v>
      </c>
      <c r="AJ27" s="740">
        <v>57.05</v>
      </c>
      <c r="AK27" s="740">
        <v>57.33</v>
      </c>
      <c r="AL27" s="740">
        <v>57.64</v>
      </c>
      <c r="AM27" s="740">
        <v>57.92</v>
      </c>
      <c r="AN27" s="740">
        <v>58.12</v>
      </c>
      <c r="AO27" s="740">
        <v>58.3</v>
      </c>
      <c r="AP27" s="740">
        <v>58.44</v>
      </c>
      <c r="AQ27" s="740">
        <v>58.51</v>
      </c>
      <c r="AR27" s="740">
        <v>58.58</v>
      </c>
      <c r="AS27" s="740">
        <v>58.64</v>
      </c>
      <c r="AT27" s="740">
        <v>58.63</v>
      </c>
      <c r="AU27" s="740">
        <v>58.71</v>
      </c>
      <c r="AV27" s="740">
        <v>58.79</v>
      </c>
      <c r="AW27" s="740">
        <v>59.04</v>
      </c>
      <c r="AX27" s="740">
        <v>59.11</v>
      </c>
      <c r="AY27" s="740">
        <v>59.26</v>
      </c>
      <c r="AZ27" s="740">
        <v>59.4</v>
      </c>
      <c r="BA27" s="740">
        <v>59.55</v>
      </c>
      <c r="BB27" s="740">
        <v>59.68</v>
      </c>
      <c r="BC27" s="740">
        <v>59.8</v>
      </c>
      <c r="BD27" s="740">
        <v>59.93</v>
      </c>
      <c r="BE27" s="740">
        <v>60.05</v>
      </c>
      <c r="BF27" s="740">
        <v>60.22</v>
      </c>
      <c r="BG27" s="740">
        <v>60.38</v>
      </c>
      <c r="BH27" s="740">
        <v>60.57</v>
      </c>
      <c r="BI27" s="740">
        <v>60.71</v>
      </c>
      <c r="BJ27" s="740">
        <v>60.87</v>
      </c>
      <c r="BK27" s="740">
        <v>61.04</v>
      </c>
      <c r="BL27" s="740">
        <v>61.22</v>
      </c>
      <c r="BM27" s="740">
        <v>61.42</v>
      </c>
      <c r="BN27" s="740">
        <v>61.58</v>
      </c>
      <c r="BO27" s="740">
        <v>61.73</v>
      </c>
      <c r="BP27" s="740">
        <v>61.91</v>
      </c>
      <c r="BQ27" s="740">
        <v>62.06</v>
      </c>
      <c r="BR27" s="740">
        <v>62.2</v>
      </c>
      <c r="BS27" s="740">
        <v>62.37</v>
      </c>
      <c r="BT27" s="740">
        <v>62.52</v>
      </c>
      <c r="BU27" s="740">
        <v>62.66</v>
      </c>
      <c r="BV27" s="740">
        <v>62.79</v>
      </c>
      <c r="BW27" s="740">
        <v>62.94</v>
      </c>
      <c r="BX27" s="740">
        <v>63.08</v>
      </c>
      <c r="BY27" s="740">
        <v>63.22</v>
      </c>
      <c r="BZ27" s="740">
        <v>63.35</v>
      </c>
      <c r="CA27" s="740">
        <v>63.48</v>
      </c>
      <c r="CB27" s="740">
        <v>63.62</v>
      </c>
      <c r="CC27" s="740">
        <v>63.76</v>
      </c>
      <c r="CD27" s="740">
        <v>63.89</v>
      </c>
      <c r="CE27" s="740">
        <v>64.010000000000005</v>
      </c>
      <c r="CF27" s="740">
        <v>64.14</v>
      </c>
      <c r="CG27" s="740">
        <v>64.260000000000005</v>
      </c>
      <c r="CH27" s="740">
        <v>64.400000000000006</v>
      </c>
      <c r="CI27" s="740">
        <v>64.540000000000006</v>
      </c>
      <c r="CJ27" s="740">
        <v>64.650000000000006</v>
      </c>
      <c r="CK27" s="740">
        <v>64.790000000000006</v>
      </c>
      <c r="CL27" s="740">
        <v>64.92</v>
      </c>
      <c r="CM27" s="740">
        <v>65.040000000000006</v>
      </c>
      <c r="CN27" s="740">
        <v>65.17</v>
      </c>
      <c r="CO27" s="740">
        <v>65.3</v>
      </c>
      <c r="CP27" s="740">
        <v>65.42</v>
      </c>
      <c r="CQ27" s="740">
        <v>65.540000000000006</v>
      </c>
      <c r="CR27" s="740">
        <v>65.67</v>
      </c>
      <c r="CS27" s="740">
        <v>65.790000000000006</v>
      </c>
      <c r="CT27" s="740">
        <v>65.91</v>
      </c>
      <c r="CU27" s="740">
        <v>66.03</v>
      </c>
      <c r="CV27" s="740">
        <v>66.150000000000006</v>
      </c>
      <c r="CW27" s="740">
        <v>66.27</v>
      </c>
      <c r="CX27" s="740">
        <v>66.38</v>
      </c>
      <c r="CY27" s="740">
        <v>66.5</v>
      </c>
      <c r="CZ27" s="740">
        <v>66.61</v>
      </c>
      <c r="DA27" s="740">
        <v>66.73</v>
      </c>
      <c r="DB27" s="740">
        <v>66.84</v>
      </c>
      <c r="DC27" s="740">
        <v>66.95</v>
      </c>
      <c r="DD27" s="740">
        <v>67.06</v>
      </c>
      <c r="DE27" s="740">
        <v>67.17</v>
      </c>
      <c r="DF27" s="740">
        <v>67.28</v>
      </c>
      <c r="DG27" s="740">
        <v>67.38</v>
      </c>
      <c r="DH27" s="740">
        <v>67.489999999999995</v>
      </c>
      <c r="DI27" s="740">
        <v>67.599999999999994</v>
      </c>
      <c r="DJ27" s="740">
        <v>67.7</v>
      </c>
      <c r="DK27" s="740">
        <v>67.81</v>
      </c>
      <c r="DL27" s="740">
        <v>67.91</v>
      </c>
      <c r="DM27" s="740">
        <v>68.010000000000005</v>
      </c>
      <c r="DN27" s="740">
        <v>68.11</v>
      </c>
      <c r="DO27" s="740">
        <v>68.209999999999994</v>
      </c>
      <c r="DP27" s="740">
        <v>68.31</v>
      </c>
      <c r="DQ27" s="740">
        <v>68.41</v>
      </c>
      <c r="DR27" s="740">
        <v>68.510000000000005</v>
      </c>
    </row>
    <row r="28" spans="1:122">
      <c r="A28" s="912">
        <v>26</v>
      </c>
      <c r="B28" s="90"/>
      <c r="C28" s="90"/>
      <c r="D28" s="90"/>
      <c r="E28" s="90"/>
      <c r="F28" s="90"/>
      <c r="G28" s="90"/>
      <c r="H28" s="90"/>
      <c r="I28" s="90"/>
      <c r="J28" s="90"/>
      <c r="K28" s="90"/>
      <c r="L28" s="90"/>
      <c r="M28" s="90"/>
      <c r="N28" s="90"/>
      <c r="O28" s="90"/>
      <c r="P28" s="90"/>
      <c r="Q28" s="90"/>
      <c r="R28" s="90"/>
      <c r="S28" s="90"/>
      <c r="T28" s="90"/>
      <c r="U28" s="90"/>
      <c r="V28" s="740"/>
      <c r="W28" s="740">
        <v>53.18</v>
      </c>
      <c r="X28" s="740">
        <v>53.46</v>
      </c>
      <c r="Y28" s="740">
        <v>53.72</v>
      </c>
      <c r="Z28" s="740">
        <v>53.99</v>
      </c>
      <c r="AA28" s="740">
        <v>54.16</v>
      </c>
      <c r="AB28" s="740">
        <v>54.4</v>
      </c>
      <c r="AC28" s="740">
        <v>54.65</v>
      </c>
      <c r="AD28" s="740">
        <v>54.78</v>
      </c>
      <c r="AE28" s="740">
        <v>55</v>
      </c>
      <c r="AF28" s="740">
        <v>55.23</v>
      </c>
      <c r="AG28" s="740">
        <v>55.42</v>
      </c>
      <c r="AH28" s="740">
        <v>55.62</v>
      </c>
      <c r="AI28" s="740">
        <v>55.81</v>
      </c>
      <c r="AJ28" s="740">
        <v>56.1</v>
      </c>
      <c r="AK28" s="740">
        <v>56.37</v>
      </c>
      <c r="AL28" s="740">
        <v>56.68</v>
      </c>
      <c r="AM28" s="740">
        <v>56.96</v>
      </c>
      <c r="AN28" s="740">
        <v>57.16</v>
      </c>
      <c r="AO28" s="740">
        <v>57.33</v>
      </c>
      <c r="AP28" s="740">
        <v>57.48</v>
      </c>
      <c r="AQ28" s="740">
        <v>57.54</v>
      </c>
      <c r="AR28" s="740">
        <v>57.62</v>
      </c>
      <c r="AS28" s="740">
        <v>57.67</v>
      </c>
      <c r="AT28" s="740">
        <v>57.66</v>
      </c>
      <c r="AU28" s="740">
        <v>57.74</v>
      </c>
      <c r="AV28" s="740">
        <v>57.82</v>
      </c>
      <c r="AW28" s="740">
        <v>58.07</v>
      </c>
      <c r="AX28" s="740">
        <v>58.15</v>
      </c>
      <c r="AY28" s="740">
        <v>58.3</v>
      </c>
      <c r="AZ28" s="740">
        <v>58.43</v>
      </c>
      <c r="BA28" s="740">
        <v>58.58</v>
      </c>
      <c r="BB28" s="740">
        <v>58.72</v>
      </c>
      <c r="BC28" s="740">
        <v>58.83</v>
      </c>
      <c r="BD28" s="740">
        <v>58.96</v>
      </c>
      <c r="BE28" s="740">
        <v>59.08</v>
      </c>
      <c r="BF28" s="740">
        <v>59.24</v>
      </c>
      <c r="BG28" s="740">
        <v>59.41</v>
      </c>
      <c r="BH28" s="740">
        <v>59.6</v>
      </c>
      <c r="BI28" s="740">
        <v>59.74</v>
      </c>
      <c r="BJ28" s="740">
        <v>59.9</v>
      </c>
      <c r="BK28" s="740">
        <v>60.06</v>
      </c>
      <c r="BL28" s="740">
        <v>60.25</v>
      </c>
      <c r="BM28" s="740">
        <v>60.44</v>
      </c>
      <c r="BN28" s="740">
        <v>60.61</v>
      </c>
      <c r="BO28" s="740">
        <v>60.76</v>
      </c>
      <c r="BP28" s="740">
        <v>60.93</v>
      </c>
      <c r="BQ28" s="740">
        <v>61.08</v>
      </c>
      <c r="BR28" s="740">
        <v>61.23</v>
      </c>
      <c r="BS28" s="740">
        <v>61.39</v>
      </c>
      <c r="BT28" s="740">
        <v>61.54</v>
      </c>
      <c r="BU28" s="740">
        <v>61.68</v>
      </c>
      <c r="BV28" s="740">
        <v>61.81</v>
      </c>
      <c r="BW28" s="740">
        <v>61.97</v>
      </c>
      <c r="BX28" s="740">
        <v>62.09</v>
      </c>
      <c r="BY28" s="740">
        <v>62.24</v>
      </c>
      <c r="BZ28" s="740">
        <v>62.37</v>
      </c>
      <c r="CA28" s="740">
        <v>62.5</v>
      </c>
      <c r="CB28" s="740">
        <v>62.64</v>
      </c>
      <c r="CC28" s="740">
        <v>62.77</v>
      </c>
      <c r="CD28" s="740">
        <v>62.9</v>
      </c>
      <c r="CE28" s="740">
        <v>63.03</v>
      </c>
      <c r="CF28" s="740">
        <v>63.16</v>
      </c>
      <c r="CG28" s="740">
        <v>63.28</v>
      </c>
      <c r="CH28" s="740">
        <v>63.42</v>
      </c>
      <c r="CI28" s="740">
        <v>63.55</v>
      </c>
      <c r="CJ28" s="740">
        <v>63.67</v>
      </c>
      <c r="CK28" s="740">
        <v>63.8</v>
      </c>
      <c r="CL28" s="740">
        <v>63.93</v>
      </c>
      <c r="CM28" s="740">
        <v>64.06</v>
      </c>
      <c r="CN28" s="740">
        <v>64.180000000000007</v>
      </c>
      <c r="CO28" s="740">
        <v>64.31</v>
      </c>
      <c r="CP28" s="740">
        <v>64.44</v>
      </c>
      <c r="CQ28" s="740">
        <v>64.56</v>
      </c>
      <c r="CR28" s="740">
        <v>64.680000000000007</v>
      </c>
      <c r="CS28" s="740">
        <v>64.8</v>
      </c>
      <c r="CT28" s="740">
        <v>64.92</v>
      </c>
      <c r="CU28" s="740">
        <v>65.040000000000006</v>
      </c>
      <c r="CV28" s="740">
        <v>65.16</v>
      </c>
      <c r="CW28" s="740">
        <v>65.28</v>
      </c>
      <c r="CX28" s="740">
        <v>65.39</v>
      </c>
      <c r="CY28" s="740">
        <v>65.510000000000005</v>
      </c>
      <c r="CZ28" s="740">
        <v>65.62</v>
      </c>
      <c r="DA28" s="740">
        <v>65.73</v>
      </c>
      <c r="DB28" s="740">
        <v>65.849999999999994</v>
      </c>
      <c r="DC28" s="740">
        <v>65.959999999999994</v>
      </c>
      <c r="DD28" s="740">
        <v>66.069999999999993</v>
      </c>
      <c r="DE28" s="740">
        <v>66.180000000000007</v>
      </c>
      <c r="DF28" s="740">
        <v>66.290000000000006</v>
      </c>
      <c r="DG28" s="740">
        <v>66.39</v>
      </c>
      <c r="DH28" s="740">
        <v>66.5</v>
      </c>
      <c r="DI28" s="740">
        <v>66.599999999999994</v>
      </c>
      <c r="DJ28" s="740">
        <v>66.709999999999994</v>
      </c>
      <c r="DK28" s="740">
        <v>66.81</v>
      </c>
      <c r="DL28" s="740">
        <v>66.92</v>
      </c>
      <c r="DM28" s="740">
        <v>67.02</v>
      </c>
      <c r="DN28" s="740">
        <v>67.12</v>
      </c>
      <c r="DO28" s="740">
        <v>67.22</v>
      </c>
      <c r="DP28" s="740">
        <v>67.319999999999993</v>
      </c>
      <c r="DQ28" s="740">
        <v>67.41</v>
      </c>
      <c r="DR28" s="740">
        <v>67.510000000000005</v>
      </c>
    </row>
    <row r="29" spans="1:122">
      <c r="A29" s="912">
        <v>27</v>
      </c>
      <c r="B29" s="90"/>
      <c r="C29" s="90"/>
      <c r="D29" s="90"/>
      <c r="E29" s="90"/>
      <c r="F29" s="90"/>
      <c r="G29" s="90"/>
      <c r="H29" s="90"/>
      <c r="I29" s="90"/>
      <c r="J29" s="90"/>
      <c r="K29" s="90"/>
      <c r="L29" s="90"/>
      <c r="M29" s="90"/>
      <c r="N29" s="90"/>
      <c r="O29" s="90"/>
      <c r="P29" s="90"/>
      <c r="Q29" s="90"/>
      <c r="R29" s="90"/>
      <c r="S29" s="90"/>
      <c r="T29" s="90"/>
      <c r="U29" s="90"/>
      <c r="V29" s="740"/>
      <c r="W29" s="740">
        <v>52.31</v>
      </c>
      <c r="X29" s="740">
        <v>52.57</v>
      </c>
      <c r="Y29" s="740">
        <v>52.79</v>
      </c>
      <c r="Z29" s="740">
        <v>53.06</v>
      </c>
      <c r="AA29" s="740">
        <v>53.23</v>
      </c>
      <c r="AB29" s="740">
        <v>53.46</v>
      </c>
      <c r="AC29" s="740">
        <v>53.71</v>
      </c>
      <c r="AD29" s="740">
        <v>53.84</v>
      </c>
      <c r="AE29" s="740">
        <v>54.06</v>
      </c>
      <c r="AF29" s="740">
        <v>54.28</v>
      </c>
      <c r="AG29" s="740">
        <v>54.47</v>
      </c>
      <c r="AH29" s="740">
        <v>54.66</v>
      </c>
      <c r="AI29" s="740">
        <v>54.86</v>
      </c>
      <c r="AJ29" s="740">
        <v>55.14</v>
      </c>
      <c r="AK29" s="740">
        <v>55.42</v>
      </c>
      <c r="AL29" s="740">
        <v>55.72</v>
      </c>
      <c r="AM29" s="740">
        <v>55.99</v>
      </c>
      <c r="AN29" s="740">
        <v>56.2</v>
      </c>
      <c r="AO29" s="740">
        <v>56.37</v>
      </c>
      <c r="AP29" s="740">
        <v>56.52</v>
      </c>
      <c r="AQ29" s="740">
        <v>56.58</v>
      </c>
      <c r="AR29" s="740">
        <v>56.66</v>
      </c>
      <c r="AS29" s="740">
        <v>56.71</v>
      </c>
      <c r="AT29" s="740">
        <v>56.7</v>
      </c>
      <c r="AU29" s="740">
        <v>56.78</v>
      </c>
      <c r="AV29" s="740">
        <v>56.86</v>
      </c>
      <c r="AW29" s="740">
        <v>57.11</v>
      </c>
      <c r="AX29" s="740">
        <v>57.18</v>
      </c>
      <c r="AY29" s="740">
        <v>57.33</v>
      </c>
      <c r="AZ29" s="740">
        <v>57.47</v>
      </c>
      <c r="BA29" s="740">
        <v>57.61</v>
      </c>
      <c r="BB29" s="740">
        <v>57.75</v>
      </c>
      <c r="BC29" s="740">
        <v>57.86</v>
      </c>
      <c r="BD29" s="740">
        <v>58</v>
      </c>
      <c r="BE29" s="740">
        <v>58.12</v>
      </c>
      <c r="BF29" s="740">
        <v>58.27</v>
      </c>
      <c r="BG29" s="740">
        <v>58.44</v>
      </c>
      <c r="BH29" s="740">
        <v>58.63</v>
      </c>
      <c r="BI29" s="740">
        <v>58.76</v>
      </c>
      <c r="BJ29" s="740">
        <v>58.92</v>
      </c>
      <c r="BK29" s="740">
        <v>59.08</v>
      </c>
      <c r="BL29" s="740">
        <v>59.27</v>
      </c>
      <c r="BM29" s="740">
        <v>59.46</v>
      </c>
      <c r="BN29" s="740">
        <v>59.63</v>
      </c>
      <c r="BO29" s="740">
        <v>59.78</v>
      </c>
      <c r="BP29" s="740">
        <v>59.95</v>
      </c>
      <c r="BQ29" s="740">
        <v>60.11</v>
      </c>
      <c r="BR29" s="740">
        <v>60.25</v>
      </c>
      <c r="BS29" s="740">
        <v>60.41</v>
      </c>
      <c r="BT29" s="740">
        <v>60.56</v>
      </c>
      <c r="BU29" s="740">
        <v>60.7</v>
      </c>
      <c r="BV29" s="740">
        <v>60.83</v>
      </c>
      <c r="BW29" s="740">
        <v>60.98</v>
      </c>
      <c r="BX29" s="740">
        <v>61.11</v>
      </c>
      <c r="BY29" s="740">
        <v>61.25</v>
      </c>
      <c r="BZ29" s="740">
        <v>61.39</v>
      </c>
      <c r="CA29" s="740">
        <v>61.52</v>
      </c>
      <c r="CB29" s="740">
        <v>61.65</v>
      </c>
      <c r="CC29" s="740">
        <v>61.79</v>
      </c>
      <c r="CD29" s="740">
        <v>61.92</v>
      </c>
      <c r="CE29" s="740">
        <v>62.04</v>
      </c>
      <c r="CF29" s="740">
        <v>62.18</v>
      </c>
      <c r="CG29" s="740">
        <v>62.29</v>
      </c>
      <c r="CH29" s="740">
        <v>62.43</v>
      </c>
      <c r="CI29" s="740">
        <v>62.56</v>
      </c>
      <c r="CJ29" s="740">
        <v>62.68</v>
      </c>
      <c r="CK29" s="740">
        <v>62.81</v>
      </c>
      <c r="CL29" s="740">
        <v>62.94</v>
      </c>
      <c r="CM29" s="740">
        <v>63.07</v>
      </c>
      <c r="CN29" s="740">
        <v>63.2</v>
      </c>
      <c r="CO29" s="740">
        <v>63.32</v>
      </c>
      <c r="CP29" s="740">
        <v>63.45</v>
      </c>
      <c r="CQ29" s="740">
        <v>63.57</v>
      </c>
      <c r="CR29" s="740">
        <v>63.69</v>
      </c>
      <c r="CS29" s="740">
        <v>63.81</v>
      </c>
      <c r="CT29" s="740">
        <v>63.93</v>
      </c>
      <c r="CU29" s="740">
        <v>64.05</v>
      </c>
      <c r="CV29" s="740">
        <v>64.17</v>
      </c>
      <c r="CW29" s="740">
        <v>64.290000000000006</v>
      </c>
      <c r="CX29" s="740">
        <v>64.400000000000006</v>
      </c>
      <c r="CY29" s="740">
        <v>64.52</v>
      </c>
      <c r="CZ29" s="740">
        <v>64.63</v>
      </c>
      <c r="DA29" s="740">
        <v>64.739999999999995</v>
      </c>
      <c r="DB29" s="740">
        <v>64.849999999999994</v>
      </c>
      <c r="DC29" s="740">
        <v>64.97</v>
      </c>
      <c r="DD29" s="740">
        <v>65.08</v>
      </c>
      <c r="DE29" s="740">
        <v>65.180000000000007</v>
      </c>
      <c r="DF29" s="740">
        <v>65.290000000000006</v>
      </c>
      <c r="DG29" s="740">
        <v>65.400000000000006</v>
      </c>
      <c r="DH29" s="740">
        <v>65.510000000000005</v>
      </c>
      <c r="DI29" s="740">
        <v>65.61</v>
      </c>
      <c r="DJ29" s="740">
        <v>65.72</v>
      </c>
      <c r="DK29" s="740">
        <v>65.819999999999993</v>
      </c>
      <c r="DL29" s="740">
        <v>65.92</v>
      </c>
      <c r="DM29" s="740">
        <v>66.02</v>
      </c>
      <c r="DN29" s="740">
        <v>66.12</v>
      </c>
      <c r="DO29" s="740">
        <v>66.22</v>
      </c>
      <c r="DP29" s="740">
        <v>66.319999999999993</v>
      </c>
      <c r="DQ29" s="740">
        <v>66.42</v>
      </c>
      <c r="DR29" s="740">
        <v>66.52</v>
      </c>
    </row>
    <row r="30" spans="1:122">
      <c r="A30" s="912">
        <v>28</v>
      </c>
      <c r="B30" s="90"/>
      <c r="C30" s="90"/>
      <c r="D30" s="90"/>
      <c r="E30" s="90"/>
      <c r="F30" s="90"/>
      <c r="G30" s="90"/>
      <c r="H30" s="90"/>
      <c r="I30" s="90"/>
      <c r="J30" s="90"/>
      <c r="K30" s="90"/>
      <c r="L30" s="90"/>
      <c r="M30" s="90"/>
      <c r="N30" s="90"/>
      <c r="O30" s="90"/>
      <c r="P30" s="90"/>
      <c r="Q30" s="90"/>
      <c r="R30" s="90"/>
      <c r="S30" s="90"/>
      <c r="T30" s="90"/>
      <c r="U30" s="90"/>
      <c r="V30" s="740"/>
      <c r="W30" s="740">
        <v>51.42</v>
      </c>
      <c r="X30" s="740">
        <v>51.65</v>
      </c>
      <c r="Y30" s="740">
        <v>51.87</v>
      </c>
      <c r="Z30" s="740">
        <v>52.14</v>
      </c>
      <c r="AA30" s="740">
        <v>52.3</v>
      </c>
      <c r="AB30" s="740">
        <v>52.52</v>
      </c>
      <c r="AC30" s="740">
        <v>52.76</v>
      </c>
      <c r="AD30" s="740">
        <v>52.89</v>
      </c>
      <c r="AE30" s="740">
        <v>53.11</v>
      </c>
      <c r="AF30" s="740">
        <v>53.33</v>
      </c>
      <c r="AG30" s="740">
        <v>53.52</v>
      </c>
      <c r="AH30" s="740">
        <v>53.71</v>
      </c>
      <c r="AI30" s="740">
        <v>53.9</v>
      </c>
      <c r="AJ30" s="740">
        <v>54.19</v>
      </c>
      <c r="AK30" s="740">
        <v>54.46</v>
      </c>
      <c r="AL30" s="740">
        <v>54.76</v>
      </c>
      <c r="AM30" s="740">
        <v>55.03</v>
      </c>
      <c r="AN30" s="740">
        <v>55.24</v>
      </c>
      <c r="AO30" s="740">
        <v>55.41</v>
      </c>
      <c r="AP30" s="740">
        <v>55.56</v>
      </c>
      <c r="AQ30" s="740">
        <v>55.62</v>
      </c>
      <c r="AR30" s="740">
        <v>55.7</v>
      </c>
      <c r="AS30" s="740">
        <v>55.75</v>
      </c>
      <c r="AT30" s="740">
        <v>55.74</v>
      </c>
      <c r="AU30" s="740">
        <v>55.81</v>
      </c>
      <c r="AV30" s="740">
        <v>55.9</v>
      </c>
      <c r="AW30" s="740">
        <v>56.14</v>
      </c>
      <c r="AX30" s="740">
        <v>56.21</v>
      </c>
      <c r="AY30" s="740">
        <v>56.37</v>
      </c>
      <c r="AZ30" s="740">
        <v>56.51</v>
      </c>
      <c r="BA30" s="740">
        <v>56.65</v>
      </c>
      <c r="BB30" s="740">
        <v>56.78</v>
      </c>
      <c r="BC30" s="740">
        <v>56.9</v>
      </c>
      <c r="BD30" s="740">
        <v>57.03</v>
      </c>
      <c r="BE30" s="740">
        <v>57.15</v>
      </c>
      <c r="BF30" s="740">
        <v>57.3</v>
      </c>
      <c r="BG30" s="740">
        <v>57.47</v>
      </c>
      <c r="BH30" s="740">
        <v>57.65</v>
      </c>
      <c r="BI30" s="740">
        <v>57.79</v>
      </c>
      <c r="BJ30" s="740">
        <v>57.95</v>
      </c>
      <c r="BK30" s="740">
        <v>58.11</v>
      </c>
      <c r="BL30" s="740">
        <v>58.3</v>
      </c>
      <c r="BM30" s="740">
        <v>58.49</v>
      </c>
      <c r="BN30" s="740">
        <v>58.65</v>
      </c>
      <c r="BO30" s="740">
        <v>58.81</v>
      </c>
      <c r="BP30" s="740">
        <v>58.97</v>
      </c>
      <c r="BQ30" s="740">
        <v>59.13</v>
      </c>
      <c r="BR30" s="740">
        <v>59.27</v>
      </c>
      <c r="BS30" s="740">
        <v>59.43</v>
      </c>
      <c r="BT30" s="740">
        <v>59.58</v>
      </c>
      <c r="BU30" s="740">
        <v>59.72</v>
      </c>
      <c r="BV30" s="740">
        <v>59.85</v>
      </c>
      <c r="BW30" s="740">
        <v>60</v>
      </c>
      <c r="BX30" s="740">
        <v>60.13</v>
      </c>
      <c r="BY30" s="740">
        <v>60.27</v>
      </c>
      <c r="BZ30" s="740">
        <v>60.4</v>
      </c>
      <c r="CA30" s="740">
        <v>60.53</v>
      </c>
      <c r="CB30" s="740">
        <v>60.67</v>
      </c>
      <c r="CC30" s="740">
        <v>60.81</v>
      </c>
      <c r="CD30" s="740">
        <v>60.93</v>
      </c>
      <c r="CE30" s="740">
        <v>61.06</v>
      </c>
      <c r="CF30" s="740">
        <v>61.19</v>
      </c>
      <c r="CG30" s="740">
        <v>61.31</v>
      </c>
      <c r="CH30" s="740">
        <v>61.45</v>
      </c>
      <c r="CI30" s="740">
        <v>61.58</v>
      </c>
      <c r="CJ30" s="740">
        <v>61.69</v>
      </c>
      <c r="CK30" s="740">
        <v>61.83</v>
      </c>
      <c r="CL30" s="740">
        <v>61.96</v>
      </c>
      <c r="CM30" s="740">
        <v>62.08</v>
      </c>
      <c r="CN30" s="740">
        <v>62.21</v>
      </c>
      <c r="CO30" s="740">
        <v>62.33</v>
      </c>
      <c r="CP30" s="740">
        <v>62.46</v>
      </c>
      <c r="CQ30" s="740">
        <v>62.58</v>
      </c>
      <c r="CR30" s="740">
        <v>62.7</v>
      </c>
      <c r="CS30" s="740">
        <v>62.82</v>
      </c>
      <c r="CT30" s="740">
        <v>62.94</v>
      </c>
      <c r="CU30" s="740">
        <v>63.06</v>
      </c>
      <c r="CV30" s="740">
        <v>63.18</v>
      </c>
      <c r="CW30" s="740">
        <v>63.3</v>
      </c>
      <c r="CX30" s="740">
        <v>63.41</v>
      </c>
      <c r="CY30" s="740">
        <v>63.53</v>
      </c>
      <c r="CZ30" s="740">
        <v>63.64</v>
      </c>
      <c r="DA30" s="740">
        <v>63.75</v>
      </c>
      <c r="DB30" s="740">
        <v>63.86</v>
      </c>
      <c r="DC30" s="740">
        <v>63.97</v>
      </c>
      <c r="DD30" s="740">
        <v>64.08</v>
      </c>
      <c r="DE30" s="740">
        <v>64.19</v>
      </c>
      <c r="DF30" s="740">
        <v>64.3</v>
      </c>
      <c r="DG30" s="740">
        <v>64.41</v>
      </c>
      <c r="DH30" s="740">
        <v>64.510000000000005</v>
      </c>
      <c r="DI30" s="740">
        <v>64.62</v>
      </c>
      <c r="DJ30" s="740">
        <v>64.72</v>
      </c>
      <c r="DK30" s="740">
        <v>64.83</v>
      </c>
      <c r="DL30" s="740">
        <v>64.930000000000007</v>
      </c>
      <c r="DM30" s="740">
        <v>65.03</v>
      </c>
      <c r="DN30" s="740">
        <v>65.13</v>
      </c>
      <c r="DO30" s="740">
        <v>65.23</v>
      </c>
      <c r="DP30" s="740">
        <v>65.33</v>
      </c>
      <c r="DQ30" s="740">
        <v>65.430000000000007</v>
      </c>
      <c r="DR30" s="740">
        <v>65.52</v>
      </c>
    </row>
    <row r="31" spans="1:122">
      <c r="A31" s="912">
        <v>29</v>
      </c>
      <c r="B31" s="90"/>
      <c r="C31" s="90"/>
      <c r="D31" s="90"/>
      <c r="E31" s="90"/>
      <c r="F31" s="90"/>
      <c r="G31" s="90"/>
      <c r="H31" s="90"/>
      <c r="I31" s="90"/>
      <c r="J31" s="90"/>
      <c r="K31" s="90"/>
      <c r="L31" s="90"/>
      <c r="M31" s="90"/>
      <c r="N31" s="90"/>
      <c r="O31" s="90"/>
      <c r="P31" s="90"/>
      <c r="Q31" s="90"/>
      <c r="R31" s="90"/>
      <c r="S31" s="90"/>
      <c r="T31" s="90"/>
      <c r="U31" s="90"/>
      <c r="V31" s="740"/>
      <c r="W31" s="740">
        <v>50.5</v>
      </c>
      <c r="X31" s="740">
        <v>50.73</v>
      </c>
      <c r="Y31" s="740">
        <v>50.95</v>
      </c>
      <c r="Z31" s="740">
        <v>51.2</v>
      </c>
      <c r="AA31" s="740">
        <v>51.36</v>
      </c>
      <c r="AB31" s="740">
        <v>51.58</v>
      </c>
      <c r="AC31" s="740">
        <v>51.82</v>
      </c>
      <c r="AD31" s="740">
        <v>51.95</v>
      </c>
      <c r="AE31" s="740">
        <v>52.17</v>
      </c>
      <c r="AF31" s="740">
        <v>52.38</v>
      </c>
      <c r="AG31" s="740">
        <v>52.58</v>
      </c>
      <c r="AH31" s="740">
        <v>52.77</v>
      </c>
      <c r="AI31" s="740">
        <v>52.95</v>
      </c>
      <c r="AJ31" s="740">
        <v>53.23</v>
      </c>
      <c r="AK31" s="740">
        <v>53.5</v>
      </c>
      <c r="AL31" s="740">
        <v>53.8</v>
      </c>
      <c r="AM31" s="740">
        <v>54.07</v>
      </c>
      <c r="AN31" s="740">
        <v>54.28</v>
      </c>
      <c r="AO31" s="740">
        <v>54.45</v>
      </c>
      <c r="AP31" s="740">
        <v>54.59</v>
      </c>
      <c r="AQ31" s="740">
        <v>54.66</v>
      </c>
      <c r="AR31" s="740">
        <v>54.73</v>
      </c>
      <c r="AS31" s="740">
        <v>54.78</v>
      </c>
      <c r="AT31" s="740">
        <v>54.78</v>
      </c>
      <c r="AU31" s="740">
        <v>54.85</v>
      </c>
      <c r="AV31" s="740">
        <v>54.93</v>
      </c>
      <c r="AW31" s="740">
        <v>55.18</v>
      </c>
      <c r="AX31" s="740">
        <v>55.24</v>
      </c>
      <c r="AY31" s="740">
        <v>55.4</v>
      </c>
      <c r="AZ31" s="740">
        <v>55.54</v>
      </c>
      <c r="BA31" s="740">
        <v>55.68</v>
      </c>
      <c r="BB31" s="740">
        <v>55.82</v>
      </c>
      <c r="BC31" s="740">
        <v>55.93</v>
      </c>
      <c r="BD31" s="740">
        <v>56.06</v>
      </c>
      <c r="BE31" s="740">
        <v>56.18</v>
      </c>
      <c r="BF31" s="740">
        <v>56.33</v>
      </c>
      <c r="BG31" s="740">
        <v>56.5</v>
      </c>
      <c r="BH31" s="740">
        <v>56.68</v>
      </c>
      <c r="BI31" s="740">
        <v>56.82</v>
      </c>
      <c r="BJ31" s="740">
        <v>56.97</v>
      </c>
      <c r="BK31" s="740">
        <v>57.13</v>
      </c>
      <c r="BL31" s="740">
        <v>57.32</v>
      </c>
      <c r="BM31" s="740">
        <v>57.52</v>
      </c>
      <c r="BN31" s="740">
        <v>57.68</v>
      </c>
      <c r="BO31" s="740">
        <v>57.83</v>
      </c>
      <c r="BP31" s="740">
        <v>58</v>
      </c>
      <c r="BQ31" s="740">
        <v>58.15</v>
      </c>
      <c r="BR31" s="740">
        <v>58.29</v>
      </c>
      <c r="BS31" s="740">
        <v>58.46</v>
      </c>
      <c r="BT31" s="740">
        <v>58.6</v>
      </c>
      <c r="BU31" s="740">
        <v>58.74</v>
      </c>
      <c r="BV31" s="740">
        <v>58.87</v>
      </c>
      <c r="BW31" s="740">
        <v>59.02</v>
      </c>
      <c r="BX31" s="740">
        <v>59.15</v>
      </c>
      <c r="BY31" s="740">
        <v>59.29</v>
      </c>
      <c r="BZ31" s="740">
        <v>59.42</v>
      </c>
      <c r="CA31" s="740">
        <v>59.55</v>
      </c>
      <c r="CB31" s="740">
        <v>59.68</v>
      </c>
      <c r="CC31" s="740">
        <v>59.82</v>
      </c>
      <c r="CD31" s="740">
        <v>59.95</v>
      </c>
      <c r="CE31" s="740">
        <v>60.07</v>
      </c>
      <c r="CF31" s="740">
        <v>60.21</v>
      </c>
      <c r="CG31" s="740">
        <v>60.33</v>
      </c>
      <c r="CH31" s="740">
        <v>60.46</v>
      </c>
      <c r="CI31" s="740">
        <v>60.59</v>
      </c>
      <c r="CJ31" s="740">
        <v>60.71</v>
      </c>
      <c r="CK31" s="740">
        <v>60.84</v>
      </c>
      <c r="CL31" s="740">
        <v>60.97</v>
      </c>
      <c r="CM31" s="740">
        <v>61.1</v>
      </c>
      <c r="CN31" s="740">
        <v>61.22</v>
      </c>
      <c r="CO31" s="740">
        <v>61.35</v>
      </c>
      <c r="CP31" s="740">
        <v>61.47</v>
      </c>
      <c r="CQ31" s="740">
        <v>61.59</v>
      </c>
      <c r="CR31" s="740">
        <v>61.72</v>
      </c>
      <c r="CS31" s="740">
        <v>61.84</v>
      </c>
      <c r="CT31" s="740">
        <v>61.96</v>
      </c>
      <c r="CU31" s="740">
        <v>62.07</v>
      </c>
      <c r="CV31" s="740">
        <v>62.19</v>
      </c>
      <c r="CW31" s="740">
        <v>62.31</v>
      </c>
      <c r="CX31" s="740">
        <v>62.42</v>
      </c>
      <c r="CY31" s="740">
        <v>62.54</v>
      </c>
      <c r="CZ31" s="740">
        <v>62.65</v>
      </c>
      <c r="DA31" s="740">
        <v>62.76</v>
      </c>
      <c r="DB31" s="740">
        <v>62.87</v>
      </c>
      <c r="DC31" s="740">
        <v>62.98</v>
      </c>
      <c r="DD31" s="740">
        <v>63.09</v>
      </c>
      <c r="DE31" s="740">
        <v>63.2</v>
      </c>
      <c r="DF31" s="740">
        <v>63.31</v>
      </c>
      <c r="DG31" s="740">
        <v>63.42</v>
      </c>
      <c r="DH31" s="740">
        <v>63.52</v>
      </c>
      <c r="DI31" s="740">
        <v>63.63</v>
      </c>
      <c r="DJ31" s="740">
        <v>63.73</v>
      </c>
      <c r="DK31" s="740">
        <v>63.83</v>
      </c>
      <c r="DL31" s="740">
        <v>63.94</v>
      </c>
      <c r="DM31" s="740">
        <v>64.040000000000006</v>
      </c>
      <c r="DN31" s="740">
        <v>64.14</v>
      </c>
      <c r="DO31" s="740">
        <v>64.239999999999995</v>
      </c>
      <c r="DP31" s="740">
        <v>64.34</v>
      </c>
      <c r="DQ31" s="740">
        <v>64.430000000000007</v>
      </c>
      <c r="DR31" s="740">
        <v>64.53</v>
      </c>
    </row>
    <row r="32" spans="1:122">
      <c r="A32" s="912">
        <v>30</v>
      </c>
      <c r="B32" s="90"/>
      <c r="C32" s="90"/>
      <c r="D32" s="90"/>
      <c r="E32" s="90"/>
      <c r="F32" s="90"/>
      <c r="G32" s="90"/>
      <c r="H32" s="90"/>
      <c r="I32" s="90"/>
      <c r="J32" s="90"/>
      <c r="K32" s="90"/>
      <c r="L32" s="90"/>
      <c r="M32" s="90"/>
      <c r="N32" s="90"/>
      <c r="O32" s="90"/>
      <c r="P32" s="90"/>
      <c r="Q32" s="90"/>
      <c r="R32" s="90"/>
      <c r="S32" s="90"/>
      <c r="T32" s="90"/>
      <c r="U32" s="90"/>
      <c r="V32" s="740"/>
      <c r="W32" s="740">
        <v>49.58</v>
      </c>
      <c r="X32" s="740">
        <v>49.8</v>
      </c>
      <c r="Y32" s="740">
        <v>50.01</v>
      </c>
      <c r="Z32" s="740">
        <v>50.26</v>
      </c>
      <c r="AA32" s="740">
        <v>50.42</v>
      </c>
      <c r="AB32" s="740">
        <v>50.64</v>
      </c>
      <c r="AC32" s="740">
        <v>50.87</v>
      </c>
      <c r="AD32" s="740">
        <v>51</v>
      </c>
      <c r="AE32" s="740">
        <v>51.23</v>
      </c>
      <c r="AF32" s="740">
        <v>51.44</v>
      </c>
      <c r="AG32" s="740">
        <v>51.63</v>
      </c>
      <c r="AH32" s="740">
        <v>51.82</v>
      </c>
      <c r="AI32" s="740">
        <v>52</v>
      </c>
      <c r="AJ32" s="740">
        <v>52.28</v>
      </c>
      <c r="AK32" s="740">
        <v>52.55</v>
      </c>
      <c r="AL32" s="740">
        <v>52.85</v>
      </c>
      <c r="AM32" s="740">
        <v>53.11</v>
      </c>
      <c r="AN32" s="740">
        <v>53.32</v>
      </c>
      <c r="AO32" s="740">
        <v>53.49</v>
      </c>
      <c r="AP32" s="740">
        <v>53.63</v>
      </c>
      <c r="AQ32" s="740">
        <v>53.7</v>
      </c>
      <c r="AR32" s="740">
        <v>53.77</v>
      </c>
      <c r="AS32" s="740">
        <v>53.82</v>
      </c>
      <c r="AT32" s="740">
        <v>53.81</v>
      </c>
      <c r="AU32" s="740">
        <v>53.89</v>
      </c>
      <c r="AV32" s="740">
        <v>53.97</v>
      </c>
      <c r="AW32" s="740">
        <v>54.21</v>
      </c>
      <c r="AX32" s="740">
        <v>54.28</v>
      </c>
      <c r="AY32" s="740">
        <v>54.45</v>
      </c>
      <c r="AZ32" s="740">
        <v>54.58</v>
      </c>
      <c r="BA32" s="740">
        <v>54.71</v>
      </c>
      <c r="BB32" s="740">
        <v>54.85</v>
      </c>
      <c r="BC32" s="740">
        <v>54.96</v>
      </c>
      <c r="BD32" s="740">
        <v>55.09</v>
      </c>
      <c r="BE32" s="740">
        <v>55.22</v>
      </c>
      <c r="BF32" s="740">
        <v>55.36</v>
      </c>
      <c r="BG32" s="740">
        <v>55.52</v>
      </c>
      <c r="BH32" s="740">
        <v>55.71</v>
      </c>
      <c r="BI32" s="740">
        <v>55.85</v>
      </c>
      <c r="BJ32" s="740">
        <v>56</v>
      </c>
      <c r="BK32" s="740">
        <v>56.16</v>
      </c>
      <c r="BL32" s="740">
        <v>56.35</v>
      </c>
      <c r="BM32" s="740">
        <v>56.54</v>
      </c>
      <c r="BN32" s="740">
        <v>56.71</v>
      </c>
      <c r="BO32" s="740">
        <v>56.85</v>
      </c>
      <c r="BP32" s="740">
        <v>57.02</v>
      </c>
      <c r="BQ32" s="740">
        <v>57.17</v>
      </c>
      <c r="BR32" s="740">
        <v>57.31</v>
      </c>
      <c r="BS32" s="740">
        <v>57.48</v>
      </c>
      <c r="BT32" s="740">
        <v>57.62</v>
      </c>
      <c r="BU32" s="740">
        <v>57.76</v>
      </c>
      <c r="BV32" s="740">
        <v>57.89</v>
      </c>
      <c r="BW32" s="740">
        <v>58.04</v>
      </c>
      <c r="BX32" s="740">
        <v>58.17</v>
      </c>
      <c r="BY32" s="740">
        <v>58.3</v>
      </c>
      <c r="BZ32" s="740">
        <v>58.43</v>
      </c>
      <c r="CA32" s="740">
        <v>58.57</v>
      </c>
      <c r="CB32" s="740">
        <v>58.7</v>
      </c>
      <c r="CC32" s="740">
        <v>58.83</v>
      </c>
      <c r="CD32" s="740">
        <v>58.97</v>
      </c>
      <c r="CE32" s="740">
        <v>59.09</v>
      </c>
      <c r="CF32" s="740">
        <v>59.22</v>
      </c>
      <c r="CG32" s="740">
        <v>59.35</v>
      </c>
      <c r="CH32" s="740">
        <v>59.48</v>
      </c>
      <c r="CI32" s="740">
        <v>59.61</v>
      </c>
      <c r="CJ32" s="740">
        <v>59.73</v>
      </c>
      <c r="CK32" s="740">
        <v>59.86</v>
      </c>
      <c r="CL32" s="740">
        <v>59.99</v>
      </c>
      <c r="CM32" s="740">
        <v>60.11</v>
      </c>
      <c r="CN32" s="740">
        <v>60.24</v>
      </c>
      <c r="CO32" s="740">
        <v>60.36</v>
      </c>
      <c r="CP32" s="740">
        <v>60.49</v>
      </c>
      <c r="CQ32" s="740">
        <v>60.61</v>
      </c>
      <c r="CR32" s="740">
        <v>60.73</v>
      </c>
      <c r="CS32" s="740">
        <v>60.85</v>
      </c>
      <c r="CT32" s="740">
        <v>60.97</v>
      </c>
      <c r="CU32" s="740">
        <v>61.09</v>
      </c>
      <c r="CV32" s="740">
        <v>61.2</v>
      </c>
      <c r="CW32" s="740">
        <v>61.32</v>
      </c>
      <c r="CX32" s="740">
        <v>61.43</v>
      </c>
      <c r="CY32" s="740">
        <v>61.55</v>
      </c>
      <c r="CZ32" s="740">
        <v>61.66</v>
      </c>
      <c r="DA32" s="740">
        <v>61.77</v>
      </c>
      <c r="DB32" s="740">
        <v>61.88</v>
      </c>
      <c r="DC32" s="740">
        <v>61.99</v>
      </c>
      <c r="DD32" s="740">
        <v>62.1</v>
      </c>
      <c r="DE32" s="740">
        <v>62.21</v>
      </c>
      <c r="DF32" s="740">
        <v>62.32</v>
      </c>
      <c r="DG32" s="740">
        <v>62.43</v>
      </c>
      <c r="DH32" s="740">
        <v>62.53</v>
      </c>
      <c r="DI32" s="740">
        <v>62.64</v>
      </c>
      <c r="DJ32" s="740">
        <v>62.74</v>
      </c>
      <c r="DK32" s="740">
        <v>62.84</v>
      </c>
      <c r="DL32" s="740">
        <v>62.94</v>
      </c>
      <c r="DM32" s="740">
        <v>63.05</v>
      </c>
      <c r="DN32" s="740">
        <v>63.15</v>
      </c>
      <c r="DO32" s="740">
        <v>63.25</v>
      </c>
      <c r="DP32" s="740">
        <v>63.34</v>
      </c>
      <c r="DQ32" s="740">
        <v>63.44</v>
      </c>
      <c r="DR32" s="740">
        <v>63.54</v>
      </c>
    </row>
    <row r="33" spans="1:122">
      <c r="A33" s="912">
        <v>31</v>
      </c>
      <c r="B33" s="90"/>
      <c r="C33" s="90"/>
      <c r="D33" s="90"/>
      <c r="E33" s="90"/>
      <c r="F33" s="90"/>
      <c r="G33" s="90"/>
      <c r="H33" s="90"/>
      <c r="I33" s="90"/>
      <c r="J33" s="90"/>
      <c r="K33" s="90"/>
      <c r="L33" s="90"/>
      <c r="M33" s="90"/>
      <c r="N33" s="90"/>
      <c r="O33" s="90"/>
      <c r="P33" s="90"/>
      <c r="Q33" s="90"/>
      <c r="R33" s="90"/>
      <c r="S33" s="90"/>
      <c r="T33" s="90"/>
      <c r="U33" s="90"/>
      <c r="V33" s="740"/>
      <c r="W33" s="740">
        <v>48.66</v>
      </c>
      <c r="X33" s="740">
        <v>48.87</v>
      </c>
      <c r="Y33" s="740">
        <v>49.08</v>
      </c>
      <c r="Z33" s="740">
        <v>49.33</v>
      </c>
      <c r="AA33" s="740">
        <v>49.48</v>
      </c>
      <c r="AB33" s="740">
        <v>49.7</v>
      </c>
      <c r="AC33" s="740">
        <v>49.94</v>
      </c>
      <c r="AD33" s="740">
        <v>50.05</v>
      </c>
      <c r="AE33" s="740">
        <v>50.28</v>
      </c>
      <c r="AF33" s="740">
        <v>50.49</v>
      </c>
      <c r="AG33" s="740">
        <v>50.68</v>
      </c>
      <c r="AH33" s="740">
        <v>50.86</v>
      </c>
      <c r="AI33" s="740">
        <v>51.05</v>
      </c>
      <c r="AJ33" s="740">
        <v>51.33</v>
      </c>
      <c r="AK33" s="740">
        <v>51.6</v>
      </c>
      <c r="AL33" s="740">
        <v>51.89</v>
      </c>
      <c r="AM33" s="740">
        <v>52.16</v>
      </c>
      <c r="AN33" s="740">
        <v>52.37</v>
      </c>
      <c r="AO33" s="740">
        <v>52.54</v>
      </c>
      <c r="AP33" s="740">
        <v>52.68</v>
      </c>
      <c r="AQ33" s="740">
        <v>52.74</v>
      </c>
      <c r="AR33" s="740">
        <v>52.81</v>
      </c>
      <c r="AS33" s="740">
        <v>52.86</v>
      </c>
      <c r="AT33" s="740">
        <v>52.86</v>
      </c>
      <c r="AU33" s="740">
        <v>52.93</v>
      </c>
      <c r="AV33" s="740">
        <v>53.01</v>
      </c>
      <c r="AW33" s="740">
        <v>53.25</v>
      </c>
      <c r="AX33" s="740">
        <v>53.32</v>
      </c>
      <c r="AY33" s="740">
        <v>53.48</v>
      </c>
      <c r="AZ33" s="740">
        <v>53.61</v>
      </c>
      <c r="BA33" s="740">
        <v>53.75</v>
      </c>
      <c r="BB33" s="740">
        <v>53.88</v>
      </c>
      <c r="BC33" s="740">
        <v>53.99</v>
      </c>
      <c r="BD33" s="740">
        <v>54.12</v>
      </c>
      <c r="BE33" s="740">
        <v>54.25</v>
      </c>
      <c r="BF33" s="740">
        <v>54.39</v>
      </c>
      <c r="BG33" s="740">
        <v>54.55</v>
      </c>
      <c r="BH33" s="740">
        <v>54.74</v>
      </c>
      <c r="BI33" s="740">
        <v>54.88</v>
      </c>
      <c r="BJ33" s="740">
        <v>55.03</v>
      </c>
      <c r="BK33" s="740">
        <v>55.19</v>
      </c>
      <c r="BL33" s="740">
        <v>55.38</v>
      </c>
      <c r="BM33" s="740">
        <v>55.57</v>
      </c>
      <c r="BN33" s="740">
        <v>55.73</v>
      </c>
      <c r="BO33" s="740">
        <v>55.88</v>
      </c>
      <c r="BP33" s="740">
        <v>56.05</v>
      </c>
      <c r="BQ33" s="740">
        <v>56.2</v>
      </c>
      <c r="BR33" s="740">
        <v>56.33</v>
      </c>
      <c r="BS33" s="740">
        <v>56.5</v>
      </c>
      <c r="BT33" s="740">
        <v>56.64</v>
      </c>
      <c r="BU33" s="740">
        <v>56.78</v>
      </c>
      <c r="BV33" s="740">
        <v>56.91</v>
      </c>
      <c r="BW33" s="740">
        <v>57.06</v>
      </c>
      <c r="BX33" s="740">
        <v>57.19</v>
      </c>
      <c r="BY33" s="740">
        <v>57.32</v>
      </c>
      <c r="BZ33" s="740">
        <v>57.45</v>
      </c>
      <c r="CA33" s="740">
        <v>57.58</v>
      </c>
      <c r="CB33" s="740">
        <v>57.72</v>
      </c>
      <c r="CC33" s="740">
        <v>57.85</v>
      </c>
      <c r="CD33" s="740">
        <v>57.98</v>
      </c>
      <c r="CE33" s="740">
        <v>58.11</v>
      </c>
      <c r="CF33" s="740">
        <v>58.24</v>
      </c>
      <c r="CG33" s="740">
        <v>58.36</v>
      </c>
      <c r="CH33" s="740">
        <v>58.49</v>
      </c>
      <c r="CI33" s="740">
        <v>58.62</v>
      </c>
      <c r="CJ33" s="740">
        <v>58.75</v>
      </c>
      <c r="CK33" s="740">
        <v>58.88</v>
      </c>
      <c r="CL33" s="740">
        <v>59</v>
      </c>
      <c r="CM33" s="740">
        <v>59.13</v>
      </c>
      <c r="CN33" s="740">
        <v>59.25</v>
      </c>
      <c r="CO33" s="740">
        <v>59.38</v>
      </c>
      <c r="CP33" s="740">
        <v>59.5</v>
      </c>
      <c r="CQ33" s="740">
        <v>59.62</v>
      </c>
      <c r="CR33" s="740">
        <v>59.74</v>
      </c>
      <c r="CS33" s="740">
        <v>59.86</v>
      </c>
      <c r="CT33" s="740">
        <v>59.98</v>
      </c>
      <c r="CU33" s="740">
        <v>60.1</v>
      </c>
      <c r="CV33" s="740">
        <v>60.22</v>
      </c>
      <c r="CW33" s="740">
        <v>60.33</v>
      </c>
      <c r="CX33" s="740">
        <v>60.45</v>
      </c>
      <c r="CY33" s="740">
        <v>60.56</v>
      </c>
      <c r="CZ33" s="740">
        <v>60.67</v>
      </c>
      <c r="DA33" s="740">
        <v>60.78</v>
      </c>
      <c r="DB33" s="740">
        <v>60.9</v>
      </c>
      <c r="DC33" s="740">
        <v>61.01</v>
      </c>
      <c r="DD33" s="740">
        <v>61.11</v>
      </c>
      <c r="DE33" s="740">
        <v>61.22</v>
      </c>
      <c r="DF33" s="740">
        <v>61.33</v>
      </c>
      <c r="DG33" s="740">
        <v>61.44</v>
      </c>
      <c r="DH33" s="740">
        <v>61.54</v>
      </c>
      <c r="DI33" s="740">
        <v>61.65</v>
      </c>
      <c r="DJ33" s="740">
        <v>61.75</v>
      </c>
      <c r="DK33" s="740">
        <v>61.85</v>
      </c>
      <c r="DL33" s="740">
        <v>61.95</v>
      </c>
      <c r="DM33" s="740">
        <v>62.05</v>
      </c>
      <c r="DN33" s="740">
        <v>62.15</v>
      </c>
      <c r="DO33" s="740">
        <v>62.25</v>
      </c>
      <c r="DP33" s="740">
        <v>62.35</v>
      </c>
      <c r="DQ33" s="740">
        <v>62.45</v>
      </c>
      <c r="DR33" s="740">
        <v>62.54</v>
      </c>
    </row>
    <row r="34" spans="1:122">
      <c r="A34" s="912">
        <v>32</v>
      </c>
      <c r="B34" s="90"/>
      <c r="C34" s="90"/>
      <c r="D34" s="90"/>
      <c r="E34" s="90"/>
      <c r="F34" s="90"/>
      <c r="G34" s="90"/>
      <c r="H34" s="90"/>
      <c r="I34" s="90"/>
      <c r="J34" s="90"/>
      <c r="K34" s="90"/>
      <c r="L34" s="90"/>
      <c r="M34" s="90"/>
      <c r="N34" s="90"/>
      <c r="O34" s="90"/>
      <c r="P34" s="90"/>
      <c r="Q34" s="90"/>
      <c r="R34" s="90"/>
      <c r="S34" s="90"/>
      <c r="T34" s="90"/>
      <c r="U34" s="90"/>
      <c r="V34" s="740"/>
      <c r="W34" s="740">
        <v>47.73</v>
      </c>
      <c r="X34" s="740">
        <v>47.93</v>
      </c>
      <c r="Y34" s="740">
        <v>48.14</v>
      </c>
      <c r="Z34" s="740">
        <v>48.39</v>
      </c>
      <c r="AA34" s="740">
        <v>48.54</v>
      </c>
      <c r="AB34" s="740">
        <v>48.75</v>
      </c>
      <c r="AC34" s="740">
        <v>48.99</v>
      </c>
      <c r="AD34" s="740">
        <v>49.11</v>
      </c>
      <c r="AE34" s="740">
        <v>49.34</v>
      </c>
      <c r="AF34" s="740">
        <v>49.54</v>
      </c>
      <c r="AG34" s="740">
        <v>49.73</v>
      </c>
      <c r="AH34" s="740">
        <v>49.91</v>
      </c>
      <c r="AI34" s="740">
        <v>50.1</v>
      </c>
      <c r="AJ34" s="740">
        <v>50.38</v>
      </c>
      <c r="AK34" s="740">
        <v>50.64</v>
      </c>
      <c r="AL34" s="740">
        <v>50.93</v>
      </c>
      <c r="AM34" s="740">
        <v>51.2</v>
      </c>
      <c r="AN34" s="740">
        <v>51.41</v>
      </c>
      <c r="AO34" s="740">
        <v>51.58</v>
      </c>
      <c r="AP34" s="740">
        <v>51.72</v>
      </c>
      <c r="AQ34" s="740">
        <v>51.78</v>
      </c>
      <c r="AR34" s="740">
        <v>51.85</v>
      </c>
      <c r="AS34" s="740">
        <v>51.91</v>
      </c>
      <c r="AT34" s="740">
        <v>51.9</v>
      </c>
      <c r="AU34" s="740">
        <v>51.98</v>
      </c>
      <c r="AV34" s="740">
        <v>52.05</v>
      </c>
      <c r="AW34" s="740">
        <v>52.29</v>
      </c>
      <c r="AX34" s="740">
        <v>52.35</v>
      </c>
      <c r="AY34" s="740">
        <v>52.52</v>
      </c>
      <c r="AZ34" s="740">
        <v>52.65</v>
      </c>
      <c r="BA34" s="740">
        <v>52.79</v>
      </c>
      <c r="BB34" s="740">
        <v>52.92</v>
      </c>
      <c r="BC34" s="740">
        <v>53.03</v>
      </c>
      <c r="BD34" s="740">
        <v>53.15</v>
      </c>
      <c r="BE34" s="740">
        <v>53.28</v>
      </c>
      <c r="BF34" s="740">
        <v>53.42</v>
      </c>
      <c r="BG34" s="740">
        <v>53.58</v>
      </c>
      <c r="BH34" s="740">
        <v>53.77</v>
      </c>
      <c r="BI34" s="740">
        <v>53.91</v>
      </c>
      <c r="BJ34" s="740">
        <v>54.06</v>
      </c>
      <c r="BK34" s="740">
        <v>54.22</v>
      </c>
      <c r="BL34" s="740">
        <v>54.4</v>
      </c>
      <c r="BM34" s="740">
        <v>54.6</v>
      </c>
      <c r="BN34" s="740">
        <v>54.76</v>
      </c>
      <c r="BO34" s="740">
        <v>54.9</v>
      </c>
      <c r="BP34" s="740">
        <v>55.07</v>
      </c>
      <c r="BQ34" s="740">
        <v>55.22</v>
      </c>
      <c r="BR34" s="740">
        <v>55.36</v>
      </c>
      <c r="BS34" s="740">
        <v>55.52</v>
      </c>
      <c r="BT34" s="740">
        <v>55.66</v>
      </c>
      <c r="BU34" s="740">
        <v>55.8</v>
      </c>
      <c r="BV34" s="740">
        <v>55.93</v>
      </c>
      <c r="BW34" s="740">
        <v>56.08</v>
      </c>
      <c r="BX34" s="740">
        <v>56.2</v>
      </c>
      <c r="BY34" s="740">
        <v>56.34</v>
      </c>
      <c r="BZ34" s="740">
        <v>56.47</v>
      </c>
      <c r="CA34" s="740">
        <v>56.6</v>
      </c>
      <c r="CB34" s="740">
        <v>56.74</v>
      </c>
      <c r="CC34" s="740">
        <v>56.87</v>
      </c>
      <c r="CD34" s="740">
        <v>57</v>
      </c>
      <c r="CE34" s="740">
        <v>57.13</v>
      </c>
      <c r="CF34" s="740">
        <v>57.25</v>
      </c>
      <c r="CG34" s="740">
        <v>57.38</v>
      </c>
      <c r="CH34" s="740">
        <v>57.51</v>
      </c>
      <c r="CI34" s="740">
        <v>57.64</v>
      </c>
      <c r="CJ34" s="740">
        <v>57.77</v>
      </c>
      <c r="CK34" s="740">
        <v>57.9</v>
      </c>
      <c r="CL34" s="740">
        <v>58.02</v>
      </c>
      <c r="CM34" s="740">
        <v>58.15</v>
      </c>
      <c r="CN34" s="740">
        <v>58.27</v>
      </c>
      <c r="CO34" s="740">
        <v>58.39</v>
      </c>
      <c r="CP34" s="740">
        <v>58.52</v>
      </c>
      <c r="CQ34" s="740">
        <v>58.64</v>
      </c>
      <c r="CR34" s="740">
        <v>58.76</v>
      </c>
      <c r="CS34" s="740">
        <v>58.88</v>
      </c>
      <c r="CT34" s="740">
        <v>59</v>
      </c>
      <c r="CU34" s="740">
        <v>59.11</v>
      </c>
      <c r="CV34" s="740">
        <v>59.23</v>
      </c>
      <c r="CW34" s="740">
        <v>59.35</v>
      </c>
      <c r="CX34" s="740">
        <v>59.46</v>
      </c>
      <c r="CY34" s="740">
        <v>59.57</v>
      </c>
      <c r="CZ34" s="740">
        <v>59.69</v>
      </c>
      <c r="DA34" s="740">
        <v>59.8</v>
      </c>
      <c r="DB34" s="740">
        <v>59.91</v>
      </c>
      <c r="DC34" s="740">
        <v>60.02</v>
      </c>
      <c r="DD34" s="740">
        <v>60.13</v>
      </c>
      <c r="DE34" s="740">
        <v>60.23</v>
      </c>
      <c r="DF34" s="740">
        <v>60.34</v>
      </c>
      <c r="DG34" s="740">
        <v>60.45</v>
      </c>
      <c r="DH34" s="740">
        <v>60.55</v>
      </c>
      <c r="DI34" s="740">
        <v>60.66</v>
      </c>
      <c r="DJ34" s="740">
        <v>60.76</v>
      </c>
      <c r="DK34" s="740">
        <v>60.86</v>
      </c>
      <c r="DL34" s="740">
        <v>60.96</v>
      </c>
      <c r="DM34" s="740">
        <v>61.06</v>
      </c>
      <c r="DN34" s="740">
        <v>61.16</v>
      </c>
      <c r="DO34" s="740">
        <v>61.26</v>
      </c>
      <c r="DP34" s="740">
        <v>61.36</v>
      </c>
      <c r="DQ34" s="740">
        <v>61.46</v>
      </c>
      <c r="DR34" s="740">
        <v>61.55</v>
      </c>
    </row>
    <row r="35" spans="1:122">
      <c r="A35" s="912">
        <v>33</v>
      </c>
      <c r="B35" s="90"/>
      <c r="C35" s="90"/>
      <c r="D35" s="90"/>
      <c r="E35" s="90"/>
      <c r="F35" s="90"/>
      <c r="G35" s="90"/>
      <c r="H35" s="90"/>
      <c r="I35" s="90"/>
      <c r="J35" s="90"/>
      <c r="K35" s="90"/>
      <c r="L35" s="90"/>
      <c r="M35" s="90"/>
      <c r="N35" s="90"/>
      <c r="O35" s="90"/>
      <c r="P35" s="90"/>
      <c r="Q35" s="90"/>
      <c r="R35" s="90"/>
      <c r="S35" s="90"/>
      <c r="T35" s="90"/>
      <c r="U35" s="90"/>
      <c r="V35" s="740"/>
      <c r="W35" s="740">
        <v>46.8</v>
      </c>
      <c r="X35" s="740">
        <v>47</v>
      </c>
      <c r="Y35" s="740">
        <v>47.21</v>
      </c>
      <c r="Z35" s="740">
        <v>47.45</v>
      </c>
      <c r="AA35" s="740">
        <v>47.6</v>
      </c>
      <c r="AB35" s="740">
        <v>47.81</v>
      </c>
      <c r="AC35" s="740">
        <v>48.04</v>
      </c>
      <c r="AD35" s="740">
        <v>48.16</v>
      </c>
      <c r="AE35" s="740">
        <v>48.39</v>
      </c>
      <c r="AF35" s="740">
        <v>48.59</v>
      </c>
      <c r="AG35" s="740">
        <v>48.78</v>
      </c>
      <c r="AH35" s="740">
        <v>48.96</v>
      </c>
      <c r="AI35" s="740">
        <v>49.15</v>
      </c>
      <c r="AJ35" s="740">
        <v>49.43</v>
      </c>
      <c r="AK35" s="740">
        <v>49.69</v>
      </c>
      <c r="AL35" s="740">
        <v>49.98</v>
      </c>
      <c r="AM35" s="740">
        <v>50.25</v>
      </c>
      <c r="AN35" s="740">
        <v>50.45</v>
      </c>
      <c r="AO35" s="740">
        <v>50.62</v>
      </c>
      <c r="AP35" s="740">
        <v>50.76</v>
      </c>
      <c r="AQ35" s="740">
        <v>50.83</v>
      </c>
      <c r="AR35" s="740">
        <v>50.9</v>
      </c>
      <c r="AS35" s="740">
        <v>50.95</v>
      </c>
      <c r="AT35" s="740">
        <v>50.94</v>
      </c>
      <c r="AU35" s="740">
        <v>51.02</v>
      </c>
      <c r="AV35" s="740">
        <v>51.09</v>
      </c>
      <c r="AW35" s="740">
        <v>51.33</v>
      </c>
      <c r="AX35" s="740">
        <v>51.4</v>
      </c>
      <c r="AY35" s="740">
        <v>51.56</v>
      </c>
      <c r="AZ35" s="740">
        <v>51.69</v>
      </c>
      <c r="BA35" s="740">
        <v>51.82</v>
      </c>
      <c r="BB35" s="740">
        <v>51.95</v>
      </c>
      <c r="BC35" s="740">
        <v>52.06</v>
      </c>
      <c r="BD35" s="740">
        <v>52.18</v>
      </c>
      <c r="BE35" s="740">
        <v>52.31</v>
      </c>
      <c r="BF35" s="740">
        <v>52.46</v>
      </c>
      <c r="BG35" s="740">
        <v>52.62</v>
      </c>
      <c r="BH35" s="740">
        <v>52.8</v>
      </c>
      <c r="BI35" s="740">
        <v>52.94</v>
      </c>
      <c r="BJ35" s="740">
        <v>53.09</v>
      </c>
      <c r="BK35" s="740">
        <v>53.26</v>
      </c>
      <c r="BL35" s="740">
        <v>53.43</v>
      </c>
      <c r="BM35" s="740">
        <v>53.63</v>
      </c>
      <c r="BN35" s="740">
        <v>53.79</v>
      </c>
      <c r="BO35" s="740">
        <v>53.93</v>
      </c>
      <c r="BP35" s="740">
        <v>54.09</v>
      </c>
      <c r="BQ35" s="740">
        <v>54.24</v>
      </c>
      <c r="BR35" s="740">
        <v>54.38</v>
      </c>
      <c r="BS35" s="740">
        <v>54.54</v>
      </c>
      <c r="BT35" s="740">
        <v>54.68</v>
      </c>
      <c r="BU35" s="740">
        <v>54.82</v>
      </c>
      <c r="BV35" s="740">
        <v>54.95</v>
      </c>
      <c r="BW35" s="740">
        <v>55.1</v>
      </c>
      <c r="BX35" s="740">
        <v>55.22</v>
      </c>
      <c r="BY35" s="740">
        <v>55.36</v>
      </c>
      <c r="BZ35" s="740">
        <v>55.49</v>
      </c>
      <c r="CA35" s="740">
        <v>55.62</v>
      </c>
      <c r="CB35" s="740">
        <v>55.76</v>
      </c>
      <c r="CC35" s="740">
        <v>55.89</v>
      </c>
      <c r="CD35" s="740">
        <v>56.02</v>
      </c>
      <c r="CE35" s="740">
        <v>56.15</v>
      </c>
      <c r="CF35" s="740">
        <v>56.27</v>
      </c>
      <c r="CG35" s="740">
        <v>56.4</v>
      </c>
      <c r="CH35" s="740">
        <v>56.53</v>
      </c>
      <c r="CI35" s="740">
        <v>56.66</v>
      </c>
      <c r="CJ35" s="740">
        <v>56.79</v>
      </c>
      <c r="CK35" s="740">
        <v>56.91</v>
      </c>
      <c r="CL35" s="740">
        <v>57.04</v>
      </c>
      <c r="CM35" s="740">
        <v>57.16</v>
      </c>
      <c r="CN35" s="740">
        <v>57.29</v>
      </c>
      <c r="CO35" s="740">
        <v>57.41</v>
      </c>
      <c r="CP35" s="740">
        <v>57.53</v>
      </c>
      <c r="CQ35" s="740">
        <v>57.65</v>
      </c>
      <c r="CR35" s="740">
        <v>57.77</v>
      </c>
      <c r="CS35" s="740">
        <v>57.89</v>
      </c>
      <c r="CT35" s="740">
        <v>58.01</v>
      </c>
      <c r="CU35" s="740">
        <v>58.13</v>
      </c>
      <c r="CV35" s="740">
        <v>58.24</v>
      </c>
      <c r="CW35" s="740">
        <v>58.36</v>
      </c>
      <c r="CX35" s="740">
        <v>58.47</v>
      </c>
      <c r="CY35" s="740">
        <v>58.59</v>
      </c>
      <c r="CZ35" s="740">
        <v>58.7</v>
      </c>
      <c r="DA35" s="740">
        <v>58.81</v>
      </c>
      <c r="DB35" s="740">
        <v>58.92</v>
      </c>
      <c r="DC35" s="740">
        <v>59.03</v>
      </c>
      <c r="DD35" s="740">
        <v>59.14</v>
      </c>
      <c r="DE35" s="740">
        <v>59.25</v>
      </c>
      <c r="DF35" s="740">
        <v>59.35</v>
      </c>
      <c r="DG35" s="740">
        <v>59.46</v>
      </c>
      <c r="DH35" s="740">
        <v>59.56</v>
      </c>
      <c r="DI35" s="740">
        <v>59.67</v>
      </c>
      <c r="DJ35" s="740">
        <v>59.77</v>
      </c>
      <c r="DK35" s="740">
        <v>59.87</v>
      </c>
      <c r="DL35" s="740">
        <v>59.97</v>
      </c>
      <c r="DM35" s="740">
        <v>60.07</v>
      </c>
      <c r="DN35" s="740">
        <v>60.17</v>
      </c>
      <c r="DO35" s="740">
        <v>60.27</v>
      </c>
      <c r="DP35" s="740">
        <v>60.37</v>
      </c>
      <c r="DQ35" s="740">
        <v>60.47</v>
      </c>
      <c r="DR35" s="740">
        <v>60.56</v>
      </c>
    </row>
    <row r="36" spans="1:122">
      <c r="A36" s="912">
        <v>34</v>
      </c>
      <c r="B36" s="90"/>
      <c r="C36" s="90"/>
      <c r="D36" s="90"/>
      <c r="E36" s="90"/>
      <c r="F36" s="90"/>
      <c r="G36" s="90"/>
      <c r="H36" s="90"/>
      <c r="I36" s="90"/>
      <c r="J36" s="90"/>
      <c r="K36" s="90"/>
      <c r="L36" s="90"/>
      <c r="M36" s="90"/>
      <c r="N36" s="90"/>
      <c r="O36" s="90"/>
      <c r="P36" s="90"/>
      <c r="Q36" s="90"/>
      <c r="R36" s="90"/>
      <c r="S36" s="90"/>
      <c r="T36" s="90"/>
      <c r="U36" s="90"/>
      <c r="V36" s="740"/>
      <c r="W36" s="740">
        <v>45.86</v>
      </c>
      <c r="X36" s="740">
        <v>46.07</v>
      </c>
      <c r="Y36" s="740">
        <v>46.27</v>
      </c>
      <c r="Z36" s="740">
        <v>46.51</v>
      </c>
      <c r="AA36" s="740">
        <v>46.66</v>
      </c>
      <c r="AB36" s="740">
        <v>46.87</v>
      </c>
      <c r="AC36" s="740">
        <v>47.1</v>
      </c>
      <c r="AD36" s="740">
        <v>47.22</v>
      </c>
      <c r="AE36" s="740">
        <v>47.45</v>
      </c>
      <c r="AF36" s="740">
        <v>47.64</v>
      </c>
      <c r="AG36" s="740">
        <v>47.83</v>
      </c>
      <c r="AH36" s="740">
        <v>48.01</v>
      </c>
      <c r="AI36" s="740">
        <v>48.21</v>
      </c>
      <c r="AJ36" s="740">
        <v>48.48</v>
      </c>
      <c r="AK36" s="740">
        <v>48.74</v>
      </c>
      <c r="AL36" s="740">
        <v>49.03</v>
      </c>
      <c r="AM36" s="740">
        <v>49.3</v>
      </c>
      <c r="AN36" s="740">
        <v>49.5</v>
      </c>
      <c r="AO36" s="740">
        <v>49.67</v>
      </c>
      <c r="AP36" s="740">
        <v>49.81</v>
      </c>
      <c r="AQ36" s="740">
        <v>49.87</v>
      </c>
      <c r="AR36" s="740">
        <v>49.94</v>
      </c>
      <c r="AS36" s="740">
        <v>49.99</v>
      </c>
      <c r="AT36" s="740">
        <v>49.99</v>
      </c>
      <c r="AU36" s="740">
        <v>50.07</v>
      </c>
      <c r="AV36" s="740">
        <v>50.14</v>
      </c>
      <c r="AW36" s="740">
        <v>50.37</v>
      </c>
      <c r="AX36" s="740">
        <v>50.43</v>
      </c>
      <c r="AY36" s="740">
        <v>50.6</v>
      </c>
      <c r="AZ36" s="740">
        <v>50.73</v>
      </c>
      <c r="BA36" s="740">
        <v>50.86</v>
      </c>
      <c r="BB36" s="740">
        <v>50.99</v>
      </c>
      <c r="BC36" s="740">
        <v>51.1</v>
      </c>
      <c r="BD36" s="740">
        <v>51.22</v>
      </c>
      <c r="BE36" s="740">
        <v>51.35</v>
      </c>
      <c r="BF36" s="740">
        <v>51.49</v>
      </c>
      <c r="BG36" s="740">
        <v>51.66</v>
      </c>
      <c r="BH36" s="740">
        <v>51.84</v>
      </c>
      <c r="BI36" s="740">
        <v>51.98</v>
      </c>
      <c r="BJ36" s="740">
        <v>52.13</v>
      </c>
      <c r="BK36" s="740">
        <v>52.29</v>
      </c>
      <c r="BL36" s="740">
        <v>52.46</v>
      </c>
      <c r="BM36" s="740">
        <v>52.65</v>
      </c>
      <c r="BN36" s="740">
        <v>52.82</v>
      </c>
      <c r="BO36" s="740">
        <v>52.95</v>
      </c>
      <c r="BP36" s="740">
        <v>53.12</v>
      </c>
      <c r="BQ36" s="740">
        <v>53.27</v>
      </c>
      <c r="BR36" s="740">
        <v>53.4</v>
      </c>
      <c r="BS36" s="740">
        <v>53.56</v>
      </c>
      <c r="BT36" s="740">
        <v>53.7</v>
      </c>
      <c r="BU36" s="740">
        <v>53.84</v>
      </c>
      <c r="BV36" s="740">
        <v>53.97</v>
      </c>
      <c r="BW36" s="740">
        <v>54.12</v>
      </c>
      <c r="BX36" s="740">
        <v>54.24</v>
      </c>
      <c r="BY36" s="740">
        <v>54.38</v>
      </c>
      <c r="BZ36" s="740">
        <v>54.51</v>
      </c>
      <c r="CA36" s="740">
        <v>54.64</v>
      </c>
      <c r="CB36" s="740">
        <v>54.78</v>
      </c>
      <c r="CC36" s="740">
        <v>54.91</v>
      </c>
      <c r="CD36" s="740">
        <v>55.04</v>
      </c>
      <c r="CE36" s="740">
        <v>55.17</v>
      </c>
      <c r="CF36" s="740">
        <v>55.29</v>
      </c>
      <c r="CG36" s="740">
        <v>55.42</v>
      </c>
      <c r="CH36" s="740">
        <v>55.55</v>
      </c>
      <c r="CI36" s="740">
        <v>55.68</v>
      </c>
      <c r="CJ36" s="740">
        <v>55.81</v>
      </c>
      <c r="CK36" s="740">
        <v>55.93</v>
      </c>
      <c r="CL36" s="740">
        <v>56.06</v>
      </c>
      <c r="CM36" s="740">
        <v>56.18</v>
      </c>
      <c r="CN36" s="740">
        <v>56.31</v>
      </c>
      <c r="CO36" s="740">
        <v>56.43</v>
      </c>
      <c r="CP36" s="740">
        <v>56.55</v>
      </c>
      <c r="CQ36" s="740">
        <v>56.67</v>
      </c>
      <c r="CR36" s="740">
        <v>56.79</v>
      </c>
      <c r="CS36" s="740">
        <v>56.91</v>
      </c>
      <c r="CT36" s="740">
        <v>57.03</v>
      </c>
      <c r="CU36" s="740">
        <v>57.14</v>
      </c>
      <c r="CV36" s="740">
        <v>57.26</v>
      </c>
      <c r="CW36" s="740">
        <v>57.37</v>
      </c>
      <c r="CX36" s="740">
        <v>57.49</v>
      </c>
      <c r="CY36" s="740">
        <v>57.6</v>
      </c>
      <c r="CZ36" s="740">
        <v>57.71</v>
      </c>
      <c r="DA36" s="740">
        <v>57.82</v>
      </c>
      <c r="DB36" s="740">
        <v>57.93</v>
      </c>
      <c r="DC36" s="740">
        <v>58.04</v>
      </c>
      <c r="DD36" s="740">
        <v>58.15</v>
      </c>
      <c r="DE36" s="740">
        <v>58.26</v>
      </c>
      <c r="DF36" s="740">
        <v>58.36</v>
      </c>
      <c r="DG36" s="740">
        <v>58.47</v>
      </c>
      <c r="DH36" s="740">
        <v>58.57</v>
      </c>
      <c r="DI36" s="740">
        <v>58.68</v>
      </c>
      <c r="DJ36" s="740">
        <v>58.78</v>
      </c>
      <c r="DK36" s="740">
        <v>58.88</v>
      </c>
      <c r="DL36" s="740">
        <v>58.98</v>
      </c>
      <c r="DM36" s="740">
        <v>59.08</v>
      </c>
      <c r="DN36" s="740">
        <v>59.18</v>
      </c>
      <c r="DO36" s="740">
        <v>59.28</v>
      </c>
      <c r="DP36" s="740">
        <v>59.38</v>
      </c>
      <c r="DQ36" s="740">
        <v>59.48</v>
      </c>
      <c r="DR36" s="740">
        <v>59.57</v>
      </c>
    </row>
    <row r="37" spans="1:122">
      <c r="A37" s="912">
        <v>35</v>
      </c>
      <c r="B37" s="90"/>
      <c r="C37" s="90"/>
      <c r="D37" s="90"/>
      <c r="E37" s="90"/>
      <c r="F37" s="90"/>
      <c r="G37" s="90"/>
      <c r="H37" s="90"/>
      <c r="I37" s="90"/>
      <c r="J37" s="90"/>
      <c r="K37" s="90"/>
      <c r="L37" s="90"/>
      <c r="M37" s="90"/>
      <c r="N37" s="90"/>
      <c r="O37" s="90"/>
      <c r="P37" s="90"/>
      <c r="Q37" s="90"/>
      <c r="R37" s="90"/>
      <c r="S37" s="90"/>
      <c r="T37" s="90"/>
      <c r="U37" s="90"/>
      <c r="V37" s="740"/>
      <c r="W37" s="740">
        <v>44.94</v>
      </c>
      <c r="X37" s="740">
        <v>45.13</v>
      </c>
      <c r="Y37" s="740">
        <v>45.34</v>
      </c>
      <c r="Z37" s="740">
        <v>45.58</v>
      </c>
      <c r="AA37" s="740">
        <v>45.72</v>
      </c>
      <c r="AB37" s="740">
        <v>45.93</v>
      </c>
      <c r="AC37" s="740">
        <v>46.16</v>
      </c>
      <c r="AD37" s="740">
        <v>46.27</v>
      </c>
      <c r="AE37" s="740">
        <v>46.51</v>
      </c>
      <c r="AF37" s="740">
        <v>46.7</v>
      </c>
      <c r="AG37" s="740">
        <v>46.89</v>
      </c>
      <c r="AH37" s="740">
        <v>47.07</v>
      </c>
      <c r="AI37" s="740">
        <v>47.26</v>
      </c>
      <c r="AJ37" s="740">
        <v>47.53</v>
      </c>
      <c r="AK37" s="740">
        <v>47.79</v>
      </c>
      <c r="AL37" s="740">
        <v>48.08</v>
      </c>
      <c r="AM37" s="740">
        <v>48.35</v>
      </c>
      <c r="AN37" s="740">
        <v>48.55</v>
      </c>
      <c r="AO37" s="740">
        <v>48.72</v>
      </c>
      <c r="AP37" s="740">
        <v>48.86</v>
      </c>
      <c r="AQ37" s="740">
        <v>48.92</v>
      </c>
      <c r="AR37" s="740">
        <v>48.99</v>
      </c>
      <c r="AS37" s="740">
        <v>49.04</v>
      </c>
      <c r="AT37" s="740">
        <v>49.04</v>
      </c>
      <c r="AU37" s="740">
        <v>49.11</v>
      </c>
      <c r="AV37" s="740">
        <v>49.18</v>
      </c>
      <c r="AW37" s="740">
        <v>49.41</v>
      </c>
      <c r="AX37" s="740">
        <v>49.47</v>
      </c>
      <c r="AY37" s="740">
        <v>49.64</v>
      </c>
      <c r="AZ37" s="740">
        <v>49.76</v>
      </c>
      <c r="BA37" s="740">
        <v>49.9</v>
      </c>
      <c r="BB37" s="740">
        <v>50.02</v>
      </c>
      <c r="BC37" s="740">
        <v>50.14</v>
      </c>
      <c r="BD37" s="740">
        <v>50.25</v>
      </c>
      <c r="BE37" s="740">
        <v>50.39</v>
      </c>
      <c r="BF37" s="740">
        <v>50.53</v>
      </c>
      <c r="BG37" s="740">
        <v>50.7</v>
      </c>
      <c r="BH37" s="740">
        <v>50.88</v>
      </c>
      <c r="BI37" s="740">
        <v>51.01</v>
      </c>
      <c r="BJ37" s="740">
        <v>51.17</v>
      </c>
      <c r="BK37" s="740">
        <v>51.32</v>
      </c>
      <c r="BL37" s="740">
        <v>51.5</v>
      </c>
      <c r="BM37" s="740">
        <v>51.68</v>
      </c>
      <c r="BN37" s="740">
        <v>51.84</v>
      </c>
      <c r="BO37" s="740">
        <v>51.98</v>
      </c>
      <c r="BP37" s="740">
        <v>52.15</v>
      </c>
      <c r="BQ37" s="740">
        <v>52.29</v>
      </c>
      <c r="BR37" s="740">
        <v>52.43</v>
      </c>
      <c r="BS37" s="740">
        <v>52.59</v>
      </c>
      <c r="BT37" s="740">
        <v>52.72</v>
      </c>
      <c r="BU37" s="740">
        <v>52.86</v>
      </c>
      <c r="BV37" s="740">
        <v>52.99</v>
      </c>
      <c r="BW37" s="740">
        <v>53.14</v>
      </c>
      <c r="BX37" s="740">
        <v>53.27</v>
      </c>
      <c r="BY37" s="740">
        <v>53.4</v>
      </c>
      <c r="BZ37" s="740">
        <v>53.53</v>
      </c>
      <c r="CA37" s="740">
        <v>53.67</v>
      </c>
      <c r="CB37" s="740">
        <v>53.8</v>
      </c>
      <c r="CC37" s="740">
        <v>53.93</v>
      </c>
      <c r="CD37" s="740">
        <v>54.06</v>
      </c>
      <c r="CE37" s="740">
        <v>54.19</v>
      </c>
      <c r="CF37" s="740">
        <v>54.31</v>
      </c>
      <c r="CG37" s="740">
        <v>54.44</v>
      </c>
      <c r="CH37" s="740">
        <v>54.57</v>
      </c>
      <c r="CI37" s="740">
        <v>54.7</v>
      </c>
      <c r="CJ37" s="740">
        <v>54.83</v>
      </c>
      <c r="CK37" s="740">
        <v>54.95</v>
      </c>
      <c r="CL37" s="740">
        <v>55.08</v>
      </c>
      <c r="CM37" s="740">
        <v>55.2</v>
      </c>
      <c r="CN37" s="740">
        <v>55.33</v>
      </c>
      <c r="CO37" s="740">
        <v>55.45</v>
      </c>
      <c r="CP37" s="740">
        <v>55.57</v>
      </c>
      <c r="CQ37" s="740">
        <v>55.69</v>
      </c>
      <c r="CR37" s="740">
        <v>55.81</v>
      </c>
      <c r="CS37" s="740">
        <v>55.93</v>
      </c>
      <c r="CT37" s="740">
        <v>56.04</v>
      </c>
      <c r="CU37" s="740">
        <v>56.16</v>
      </c>
      <c r="CV37" s="740">
        <v>56.28</v>
      </c>
      <c r="CW37" s="740">
        <v>56.39</v>
      </c>
      <c r="CX37" s="740">
        <v>56.5</v>
      </c>
      <c r="CY37" s="740">
        <v>56.62</v>
      </c>
      <c r="CZ37" s="740">
        <v>56.73</v>
      </c>
      <c r="DA37" s="740">
        <v>56.84</v>
      </c>
      <c r="DB37" s="740">
        <v>56.95</v>
      </c>
      <c r="DC37" s="740">
        <v>57.06</v>
      </c>
      <c r="DD37" s="740">
        <v>57.16</v>
      </c>
      <c r="DE37" s="740">
        <v>57.27</v>
      </c>
      <c r="DF37" s="740">
        <v>57.38</v>
      </c>
      <c r="DG37" s="740">
        <v>57.48</v>
      </c>
      <c r="DH37" s="740">
        <v>57.59</v>
      </c>
      <c r="DI37" s="740">
        <v>57.69</v>
      </c>
      <c r="DJ37" s="740">
        <v>57.79</v>
      </c>
      <c r="DK37" s="740">
        <v>57.89</v>
      </c>
      <c r="DL37" s="740">
        <v>58</v>
      </c>
      <c r="DM37" s="740">
        <v>58.09</v>
      </c>
      <c r="DN37" s="740">
        <v>58.19</v>
      </c>
      <c r="DO37" s="740">
        <v>58.29</v>
      </c>
      <c r="DP37" s="740">
        <v>58.39</v>
      </c>
      <c r="DQ37" s="740">
        <v>58.49</v>
      </c>
      <c r="DR37" s="740">
        <v>58.58</v>
      </c>
    </row>
    <row r="38" spans="1:122">
      <c r="A38" s="912">
        <v>36</v>
      </c>
      <c r="B38" s="90"/>
      <c r="C38" s="90"/>
      <c r="D38" s="90"/>
      <c r="E38" s="90"/>
      <c r="F38" s="90"/>
      <c r="G38" s="90"/>
      <c r="H38" s="90"/>
      <c r="I38" s="90"/>
      <c r="J38" s="90"/>
      <c r="K38" s="90"/>
      <c r="L38" s="90"/>
      <c r="M38" s="90"/>
      <c r="N38" s="90"/>
      <c r="O38" s="90"/>
      <c r="P38" s="90"/>
      <c r="Q38" s="90"/>
      <c r="R38" s="90"/>
      <c r="S38" s="90"/>
      <c r="T38" s="90"/>
      <c r="U38" s="90"/>
      <c r="V38" s="740"/>
      <c r="W38" s="740">
        <v>44</v>
      </c>
      <c r="X38" s="740">
        <v>44.2</v>
      </c>
      <c r="Y38" s="740">
        <v>44.4</v>
      </c>
      <c r="Z38" s="740">
        <v>44.64</v>
      </c>
      <c r="AA38" s="740">
        <v>44.79</v>
      </c>
      <c r="AB38" s="740">
        <v>45</v>
      </c>
      <c r="AC38" s="740">
        <v>45.22</v>
      </c>
      <c r="AD38" s="740">
        <v>45.33</v>
      </c>
      <c r="AE38" s="740">
        <v>45.57</v>
      </c>
      <c r="AF38" s="740">
        <v>45.76</v>
      </c>
      <c r="AG38" s="740">
        <v>45.94</v>
      </c>
      <c r="AH38" s="740">
        <v>46.13</v>
      </c>
      <c r="AI38" s="740">
        <v>46.31</v>
      </c>
      <c r="AJ38" s="740">
        <v>46.59</v>
      </c>
      <c r="AK38" s="740">
        <v>46.85</v>
      </c>
      <c r="AL38" s="740">
        <v>47.13</v>
      </c>
      <c r="AM38" s="740">
        <v>47.39</v>
      </c>
      <c r="AN38" s="740">
        <v>47.6</v>
      </c>
      <c r="AO38" s="740">
        <v>47.77</v>
      </c>
      <c r="AP38" s="740">
        <v>47.91</v>
      </c>
      <c r="AQ38" s="740">
        <v>47.97</v>
      </c>
      <c r="AR38" s="740">
        <v>48.04</v>
      </c>
      <c r="AS38" s="740">
        <v>48.09</v>
      </c>
      <c r="AT38" s="740">
        <v>48.09</v>
      </c>
      <c r="AU38" s="740">
        <v>48.16</v>
      </c>
      <c r="AV38" s="740">
        <v>48.23</v>
      </c>
      <c r="AW38" s="740">
        <v>48.46</v>
      </c>
      <c r="AX38" s="740">
        <v>48.52</v>
      </c>
      <c r="AY38" s="740">
        <v>48.69</v>
      </c>
      <c r="AZ38" s="740">
        <v>48.8</v>
      </c>
      <c r="BA38" s="740">
        <v>48.94</v>
      </c>
      <c r="BB38" s="740">
        <v>49.06</v>
      </c>
      <c r="BC38" s="740">
        <v>49.18</v>
      </c>
      <c r="BD38" s="740">
        <v>49.29</v>
      </c>
      <c r="BE38" s="740">
        <v>49.43</v>
      </c>
      <c r="BF38" s="740">
        <v>49.57</v>
      </c>
      <c r="BG38" s="740">
        <v>49.74</v>
      </c>
      <c r="BH38" s="740">
        <v>49.91</v>
      </c>
      <c r="BI38" s="740">
        <v>50.05</v>
      </c>
      <c r="BJ38" s="740">
        <v>50.21</v>
      </c>
      <c r="BK38" s="740">
        <v>50.36</v>
      </c>
      <c r="BL38" s="740">
        <v>50.53</v>
      </c>
      <c r="BM38" s="740">
        <v>50.72</v>
      </c>
      <c r="BN38" s="740">
        <v>50.87</v>
      </c>
      <c r="BO38" s="740">
        <v>51.01</v>
      </c>
      <c r="BP38" s="740">
        <v>51.18</v>
      </c>
      <c r="BQ38" s="740">
        <v>51.32</v>
      </c>
      <c r="BR38" s="740">
        <v>51.45</v>
      </c>
      <c r="BS38" s="740">
        <v>51.61</v>
      </c>
      <c r="BT38" s="740">
        <v>51.75</v>
      </c>
      <c r="BU38" s="740">
        <v>51.88</v>
      </c>
      <c r="BV38" s="740">
        <v>52.01</v>
      </c>
      <c r="BW38" s="740">
        <v>52.16</v>
      </c>
      <c r="BX38" s="740">
        <v>52.29</v>
      </c>
      <c r="BY38" s="740">
        <v>52.42</v>
      </c>
      <c r="BZ38" s="740">
        <v>52.56</v>
      </c>
      <c r="CA38" s="740">
        <v>52.69</v>
      </c>
      <c r="CB38" s="740">
        <v>52.82</v>
      </c>
      <c r="CC38" s="740">
        <v>52.95</v>
      </c>
      <c r="CD38" s="740">
        <v>53.08</v>
      </c>
      <c r="CE38" s="740">
        <v>53.21</v>
      </c>
      <c r="CF38" s="740">
        <v>53.34</v>
      </c>
      <c r="CG38" s="740">
        <v>53.47</v>
      </c>
      <c r="CH38" s="740">
        <v>53.6</v>
      </c>
      <c r="CI38" s="740">
        <v>53.72</v>
      </c>
      <c r="CJ38" s="740">
        <v>53.85</v>
      </c>
      <c r="CK38" s="740">
        <v>53.98</v>
      </c>
      <c r="CL38" s="740">
        <v>54.1</v>
      </c>
      <c r="CM38" s="740">
        <v>54.22</v>
      </c>
      <c r="CN38" s="740">
        <v>54.35</v>
      </c>
      <c r="CO38" s="740">
        <v>54.47</v>
      </c>
      <c r="CP38" s="740">
        <v>54.59</v>
      </c>
      <c r="CQ38" s="740">
        <v>54.71</v>
      </c>
      <c r="CR38" s="740">
        <v>54.83</v>
      </c>
      <c r="CS38" s="740">
        <v>54.95</v>
      </c>
      <c r="CT38" s="740">
        <v>55.06</v>
      </c>
      <c r="CU38" s="740">
        <v>55.18</v>
      </c>
      <c r="CV38" s="740">
        <v>55.29</v>
      </c>
      <c r="CW38" s="740">
        <v>55.41</v>
      </c>
      <c r="CX38" s="740">
        <v>55.52</v>
      </c>
      <c r="CY38" s="740">
        <v>55.63</v>
      </c>
      <c r="CZ38" s="740">
        <v>55.74</v>
      </c>
      <c r="DA38" s="740">
        <v>55.85</v>
      </c>
      <c r="DB38" s="740">
        <v>55.96</v>
      </c>
      <c r="DC38" s="740">
        <v>56.07</v>
      </c>
      <c r="DD38" s="740">
        <v>56.18</v>
      </c>
      <c r="DE38" s="740">
        <v>56.29</v>
      </c>
      <c r="DF38" s="740">
        <v>56.39</v>
      </c>
      <c r="DG38" s="740">
        <v>56.5</v>
      </c>
      <c r="DH38" s="740">
        <v>56.6</v>
      </c>
      <c r="DI38" s="740">
        <v>56.7</v>
      </c>
      <c r="DJ38" s="740">
        <v>56.81</v>
      </c>
      <c r="DK38" s="740">
        <v>56.91</v>
      </c>
      <c r="DL38" s="740">
        <v>57.01</v>
      </c>
      <c r="DM38" s="740">
        <v>57.11</v>
      </c>
      <c r="DN38" s="740">
        <v>57.21</v>
      </c>
      <c r="DO38" s="740">
        <v>57.3</v>
      </c>
      <c r="DP38" s="740">
        <v>57.4</v>
      </c>
      <c r="DQ38" s="740">
        <v>57.5</v>
      </c>
      <c r="DR38" s="740">
        <v>57.59</v>
      </c>
    </row>
    <row r="39" spans="1:122">
      <c r="A39" s="912">
        <v>37</v>
      </c>
      <c r="B39" s="90"/>
      <c r="C39" s="90"/>
      <c r="D39" s="90"/>
      <c r="E39" s="90"/>
      <c r="F39" s="90"/>
      <c r="G39" s="90"/>
      <c r="H39" s="90"/>
      <c r="I39" s="90"/>
      <c r="J39" s="90"/>
      <c r="K39" s="90"/>
      <c r="L39" s="90"/>
      <c r="M39" s="90"/>
      <c r="N39" s="90"/>
      <c r="O39" s="90"/>
      <c r="P39" s="90"/>
      <c r="Q39" s="90"/>
      <c r="R39" s="90"/>
      <c r="S39" s="90"/>
      <c r="T39" s="90"/>
      <c r="U39" s="90"/>
      <c r="V39" s="740"/>
      <c r="W39" s="740">
        <v>43.07</v>
      </c>
      <c r="X39" s="740">
        <v>43.27</v>
      </c>
      <c r="Y39" s="740">
        <v>43.47</v>
      </c>
      <c r="Z39" s="740">
        <v>43.71</v>
      </c>
      <c r="AA39" s="740">
        <v>43.85</v>
      </c>
      <c r="AB39" s="740">
        <v>44.06</v>
      </c>
      <c r="AC39" s="740">
        <v>44.28</v>
      </c>
      <c r="AD39" s="740">
        <v>44.4</v>
      </c>
      <c r="AE39" s="740">
        <v>44.62</v>
      </c>
      <c r="AF39" s="740">
        <v>44.82</v>
      </c>
      <c r="AG39" s="740">
        <v>45</v>
      </c>
      <c r="AH39" s="740">
        <v>45.18</v>
      </c>
      <c r="AI39" s="740">
        <v>45.38</v>
      </c>
      <c r="AJ39" s="740">
        <v>45.65</v>
      </c>
      <c r="AK39" s="740">
        <v>45.9</v>
      </c>
      <c r="AL39" s="740">
        <v>46.19</v>
      </c>
      <c r="AM39" s="740">
        <v>46.45</v>
      </c>
      <c r="AN39" s="740">
        <v>46.66</v>
      </c>
      <c r="AO39" s="740">
        <v>46.83</v>
      </c>
      <c r="AP39" s="740">
        <v>46.96</v>
      </c>
      <c r="AQ39" s="740">
        <v>47.02</v>
      </c>
      <c r="AR39" s="740">
        <v>47.09</v>
      </c>
      <c r="AS39" s="740">
        <v>47.14</v>
      </c>
      <c r="AT39" s="740">
        <v>47.14</v>
      </c>
      <c r="AU39" s="740">
        <v>47.21</v>
      </c>
      <c r="AV39" s="740">
        <v>47.28</v>
      </c>
      <c r="AW39" s="740">
        <v>47.51</v>
      </c>
      <c r="AX39" s="740">
        <v>47.57</v>
      </c>
      <c r="AY39" s="740">
        <v>47.73</v>
      </c>
      <c r="AZ39" s="740">
        <v>47.84</v>
      </c>
      <c r="BA39" s="740">
        <v>47.98</v>
      </c>
      <c r="BB39" s="740">
        <v>48.11</v>
      </c>
      <c r="BC39" s="740">
        <v>48.22</v>
      </c>
      <c r="BD39" s="740">
        <v>48.34</v>
      </c>
      <c r="BE39" s="740">
        <v>48.48</v>
      </c>
      <c r="BF39" s="740">
        <v>48.61</v>
      </c>
      <c r="BG39" s="740">
        <v>48.78</v>
      </c>
      <c r="BH39" s="740">
        <v>48.95</v>
      </c>
      <c r="BI39" s="740">
        <v>49.09</v>
      </c>
      <c r="BJ39" s="740">
        <v>49.24</v>
      </c>
      <c r="BK39" s="740">
        <v>49.4</v>
      </c>
      <c r="BL39" s="740">
        <v>49.57</v>
      </c>
      <c r="BM39" s="740">
        <v>49.75</v>
      </c>
      <c r="BN39" s="740">
        <v>49.91</v>
      </c>
      <c r="BO39" s="740">
        <v>50.04</v>
      </c>
      <c r="BP39" s="740">
        <v>50.21</v>
      </c>
      <c r="BQ39" s="740">
        <v>50.35</v>
      </c>
      <c r="BR39" s="740">
        <v>50.48</v>
      </c>
      <c r="BS39" s="740">
        <v>50.64</v>
      </c>
      <c r="BT39" s="740">
        <v>50.77</v>
      </c>
      <c r="BU39" s="740">
        <v>50.91</v>
      </c>
      <c r="BV39" s="740">
        <v>51.04</v>
      </c>
      <c r="BW39" s="740">
        <v>51.19</v>
      </c>
      <c r="BX39" s="740">
        <v>51.31</v>
      </c>
      <c r="BY39" s="740">
        <v>51.44</v>
      </c>
      <c r="BZ39" s="740">
        <v>51.58</v>
      </c>
      <c r="CA39" s="740">
        <v>51.71</v>
      </c>
      <c r="CB39" s="740">
        <v>51.84</v>
      </c>
      <c r="CC39" s="740">
        <v>51.97</v>
      </c>
      <c r="CD39" s="740">
        <v>52.11</v>
      </c>
      <c r="CE39" s="740">
        <v>52.23</v>
      </c>
      <c r="CF39" s="740">
        <v>52.36</v>
      </c>
      <c r="CG39" s="740">
        <v>52.49</v>
      </c>
      <c r="CH39" s="740">
        <v>52.62</v>
      </c>
      <c r="CI39" s="740">
        <v>52.75</v>
      </c>
      <c r="CJ39" s="740">
        <v>52.87</v>
      </c>
      <c r="CK39" s="740">
        <v>53</v>
      </c>
      <c r="CL39" s="740">
        <v>53.12</v>
      </c>
      <c r="CM39" s="740">
        <v>53.25</v>
      </c>
      <c r="CN39" s="740">
        <v>53.37</v>
      </c>
      <c r="CO39" s="740">
        <v>53.49</v>
      </c>
      <c r="CP39" s="740">
        <v>53.61</v>
      </c>
      <c r="CQ39" s="740">
        <v>53.73</v>
      </c>
      <c r="CR39" s="740">
        <v>53.85</v>
      </c>
      <c r="CS39" s="740">
        <v>53.96</v>
      </c>
      <c r="CT39" s="740">
        <v>54.08</v>
      </c>
      <c r="CU39" s="740">
        <v>54.2</v>
      </c>
      <c r="CV39" s="740">
        <v>54.31</v>
      </c>
      <c r="CW39" s="740">
        <v>54.42</v>
      </c>
      <c r="CX39" s="740">
        <v>54.54</v>
      </c>
      <c r="CY39" s="740">
        <v>54.65</v>
      </c>
      <c r="CZ39" s="740">
        <v>54.76</v>
      </c>
      <c r="DA39" s="740">
        <v>54.87</v>
      </c>
      <c r="DB39" s="740">
        <v>54.98</v>
      </c>
      <c r="DC39" s="740">
        <v>55.09</v>
      </c>
      <c r="DD39" s="740">
        <v>55.19</v>
      </c>
      <c r="DE39" s="740">
        <v>55.3</v>
      </c>
      <c r="DF39" s="740">
        <v>55.41</v>
      </c>
      <c r="DG39" s="740">
        <v>55.51</v>
      </c>
      <c r="DH39" s="740">
        <v>55.61</v>
      </c>
      <c r="DI39" s="740">
        <v>55.72</v>
      </c>
      <c r="DJ39" s="740">
        <v>55.82</v>
      </c>
      <c r="DK39" s="740">
        <v>55.92</v>
      </c>
      <c r="DL39" s="740">
        <v>56.02</v>
      </c>
      <c r="DM39" s="740">
        <v>56.12</v>
      </c>
      <c r="DN39" s="740">
        <v>56.22</v>
      </c>
      <c r="DO39" s="740">
        <v>56.31</v>
      </c>
      <c r="DP39" s="740">
        <v>56.41</v>
      </c>
      <c r="DQ39" s="740">
        <v>56.51</v>
      </c>
      <c r="DR39" s="740">
        <v>56.6</v>
      </c>
    </row>
    <row r="40" spans="1:122">
      <c r="A40" s="912">
        <v>38</v>
      </c>
      <c r="B40" s="90"/>
      <c r="C40" s="90"/>
      <c r="D40" s="90"/>
      <c r="E40" s="90"/>
      <c r="F40" s="90"/>
      <c r="G40" s="90"/>
      <c r="H40" s="90"/>
      <c r="I40" s="90"/>
      <c r="J40" s="90"/>
      <c r="K40" s="90"/>
      <c r="L40" s="90"/>
      <c r="M40" s="90"/>
      <c r="N40" s="90"/>
      <c r="O40" s="90"/>
      <c r="P40" s="90"/>
      <c r="Q40" s="90"/>
      <c r="R40" s="90"/>
      <c r="S40" s="90"/>
      <c r="T40" s="90"/>
      <c r="U40" s="90"/>
      <c r="V40" s="740"/>
      <c r="W40" s="740">
        <v>42.15</v>
      </c>
      <c r="X40" s="740">
        <v>42.34</v>
      </c>
      <c r="Y40" s="740">
        <v>42.55</v>
      </c>
      <c r="Z40" s="740">
        <v>42.78</v>
      </c>
      <c r="AA40" s="740">
        <v>42.92</v>
      </c>
      <c r="AB40" s="740">
        <v>43.12</v>
      </c>
      <c r="AC40" s="740">
        <v>43.35</v>
      </c>
      <c r="AD40" s="740">
        <v>43.47</v>
      </c>
      <c r="AE40" s="740">
        <v>43.69</v>
      </c>
      <c r="AF40" s="740">
        <v>43.88</v>
      </c>
      <c r="AG40" s="740">
        <v>44.07</v>
      </c>
      <c r="AH40" s="740">
        <v>44.25</v>
      </c>
      <c r="AI40" s="740">
        <v>44.44</v>
      </c>
      <c r="AJ40" s="740">
        <v>44.71</v>
      </c>
      <c r="AK40" s="740">
        <v>44.97</v>
      </c>
      <c r="AL40" s="740">
        <v>45.25</v>
      </c>
      <c r="AM40" s="740">
        <v>45.5</v>
      </c>
      <c r="AN40" s="740">
        <v>45.71</v>
      </c>
      <c r="AO40" s="740">
        <v>45.88</v>
      </c>
      <c r="AP40" s="740">
        <v>46.01</v>
      </c>
      <c r="AQ40" s="740">
        <v>46.07</v>
      </c>
      <c r="AR40" s="740">
        <v>46.15</v>
      </c>
      <c r="AS40" s="740">
        <v>46.2</v>
      </c>
      <c r="AT40" s="740">
        <v>46.19</v>
      </c>
      <c r="AU40" s="740">
        <v>46.26</v>
      </c>
      <c r="AV40" s="740">
        <v>46.33</v>
      </c>
      <c r="AW40" s="740">
        <v>46.56</v>
      </c>
      <c r="AX40" s="740">
        <v>46.61</v>
      </c>
      <c r="AY40" s="740">
        <v>46.78</v>
      </c>
      <c r="AZ40" s="740">
        <v>46.89</v>
      </c>
      <c r="BA40" s="740">
        <v>47.03</v>
      </c>
      <c r="BB40" s="740">
        <v>47.15</v>
      </c>
      <c r="BC40" s="740">
        <v>47.27</v>
      </c>
      <c r="BD40" s="740">
        <v>47.39</v>
      </c>
      <c r="BE40" s="740">
        <v>47.52</v>
      </c>
      <c r="BF40" s="740">
        <v>47.66</v>
      </c>
      <c r="BG40" s="740">
        <v>47.82</v>
      </c>
      <c r="BH40" s="740">
        <v>47.99</v>
      </c>
      <c r="BI40" s="740">
        <v>48.13</v>
      </c>
      <c r="BJ40" s="740">
        <v>48.28</v>
      </c>
      <c r="BK40" s="740">
        <v>48.44</v>
      </c>
      <c r="BL40" s="740">
        <v>48.6</v>
      </c>
      <c r="BM40" s="740">
        <v>48.78</v>
      </c>
      <c r="BN40" s="740">
        <v>48.94</v>
      </c>
      <c r="BO40" s="740">
        <v>49.07</v>
      </c>
      <c r="BP40" s="740">
        <v>49.24</v>
      </c>
      <c r="BQ40" s="740">
        <v>49.38</v>
      </c>
      <c r="BR40" s="740">
        <v>49.51</v>
      </c>
      <c r="BS40" s="740">
        <v>49.67</v>
      </c>
      <c r="BT40" s="740">
        <v>49.8</v>
      </c>
      <c r="BU40" s="740">
        <v>49.93</v>
      </c>
      <c r="BV40" s="740">
        <v>50.06</v>
      </c>
      <c r="BW40" s="740">
        <v>50.21</v>
      </c>
      <c r="BX40" s="740">
        <v>50.34</v>
      </c>
      <c r="BY40" s="740">
        <v>50.47</v>
      </c>
      <c r="BZ40" s="740">
        <v>50.6</v>
      </c>
      <c r="CA40" s="740">
        <v>50.74</v>
      </c>
      <c r="CB40" s="740">
        <v>50.87</v>
      </c>
      <c r="CC40" s="740">
        <v>51</v>
      </c>
      <c r="CD40" s="740">
        <v>51.13</v>
      </c>
      <c r="CE40" s="740">
        <v>51.26</v>
      </c>
      <c r="CF40" s="740">
        <v>51.39</v>
      </c>
      <c r="CG40" s="740">
        <v>51.52</v>
      </c>
      <c r="CH40" s="740">
        <v>51.65</v>
      </c>
      <c r="CI40" s="740">
        <v>51.77</v>
      </c>
      <c r="CJ40" s="740">
        <v>51.9</v>
      </c>
      <c r="CK40" s="740">
        <v>52.02</v>
      </c>
      <c r="CL40" s="740">
        <v>52.15</v>
      </c>
      <c r="CM40" s="740">
        <v>52.27</v>
      </c>
      <c r="CN40" s="740">
        <v>52.39</v>
      </c>
      <c r="CO40" s="740">
        <v>52.51</v>
      </c>
      <c r="CP40" s="740">
        <v>52.63</v>
      </c>
      <c r="CQ40" s="740">
        <v>52.75</v>
      </c>
      <c r="CR40" s="740">
        <v>52.87</v>
      </c>
      <c r="CS40" s="740">
        <v>52.98</v>
      </c>
      <c r="CT40" s="740">
        <v>53.1</v>
      </c>
      <c r="CU40" s="740">
        <v>53.22</v>
      </c>
      <c r="CV40" s="740">
        <v>53.33</v>
      </c>
      <c r="CW40" s="740">
        <v>53.44</v>
      </c>
      <c r="CX40" s="740">
        <v>53.56</v>
      </c>
      <c r="CY40" s="740">
        <v>53.67</v>
      </c>
      <c r="CZ40" s="740">
        <v>53.78</v>
      </c>
      <c r="DA40" s="740">
        <v>53.89</v>
      </c>
      <c r="DB40" s="740">
        <v>54</v>
      </c>
      <c r="DC40" s="740">
        <v>54.1</v>
      </c>
      <c r="DD40" s="740">
        <v>54.21</v>
      </c>
      <c r="DE40" s="740">
        <v>54.32</v>
      </c>
      <c r="DF40" s="740">
        <v>54.42</v>
      </c>
      <c r="DG40" s="740">
        <v>54.53</v>
      </c>
      <c r="DH40" s="740">
        <v>54.63</v>
      </c>
      <c r="DI40" s="740">
        <v>54.73</v>
      </c>
      <c r="DJ40" s="740">
        <v>54.83</v>
      </c>
      <c r="DK40" s="740">
        <v>54.93</v>
      </c>
      <c r="DL40" s="740">
        <v>55.03</v>
      </c>
      <c r="DM40" s="740">
        <v>55.13</v>
      </c>
      <c r="DN40" s="740">
        <v>55.23</v>
      </c>
      <c r="DO40" s="740">
        <v>55.33</v>
      </c>
      <c r="DP40" s="740">
        <v>55.42</v>
      </c>
      <c r="DQ40" s="740">
        <v>55.52</v>
      </c>
      <c r="DR40" s="740">
        <v>55.61</v>
      </c>
    </row>
    <row r="41" spans="1:122">
      <c r="A41" s="912">
        <v>39</v>
      </c>
      <c r="B41" s="90"/>
      <c r="C41" s="90"/>
      <c r="D41" s="90"/>
      <c r="E41" s="90"/>
      <c r="F41" s="90"/>
      <c r="G41" s="90"/>
      <c r="H41" s="90"/>
      <c r="I41" s="90"/>
      <c r="J41" s="90"/>
      <c r="K41" s="90"/>
      <c r="L41" s="90"/>
      <c r="M41" s="90"/>
      <c r="N41" s="90"/>
      <c r="O41" s="90"/>
      <c r="P41" s="90"/>
      <c r="Q41" s="90"/>
      <c r="R41" s="90"/>
      <c r="S41" s="90"/>
      <c r="T41" s="90"/>
      <c r="U41" s="90"/>
      <c r="V41" s="740"/>
      <c r="W41" s="740">
        <v>41.22</v>
      </c>
      <c r="X41" s="740">
        <v>41.42</v>
      </c>
      <c r="Y41" s="740">
        <v>41.61</v>
      </c>
      <c r="Z41" s="740">
        <v>41.85</v>
      </c>
      <c r="AA41" s="740">
        <v>41.99</v>
      </c>
      <c r="AB41" s="740">
        <v>42.19</v>
      </c>
      <c r="AC41" s="740">
        <v>42.42</v>
      </c>
      <c r="AD41" s="740">
        <v>42.54</v>
      </c>
      <c r="AE41" s="740">
        <v>42.76</v>
      </c>
      <c r="AF41" s="740">
        <v>42.95</v>
      </c>
      <c r="AG41" s="740">
        <v>43.14</v>
      </c>
      <c r="AH41" s="740">
        <v>43.32</v>
      </c>
      <c r="AI41" s="740">
        <v>43.51</v>
      </c>
      <c r="AJ41" s="740">
        <v>43.78</v>
      </c>
      <c r="AK41" s="740">
        <v>44.03</v>
      </c>
      <c r="AL41" s="740">
        <v>44.31</v>
      </c>
      <c r="AM41" s="740">
        <v>44.57</v>
      </c>
      <c r="AN41" s="740">
        <v>44.77</v>
      </c>
      <c r="AO41" s="740">
        <v>44.94</v>
      </c>
      <c r="AP41" s="740">
        <v>45.06</v>
      </c>
      <c r="AQ41" s="740">
        <v>45.13</v>
      </c>
      <c r="AR41" s="740">
        <v>45.2</v>
      </c>
      <c r="AS41" s="740">
        <v>45.25</v>
      </c>
      <c r="AT41" s="740">
        <v>45.25</v>
      </c>
      <c r="AU41" s="740">
        <v>45.31</v>
      </c>
      <c r="AV41" s="740">
        <v>45.38</v>
      </c>
      <c r="AW41" s="740">
        <v>45.61</v>
      </c>
      <c r="AX41" s="740">
        <v>45.66</v>
      </c>
      <c r="AY41" s="740">
        <v>45.83</v>
      </c>
      <c r="AZ41" s="740">
        <v>45.94</v>
      </c>
      <c r="BA41" s="740">
        <v>46.08</v>
      </c>
      <c r="BB41" s="740">
        <v>46.2</v>
      </c>
      <c r="BC41" s="740">
        <v>46.32</v>
      </c>
      <c r="BD41" s="740">
        <v>46.44</v>
      </c>
      <c r="BE41" s="740">
        <v>46.57</v>
      </c>
      <c r="BF41" s="740">
        <v>46.7</v>
      </c>
      <c r="BG41" s="740">
        <v>46.87</v>
      </c>
      <c r="BH41" s="740">
        <v>47.04</v>
      </c>
      <c r="BI41" s="740">
        <v>47.17</v>
      </c>
      <c r="BJ41" s="740">
        <v>47.32</v>
      </c>
      <c r="BK41" s="740">
        <v>47.48</v>
      </c>
      <c r="BL41" s="740">
        <v>47.64</v>
      </c>
      <c r="BM41" s="740">
        <v>47.82</v>
      </c>
      <c r="BN41" s="740">
        <v>47.98</v>
      </c>
      <c r="BO41" s="740">
        <v>48.11</v>
      </c>
      <c r="BP41" s="740">
        <v>48.27</v>
      </c>
      <c r="BQ41" s="740">
        <v>48.41</v>
      </c>
      <c r="BR41" s="740">
        <v>48.54</v>
      </c>
      <c r="BS41" s="740">
        <v>48.7</v>
      </c>
      <c r="BT41" s="740">
        <v>48.83</v>
      </c>
      <c r="BU41" s="740">
        <v>48.96</v>
      </c>
      <c r="BV41" s="740">
        <v>49.09</v>
      </c>
      <c r="BW41" s="740">
        <v>49.24</v>
      </c>
      <c r="BX41" s="740">
        <v>49.37</v>
      </c>
      <c r="BY41" s="740">
        <v>49.5</v>
      </c>
      <c r="BZ41" s="740">
        <v>49.63</v>
      </c>
      <c r="CA41" s="740">
        <v>49.77</v>
      </c>
      <c r="CB41" s="740">
        <v>49.9</v>
      </c>
      <c r="CC41" s="740">
        <v>50.03</v>
      </c>
      <c r="CD41" s="740">
        <v>50.16</v>
      </c>
      <c r="CE41" s="740">
        <v>50.29</v>
      </c>
      <c r="CF41" s="740">
        <v>50.42</v>
      </c>
      <c r="CG41" s="740">
        <v>50.55</v>
      </c>
      <c r="CH41" s="740">
        <v>50.67</v>
      </c>
      <c r="CI41" s="740">
        <v>50.8</v>
      </c>
      <c r="CJ41" s="740">
        <v>50.92</v>
      </c>
      <c r="CK41" s="740">
        <v>51.05</v>
      </c>
      <c r="CL41" s="740">
        <v>51.17</v>
      </c>
      <c r="CM41" s="740">
        <v>51.29</v>
      </c>
      <c r="CN41" s="740">
        <v>51.41</v>
      </c>
      <c r="CO41" s="740">
        <v>51.53</v>
      </c>
      <c r="CP41" s="740">
        <v>51.65</v>
      </c>
      <c r="CQ41" s="740">
        <v>51.77</v>
      </c>
      <c r="CR41" s="740">
        <v>51.89</v>
      </c>
      <c r="CS41" s="740">
        <v>52.01</v>
      </c>
      <c r="CT41" s="740">
        <v>52.12</v>
      </c>
      <c r="CU41" s="740">
        <v>52.24</v>
      </c>
      <c r="CV41" s="740">
        <v>52.35</v>
      </c>
      <c r="CW41" s="740">
        <v>52.46</v>
      </c>
      <c r="CX41" s="740">
        <v>52.57</v>
      </c>
      <c r="CY41" s="740">
        <v>52.68</v>
      </c>
      <c r="CZ41" s="740">
        <v>52.79</v>
      </c>
      <c r="DA41" s="740">
        <v>52.9</v>
      </c>
      <c r="DB41" s="740">
        <v>53.01</v>
      </c>
      <c r="DC41" s="740">
        <v>53.12</v>
      </c>
      <c r="DD41" s="740">
        <v>53.23</v>
      </c>
      <c r="DE41" s="740">
        <v>53.33</v>
      </c>
      <c r="DF41" s="740">
        <v>53.44</v>
      </c>
      <c r="DG41" s="740">
        <v>53.54</v>
      </c>
      <c r="DH41" s="740">
        <v>53.64</v>
      </c>
      <c r="DI41" s="740">
        <v>53.75</v>
      </c>
      <c r="DJ41" s="740">
        <v>53.85</v>
      </c>
      <c r="DK41" s="740">
        <v>53.95</v>
      </c>
      <c r="DL41" s="740">
        <v>54.05</v>
      </c>
      <c r="DM41" s="740">
        <v>54.15</v>
      </c>
      <c r="DN41" s="740">
        <v>54.24</v>
      </c>
      <c r="DO41" s="740">
        <v>54.34</v>
      </c>
      <c r="DP41" s="740">
        <v>54.44</v>
      </c>
      <c r="DQ41" s="740">
        <v>54.53</v>
      </c>
      <c r="DR41" s="740">
        <v>54.63</v>
      </c>
    </row>
    <row r="42" spans="1:122">
      <c r="A42" s="912">
        <v>40</v>
      </c>
      <c r="B42" s="90"/>
      <c r="C42" s="90"/>
      <c r="D42" s="90"/>
      <c r="E42" s="90"/>
      <c r="F42" s="90"/>
      <c r="G42" s="90"/>
      <c r="H42" s="90"/>
      <c r="I42" s="90"/>
      <c r="J42" s="90"/>
      <c r="K42" s="90"/>
      <c r="L42" s="90"/>
      <c r="M42" s="90"/>
      <c r="N42" s="90"/>
      <c r="O42" s="90"/>
      <c r="P42" s="90"/>
      <c r="Q42" s="90"/>
      <c r="R42" s="90"/>
      <c r="S42" s="90"/>
      <c r="T42" s="90"/>
      <c r="U42" s="90"/>
      <c r="V42" s="740"/>
      <c r="W42" s="740">
        <v>40.299999999999997</v>
      </c>
      <c r="X42" s="740">
        <v>40.5</v>
      </c>
      <c r="Y42" s="740">
        <v>40.69</v>
      </c>
      <c r="Z42" s="740">
        <v>40.92</v>
      </c>
      <c r="AA42" s="740">
        <v>41.07</v>
      </c>
      <c r="AB42" s="740">
        <v>41.26</v>
      </c>
      <c r="AC42" s="740">
        <v>41.49</v>
      </c>
      <c r="AD42" s="740">
        <v>41.61</v>
      </c>
      <c r="AE42" s="740">
        <v>41.83</v>
      </c>
      <c r="AF42" s="740">
        <v>42.02</v>
      </c>
      <c r="AG42" s="740">
        <v>42.21</v>
      </c>
      <c r="AH42" s="740">
        <v>42.39</v>
      </c>
      <c r="AI42" s="740">
        <v>42.58</v>
      </c>
      <c r="AJ42" s="740">
        <v>42.84</v>
      </c>
      <c r="AK42" s="740">
        <v>43.09</v>
      </c>
      <c r="AL42" s="740">
        <v>43.37</v>
      </c>
      <c r="AM42" s="740">
        <v>43.63</v>
      </c>
      <c r="AN42" s="740">
        <v>43.83</v>
      </c>
      <c r="AO42" s="740">
        <v>44</v>
      </c>
      <c r="AP42" s="740">
        <v>44.13</v>
      </c>
      <c r="AQ42" s="740">
        <v>44.19</v>
      </c>
      <c r="AR42" s="740">
        <v>44.26</v>
      </c>
      <c r="AS42" s="740">
        <v>44.31</v>
      </c>
      <c r="AT42" s="740">
        <v>44.3</v>
      </c>
      <c r="AU42" s="740">
        <v>44.37</v>
      </c>
      <c r="AV42" s="740">
        <v>44.44</v>
      </c>
      <c r="AW42" s="740">
        <v>44.66</v>
      </c>
      <c r="AX42" s="740">
        <v>44.71</v>
      </c>
      <c r="AY42" s="740">
        <v>44.88</v>
      </c>
      <c r="AZ42" s="740">
        <v>45</v>
      </c>
      <c r="BA42" s="740">
        <v>45.13</v>
      </c>
      <c r="BB42" s="740">
        <v>45.26</v>
      </c>
      <c r="BC42" s="740">
        <v>45.37</v>
      </c>
      <c r="BD42" s="740">
        <v>45.49</v>
      </c>
      <c r="BE42" s="740">
        <v>45.62</v>
      </c>
      <c r="BF42" s="740">
        <v>45.75</v>
      </c>
      <c r="BG42" s="740">
        <v>45.91</v>
      </c>
      <c r="BH42" s="740">
        <v>46.08</v>
      </c>
      <c r="BI42" s="740">
        <v>46.22</v>
      </c>
      <c r="BJ42" s="740">
        <v>46.37</v>
      </c>
      <c r="BK42" s="740">
        <v>46.52</v>
      </c>
      <c r="BL42" s="740">
        <v>46.68</v>
      </c>
      <c r="BM42" s="740">
        <v>46.86</v>
      </c>
      <c r="BN42" s="740">
        <v>47.01</v>
      </c>
      <c r="BO42" s="740">
        <v>47.14</v>
      </c>
      <c r="BP42" s="740">
        <v>47.3</v>
      </c>
      <c r="BQ42" s="740">
        <v>47.44</v>
      </c>
      <c r="BR42" s="740">
        <v>47.57</v>
      </c>
      <c r="BS42" s="740">
        <v>47.73</v>
      </c>
      <c r="BT42" s="740">
        <v>47.86</v>
      </c>
      <c r="BU42" s="740">
        <v>47.99</v>
      </c>
      <c r="BV42" s="740">
        <v>48.12</v>
      </c>
      <c r="BW42" s="740">
        <v>48.27</v>
      </c>
      <c r="BX42" s="740">
        <v>48.4</v>
      </c>
      <c r="BY42" s="740">
        <v>48.53</v>
      </c>
      <c r="BZ42" s="740">
        <v>48.66</v>
      </c>
      <c r="CA42" s="740">
        <v>48.8</v>
      </c>
      <c r="CB42" s="740">
        <v>48.93</v>
      </c>
      <c r="CC42" s="740">
        <v>49.06</v>
      </c>
      <c r="CD42" s="740">
        <v>49.19</v>
      </c>
      <c r="CE42" s="740">
        <v>49.32</v>
      </c>
      <c r="CF42" s="740">
        <v>49.45</v>
      </c>
      <c r="CG42" s="740">
        <v>49.57</v>
      </c>
      <c r="CH42" s="740">
        <v>49.7</v>
      </c>
      <c r="CI42" s="740">
        <v>49.82</v>
      </c>
      <c r="CJ42" s="740">
        <v>49.95</v>
      </c>
      <c r="CK42" s="740">
        <v>50.07</v>
      </c>
      <c r="CL42" s="740">
        <v>50.2</v>
      </c>
      <c r="CM42" s="740">
        <v>50.32</v>
      </c>
      <c r="CN42" s="740">
        <v>50.44</v>
      </c>
      <c r="CO42" s="740">
        <v>50.56</v>
      </c>
      <c r="CP42" s="740">
        <v>50.68</v>
      </c>
      <c r="CQ42" s="740">
        <v>50.79</v>
      </c>
      <c r="CR42" s="740">
        <v>50.91</v>
      </c>
      <c r="CS42" s="740">
        <v>51.03</v>
      </c>
      <c r="CT42" s="740">
        <v>51.14</v>
      </c>
      <c r="CU42" s="740">
        <v>51.26</v>
      </c>
      <c r="CV42" s="740">
        <v>51.37</v>
      </c>
      <c r="CW42" s="740">
        <v>51.48</v>
      </c>
      <c r="CX42" s="740">
        <v>51.59</v>
      </c>
      <c r="CY42" s="740">
        <v>51.7</v>
      </c>
      <c r="CZ42" s="740">
        <v>51.81</v>
      </c>
      <c r="DA42" s="740">
        <v>51.92</v>
      </c>
      <c r="DB42" s="740">
        <v>52.03</v>
      </c>
      <c r="DC42" s="740">
        <v>52.14</v>
      </c>
      <c r="DD42" s="740">
        <v>52.24</v>
      </c>
      <c r="DE42" s="740">
        <v>52.35</v>
      </c>
      <c r="DF42" s="740">
        <v>52.45</v>
      </c>
      <c r="DG42" s="740">
        <v>52.56</v>
      </c>
      <c r="DH42" s="740">
        <v>52.66</v>
      </c>
      <c r="DI42" s="740">
        <v>52.76</v>
      </c>
      <c r="DJ42" s="740">
        <v>52.86</v>
      </c>
      <c r="DK42" s="740">
        <v>52.96</v>
      </c>
      <c r="DL42" s="740">
        <v>53.06</v>
      </c>
      <c r="DM42" s="740">
        <v>53.16</v>
      </c>
      <c r="DN42" s="740">
        <v>53.26</v>
      </c>
      <c r="DO42" s="740">
        <v>53.35</v>
      </c>
      <c r="DP42" s="740">
        <v>53.45</v>
      </c>
      <c r="DQ42" s="740">
        <v>53.55</v>
      </c>
      <c r="DR42" s="740">
        <v>53.64</v>
      </c>
    </row>
    <row r="43" spans="1:122">
      <c r="A43" s="912">
        <v>41</v>
      </c>
      <c r="B43" s="90"/>
      <c r="C43" s="90"/>
      <c r="D43" s="90"/>
      <c r="E43" s="90"/>
      <c r="F43" s="90"/>
      <c r="G43" s="90"/>
      <c r="H43" s="90"/>
      <c r="I43" s="90"/>
      <c r="J43" s="90"/>
      <c r="K43" s="90"/>
      <c r="L43" s="90"/>
      <c r="M43" s="90"/>
      <c r="N43" s="90"/>
      <c r="O43" s="90"/>
      <c r="P43" s="90"/>
      <c r="Q43" s="90"/>
      <c r="R43" s="90"/>
      <c r="S43" s="90"/>
      <c r="T43" s="90"/>
      <c r="U43" s="90"/>
      <c r="V43" s="740"/>
      <c r="W43" s="740">
        <v>39.380000000000003</v>
      </c>
      <c r="X43" s="740">
        <v>39.58</v>
      </c>
      <c r="Y43" s="740">
        <v>39.770000000000003</v>
      </c>
      <c r="Z43" s="740">
        <v>40</v>
      </c>
      <c r="AA43" s="740">
        <v>40.14</v>
      </c>
      <c r="AB43" s="740">
        <v>40.340000000000003</v>
      </c>
      <c r="AC43" s="740">
        <v>40.56</v>
      </c>
      <c r="AD43" s="740">
        <v>40.68</v>
      </c>
      <c r="AE43" s="740">
        <v>40.909999999999997</v>
      </c>
      <c r="AF43" s="740">
        <v>41.1</v>
      </c>
      <c r="AG43" s="740">
        <v>41.28</v>
      </c>
      <c r="AH43" s="740">
        <v>41.46</v>
      </c>
      <c r="AI43" s="740">
        <v>41.65</v>
      </c>
      <c r="AJ43" s="740">
        <v>41.91</v>
      </c>
      <c r="AK43" s="740">
        <v>42.17</v>
      </c>
      <c r="AL43" s="740">
        <v>42.44</v>
      </c>
      <c r="AM43" s="740">
        <v>42.69</v>
      </c>
      <c r="AN43" s="740">
        <v>42.9</v>
      </c>
      <c r="AO43" s="740">
        <v>43.06</v>
      </c>
      <c r="AP43" s="740">
        <v>43.19</v>
      </c>
      <c r="AQ43" s="740">
        <v>43.25</v>
      </c>
      <c r="AR43" s="740">
        <v>43.32</v>
      </c>
      <c r="AS43" s="740">
        <v>43.37</v>
      </c>
      <c r="AT43" s="740">
        <v>43.36</v>
      </c>
      <c r="AU43" s="740">
        <v>43.43</v>
      </c>
      <c r="AV43" s="740">
        <v>43.49</v>
      </c>
      <c r="AW43" s="740">
        <v>43.72</v>
      </c>
      <c r="AX43" s="740">
        <v>43.77</v>
      </c>
      <c r="AY43" s="740">
        <v>43.93</v>
      </c>
      <c r="AZ43" s="740">
        <v>44.06</v>
      </c>
      <c r="BA43" s="740">
        <v>44.18</v>
      </c>
      <c r="BB43" s="740">
        <v>44.31</v>
      </c>
      <c r="BC43" s="740">
        <v>44.43</v>
      </c>
      <c r="BD43" s="740">
        <v>44.54</v>
      </c>
      <c r="BE43" s="740">
        <v>44.67</v>
      </c>
      <c r="BF43" s="740">
        <v>44.81</v>
      </c>
      <c r="BG43" s="740">
        <v>44.96</v>
      </c>
      <c r="BH43" s="740">
        <v>45.13</v>
      </c>
      <c r="BI43" s="740">
        <v>45.26</v>
      </c>
      <c r="BJ43" s="740">
        <v>45.41</v>
      </c>
      <c r="BK43" s="740">
        <v>45.56</v>
      </c>
      <c r="BL43" s="740">
        <v>45.72</v>
      </c>
      <c r="BM43" s="740">
        <v>45.9</v>
      </c>
      <c r="BN43" s="740">
        <v>46.05</v>
      </c>
      <c r="BO43" s="740">
        <v>46.18</v>
      </c>
      <c r="BP43" s="740">
        <v>46.34</v>
      </c>
      <c r="BQ43" s="740">
        <v>46.47</v>
      </c>
      <c r="BR43" s="740">
        <v>46.6</v>
      </c>
      <c r="BS43" s="740">
        <v>46.76</v>
      </c>
      <c r="BT43" s="740">
        <v>46.89</v>
      </c>
      <c r="BU43" s="740">
        <v>47.03</v>
      </c>
      <c r="BV43" s="740">
        <v>47.16</v>
      </c>
      <c r="BW43" s="740">
        <v>47.3</v>
      </c>
      <c r="BX43" s="740">
        <v>47.43</v>
      </c>
      <c r="BY43" s="740">
        <v>47.56</v>
      </c>
      <c r="BZ43" s="740">
        <v>47.69</v>
      </c>
      <c r="CA43" s="740">
        <v>47.83</v>
      </c>
      <c r="CB43" s="740">
        <v>47.96</v>
      </c>
      <c r="CC43" s="740">
        <v>48.09</v>
      </c>
      <c r="CD43" s="740">
        <v>48.22</v>
      </c>
      <c r="CE43" s="740">
        <v>48.35</v>
      </c>
      <c r="CF43" s="740">
        <v>48.48</v>
      </c>
      <c r="CG43" s="740">
        <v>48.6</v>
      </c>
      <c r="CH43" s="740">
        <v>48.73</v>
      </c>
      <c r="CI43" s="740">
        <v>48.85</v>
      </c>
      <c r="CJ43" s="740">
        <v>48.98</v>
      </c>
      <c r="CK43" s="740">
        <v>49.1</v>
      </c>
      <c r="CL43" s="740">
        <v>49.22</v>
      </c>
      <c r="CM43" s="740">
        <v>49.34</v>
      </c>
      <c r="CN43" s="740">
        <v>49.46</v>
      </c>
      <c r="CO43" s="740">
        <v>49.58</v>
      </c>
      <c r="CP43" s="740">
        <v>49.7</v>
      </c>
      <c r="CQ43" s="740">
        <v>49.82</v>
      </c>
      <c r="CR43" s="740">
        <v>49.93</v>
      </c>
      <c r="CS43" s="740">
        <v>50.05</v>
      </c>
      <c r="CT43" s="740">
        <v>50.16</v>
      </c>
      <c r="CU43" s="740">
        <v>50.28</v>
      </c>
      <c r="CV43" s="740">
        <v>50.39</v>
      </c>
      <c r="CW43" s="740">
        <v>50.5</v>
      </c>
      <c r="CX43" s="740">
        <v>50.61</v>
      </c>
      <c r="CY43" s="740">
        <v>50.72</v>
      </c>
      <c r="CZ43" s="740">
        <v>50.83</v>
      </c>
      <c r="DA43" s="740">
        <v>50.94</v>
      </c>
      <c r="DB43" s="740">
        <v>51.05</v>
      </c>
      <c r="DC43" s="740">
        <v>51.16</v>
      </c>
      <c r="DD43" s="740">
        <v>51.26</v>
      </c>
      <c r="DE43" s="740">
        <v>51.37</v>
      </c>
      <c r="DF43" s="740">
        <v>51.47</v>
      </c>
      <c r="DG43" s="740">
        <v>51.57</v>
      </c>
      <c r="DH43" s="740">
        <v>51.68</v>
      </c>
      <c r="DI43" s="740">
        <v>51.78</v>
      </c>
      <c r="DJ43" s="740">
        <v>51.88</v>
      </c>
      <c r="DK43" s="740">
        <v>51.98</v>
      </c>
      <c r="DL43" s="740">
        <v>52.08</v>
      </c>
      <c r="DM43" s="740">
        <v>52.18</v>
      </c>
      <c r="DN43" s="740">
        <v>52.27</v>
      </c>
      <c r="DO43" s="740">
        <v>52.37</v>
      </c>
      <c r="DP43" s="740">
        <v>52.46</v>
      </c>
      <c r="DQ43" s="740">
        <v>52.56</v>
      </c>
      <c r="DR43" s="740">
        <v>52.65</v>
      </c>
    </row>
    <row r="44" spans="1:122">
      <c r="A44" s="912">
        <v>42</v>
      </c>
      <c r="B44" s="90"/>
      <c r="C44" s="90"/>
      <c r="D44" s="90"/>
      <c r="E44" s="90"/>
      <c r="F44" s="90"/>
      <c r="G44" s="90"/>
      <c r="H44" s="90"/>
      <c r="I44" s="90"/>
      <c r="J44" s="90"/>
      <c r="K44" s="90"/>
      <c r="L44" s="90"/>
      <c r="M44" s="90"/>
      <c r="N44" s="90"/>
      <c r="O44" s="90"/>
      <c r="P44" s="90"/>
      <c r="Q44" s="90"/>
      <c r="R44" s="90"/>
      <c r="S44" s="90"/>
      <c r="T44" s="90"/>
      <c r="U44" s="90"/>
      <c r="V44" s="740"/>
      <c r="W44" s="740">
        <v>38.46</v>
      </c>
      <c r="X44" s="740">
        <v>38.659999999999997</v>
      </c>
      <c r="Y44" s="740">
        <v>38.85</v>
      </c>
      <c r="Z44" s="740">
        <v>39.08</v>
      </c>
      <c r="AA44" s="740">
        <v>39.22</v>
      </c>
      <c r="AB44" s="740">
        <v>39.42</v>
      </c>
      <c r="AC44" s="740">
        <v>39.64</v>
      </c>
      <c r="AD44" s="740">
        <v>39.76</v>
      </c>
      <c r="AE44" s="740">
        <v>39.99</v>
      </c>
      <c r="AF44" s="740">
        <v>40.17</v>
      </c>
      <c r="AG44" s="740">
        <v>40.35</v>
      </c>
      <c r="AH44" s="740">
        <v>40.53</v>
      </c>
      <c r="AI44" s="740">
        <v>40.729999999999997</v>
      </c>
      <c r="AJ44" s="740">
        <v>40.99</v>
      </c>
      <c r="AK44" s="740">
        <v>41.24</v>
      </c>
      <c r="AL44" s="740">
        <v>41.51</v>
      </c>
      <c r="AM44" s="740">
        <v>41.76</v>
      </c>
      <c r="AN44" s="740">
        <v>41.97</v>
      </c>
      <c r="AO44" s="740">
        <v>42.12</v>
      </c>
      <c r="AP44" s="740">
        <v>42.25</v>
      </c>
      <c r="AQ44" s="740">
        <v>42.31</v>
      </c>
      <c r="AR44" s="740">
        <v>42.38</v>
      </c>
      <c r="AS44" s="740">
        <v>42.44</v>
      </c>
      <c r="AT44" s="740">
        <v>42.42</v>
      </c>
      <c r="AU44" s="740">
        <v>42.49</v>
      </c>
      <c r="AV44" s="740">
        <v>42.55</v>
      </c>
      <c r="AW44" s="740">
        <v>42.78</v>
      </c>
      <c r="AX44" s="740">
        <v>42.83</v>
      </c>
      <c r="AY44" s="740">
        <v>42.99</v>
      </c>
      <c r="AZ44" s="740">
        <v>43.12</v>
      </c>
      <c r="BA44" s="740">
        <v>43.24</v>
      </c>
      <c r="BB44" s="740">
        <v>43.37</v>
      </c>
      <c r="BC44" s="740">
        <v>43.49</v>
      </c>
      <c r="BD44" s="740">
        <v>43.6</v>
      </c>
      <c r="BE44" s="740">
        <v>43.73</v>
      </c>
      <c r="BF44" s="740">
        <v>43.86</v>
      </c>
      <c r="BG44" s="740">
        <v>44.01</v>
      </c>
      <c r="BH44" s="740">
        <v>44.18</v>
      </c>
      <c r="BI44" s="740">
        <v>44.31</v>
      </c>
      <c r="BJ44" s="740">
        <v>44.46</v>
      </c>
      <c r="BK44" s="740">
        <v>44.61</v>
      </c>
      <c r="BL44" s="740">
        <v>44.77</v>
      </c>
      <c r="BM44" s="740">
        <v>44.94</v>
      </c>
      <c r="BN44" s="740">
        <v>45.09</v>
      </c>
      <c r="BO44" s="740">
        <v>45.22</v>
      </c>
      <c r="BP44" s="740">
        <v>45.38</v>
      </c>
      <c r="BQ44" s="740">
        <v>45.51</v>
      </c>
      <c r="BR44" s="740">
        <v>45.64</v>
      </c>
      <c r="BS44" s="740">
        <v>45.8</v>
      </c>
      <c r="BT44" s="740">
        <v>45.93</v>
      </c>
      <c r="BU44" s="740">
        <v>46.06</v>
      </c>
      <c r="BV44" s="740">
        <v>46.19</v>
      </c>
      <c r="BW44" s="740">
        <v>46.34</v>
      </c>
      <c r="BX44" s="740">
        <v>46.46</v>
      </c>
      <c r="BY44" s="740">
        <v>46.6</v>
      </c>
      <c r="BZ44" s="740">
        <v>46.73</v>
      </c>
      <c r="CA44" s="740">
        <v>46.86</v>
      </c>
      <c r="CB44" s="740">
        <v>46.99</v>
      </c>
      <c r="CC44" s="740">
        <v>47.12</v>
      </c>
      <c r="CD44" s="740">
        <v>47.25</v>
      </c>
      <c r="CE44" s="740">
        <v>47.38</v>
      </c>
      <c r="CF44" s="740">
        <v>47.51</v>
      </c>
      <c r="CG44" s="740">
        <v>47.63</v>
      </c>
      <c r="CH44" s="740">
        <v>47.76</v>
      </c>
      <c r="CI44" s="740">
        <v>47.88</v>
      </c>
      <c r="CJ44" s="740">
        <v>48</v>
      </c>
      <c r="CK44" s="740">
        <v>48.13</v>
      </c>
      <c r="CL44" s="740">
        <v>48.25</v>
      </c>
      <c r="CM44" s="740">
        <v>48.37</v>
      </c>
      <c r="CN44" s="740">
        <v>48.49</v>
      </c>
      <c r="CO44" s="740">
        <v>48.61</v>
      </c>
      <c r="CP44" s="740">
        <v>48.73</v>
      </c>
      <c r="CQ44" s="740">
        <v>48.84</v>
      </c>
      <c r="CR44" s="740">
        <v>48.96</v>
      </c>
      <c r="CS44" s="740">
        <v>49.07</v>
      </c>
      <c r="CT44" s="740">
        <v>49.19</v>
      </c>
      <c r="CU44" s="740">
        <v>49.3</v>
      </c>
      <c r="CV44" s="740">
        <v>49.41</v>
      </c>
      <c r="CW44" s="740">
        <v>49.53</v>
      </c>
      <c r="CX44" s="740">
        <v>49.64</v>
      </c>
      <c r="CY44" s="740">
        <v>49.75</v>
      </c>
      <c r="CZ44" s="740">
        <v>49.85</v>
      </c>
      <c r="DA44" s="740">
        <v>49.96</v>
      </c>
      <c r="DB44" s="740">
        <v>50.07</v>
      </c>
      <c r="DC44" s="740">
        <v>50.18</v>
      </c>
      <c r="DD44" s="740">
        <v>50.28</v>
      </c>
      <c r="DE44" s="740">
        <v>50.39</v>
      </c>
      <c r="DF44" s="740">
        <v>50.49</v>
      </c>
      <c r="DG44" s="740">
        <v>50.59</v>
      </c>
      <c r="DH44" s="740">
        <v>50.69</v>
      </c>
      <c r="DI44" s="740">
        <v>50.8</v>
      </c>
      <c r="DJ44" s="740">
        <v>50.9</v>
      </c>
      <c r="DK44" s="740">
        <v>50.99</v>
      </c>
      <c r="DL44" s="740">
        <v>51.09</v>
      </c>
      <c r="DM44" s="740">
        <v>51.19</v>
      </c>
      <c r="DN44" s="740">
        <v>51.29</v>
      </c>
      <c r="DO44" s="740">
        <v>51.38</v>
      </c>
      <c r="DP44" s="740">
        <v>51.48</v>
      </c>
      <c r="DQ44" s="740">
        <v>51.57</v>
      </c>
      <c r="DR44" s="740">
        <v>51.67</v>
      </c>
    </row>
    <row r="45" spans="1:122">
      <c r="A45" s="912">
        <v>43</v>
      </c>
      <c r="B45" s="90"/>
      <c r="C45" s="90"/>
      <c r="D45" s="90"/>
      <c r="E45" s="90"/>
      <c r="F45" s="90"/>
      <c r="G45" s="90"/>
      <c r="H45" s="90"/>
      <c r="I45" s="90"/>
      <c r="J45" s="90"/>
      <c r="K45" s="90"/>
      <c r="L45" s="90"/>
      <c r="M45" s="90"/>
      <c r="N45" s="90"/>
      <c r="O45" s="90"/>
      <c r="P45" s="90"/>
      <c r="Q45" s="90"/>
      <c r="R45" s="90"/>
      <c r="S45" s="90"/>
      <c r="T45" s="90"/>
      <c r="U45" s="90"/>
      <c r="V45" s="740"/>
      <c r="W45" s="740">
        <v>37.549999999999997</v>
      </c>
      <c r="X45" s="740">
        <v>37.75</v>
      </c>
      <c r="Y45" s="740">
        <v>37.94</v>
      </c>
      <c r="Z45" s="740">
        <v>38.17</v>
      </c>
      <c r="AA45" s="740">
        <v>38.31</v>
      </c>
      <c r="AB45" s="740">
        <v>38.5</v>
      </c>
      <c r="AC45" s="740">
        <v>38.729999999999997</v>
      </c>
      <c r="AD45" s="740">
        <v>38.85</v>
      </c>
      <c r="AE45" s="740">
        <v>39.08</v>
      </c>
      <c r="AF45" s="740">
        <v>39.26</v>
      </c>
      <c r="AG45" s="740">
        <v>39.44</v>
      </c>
      <c r="AH45" s="740">
        <v>39.61</v>
      </c>
      <c r="AI45" s="740">
        <v>39.799999999999997</v>
      </c>
      <c r="AJ45" s="740">
        <v>40.07</v>
      </c>
      <c r="AK45" s="740">
        <v>40.31</v>
      </c>
      <c r="AL45" s="740">
        <v>40.58</v>
      </c>
      <c r="AM45" s="740">
        <v>40.840000000000003</v>
      </c>
      <c r="AN45" s="740">
        <v>41.03</v>
      </c>
      <c r="AO45" s="740">
        <v>41.2</v>
      </c>
      <c r="AP45" s="740">
        <v>41.32</v>
      </c>
      <c r="AQ45" s="740">
        <v>41.38</v>
      </c>
      <c r="AR45" s="740">
        <v>41.45</v>
      </c>
      <c r="AS45" s="740">
        <v>41.5</v>
      </c>
      <c r="AT45" s="740">
        <v>41.49</v>
      </c>
      <c r="AU45" s="740">
        <v>41.55</v>
      </c>
      <c r="AV45" s="740">
        <v>41.62</v>
      </c>
      <c r="AW45" s="740">
        <v>41.84</v>
      </c>
      <c r="AX45" s="740">
        <v>41.9</v>
      </c>
      <c r="AY45" s="740">
        <v>42.06</v>
      </c>
      <c r="AZ45" s="740">
        <v>42.18</v>
      </c>
      <c r="BA45" s="740">
        <v>42.31</v>
      </c>
      <c r="BB45" s="740">
        <v>42.43</v>
      </c>
      <c r="BC45" s="740">
        <v>42.55</v>
      </c>
      <c r="BD45" s="740">
        <v>42.66</v>
      </c>
      <c r="BE45" s="740">
        <v>42.78</v>
      </c>
      <c r="BF45" s="740">
        <v>42.92</v>
      </c>
      <c r="BG45" s="740">
        <v>43.07</v>
      </c>
      <c r="BH45" s="740">
        <v>43.24</v>
      </c>
      <c r="BI45" s="740">
        <v>43.36</v>
      </c>
      <c r="BJ45" s="740">
        <v>43.51</v>
      </c>
      <c r="BK45" s="740">
        <v>43.66</v>
      </c>
      <c r="BL45" s="740">
        <v>43.82</v>
      </c>
      <c r="BM45" s="740">
        <v>43.98</v>
      </c>
      <c r="BN45" s="740">
        <v>44.13</v>
      </c>
      <c r="BO45" s="740">
        <v>44.27</v>
      </c>
      <c r="BP45" s="740">
        <v>44.42</v>
      </c>
      <c r="BQ45" s="740">
        <v>44.55</v>
      </c>
      <c r="BR45" s="740">
        <v>44.68</v>
      </c>
      <c r="BS45" s="740">
        <v>44.84</v>
      </c>
      <c r="BT45" s="740">
        <v>44.97</v>
      </c>
      <c r="BU45" s="740">
        <v>45.1</v>
      </c>
      <c r="BV45" s="740">
        <v>45.23</v>
      </c>
      <c r="BW45" s="740">
        <v>45.38</v>
      </c>
      <c r="BX45" s="740">
        <v>45.5</v>
      </c>
      <c r="BY45" s="740">
        <v>45.63</v>
      </c>
      <c r="BZ45" s="740">
        <v>45.77</v>
      </c>
      <c r="CA45" s="740">
        <v>45.9</v>
      </c>
      <c r="CB45" s="740">
        <v>46.03</v>
      </c>
      <c r="CC45" s="740">
        <v>46.16</v>
      </c>
      <c r="CD45" s="740">
        <v>46.28</v>
      </c>
      <c r="CE45" s="740">
        <v>46.41</v>
      </c>
      <c r="CF45" s="740">
        <v>46.54</v>
      </c>
      <c r="CG45" s="740">
        <v>46.66</v>
      </c>
      <c r="CH45" s="740">
        <v>46.79</v>
      </c>
      <c r="CI45" s="740">
        <v>46.91</v>
      </c>
      <c r="CJ45" s="740">
        <v>47.03</v>
      </c>
      <c r="CK45" s="740">
        <v>47.16</v>
      </c>
      <c r="CL45" s="740">
        <v>47.28</v>
      </c>
      <c r="CM45" s="740">
        <v>47.4</v>
      </c>
      <c r="CN45" s="740">
        <v>47.52</v>
      </c>
      <c r="CO45" s="740">
        <v>47.64</v>
      </c>
      <c r="CP45" s="740">
        <v>47.75</v>
      </c>
      <c r="CQ45" s="740">
        <v>47.87</v>
      </c>
      <c r="CR45" s="740">
        <v>47.98</v>
      </c>
      <c r="CS45" s="740">
        <v>48.1</v>
      </c>
      <c r="CT45" s="740">
        <v>48.21</v>
      </c>
      <c r="CU45" s="740">
        <v>48.33</v>
      </c>
      <c r="CV45" s="740">
        <v>48.44</v>
      </c>
      <c r="CW45" s="740">
        <v>48.55</v>
      </c>
      <c r="CX45" s="740">
        <v>48.66</v>
      </c>
      <c r="CY45" s="740">
        <v>48.77</v>
      </c>
      <c r="CZ45" s="740">
        <v>48.88</v>
      </c>
      <c r="DA45" s="740">
        <v>48.98</v>
      </c>
      <c r="DB45" s="740">
        <v>49.09</v>
      </c>
      <c r="DC45" s="740">
        <v>49.2</v>
      </c>
      <c r="DD45" s="740">
        <v>49.3</v>
      </c>
      <c r="DE45" s="740">
        <v>49.41</v>
      </c>
      <c r="DF45" s="740">
        <v>49.51</v>
      </c>
      <c r="DG45" s="740">
        <v>49.61</v>
      </c>
      <c r="DH45" s="740">
        <v>49.71</v>
      </c>
      <c r="DI45" s="740">
        <v>49.81</v>
      </c>
      <c r="DJ45" s="740">
        <v>49.91</v>
      </c>
      <c r="DK45" s="740">
        <v>50.01</v>
      </c>
      <c r="DL45" s="740">
        <v>50.11</v>
      </c>
      <c r="DM45" s="740">
        <v>50.21</v>
      </c>
      <c r="DN45" s="740">
        <v>50.31</v>
      </c>
      <c r="DO45" s="740">
        <v>50.4</v>
      </c>
      <c r="DP45" s="740">
        <v>50.5</v>
      </c>
      <c r="DQ45" s="740">
        <v>50.59</v>
      </c>
      <c r="DR45" s="740">
        <v>50.68</v>
      </c>
    </row>
    <row r="46" spans="1:122">
      <c r="A46" s="912">
        <v>44</v>
      </c>
      <c r="B46" s="90"/>
      <c r="C46" s="90"/>
      <c r="D46" s="90"/>
      <c r="E46" s="90"/>
      <c r="F46" s="90"/>
      <c r="G46" s="90"/>
      <c r="H46" s="90"/>
      <c r="I46" s="90"/>
      <c r="J46" s="90"/>
      <c r="K46" s="90"/>
      <c r="L46" s="90"/>
      <c r="M46" s="90"/>
      <c r="N46" s="90"/>
      <c r="O46" s="90"/>
      <c r="P46" s="90"/>
      <c r="Q46" s="90"/>
      <c r="R46" s="90"/>
      <c r="S46" s="90"/>
      <c r="T46" s="90"/>
      <c r="U46" s="90"/>
      <c r="V46" s="740"/>
      <c r="W46" s="740">
        <v>36.64</v>
      </c>
      <c r="X46" s="740">
        <v>36.840000000000003</v>
      </c>
      <c r="Y46" s="740">
        <v>37.03</v>
      </c>
      <c r="Z46" s="740">
        <v>37.26</v>
      </c>
      <c r="AA46" s="740">
        <v>37.4</v>
      </c>
      <c r="AB46" s="740">
        <v>37.6</v>
      </c>
      <c r="AC46" s="740">
        <v>37.83</v>
      </c>
      <c r="AD46" s="740">
        <v>37.93</v>
      </c>
      <c r="AE46" s="740">
        <v>38.17</v>
      </c>
      <c r="AF46" s="740">
        <v>38.35</v>
      </c>
      <c r="AG46" s="740">
        <v>38.53</v>
      </c>
      <c r="AH46" s="740">
        <v>38.700000000000003</v>
      </c>
      <c r="AI46" s="740">
        <v>38.89</v>
      </c>
      <c r="AJ46" s="740">
        <v>39.15</v>
      </c>
      <c r="AK46" s="740">
        <v>39.4</v>
      </c>
      <c r="AL46" s="740">
        <v>39.659999999999997</v>
      </c>
      <c r="AM46" s="740">
        <v>39.909999999999997</v>
      </c>
      <c r="AN46" s="740">
        <v>40.11</v>
      </c>
      <c r="AO46" s="740">
        <v>40.270000000000003</v>
      </c>
      <c r="AP46" s="740">
        <v>40.39</v>
      </c>
      <c r="AQ46" s="740">
        <v>40.450000000000003</v>
      </c>
      <c r="AR46" s="740">
        <v>40.51</v>
      </c>
      <c r="AS46" s="740">
        <v>40.57</v>
      </c>
      <c r="AT46" s="740">
        <v>40.56</v>
      </c>
      <c r="AU46" s="740">
        <v>40.619999999999997</v>
      </c>
      <c r="AV46" s="740">
        <v>40.68</v>
      </c>
      <c r="AW46" s="740">
        <v>40.909999999999997</v>
      </c>
      <c r="AX46" s="740">
        <v>40.97</v>
      </c>
      <c r="AY46" s="740">
        <v>41.13</v>
      </c>
      <c r="AZ46" s="740">
        <v>41.25</v>
      </c>
      <c r="BA46" s="740">
        <v>41.37</v>
      </c>
      <c r="BB46" s="740">
        <v>41.49</v>
      </c>
      <c r="BC46" s="740">
        <v>41.62</v>
      </c>
      <c r="BD46" s="740">
        <v>41.73</v>
      </c>
      <c r="BE46" s="740">
        <v>41.85</v>
      </c>
      <c r="BF46" s="740">
        <v>41.98</v>
      </c>
      <c r="BG46" s="740">
        <v>42.13</v>
      </c>
      <c r="BH46" s="740">
        <v>42.29</v>
      </c>
      <c r="BI46" s="740">
        <v>42.42</v>
      </c>
      <c r="BJ46" s="740">
        <v>42.57</v>
      </c>
      <c r="BK46" s="740">
        <v>42.71</v>
      </c>
      <c r="BL46" s="740">
        <v>42.87</v>
      </c>
      <c r="BM46" s="740">
        <v>43.03</v>
      </c>
      <c r="BN46" s="740">
        <v>43.18</v>
      </c>
      <c r="BO46" s="740">
        <v>43.31</v>
      </c>
      <c r="BP46" s="740">
        <v>43.46</v>
      </c>
      <c r="BQ46" s="740">
        <v>43.59</v>
      </c>
      <c r="BR46" s="740">
        <v>43.73</v>
      </c>
      <c r="BS46" s="740">
        <v>43.88</v>
      </c>
      <c r="BT46" s="740">
        <v>44.01</v>
      </c>
      <c r="BU46" s="740">
        <v>44.14</v>
      </c>
      <c r="BV46" s="740">
        <v>44.27</v>
      </c>
      <c r="BW46" s="740">
        <v>44.41</v>
      </c>
      <c r="BX46" s="740">
        <v>44.54</v>
      </c>
      <c r="BY46" s="740">
        <v>44.67</v>
      </c>
      <c r="BZ46" s="740">
        <v>44.81</v>
      </c>
      <c r="CA46" s="740">
        <v>44.94</v>
      </c>
      <c r="CB46" s="740">
        <v>45.06</v>
      </c>
      <c r="CC46" s="740">
        <v>45.19</v>
      </c>
      <c r="CD46" s="740">
        <v>45.32</v>
      </c>
      <c r="CE46" s="740">
        <v>45.45</v>
      </c>
      <c r="CF46" s="740">
        <v>45.57</v>
      </c>
      <c r="CG46" s="740">
        <v>45.7</v>
      </c>
      <c r="CH46" s="740">
        <v>45.82</v>
      </c>
      <c r="CI46" s="740">
        <v>45.94</v>
      </c>
      <c r="CJ46" s="740">
        <v>46.07</v>
      </c>
      <c r="CK46" s="740">
        <v>46.19</v>
      </c>
      <c r="CL46" s="740">
        <v>46.31</v>
      </c>
      <c r="CM46" s="740">
        <v>46.43</v>
      </c>
      <c r="CN46" s="740">
        <v>46.55</v>
      </c>
      <c r="CO46" s="740">
        <v>46.66</v>
      </c>
      <c r="CP46" s="740">
        <v>46.78</v>
      </c>
      <c r="CQ46" s="740">
        <v>46.9</v>
      </c>
      <c r="CR46" s="740">
        <v>47.01</v>
      </c>
      <c r="CS46" s="740">
        <v>47.13</v>
      </c>
      <c r="CT46" s="740">
        <v>47.24</v>
      </c>
      <c r="CU46" s="740">
        <v>47.35</v>
      </c>
      <c r="CV46" s="740">
        <v>47.46</v>
      </c>
      <c r="CW46" s="740">
        <v>47.57</v>
      </c>
      <c r="CX46" s="740">
        <v>47.68</v>
      </c>
      <c r="CY46" s="740">
        <v>47.79</v>
      </c>
      <c r="CZ46" s="740">
        <v>47.9</v>
      </c>
      <c r="DA46" s="740">
        <v>48.01</v>
      </c>
      <c r="DB46" s="740">
        <v>48.11</v>
      </c>
      <c r="DC46" s="740">
        <v>48.22</v>
      </c>
      <c r="DD46" s="740">
        <v>48.32</v>
      </c>
      <c r="DE46" s="740">
        <v>48.43</v>
      </c>
      <c r="DF46" s="740">
        <v>48.53</v>
      </c>
      <c r="DG46" s="740">
        <v>48.63</v>
      </c>
      <c r="DH46" s="740">
        <v>48.73</v>
      </c>
      <c r="DI46" s="740">
        <v>48.83</v>
      </c>
      <c r="DJ46" s="740">
        <v>48.93</v>
      </c>
      <c r="DK46" s="740">
        <v>49.03</v>
      </c>
      <c r="DL46" s="740">
        <v>49.13</v>
      </c>
      <c r="DM46" s="740">
        <v>49.23</v>
      </c>
      <c r="DN46" s="740">
        <v>49.32</v>
      </c>
      <c r="DO46" s="740">
        <v>49.42</v>
      </c>
      <c r="DP46" s="740">
        <v>49.51</v>
      </c>
      <c r="DQ46" s="740">
        <v>49.61</v>
      </c>
      <c r="DR46" s="740">
        <v>49.7</v>
      </c>
    </row>
    <row r="47" spans="1:122">
      <c r="A47" s="912">
        <v>45</v>
      </c>
      <c r="B47" s="90"/>
      <c r="C47" s="90"/>
      <c r="D47" s="90"/>
      <c r="E47" s="90"/>
      <c r="F47" s="90"/>
      <c r="G47" s="90"/>
      <c r="H47" s="90"/>
      <c r="I47" s="90"/>
      <c r="J47" s="90"/>
      <c r="K47" s="90"/>
      <c r="L47" s="90"/>
      <c r="M47" s="90"/>
      <c r="N47" s="90"/>
      <c r="O47" s="90"/>
      <c r="P47" s="90"/>
      <c r="Q47" s="90"/>
      <c r="R47" s="90"/>
      <c r="S47" s="90"/>
      <c r="T47" s="90"/>
      <c r="U47" s="90"/>
      <c r="V47" s="740"/>
      <c r="W47" s="740">
        <v>35.74</v>
      </c>
      <c r="X47" s="740">
        <v>35.94</v>
      </c>
      <c r="Y47" s="740">
        <v>36.130000000000003</v>
      </c>
      <c r="Z47" s="740">
        <v>36.36</v>
      </c>
      <c r="AA47" s="740">
        <v>36.5</v>
      </c>
      <c r="AB47" s="740">
        <v>36.69</v>
      </c>
      <c r="AC47" s="740">
        <v>36.92</v>
      </c>
      <c r="AD47" s="740">
        <v>37.03</v>
      </c>
      <c r="AE47" s="740">
        <v>37.270000000000003</v>
      </c>
      <c r="AF47" s="740">
        <v>37.44</v>
      </c>
      <c r="AG47" s="740">
        <v>37.619999999999997</v>
      </c>
      <c r="AH47" s="740">
        <v>37.79</v>
      </c>
      <c r="AI47" s="740">
        <v>37.979999999999997</v>
      </c>
      <c r="AJ47" s="740">
        <v>38.24</v>
      </c>
      <c r="AK47" s="740">
        <v>38.479999999999997</v>
      </c>
      <c r="AL47" s="740">
        <v>38.74</v>
      </c>
      <c r="AM47" s="740">
        <v>38.99</v>
      </c>
      <c r="AN47" s="740">
        <v>39.19</v>
      </c>
      <c r="AO47" s="740">
        <v>39.35</v>
      </c>
      <c r="AP47" s="740">
        <v>39.47</v>
      </c>
      <c r="AQ47" s="740">
        <v>39.53</v>
      </c>
      <c r="AR47" s="740">
        <v>39.590000000000003</v>
      </c>
      <c r="AS47" s="740">
        <v>39.65</v>
      </c>
      <c r="AT47" s="740">
        <v>39.630000000000003</v>
      </c>
      <c r="AU47" s="740">
        <v>39.69</v>
      </c>
      <c r="AV47" s="740">
        <v>39.76</v>
      </c>
      <c r="AW47" s="740">
        <v>39.979999999999997</v>
      </c>
      <c r="AX47" s="740">
        <v>40.04</v>
      </c>
      <c r="AY47" s="740">
        <v>40.200000000000003</v>
      </c>
      <c r="AZ47" s="740">
        <v>40.33</v>
      </c>
      <c r="BA47" s="740">
        <v>40.450000000000003</v>
      </c>
      <c r="BB47" s="740">
        <v>40.56</v>
      </c>
      <c r="BC47" s="740">
        <v>40.69</v>
      </c>
      <c r="BD47" s="740">
        <v>40.79</v>
      </c>
      <c r="BE47" s="740">
        <v>40.909999999999997</v>
      </c>
      <c r="BF47" s="740">
        <v>41.04</v>
      </c>
      <c r="BG47" s="740">
        <v>41.19</v>
      </c>
      <c r="BH47" s="740">
        <v>41.36</v>
      </c>
      <c r="BI47" s="740">
        <v>41.48</v>
      </c>
      <c r="BJ47" s="740">
        <v>41.62</v>
      </c>
      <c r="BK47" s="740">
        <v>41.76</v>
      </c>
      <c r="BL47" s="740">
        <v>41.92</v>
      </c>
      <c r="BM47" s="740">
        <v>42.08</v>
      </c>
      <c r="BN47" s="740">
        <v>42.23</v>
      </c>
      <c r="BO47" s="740">
        <v>42.36</v>
      </c>
      <c r="BP47" s="740">
        <v>42.51</v>
      </c>
      <c r="BQ47" s="740">
        <v>42.64</v>
      </c>
      <c r="BR47" s="740">
        <v>42.77</v>
      </c>
      <c r="BS47" s="740">
        <v>42.93</v>
      </c>
      <c r="BT47" s="740">
        <v>43.06</v>
      </c>
      <c r="BU47" s="740">
        <v>43.19</v>
      </c>
      <c r="BV47" s="740">
        <v>43.32</v>
      </c>
      <c r="BW47" s="740">
        <v>43.46</v>
      </c>
      <c r="BX47" s="740">
        <v>43.58</v>
      </c>
      <c r="BY47" s="740">
        <v>43.72</v>
      </c>
      <c r="BZ47" s="740">
        <v>43.85</v>
      </c>
      <c r="CA47" s="740">
        <v>43.98</v>
      </c>
      <c r="CB47" s="740">
        <v>44.1</v>
      </c>
      <c r="CC47" s="740">
        <v>44.23</v>
      </c>
      <c r="CD47" s="740">
        <v>44.36</v>
      </c>
      <c r="CE47" s="740">
        <v>44.48</v>
      </c>
      <c r="CF47" s="740">
        <v>44.61</v>
      </c>
      <c r="CG47" s="740">
        <v>44.73</v>
      </c>
      <c r="CH47" s="740">
        <v>44.86</v>
      </c>
      <c r="CI47" s="740">
        <v>44.98</v>
      </c>
      <c r="CJ47" s="740">
        <v>45.1</v>
      </c>
      <c r="CK47" s="740">
        <v>45.22</v>
      </c>
      <c r="CL47" s="740">
        <v>45.34</v>
      </c>
      <c r="CM47" s="740">
        <v>45.46</v>
      </c>
      <c r="CN47" s="740">
        <v>45.58</v>
      </c>
      <c r="CO47" s="740">
        <v>45.7</v>
      </c>
      <c r="CP47" s="740">
        <v>45.81</v>
      </c>
      <c r="CQ47" s="740">
        <v>45.93</v>
      </c>
      <c r="CR47" s="740">
        <v>46.04</v>
      </c>
      <c r="CS47" s="740">
        <v>46.16</v>
      </c>
      <c r="CT47" s="740">
        <v>46.27</v>
      </c>
      <c r="CU47" s="740">
        <v>46.38</v>
      </c>
      <c r="CV47" s="740">
        <v>46.49</v>
      </c>
      <c r="CW47" s="740">
        <v>46.6</v>
      </c>
      <c r="CX47" s="740">
        <v>46.71</v>
      </c>
      <c r="CY47" s="740">
        <v>46.82</v>
      </c>
      <c r="CZ47" s="740">
        <v>46.93</v>
      </c>
      <c r="DA47" s="740">
        <v>47.03</v>
      </c>
      <c r="DB47" s="740">
        <v>47.14</v>
      </c>
      <c r="DC47" s="740">
        <v>47.24</v>
      </c>
      <c r="DD47" s="740">
        <v>47.35</v>
      </c>
      <c r="DE47" s="740">
        <v>47.45</v>
      </c>
      <c r="DF47" s="740">
        <v>47.55</v>
      </c>
      <c r="DG47" s="740">
        <v>47.65</v>
      </c>
      <c r="DH47" s="740">
        <v>47.76</v>
      </c>
      <c r="DI47" s="740">
        <v>47.86</v>
      </c>
      <c r="DJ47" s="740">
        <v>47.95</v>
      </c>
      <c r="DK47" s="740">
        <v>48.05</v>
      </c>
      <c r="DL47" s="740">
        <v>48.15</v>
      </c>
      <c r="DM47" s="740">
        <v>48.25</v>
      </c>
      <c r="DN47" s="740">
        <v>48.34</v>
      </c>
      <c r="DO47" s="740">
        <v>48.44</v>
      </c>
      <c r="DP47" s="740">
        <v>48.53</v>
      </c>
      <c r="DQ47" s="740">
        <v>48.63</v>
      </c>
      <c r="DR47" s="740">
        <v>48.72</v>
      </c>
    </row>
    <row r="48" spans="1:122">
      <c r="A48" s="912">
        <v>46</v>
      </c>
      <c r="B48" s="90"/>
      <c r="C48" s="90"/>
      <c r="D48" s="90"/>
      <c r="E48" s="90"/>
      <c r="F48" s="90"/>
      <c r="G48" s="90"/>
      <c r="H48" s="90"/>
      <c r="I48" s="90"/>
      <c r="J48" s="90"/>
      <c r="K48" s="90"/>
      <c r="L48" s="90"/>
      <c r="M48" s="90"/>
      <c r="N48" s="90"/>
      <c r="O48" s="90"/>
      <c r="P48" s="90"/>
      <c r="Q48" s="90"/>
      <c r="R48" s="90"/>
      <c r="S48" s="90"/>
      <c r="T48" s="90"/>
      <c r="U48" s="90"/>
      <c r="V48" s="740"/>
      <c r="W48" s="740">
        <v>34.840000000000003</v>
      </c>
      <c r="X48" s="740">
        <v>35.04</v>
      </c>
      <c r="Y48" s="740">
        <v>35.229999999999997</v>
      </c>
      <c r="Z48" s="740">
        <v>35.46</v>
      </c>
      <c r="AA48" s="740">
        <v>35.6</v>
      </c>
      <c r="AB48" s="740">
        <v>35.79</v>
      </c>
      <c r="AC48" s="740">
        <v>36.020000000000003</v>
      </c>
      <c r="AD48" s="740">
        <v>36.130000000000003</v>
      </c>
      <c r="AE48" s="740">
        <v>36.36</v>
      </c>
      <c r="AF48" s="740">
        <v>36.53</v>
      </c>
      <c r="AG48" s="740">
        <v>36.71</v>
      </c>
      <c r="AH48" s="740">
        <v>36.89</v>
      </c>
      <c r="AI48" s="740">
        <v>37.08</v>
      </c>
      <c r="AJ48" s="740">
        <v>37.33</v>
      </c>
      <c r="AK48" s="740">
        <v>37.57</v>
      </c>
      <c r="AL48" s="740">
        <v>37.83</v>
      </c>
      <c r="AM48" s="740">
        <v>38.08</v>
      </c>
      <c r="AN48" s="740">
        <v>38.270000000000003</v>
      </c>
      <c r="AO48" s="740">
        <v>38.43</v>
      </c>
      <c r="AP48" s="740">
        <v>38.54</v>
      </c>
      <c r="AQ48" s="740">
        <v>38.61</v>
      </c>
      <c r="AR48" s="740">
        <v>38.67</v>
      </c>
      <c r="AS48" s="740">
        <v>38.72</v>
      </c>
      <c r="AT48" s="740">
        <v>38.71</v>
      </c>
      <c r="AU48" s="740">
        <v>38.78</v>
      </c>
      <c r="AV48" s="740">
        <v>38.840000000000003</v>
      </c>
      <c r="AW48" s="740">
        <v>39.06</v>
      </c>
      <c r="AX48" s="740">
        <v>39.119999999999997</v>
      </c>
      <c r="AY48" s="740">
        <v>39.28</v>
      </c>
      <c r="AZ48" s="740">
        <v>39.4</v>
      </c>
      <c r="BA48" s="740">
        <v>39.520000000000003</v>
      </c>
      <c r="BB48" s="740">
        <v>39.630000000000003</v>
      </c>
      <c r="BC48" s="740">
        <v>39.76</v>
      </c>
      <c r="BD48" s="740">
        <v>39.86</v>
      </c>
      <c r="BE48" s="740">
        <v>39.979999999999997</v>
      </c>
      <c r="BF48" s="740">
        <v>40.11</v>
      </c>
      <c r="BG48" s="740">
        <v>40.26</v>
      </c>
      <c r="BH48" s="740">
        <v>40.42</v>
      </c>
      <c r="BI48" s="740">
        <v>40.54</v>
      </c>
      <c r="BJ48" s="740">
        <v>40.68</v>
      </c>
      <c r="BK48" s="740">
        <v>40.82</v>
      </c>
      <c r="BL48" s="740">
        <v>40.98</v>
      </c>
      <c r="BM48" s="740">
        <v>41.13</v>
      </c>
      <c r="BN48" s="740">
        <v>41.28</v>
      </c>
      <c r="BO48" s="740">
        <v>41.41</v>
      </c>
      <c r="BP48" s="740">
        <v>41.56</v>
      </c>
      <c r="BQ48" s="740">
        <v>41.69</v>
      </c>
      <c r="BR48" s="740">
        <v>41.82</v>
      </c>
      <c r="BS48" s="740">
        <v>41.97</v>
      </c>
      <c r="BT48" s="740">
        <v>42.1</v>
      </c>
      <c r="BU48" s="740">
        <v>42.23</v>
      </c>
      <c r="BV48" s="740">
        <v>42.37</v>
      </c>
      <c r="BW48" s="740">
        <v>42.5</v>
      </c>
      <c r="BX48" s="740">
        <v>42.63</v>
      </c>
      <c r="BY48" s="740">
        <v>42.76</v>
      </c>
      <c r="BZ48" s="740">
        <v>42.89</v>
      </c>
      <c r="CA48" s="740">
        <v>43.02</v>
      </c>
      <c r="CB48" s="740">
        <v>43.15</v>
      </c>
      <c r="CC48" s="740">
        <v>43.27</v>
      </c>
      <c r="CD48" s="740">
        <v>43.4</v>
      </c>
      <c r="CE48" s="740">
        <v>43.53</v>
      </c>
      <c r="CF48" s="740">
        <v>43.65</v>
      </c>
      <c r="CG48" s="740">
        <v>43.77</v>
      </c>
      <c r="CH48" s="740">
        <v>43.9</v>
      </c>
      <c r="CI48" s="740">
        <v>44.02</v>
      </c>
      <c r="CJ48" s="740">
        <v>44.14</v>
      </c>
      <c r="CK48" s="740">
        <v>44.26</v>
      </c>
      <c r="CL48" s="740">
        <v>44.38</v>
      </c>
      <c r="CM48" s="740">
        <v>44.5</v>
      </c>
      <c r="CN48" s="740">
        <v>44.61</v>
      </c>
      <c r="CO48" s="740">
        <v>44.73</v>
      </c>
      <c r="CP48" s="740">
        <v>44.85</v>
      </c>
      <c r="CQ48" s="740">
        <v>44.96</v>
      </c>
      <c r="CR48" s="740">
        <v>45.07</v>
      </c>
      <c r="CS48" s="740">
        <v>45.19</v>
      </c>
      <c r="CT48" s="740">
        <v>45.3</v>
      </c>
      <c r="CU48" s="740">
        <v>45.41</v>
      </c>
      <c r="CV48" s="740">
        <v>45.52</v>
      </c>
      <c r="CW48" s="740">
        <v>45.63</v>
      </c>
      <c r="CX48" s="740">
        <v>45.74</v>
      </c>
      <c r="CY48" s="740">
        <v>45.85</v>
      </c>
      <c r="CZ48" s="740">
        <v>45.95</v>
      </c>
      <c r="DA48" s="740">
        <v>46.06</v>
      </c>
      <c r="DB48" s="740">
        <v>46.17</v>
      </c>
      <c r="DC48" s="740">
        <v>46.27</v>
      </c>
      <c r="DD48" s="740">
        <v>46.37</v>
      </c>
      <c r="DE48" s="740">
        <v>46.48</v>
      </c>
      <c r="DF48" s="740">
        <v>46.58</v>
      </c>
      <c r="DG48" s="740">
        <v>46.68</v>
      </c>
      <c r="DH48" s="740">
        <v>46.78</v>
      </c>
      <c r="DI48" s="740">
        <v>46.88</v>
      </c>
      <c r="DJ48" s="740">
        <v>46.98</v>
      </c>
      <c r="DK48" s="740">
        <v>47.08</v>
      </c>
      <c r="DL48" s="740">
        <v>47.17</v>
      </c>
      <c r="DM48" s="740">
        <v>47.27</v>
      </c>
      <c r="DN48" s="740">
        <v>47.36</v>
      </c>
      <c r="DO48" s="740">
        <v>47.46</v>
      </c>
      <c r="DP48" s="740">
        <v>47.55</v>
      </c>
      <c r="DQ48" s="740">
        <v>47.65</v>
      </c>
      <c r="DR48" s="740">
        <v>47.74</v>
      </c>
    </row>
    <row r="49" spans="1:122">
      <c r="A49" s="912">
        <v>47</v>
      </c>
      <c r="B49" s="90"/>
      <c r="C49" s="90"/>
      <c r="D49" s="90"/>
      <c r="E49" s="90"/>
      <c r="F49" s="90"/>
      <c r="G49" s="90"/>
      <c r="H49" s="90"/>
      <c r="I49" s="90"/>
      <c r="J49" s="90"/>
      <c r="K49" s="90"/>
      <c r="L49" s="90"/>
      <c r="M49" s="90"/>
      <c r="N49" s="90"/>
      <c r="O49" s="90"/>
      <c r="P49" s="90"/>
      <c r="Q49" s="90"/>
      <c r="R49" s="90"/>
      <c r="S49" s="90"/>
      <c r="T49" s="90"/>
      <c r="U49" s="90"/>
      <c r="V49" s="740"/>
      <c r="W49" s="740">
        <v>33.950000000000003</v>
      </c>
      <c r="X49" s="740">
        <v>34.15</v>
      </c>
      <c r="Y49" s="740">
        <v>34.35</v>
      </c>
      <c r="Z49" s="740">
        <v>34.57</v>
      </c>
      <c r="AA49" s="740">
        <v>34.71</v>
      </c>
      <c r="AB49" s="740">
        <v>34.9</v>
      </c>
      <c r="AC49" s="740">
        <v>35.119999999999997</v>
      </c>
      <c r="AD49" s="740">
        <v>35.24</v>
      </c>
      <c r="AE49" s="740">
        <v>35.47</v>
      </c>
      <c r="AF49" s="740">
        <v>35.630000000000003</v>
      </c>
      <c r="AG49" s="740">
        <v>35.81</v>
      </c>
      <c r="AH49" s="740">
        <v>35.99</v>
      </c>
      <c r="AI49" s="740">
        <v>36.17</v>
      </c>
      <c r="AJ49" s="740">
        <v>36.43</v>
      </c>
      <c r="AK49" s="740">
        <v>36.659999999999997</v>
      </c>
      <c r="AL49" s="740">
        <v>36.92</v>
      </c>
      <c r="AM49" s="740">
        <v>37.159999999999997</v>
      </c>
      <c r="AN49" s="740">
        <v>37.36</v>
      </c>
      <c r="AO49" s="740">
        <v>37.51</v>
      </c>
      <c r="AP49" s="740">
        <v>37.630000000000003</v>
      </c>
      <c r="AQ49" s="740">
        <v>37.69</v>
      </c>
      <c r="AR49" s="740">
        <v>37.75</v>
      </c>
      <c r="AS49" s="740">
        <v>37.799999999999997</v>
      </c>
      <c r="AT49" s="740">
        <v>37.799999999999997</v>
      </c>
      <c r="AU49" s="740">
        <v>37.86</v>
      </c>
      <c r="AV49" s="740">
        <v>37.92</v>
      </c>
      <c r="AW49" s="740">
        <v>38.14</v>
      </c>
      <c r="AX49" s="740">
        <v>38.200000000000003</v>
      </c>
      <c r="AY49" s="740">
        <v>38.36</v>
      </c>
      <c r="AZ49" s="740">
        <v>38.479999999999997</v>
      </c>
      <c r="BA49" s="740">
        <v>38.6</v>
      </c>
      <c r="BB49" s="740">
        <v>38.71</v>
      </c>
      <c r="BC49" s="740">
        <v>38.83</v>
      </c>
      <c r="BD49" s="740">
        <v>38.94</v>
      </c>
      <c r="BE49" s="740">
        <v>39.049999999999997</v>
      </c>
      <c r="BF49" s="740">
        <v>39.18</v>
      </c>
      <c r="BG49" s="740">
        <v>39.33</v>
      </c>
      <c r="BH49" s="740">
        <v>39.49</v>
      </c>
      <c r="BI49" s="740">
        <v>39.61</v>
      </c>
      <c r="BJ49" s="740">
        <v>39.75</v>
      </c>
      <c r="BK49" s="740">
        <v>39.880000000000003</v>
      </c>
      <c r="BL49" s="740">
        <v>40.04</v>
      </c>
      <c r="BM49" s="740">
        <v>40.19</v>
      </c>
      <c r="BN49" s="740">
        <v>40.340000000000003</v>
      </c>
      <c r="BO49" s="740">
        <v>40.47</v>
      </c>
      <c r="BP49" s="740">
        <v>40.61</v>
      </c>
      <c r="BQ49" s="740">
        <v>40.74</v>
      </c>
      <c r="BR49" s="740">
        <v>40.880000000000003</v>
      </c>
      <c r="BS49" s="740">
        <v>41.02</v>
      </c>
      <c r="BT49" s="740">
        <v>41.16</v>
      </c>
      <c r="BU49" s="740">
        <v>41.28</v>
      </c>
      <c r="BV49" s="740">
        <v>41.42</v>
      </c>
      <c r="BW49" s="740">
        <v>41.55</v>
      </c>
      <c r="BX49" s="740">
        <v>41.68</v>
      </c>
      <c r="BY49" s="740">
        <v>41.81</v>
      </c>
      <c r="BZ49" s="740">
        <v>41.94</v>
      </c>
      <c r="CA49" s="740">
        <v>42.07</v>
      </c>
      <c r="CB49" s="740">
        <v>42.19</v>
      </c>
      <c r="CC49" s="740">
        <v>42.32</v>
      </c>
      <c r="CD49" s="740">
        <v>42.44</v>
      </c>
      <c r="CE49" s="740">
        <v>42.57</v>
      </c>
      <c r="CF49" s="740">
        <v>42.69</v>
      </c>
      <c r="CG49" s="740">
        <v>42.82</v>
      </c>
      <c r="CH49" s="740">
        <v>42.94</v>
      </c>
      <c r="CI49" s="740">
        <v>43.06</v>
      </c>
      <c r="CJ49" s="740">
        <v>43.18</v>
      </c>
      <c r="CK49" s="740">
        <v>43.3</v>
      </c>
      <c r="CL49" s="740">
        <v>43.42</v>
      </c>
      <c r="CM49" s="740">
        <v>43.53</v>
      </c>
      <c r="CN49" s="740">
        <v>43.65</v>
      </c>
      <c r="CO49" s="740">
        <v>43.77</v>
      </c>
      <c r="CP49" s="740">
        <v>43.88</v>
      </c>
      <c r="CQ49" s="740">
        <v>44</v>
      </c>
      <c r="CR49" s="740">
        <v>44.11</v>
      </c>
      <c r="CS49" s="740">
        <v>44.22</v>
      </c>
      <c r="CT49" s="740">
        <v>44.33</v>
      </c>
      <c r="CU49" s="740">
        <v>44.44</v>
      </c>
      <c r="CV49" s="740">
        <v>44.55</v>
      </c>
      <c r="CW49" s="740">
        <v>44.66</v>
      </c>
      <c r="CX49" s="740">
        <v>44.77</v>
      </c>
      <c r="CY49" s="740">
        <v>44.88</v>
      </c>
      <c r="CZ49" s="740">
        <v>44.98</v>
      </c>
      <c r="DA49" s="740">
        <v>45.09</v>
      </c>
      <c r="DB49" s="740">
        <v>45.19</v>
      </c>
      <c r="DC49" s="740">
        <v>45.3</v>
      </c>
      <c r="DD49" s="740">
        <v>45.4</v>
      </c>
      <c r="DE49" s="740">
        <v>45.5</v>
      </c>
      <c r="DF49" s="740">
        <v>45.6</v>
      </c>
      <c r="DG49" s="740">
        <v>45.71</v>
      </c>
      <c r="DH49" s="740">
        <v>45.81</v>
      </c>
      <c r="DI49" s="740">
        <v>45.9</v>
      </c>
      <c r="DJ49" s="740">
        <v>46</v>
      </c>
      <c r="DK49" s="740">
        <v>46.1</v>
      </c>
      <c r="DL49" s="740">
        <v>46.2</v>
      </c>
      <c r="DM49" s="740">
        <v>46.29</v>
      </c>
      <c r="DN49" s="740">
        <v>46.39</v>
      </c>
      <c r="DO49" s="740">
        <v>46.48</v>
      </c>
      <c r="DP49" s="740">
        <v>46.58</v>
      </c>
      <c r="DQ49" s="740">
        <v>46.67</v>
      </c>
      <c r="DR49" s="740">
        <v>46.76</v>
      </c>
    </row>
    <row r="50" spans="1:122">
      <c r="A50" s="912">
        <v>48</v>
      </c>
      <c r="B50" s="90"/>
      <c r="C50" s="90"/>
      <c r="D50" s="90"/>
      <c r="E50" s="90"/>
      <c r="F50" s="90"/>
      <c r="G50" s="90"/>
      <c r="H50" s="90"/>
      <c r="I50" s="90"/>
      <c r="J50" s="90"/>
      <c r="K50" s="90"/>
      <c r="L50" s="90"/>
      <c r="M50" s="90"/>
      <c r="N50" s="90"/>
      <c r="O50" s="90"/>
      <c r="P50" s="90"/>
      <c r="Q50" s="90"/>
      <c r="R50" s="90"/>
      <c r="S50" s="90"/>
      <c r="T50" s="90"/>
      <c r="U50" s="90"/>
      <c r="V50" s="740"/>
      <c r="W50" s="740">
        <v>33.07</v>
      </c>
      <c r="X50" s="740">
        <v>33.270000000000003</v>
      </c>
      <c r="Y50" s="740">
        <v>33.46</v>
      </c>
      <c r="Z50" s="740">
        <v>33.68</v>
      </c>
      <c r="AA50" s="740">
        <v>33.82</v>
      </c>
      <c r="AB50" s="740">
        <v>34.01</v>
      </c>
      <c r="AC50" s="740">
        <v>34.229999999999997</v>
      </c>
      <c r="AD50" s="740">
        <v>34.35</v>
      </c>
      <c r="AE50" s="740">
        <v>34.58</v>
      </c>
      <c r="AF50" s="740">
        <v>34.74</v>
      </c>
      <c r="AG50" s="740">
        <v>34.92</v>
      </c>
      <c r="AH50" s="740">
        <v>35.090000000000003</v>
      </c>
      <c r="AI50" s="740">
        <v>35.28</v>
      </c>
      <c r="AJ50" s="740">
        <v>35.53</v>
      </c>
      <c r="AK50" s="740">
        <v>35.76</v>
      </c>
      <c r="AL50" s="740">
        <v>36.01</v>
      </c>
      <c r="AM50" s="740">
        <v>36.25</v>
      </c>
      <c r="AN50" s="740">
        <v>36.450000000000003</v>
      </c>
      <c r="AO50" s="740">
        <v>36.6</v>
      </c>
      <c r="AP50" s="740">
        <v>36.71</v>
      </c>
      <c r="AQ50" s="740">
        <v>36.78</v>
      </c>
      <c r="AR50" s="740">
        <v>36.840000000000003</v>
      </c>
      <c r="AS50" s="740">
        <v>36.89</v>
      </c>
      <c r="AT50" s="740">
        <v>36.89</v>
      </c>
      <c r="AU50" s="740">
        <v>36.950000000000003</v>
      </c>
      <c r="AV50" s="740">
        <v>37.01</v>
      </c>
      <c r="AW50" s="740">
        <v>37.22</v>
      </c>
      <c r="AX50" s="740">
        <v>37.28</v>
      </c>
      <c r="AY50" s="740">
        <v>37.44</v>
      </c>
      <c r="AZ50" s="740">
        <v>37.56</v>
      </c>
      <c r="BA50" s="740">
        <v>37.67</v>
      </c>
      <c r="BB50" s="740">
        <v>37.79</v>
      </c>
      <c r="BC50" s="740">
        <v>37.909999999999997</v>
      </c>
      <c r="BD50" s="740">
        <v>38.01</v>
      </c>
      <c r="BE50" s="740">
        <v>38.130000000000003</v>
      </c>
      <c r="BF50" s="740">
        <v>38.26</v>
      </c>
      <c r="BG50" s="740">
        <v>38.4</v>
      </c>
      <c r="BH50" s="740">
        <v>38.56</v>
      </c>
      <c r="BI50" s="740">
        <v>38.68</v>
      </c>
      <c r="BJ50" s="740">
        <v>38.82</v>
      </c>
      <c r="BK50" s="740">
        <v>38.950000000000003</v>
      </c>
      <c r="BL50" s="740">
        <v>39.11</v>
      </c>
      <c r="BM50" s="740">
        <v>39.26</v>
      </c>
      <c r="BN50" s="740">
        <v>39.4</v>
      </c>
      <c r="BO50" s="740">
        <v>39.53</v>
      </c>
      <c r="BP50" s="740">
        <v>39.67</v>
      </c>
      <c r="BQ50" s="740">
        <v>39.799999999999997</v>
      </c>
      <c r="BR50" s="740">
        <v>39.93</v>
      </c>
      <c r="BS50" s="740">
        <v>40.08</v>
      </c>
      <c r="BT50" s="740">
        <v>40.21</v>
      </c>
      <c r="BU50" s="740">
        <v>40.340000000000003</v>
      </c>
      <c r="BV50" s="740">
        <v>40.47</v>
      </c>
      <c r="BW50" s="740">
        <v>40.6</v>
      </c>
      <c r="BX50" s="740">
        <v>40.729999999999997</v>
      </c>
      <c r="BY50" s="740">
        <v>40.86</v>
      </c>
      <c r="BZ50" s="740">
        <v>40.99</v>
      </c>
      <c r="CA50" s="740">
        <v>41.12</v>
      </c>
      <c r="CB50" s="740">
        <v>41.24</v>
      </c>
      <c r="CC50" s="740">
        <v>41.37</v>
      </c>
      <c r="CD50" s="740">
        <v>41.49</v>
      </c>
      <c r="CE50" s="740">
        <v>41.61</v>
      </c>
      <c r="CF50" s="740">
        <v>41.74</v>
      </c>
      <c r="CG50" s="740">
        <v>41.86</v>
      </c>
      <c r="CH50" s="740">
        <v>41.98</v>
      </c>
      <c r="CI50" s="740">
        <v>42.1</v>
      </c>
      <c r="CJ50" s="740">
        <v>42.22</v>
      </c>
      <c r="CK50" s="740">
        <v>42.34</v>
      </c>
      <c r="CL50" s="740">
        <v>42.46</v>
      </c>
      <c r="CM50" s="740">
        <v>42.57</v>
      </c>
      <c r="CN50" s="740">
        <v>42.69</v>
      </c>
      <c r="CO50" s="740">
        <v>42.8</v>
      </c>
      <c r="CP50" s="740">
        <v>42.92</v>
      </c>
      <c r="CQ50" s="740">
        <v>43.03</v>
      </c>
      <c r="CR50" s="740">
        <v>43.15</v>
      </c>
      <c r="CS50" s="740">
        <v>43.26</v>
      </c>
      <c r="CT50" s="740">
        <v>43.37</v>
      </c>
      <c r="CU50" s="740">
        <v>43.48</v>
      </c>
      <c r="CV50" s="740">
        <v>43.59</v>
      </c>
      <c r="CW50" s="740">
        <v>43.7</v>
      </c>
      <c r="CX50" s="740">
        <v>43.8</v>
      </c>
      <c r="CY50" s="740">
        <v>43.91</v>
      </c>
      <c r="CZ50" s="740">
        <v>44.02</v>
      </c>
      <c r="DA50" s="740">
        <v>44.12</v>
      </c>
      <c r="DB50" s="740">
        <v>44.22</v>
      </c>
      <c r="DC50" s="740">
        <v>44.33</v>
      </c>
      <c r="DD50" s="740">
        <v>44.43</v>
      </c>
      <c r="DE50" s="740">
        <v>44.53</v>
      </c>
      <c r="DF50" s="740">
        <v>44.63</v>
      </c>
      <c r="DG50" s="740">
        <v>44.73</v>
      </c>
      <c r="DH50" s="740">
        <v>44.83</v>
      </c>
      <c r="DI50" s="740">
        <v>44.93</v>
      </c>
      <c r="DJ50" s="740">
        <v>45.03</v>
      </c>
      <c r="DK50" s="740">
        <v>45.13</v>
      </c>
      <c r="DL50" s="740">
        <v>45.22</v>
      </c>
      <c r="DM50" s="740">
        <v>45.32</v>
      </c>
      <c r="DN50" s="740">
        <v>45.41</v>
      </c>
      <c r="DO50" s="740">
        <v>45.51</v>
      </c>
      <c r="DP50" s="740">
        <v>45.6</v>
      </c>
      <c r="DQ50" s="740">
        <v>45.69</v>
      </c>
      <c r="DR50" s="740">
        <v>45.78</v>
      </c>
    </row>
    <row r="51" spans="1:122">
      <c r="A51" s="912">
        <v>49</v>
      </c>
      <c r="B51" s="90"/>
      <c r="C51" s="90"/>
      <c r="D51" s="90"/>
      <c r="E51" s="90"/>
      <c r="F51" s="90"/>
      <c r="G51" s="90"/>
      <c r="H51" s="90"/>
      <c r="I51" s="90"/>
      <c r="J51" s="90"/>
      <c r="K51" s="90"/>
      <c r="L51" s="90"/>
      <c r="M51" s="90"/>
      <c r="N51" s="90"/>
      <c r="O51" s="90"/>
      <c r="P51" s="90"/>
      <c r="Q51" s="90"/>
      <c r="R51" s="90"/>
      <c r="S51" s="90"/>
      <c r="T51" s="90"/>
      <c r="U51" s="90"/>
      <c r="V51" s="740"/>
      <c r="W51" s="740">
        <v>32.200000000000003</v>
      </c>
      <c r="X51" s="740">
        <v>32.4</v>
      </c>
      <c r="Y51" s="740">
        <v>32.590000000000003</v>
      </c>
      <c r="Z51" s="740">
        <v>32.799999999999997</v>
      </c>
      <c r="AA51" s="740">
        <v>32.94</v>
      </c>
      <c r="AB51" s="740">
        <v>33.130000000000003</v>
      </c>
      <c r="AC51" s="740">
        <v>33.35</v>
      </c>
      <c r="AD51" s="740">
        <v>33.46</v>
      </c>
      <c r="AE51" s="740">
        <v>33.69</v>
      </c>
      <c r="AF51" s="740">
        <v>33.86</v>
      </c>
      <c r="AG51" s="740">
        <v>34.03</v>
      </c>
      <c r="AH51" s="740">
        <v>34.21</v>
      </c>
      <c r="AI51" s="740">
        <v>34.380000000000003</v>
      </c>
      <c r="AJ51" s="740">
        <v>34.630000000000003</v>
      </c>
      <c r="AK51" s="740">
        <v>34.86</v>
      </c>
      <c r="AL51" s="740">
        <v>35.11</v>
      </c>
      <c r="AM51" s="740">
        <v>35.340000000000003</v>
      </c>
      <c r="AN51" s="740">
        <v>35.54</v>
      </c>
      <c r="AO51" s="740">
        <v>35.69</v>
      </c>
      <c r="AP51" s="740">
        <v>35.81</v>
      </c>
      <c r="AQ51" s="740">
        <v>35.869999999999997</v>
      </c>
      <c r="AR51" s="740">
        <v>35.93</v>
      </c>
      <c r="AS51" s="740">
        <v>35.979999999999997</v>
      </c>
      <c r="AT51" s="740">
        <v>35.979999999999997</v>
      </c>
      <c r="AU51" s="740">
        <v>36.049999999999997</v>
      </c>
      <c r="AV51" s="740">
        <v>36.1</v>
      </c>
      <c r="AW51" s="740">
        <v>36.32</v>
      </c>
      <c r="AX51" s="740">
        <v>36.369999999999997</v>
      </c>
      <c r="AY51" s="740">
        <v>36.520000000000003</v>
      </c>
      <c r="AZ51" s="740">
        <v>36.64</v>
      </c>
      <c r="BA51" s="740">
        <v>36.76</v>
      </c>
      <c r="BB51" s="740">
        <v>36.869999999999997</v>
      </c>
      <c r="BC51" s="740">
        <v>36.99</v>
      </c>
      <c r="BD51" s="740">
        <v>37.090000000000003</v>
      </c>
      <c r="BE51" s="740">
        <v>37.21</v>
      </c>
      <c r="BF51" s="740">
        <v>37.33</v>
      </c>
      <c r="BG51" s="740">
        <v>37.479999999999997</v>
      </c>
      <c r="BH51" s="740">
        <v>37.630000000000003</v>
      </c>
      <c r="BI51" s="740">
        <v>37.75</v>
      </c>
      <c r="BJ51" s="740">
        <v>37.89</v>
      </c>
      <c r="BK51" s="740">
        <v>38.020000000000003</v>
      </c>
      <c r="BL51" s="740">
        <v>38.17</v>
      </c>
      <c r="BM51" s="740">
        <v>38.32</v>
      </c>
      <c r="BN51" s="740">
        <v>38.47</v>
      </c>
      <c r="BO51" s="740">
        <v>38.6</v>
      </c>
      <c r="BP51" s="740">
        <v>38.729999999999997</v>
      </c>
      <c r="BQ51" s="740">
        <v>38.869999999999997</v>
      </c>
      <c r="BR51" s="740">
        <v>39</v>
      </c>
      <c r="BS51" s="740">
        <v>39.14</v>
      </c>
      <c r="BT51" s="740">
        <v>39.270000000000003</v>
      </c>
      <c r="BU51" s="740">
        <v>39.4</v>
      </c>
      <c r="BV51" s="740">
        <v>39.53</v>
      </c>
      <c r="BW51" s="740">
        <v>39.659999999999997</v>
      </c>
      <c r="BX51" s="740">
        <v>39.79</v>
      </c>
      <c r="BY51" s="740">
        <v>39.909999999999997</v>
      </c>
      <c r="BZ51" s="740">
        <v>40.04</v>
      </c>
      <c r="CA51" s="740">
        <v>40.17</v>
      </c>
      <c r="CB51" s="740">
        <v>40.29</v>
      </c>
      <c r="CC51" s="740">
        <v>40.42</v>
      </c>
      <c r="CD51" s="740">
        <v>40.54</v>
      </c>
      <c r="CE51" s="740">
        <v>40.659999999999997</v>
      </c>
      <c r="CF51" s="740">
        <v>40.79</v>
      </c>
      <c r="CG51" s="740">
        <v>40.909999999999997</v>
      </c>
      <c r="CH51" s="740">
        <v>41.03</v>
      </c>
      <c r="CI51" s="740">
        <v>41.15</v>
      </c>
      <c r="CJ51" s="740">
        <v>41.27</v>
      </c>
      <c r="CK51" s="740">
        <v>41.38</v>
      </c>
      <c r="CL51" s="740">
        <v>41.5</v>
      </c>
      <c r="CM51" s="740">
        <v>41.62</v>
      </c>
      <c r="CN51" s="740">
        <v>41.73</v>
      </c>
      <c r="CO51" s="740">
        <v>41.85</v>
      </c>
      <c r="CP51" s="740">
        <v>41.96</v>
      </c>
      <c r="CQ51" s="740">
        <v>42.07</v>
      </c>
      <c r="CR51" s="740">
        <v>42.18</v>
      </c>
      <c r="CS51" s="740">
        <v>42.3</v>
      </c>
      <c r="CT51" s="740">
        <v>42.41</v>
      </c>
      <c r="CU51" s="740">
        <v>42.52</v>
      </c>
      <c r="CV51" s="740">
        <v>42.62</v>
      </c>
      <c r="CW51" s="740">
        <v>42.73</v>
      </c>
      <c r="CX51" s="740">
        <v>42.84</v>
      </c>
      <c r="CY51" s="740">
        <v>42.94</v>
      </c>
      <c r="CZ51" s="740">
        <v>43.05</v>
      </c>
      <c r="DA51" s="740">
        <v>43.15</v>
      </c>
      <c r="DB51" s="740">
        <v>43.26</v>
      </c>
      <c r="DC51" s="740">
        <v>43.36</v>
      </c>
      <c r="DD51" s="740">
        <v>43.46</v>
      </c>
      <c r="DE51" s="740">
        <v>43.56</v>
      </c>
      <c r="DF51" s="740">
        <v>43.66</v>
      </c>
      <c r="DG51" s="740">
        <v>43.76</v>
      </c>
      <c r="DH51" s="740">
        <v>43.86</v>
      </c>
      <c r="DI51" s="740">
        <v>43.96</v>
      </c>
      <c r="DJ51" s="740">
        <v>44.06</v>
      </c>
      <c r="DK51" s="740">
        <v>44.15</v>
      </c>
      <c r="DL51" s="740">
        <v>44.25</v>
      </c>
      <c r="DM51" s="740">
        <v>44.35</v>
      </c>
      <c r="DN51" s="740">
        <v>44.44</v>
      </c>
      <c r="DO51" s="740">
        <v>44.53</v>
      </c>
      <c r="DP51" s="740">
        <v>44.63</v>
      </c>
      <c r="DQ51" s="740">
        <v>44.72</v>
      </c>
      <c r="DR51" s="740">
        <v>44.81</v>
      </c>
    </row>
    <row r="52" spans="1:122">
      <c r="A52" s="912">
        <v>50</v>
      </c>
      <c r="B52" s="90"/>
      <c r="C52" s="90"/>
      <c r="D52" s="90"/>
      <c r="E52" s="90"/>
      <c r="F52" s="90"/>
      <c r="G52" s="90"/>
      <c r="H52" s="90"/>
      <c r="I52" s="90"/>
      <c r="J52" s="90"/>
      <c r="K52" s="90"/>
      <c r="L52" s="90"/>
      <c r="M52" s="90"/>
      <c r="N52" s="90"/>
      <c r="O52" s="90"/>
      <c r="P52" s="90"/>
      <c r="Q52" s="90"/>
      <c r="R52" s="90"/>
      <c r="S52" s="90"/>
      <c r="T52" s="90"/>
      <c r="U52" s="90"/>
      <c r="V52" s="740"/>
      <c r="W52" s="740">
        <v>31.33</v>
      </c>
      <c r="X52" s="740">
        <v>31.53</v>
      </c>
      <c r="Y52" s="740">
        <v>31.72</v>
      </c>
      <c r="Z52" s="740">
        <v>31.93</v>
      </c>
      <c r="AA52" s="740">
        <v>32.07</v>
      </c>
      <c r="AB52" s="740">
        <v>32.26</v>
      </c>
      <c r="AC52" s="740">
        <v>32.47</v>
      </c>
      <c r="AD52" s="740">
        <v>32.58</v>
      </c>
      <c r="AE52" s="740">
        <v>32.81</v>
      </c>
      <c r="AF52" s="740">
        <v>32.97</v>
      </c>
      <c r="AG52" s="740">
        <v>33.14</v>
      </c>
      <c r="AH52" s="740">
        <v>33.32</v>
      </c>
      <c r="AI52" s="740">
        <v>33.49</v>
      </c>
      <c r="AJ52" s="740">
        <v>33.74</v>
      </c>
      <c r="AK52" s="740">
        <v>33.96</v>
      </c>
      <c r="AL52" s="740">
        <v>34.21</v>
      </c>
      <c r="AM52" s="740">
        <v>34.44</v>
      </c>
      <c r="AN52" s="740">
        <v>34.64</v>
      </c>
      <c r="AO52" s="740">
        <v>34.79</v>
      </c>
      <c r="AP52" s="740">
        <v>34.9</v>
      </c>
      <c r="AQ52" s="740">
        <v>34.97</v>
      </c>
      <c r="AR52" s="740">
        <v>35.03</v>
      </c>
      <c r="AS52" s="740">
        <v>35.08</v>
      </c>
      <c r="AT52" s="740">
        <v>35.08</v>
      </c>
      <c r="AU52" s="740">
        <v>35.14</v>
      </c>
      <c r="AV52" s="740">
        <v>35.200000000000003</v>
      </c>
      <c r="AW52" s="740">
        <v>35.409999999999997</v>
      </c>
      <c r="AX52" s="740">
        <v>35.46</v>
      </c>
      <c r="AY52" s="740">
        <v>35.61</v>
      </c>
      <c r="AZ52" s="740">
        <v>35.729999999999997</v>
      </c>
      <c r="BA52" s="740">
        <v>35.840000000000003</v>
      </c>
      <c r="BB52" s="740">
        <v>35.96</v>
      </c>
      <c r="BC52" s="740">
        <v>36.08</v>
      </c>
      <c r="BD52" s="740">
        <v>36.18</v>
      </c>
      <c r="BE52" s="740">
        <v>36.29</v>
      </c>
      <c r="BF52" s="740">
        <v>36.42</v>
      </c>
      <c r="BG52" s="740">
        <v>36.56</v>
      </c>
      <c r="BH52" s="740">
        <v>36.700000000000003</v>
      </c>
      <c r="BI52" s="740">
        <v>36.83</v>
      </c>
      <c r="BJ52" s="740">
        <v>36.96</v>
      </c>
      <c r="BK52" s="740">
        <v>37.1</v>
      </c>
      <c r="BL52" s="740">
        <v>37.25</v>
      </c>
      <c r="BM52" s="740">
        <v>37.39</v>
      </c>
      <c r="BN52" s="740">
        <v>37.54</v>
      </c>
      <c r="BO52" s="740">
        <v>37.67</v>
      </c>
      <c r="BP52" s="740">
        <v>37.799999999999997</v>
      </c>
      <c r="BQ52" s="740">
        <v>37.93</v>
      </c>
      <c r="BR52" s="740">
        <v>38.07</v>
      </c>
      <c r="BS52" s="740">
        <v>38.200000000000003</v>
      </c>
      <c r="BT52" s="740">
        <v>38.33</v>
      </c>
      <c r="BU52" s="740">
        <v>38.46</v>
      </c>
      <c r="BV52" s="740">
        <v>38.590000000000003</v>
      </c>
      <c r="BW52" s="740">
        <v>38.72</v>
      </c>
      <c r="BX52" s="740">
        <v>38.85</v>
      </c>
      <c r="BY52" s="740">
        <v>38.97</v>
      </c>
      <c r="BZ52" s="740">
        <v>39.1</v>
      </c>
      <c r="CA52" s="740">
        <v>39.22</v>
      </c>
      <c r="CB52" s="740">
        <v>39.35</v>
      </c>
      <c r="CC52" s="740">
        <v>39.47</v>
      </c>
      <c r="CD52" s="740">
        <v>39.6</v>
      </c>
      <c r="CE52" s="740">
        <v>39.72</v>
      </c>
      <c r="CF52" s="740">
        <v>39.840000000000003</v>
      </c>
      <c r="CG52" s="740">
        <v>39.96</v>
      </c>
      <c r="CH52" s="740">
        <v>40.08</v>
      </c>
      <c r="CI52" s="740">
        <v>40.200000000000003</v>
      </c>
      <c r="CJ52" s="740">
        <v>40.31</v>
      </c>
      <c r="CK52" s="740">
        <v>40.43</v>
      </c>
      <c r="CL52" s="740">
        <v>40.549999999999997</v>
      </c>
      <c r="CM52" s="740">
        <v>40.659999999999997</v>
      </c>
      <c r="CN52" s="740">
        <v>40.78</v>
      </c>
      <c r="CO52" s="740">
        <v>40.89</v>
      </c>
      <c r="CP52" s="740">
        <v>41</v>
      </c>
      <c r="CQ52" s="740">
        <v>41.12</v>
      </c>
      <c r="CR52" s="740">
        <v>41.23</v>
      </c>
      <c r="CS52" s="740">
        <v>41.34</v>
      </c>
      <c r="CT52" s="740">
        <v>41.45</v>
      </c>
      <c r="CU52" s="740">
        <v>41.56</v>
      </c>
      <c r="CV52" s="740">
        <v>41.66</v>
      </c>
      <c r="CW52" s="740">
        <v>41.77</v>
      </c>
      <c r="CX52" s="740">
        <v>41.88</v>
      </c>
      <c r="CY52" s="740">
        <v>41.98</v>
      </c>
      <c r="CZ52" s="740">
        <v>42.09</v>
      </c>
      <c r="DA52" s="740">
        <v>42.19</v>
      </c>
      <c r="DB52" s="740">
        <v>42.29</v>
      </c>
      <c r="DC52" s="740">
        <v>42.4</v>
      </c>
      <c r="DD52" s="740">
        <v>42.5</v>
      </c>
      <c r="DE52" s="740">
        <v>42.6</v>
      </c>
      <c r="DF52" s="740">
        <v>42.7</v>
      </c>
      <c r="DG52" s="740">
        <v>42.8</v>
      </c>
      <c r="DH52" s="740">
        <v>42.9</v>
      </c>
      <c r="DI52" s="740">
        <v>42.99</v>
      </c>
      <c r="DJ52" s="740">
        <v>43.09</v>
      </c>
      <c r="DK52" s="740">
        <v>43.19</v>
      </c>
      <c r="DL52" s="740">
        <v>43.28</v>
      </c>
      <c r="DM52" s="740">
        <v>43.37</v>
      </c>
      <c r="DN52" s="740">
        <v>43.47</v>
      </c>
      <c r="DO52" s="740">
        <v>43.56</v>
      </c>
      <c r="DP52" s="740">
        <v>43.65</v>
      </c>
      <c r="DQ52" s="740">
        <v>43.74</v>
      </c>
      <c r="DR52" s="740">
        <v>43.83</v>
      </c>
    </row>
    <row r="53" spans="1:122">
      <c r="A53" s="912">
        <v>51</v>
      </c>
      <c r="B53" s="90"/>
      <c r="C53" s="90"/>
      <c r="D53" s="90"/>
      <c r="E53" s="90"/>
      <c r="F53" s="90"/>
      <c r="G53" s="90"/>
      <c r="H53" s="90"/>
      <c r="I53" s="90"/>
      <c r="J53" s="90"/>
      <c r="K53" s="90"/>
      <c r="L53" s="90"/>
      <c r="M53" s="90"/>
      <c r="N53" s="90"/>
      <c r="O53" s="90"/>
      <c r="P53" s="90"/>
      <c r="Q53" s="90"/>
      <c r="R53" s="90"/>
      <c r="S53" s="90"/>
      <c r="T53" s="90"/>
      <c r="U53" s="90"/>
      <c r="V53" s="740"/>
      <c r="W53" s="740">
        <v>30.47</v>
      </c>
      <c r="X53" s="740">
        <v>30.66</v>
      </c>
      <c r="Y53" s="740">
        <v>30.85</v>
      </c>
      <c r="Z53" s="740">
        <v>31.05</v>
      </c>
      <c r="AA53" s="740">
        <v>31.2</v>
      </c>
      <c r="AB53" s="740">
        <v>31.39</v>
      </c>
      <c r="AC53" s="740">
        <v>31.6</v>
      </c>
      <c r="AD53" s="740">
        <v>31.71</v>
      </c>
      <c r="AE53" s="740">
        <v>31.93</v>
      </c>
      <c r="AF53" s="740">
        <v>32.090000000000003</v>
      </c>
      <c r="AG53" s="740">
        <v>32.26</v>
      </c>
      <c r="AH53" s="740">
        <v>32.44</v>
      </c>
      <c r="AI53" s="740">
        <v>32.61</v>
      </c>
      <c r="AJ53" s="740">
        <v>32.85</v>
      </c>
      <c r="AK53" s="740">
        <v>33.07</v>
      </c>
      <c r="AL53" s="740">
        <v>33.32</v>
      </c>
      <c r="AM53" s="740">
        <v>33.549999999999997</v>
      </c>
      <c r="AN53" s="740">
        <v>33.75</v>
      </c>
      <c r="AO53" s="740">
        <v>33.89</v>
      </c>
      <c r="AP53" s="740">
        <v>34.01</v>
      </c>
      <c r="AQ53" s="740">
        <v>34.07</v>
      </c>
      <c r="AR53" s="740">
        <v>34.130000000000003</v>
      </c>
      <c r="AS53" s="740">
        <v>34.19</v>
      </c>
      <c r="AT53" s="740">
        <v>34.18</v>
      </c>
      <c r="AU53" s="740">
        <v>34.24</v>
      </c>
      <c r="AV53" s="740">
        <v>34.299999999999997</v>
      </c>
      <c r="AW53" s="740">
        <v>34.5</v>
      </c>
      <c r="AX53" s="740">
        <v>34.549999999999997</v>
      </c>
      <c r="AY53" s="740">
        <v>34.700000000000003</v>
      </c>
      <c r="AZ53" s="740">
        <v>34.82</v>
      </c>
      <c r="BA53" s="740">
        <v>34.94</v>
      </c>
      <c r="BB53" s="740">
        <v>35.049999999999997</v>
      </c>
      <c r="BC53" s="740">
        <v>35.17</v>
      </c>
      <c r="BD53" s="740">
        <v>35.26</v>
      </c>
      <c r="BE53" s="740">
        <v>35.380000000000003</v>
      </c>
      <c r="BF53" s="740">
        <v>35.51</v>
      </c>
      <c r="BG53" s="740">
        <v>35.64</v>
      </c>
      <c r="BH53" s="740">
        <v>35.79</v>
      </c>
      <c r="BI53" s="740">
        <v>35.909999999999997</v>
      </c>
      <c r="BJ53" s="740">
        <v>36.04</v>
      </c>
      <c r="BK53" s="740">
        <v>36.18</v>
      </c>
      <c r="BL53" s="740">
        <v>36.33</v>
      </c>
      <c r="BM53" s="740">
        <v>36.47</v>
      </c>
      <c r="BN53" s="740">
        <v>36.61</v>
      </c>
      <c r="BO53" s="740">
        <v>36.74</v>
      </c>
      <c r="BP53" s="740">
        <v>36.869999999999997</v>
      </c>
      <c r="BQ53" s="740">
        <v>37</v>
      </c>
      <c r="BR53" s="740">
        <v>37.14</v>
      </c>
      <c r="BS53" s="740">
        <v>37.270000000000003</v>
      </c>
      <c r="BT53" s="740">
        <v>37.4</v>
      </c>
      <c r="BU53" s="740">
        <v>37.53</v>
      </c>
      <c r="BV53" s="740">
        <v>37.65</v>
      </c>
      <c r="BW53" s="740">
        <v>37.78</v>
      </c>
      <c r="BX53" s="740">
        <v>37.909999999999997</v>
      </c>
      <c r="BY53" s="740">
        <v>38.03</v>
      </c>
      <c r="BZ53" s="740">
        <v>38.159999999999997</v>
      </c>
      <c r="CA53" s="740">
        <v>38.28</v>
      </c>
      <c r="CB53" s="740">
        <v>38.409999999999997</v>
      </c>
      <c r="CC53" s="740">
        <v>38.53</v>
      </c>
      <c r="CD53" s="740">
        <v>38.65</v>
      </c>
      <c r="CE53" s="740">
        <v>38.770000000000003</v>
      </c>
      <c r="CF53" s="740">
        <v>38.89</v>
      </c>
      <c r="CG53" s="740">
        <v>39.01</v>
      </c>
      <c r="CH53" s="740">
        <v>39.130000000000003</v>
      </c>
      <c r="CI53" s="740">
        <v>39.25</v>
      </c>
      <c r="CJ53" s="740">
        <v>39.369999999999997</v>
      </c>
      <c r="CK53" s="740">
        <v>39.479999999999997</v>
      </c>
      <c r="CL53" s="740">
        <v>39.6</v>
      </c>
      <c r="CM53" s="740">
        <v>39.71</v>
      </c>
      <c r="CN53" s="740">
        <v>39.83</v>
      </c>
      <c r="CO53" s="740">
        <v>39.94</v>
      </c>
      <c r="CP53" s="740">
        <v>40.049999999999997</v>
      </c>
      <c r="CQ53" s="740">
        <v>40.159999999999997</v>
      </c>
      <c r="CR53" s="740">
        <v>40.270000000000003</v>
      </c>
      <c r="CS53" s="740">
        <v>40.380000000000003</v>
      </c>
      <c r="CT53" s="740">
        <v>40.49</v>
      </c>
      <c r="CU53" s="740">
        <v>40.6</v>
      </c>
      <c r="CV53" s="740">
        <v>40.71</v>
      </c>
      <c r="CW53" s="740">
        <v>40.81</v>
      </c>
      <c r="CX53" s="740">
        <v>40.92</v>
      </c>
      <c r="CY53" s="740">
        <v>41.02</v>
      </c>
      <c r="CZ53" s="740">
        <v>41.13</v>
      </c>
      <c r="DA53" s="740">
        <v>41.23</v>
      </c>
      <c r="DB53" s="740">
        <v>41.33</v>
      </c>
      <c r="DC53" s="740">
        <v>41.43</v>
      </c>
      <c r="DD53" s="740">
        <v>41.53</v>
      </c>
      <c r="DE53" s="740">
        <v>41.63</v>
      </c>
      <c r="DF53" s="740">
        <v>41.73</v>
      </c>
      <c r="DG53" s="740">
        <v>41.83</v>
      </c>
      <c r="DH53" s="740">
        <v>41.93</v>
      </c>
      <c r="DI53" s="740">
        <v>42.03</v>
      </c>
      <c r="DJ53" s="740">
        <v>42.12</v>
      </c>
      <c r="DK53" s="740">
        <v>42.22</v>
      </c>
      <c r="DL53" s="740">
        <v>42.31</v>
      </c>
      <c r="DM53" s="740">
        <v>42.41</v>
      </c>
      <c r="DN53" s="740">
        <v>42.5</v>
      </c>
      <c r="DO53" s="740">
        <v>42.59</v>
      </c>
      <c r="DP53" s="740">
        <v>42.68</v>
      </c>
      <c r="DQ53" s="740">
        <v>42.77</v>
      </c>
      <c r="DR53" s="740">
        <v>42.86</v>
      </c>
    </row>
    <row r="54" spans="1:122">
      <c r="A54" s="912">
        <v>52</v>
      </c>
      <c r="B54" s="90"/>
      <c r="C54" s="90"/>
      <c r="D54" s="90"/>
      <c r="E54" s="90"/>
      <c r="F54" s="90"/>
      <c r="G54" s="90"/>
      <c r="H54" s="90"/>
      <c r="I54" s="90"/>
      <c r="J54" s="90"/>
      <c r="K54" s="90"/>
      <c r="L54" s="90"/>
      <c r="M54" s="90"/>
      <c r="N54" s="90"/>
      <c r="O54" s="90"/>
      <c r="P54" s="90"/>
      <c r="Q54" s="90"/>
      <c r="R54" s="90"/>
      <c r="S54" s="90"/>
      <c r="T54" s="90"/>
      <c r="U54" s="90"/>
      <c r="V54" s="740"/>
      <c r="W54" s="740">
        <v>29.62</v>
      </c>
      <c r="X54" s="740">
        <v>29.8</v>
      </c>
      <c r="Y54" s="740">
        <v>29.99</v>
      </c>
      <c r="Z54" s="740">
        <v>30.19</v>
      </c>
      <c r="AA54" s="740">
        <v>30.34</v>
      </c>
      <c r="AB54" s="740">
        <v>30.51</v>
      </c>
      <c r="AC54" s="740">
        <v>30.73</v>
      </c>
      <c r="AD54" s="740">
        <v>30.84</v>
      </c>
      <c r="AE54" s="740">
        <v>31.06</v>
      </c>
      <c r="AF54" s="740">
        <v>31.22</v>
      </c>
      <c r="AG54" s="740">
        <v>31.38</v>
      </c>
      <c r="AH54" s="740">
        <v>31.55</v>
      </c>
      <c r="AI54" s="740">
        <v>31.73</v>
      </c>
      <c r="AJ54" s="740">
        <v>31.96</v>
      </c>
      <c r="AK54" s="740">
        <v>32.18</v>
      </c>
      <c r="AL54" s="740">
        <v>32.43</v>
      </c>
      <c r="AM54" s="740">
        <v>32.659999999999997</v>
      </c>
      <c r="AN54" s="740">
        <v>32.85</v>
      </c>
      <c r="AO54" s="740">
        <v>33</v>
      </c>
      <c r="AP54" s="740">
        <v>33.119999999999997</v>
      </c>
      <c r="AQ54" s="740">
        <v>33.17</v>
      </c>
      <c r="AR54" s="740">
        <v>33.24</v>
      </c>
      <c r="AS54" s="740">
        <v>33.299999999999997</v>
      </c>
      <c r="AT54" s="740">
        <v>33.29</v>
      </c>
      <c r="AU54" s="740">
        <v>33.340000000000003</v>
      </c>
      <c r="AV54" s="740">
        <v>33.4</v>
      </c>
      <c r="AW54" s="740">
        <v>33.6</v>
      </c>
      <c r="AX54" s="740">
        <v>33.65</v>
      </c>
      <c r="AY54" s="740">
        <v>33.799999999999997</v>
      </c>
      <c r="AZ54" s="740">
        <v>33.92</v>
      </c>
      <c r="BA54" s="740">
        <v>34.03</v>
      </c>
      <c r="BB54" s="740">
        <v>34.14</v>
      </c>
      <c r="BC54" s="740">
        <v>34.26</v>
      </c>
      <c r="BD54" s="740">
        <v>34.35</v>
      </c>
      <c r="BE54" s="740">
        <v>34.47</v>
      </c>
      <c r="BF54" s="740">
        <v>34.6</v>
      </c>
      <c r="BG54" s="740">
        <v>34.729999999999997</v>
      </c>
      <c r="BH54" s="740">
        <v>34.869999999999997</v>
      </c>
      <c r="BI54" s="740">
        <v>35</v>
      </c>
      <c r="BJ54" s="740">
        <v>35.130000000000003</v>
      </c>
      <c r="BK54" s="740">
        <v>35.26</v>
      </c>
      <c r="BL54" s="740">
        <v>35.409999999999997</v>
      </c>
      <c r="BM54" s="740">
        <v>35.549999999999997</v>
      </c>
      <c r="BN54" s="740">
        <v>35.69</v>
      </c>
      <c r="BO54" s="740">
        <v>35.82</v>
      </c>
      <c r="BP54" s="740">
        <v>35.950000000000003</v>
      </c>
      <c r="BQ54" s="740">
        <v>36.08</v>
      </c>
      <c r="BR54" s="740">
        <v>36.21</v>
      </c>
      <c r="BS54" s="740">
        <v>36.340000000000003</v>
      </c>
      <c r="BT54" s="740">
        <v>36.47</v>
      </c>
      <c r="BU54" s="740">
        <v>36.6</v>
      </c>
      <c r="BV54" s="740">
        <v>36.72</v>
      </c>
      <c r="BW54" s="740">
        <v>36.85</v>
      </c>
      <c r="BX54" s="740">
        <v>36.979999999999997</v>
      </c>
      <c r="BY54" s="740">
        <v>37.1</v>
      </c>
      <c r="BZ54" s="740">
        <v>37.22</v>
      </c>
      <c r="CA54" s="740">
        <v>37.35</v>
      </c>
      <c r="CB54" s="740">
        <v>37.47</v>
      </c>
      <c r="CC54" s="740">
        <v>37.590000000000003</v>
      </c>
      <c r="CD54" s="740">
        <v>37.71</v>
      </c>
      <c r="CE54" s="740">
        <v>37.83</v>
      </c>
      <c r="CF54" s="740">
        <v>37.950000000000003</v>
      </c>
      <c r="CG54" s="740">
        <v>38.07</v>
      </c>
      <c r="CH54" s="740">
        <v>38.19</v>
      </c>
      <c r="CI54" s="740">
        <v>38.31</v>
      </c>
      <c r="CJ54" s="740">
        <v>38.42</v>
      </c>
      <c r="CK54" s="740">
        <v>38.54</v>
      </c>
      <c r="CL54" s="740">
        <v>38.65</v>
      </c>
      <c r="CM54" s="740">
        <v>38.76</v>
      </c>
      <c r="CN54" s="740">
        <v>38.880000000000003</v>
      </c>
      <c r="CO54" s="740">
        <v>38.99</v>
      </c>
      <c r="CP54" s="740">
        <v>39.1</v>
      </c>
      <c r="CQ54" s="740">
        <v>39.21</v>
      </c>
      <c r="CR54" s="740">
        <v>39.32</v>
      </c>
      <c r="CS54" s="740">
        <v>39.43</v>
      </c>
      <c r="CT54" s="740">
        <v>39.54</v>
      </c>
      <c r="CU54" s="740">
        <v>39.64</v>
      </c>
      <c r="CV54" s="740">
        <v>39.75</v>
      </c>
      <c r="CW54" s="740">
        <v>39.86</v>
      </c>
      <c r="CX54" s="740">
        <v>39.96</v>
      </c>
      <c r="CY54" s="740">
        <v>40.07</v>
      </c>
      <c r="CZ54" s="740">
        <v>40.17</v>
      </c>
      <c r="DA54" s="740">
        <v>40.270000000000003</v>
      </c>
      <c r="DB54" s="740">
        <v>40.369999999999997</v>
      </c>
      <c r="DC54" s="740">
        <v>40.47</v>
      </c>
      <c r="DD54" s="740">
        <v>40.57</v>
      </c>
      <c r="DE54" s="740">
        <v>40.67</v>
      </c>
      <c r="DF54" s="740">
        <v>40.770000000000003</v>
      </c>
      <c r="DG54" s="740">
        <v>40.869999999999997</v>
      </c>
      <c r="DH54" s="740">
        <v>40.97</v>
      </c>
      <c r="DI54" s="740">
        <v>41.06</v>
      </c>
      <c r="DJ54" s="740">
        <v>41.16</v>
      </c>
      <c r="DK54" s="740">
        <v>41.25</v>
      </c>
      <c r="DL54" s="740">
        <v>41.35</v>
      </c>
      <c r="DM54" s="740">
        <v>41.44</v>
      </c>
      <c r="DN54" s="740">
        <v>41.53</v>
      </c>
      <c r="DO54" s="740">
        <v>41.62</v>
      </c>
      <c r="DP54" s="740">
        <v>41.72</v>
      </c>
      <c r="DQ54" s="740">
        <v>41.81</v>
      </c>
      <c r="DR54" s="740">
        <v>41.89</v>
      </c>
    </row>
    <row r="55" spans="1:122">
      <c r="A55" s="912">
        <v>53</v>
      </c>
      <c r="B55" s="90"/>
      <c r="C55" s="90"/>
      <c r="D55" s="90"/>
      <c r="E55" s="90"/>
      <c r="F55" s="90"/>
      <c r="G55" s="90"/>
      <c r="H55" s="90"/>
      <c r="I55" s="90"/>
      <c r="J55" s="90"/>
      <c r="K55" s="90"/>
      <c r="L55" s="90"/>
      <c r="M55" s="90"/>
      <c r="N55" s="90"/>
      <c r="O55" s="90"/>
      <c r="P55" s="90"/>
      <c r="Q55" s="90"/>
      <c r="R55" s="90"/>
      <c r="S55" s="90"/>
      <c r="T55" s="90"/>
      <c r="U55" s="90"/>
      <c r="V55" s="740"/>
      <c r="W55" s="740">
        <v>28.76</v>
      </c>
      <c r="X55" s="740">
        <v>28.95</v>
      </c>
      <c r="Y55" s="740">
        <v>29.13</v>
      </c>
      <c r="Z55" s="740">
        <v>29.33</v>
      </c>
      <c r="AA55" s="740">
        <v>29.47</v>
      </c>
      <c r="AB55" s="740">
        <v>29.65</v>
      </c>
      <c r="AC55" s="740">
        <v>29.86</v>
      </c>
      <c r="AD55" s="740">
        <v>29.97</v>
      </c>
      <c r="AE55" s="740">
        <v>30.19</v>
      </c>
      <c r="AF55" s="740">
        <v>30.35</v>
      </c>
      <c r="AG55" s="740">
        <v>30.51</v>
      </c>
      <c r="AH55" s="740">
        <v>30.68</v>
      </c>
      <c r="AI55" s="740">
        <v>30.85</v>
      </c>
      <c r="AJ55" s="740">
        <v>31.08</v>
      </c>
      <c r="AK55" s="740">
        <v>31.3</v>
      </c>
      <c r="AL55" s="740">
        <v>31.55</v>
      </c>
      <c r="AM55" s="740">
        <v>31.77</v>
      </c>
      <c r="AN55" s="740">
        <v>31.97</v>
      </c>
      <c r="AO55" s="740">
        <v>32.11</v>
      </c>
      <c r="AP55" s="740">
        <v>32.229999999999997</v>
      </c>
      <c r="AQ55" s="740">
        <v>32.29</v>
      </c>
      <c r="AR55" s="740">
        <v>32.35</v>
      </c>
      <c r="AS55" s="740">
        <v>32.409999999999997</v>
      </c>
      <c r="AT55" s="740">
        <v>32.4</v>
      </c>
      <c r="AU55" s="740">
        <v>32.450000000000003</v>
      </c>
      <c r="AV55" s="740">
        <v>32.51</v>
      </c>
      <c r="AW55" s="740">
        <v>32.700000000000003</v>
      </c>
      <c r="AX55" s="740">
        <v>32.76</v>
      </c>
      <c r="AY55" s="740">
        <v>32.9</v>
      </c>
      <c r="AZ55" s="740">
        <v>33.020000000000003</v>
      </c>
      <c r="BA55" s="740">
        <v>33.130000000000003</v>
      </c>
      <c r="BB55" s="740">
        <v>33.24</v>
      </c>
      <c r="BC55" s="740">
        <v>33.36</v>
      </c>
      <c r="BD55" s="740">
        <v>33.450000000000003</v>
      </c>
      <c r="BE55" s="740">
        <v>33.57</v>
      </c>
      <c r="BF55" s="740">
        <v>33.69</v>
      </c>
      <c r="BG55" s="740">
        <v>33.82</v>
      </c>
      <c r="BH55" s="740">
        <v>33.97</v>
      </c>
      <c r="BI55" s="740">
        <v>34.090000000000003</v>
      </c>
      <c r="BJ55" s="740">
        <v>34.22</v>
      </c>
      <c r="BK55" s="740">
        <v>34.35</v>
      </c>
      <c r="BL55" s="740">
        <v>34.5</v>
      </c>
      <c r="BM55" s="740">
        <v>34.630000000000003</v>
      </c>
      <c r="BN55" s="740">
        <v>34.770000000000003</v>
      </c>
      <c r="BO55" s="740">
        <v>34.9</v>
      </c>
      <c r="BP55" s="740">
        <v>35.03</v>
      </c>
      <c r="BQ55" s="740">
        <v>35.159999999999997</v>
      </c>
      <c r="BR55" s="740">
        <v>35.29</v>
      </c>
      <c r="BS55" s="740">
        <v>35.42</v>
      </c>
      <c r="BT55" s="740">
        <v>35.54</v>
      </c>
      <c r="BU55" s="740">
        <v>35.67</v>
      </c>
      <c r="BV55" s="740">
        <v>35.799999999999997</v>
      </c>
      <c r="BW55" s="740">
        <v>35.92</v>
      </c>
      <c r="BX55" s="740">
        <v>36.049999999999997</v>
      </c>
      <c r="BY55" s="740">
        <v>36.17</v>
      </c>
      <c r="BZ55" s="740">
        <v>36.29</v>
      </c>
      <c r="CA55" s="740">
        <v>36.42</v>
      </c>
      <c r="CB55" s="740">
        <v>36.54</v>
      </c>
      <c r="CC55" s="740">
        <v>36.659999999999997</v>
      </c>
      <c r="CD55" s="740">
        <v>36.78</v>
      </c>
      <c r="CE55" s="740">
        <v>36.9</v>
      </c>
      <c r="CF55" s="740">
        <v>37.01</v>
      </c>
      <c r="CG55" s="740">
        <v>37.130000000000003</v>
      </c>
      <c r="CH55" s="740">
        <v>37.25</v>
      </c>
      <c r="CI55" s="740">
        <v>37.36</v>
      </c>
      <c r="CJ55" s="740">
        <v>37.479999999999997</v>
      </c>
      <c r="CK55" s="740">
        <v>37.590000000000003</v>
      </c>
      <c r="CL55" s="740">
        <v>37.71</v>
      </c>
      <c r="CM55" s="740">
        <v>37.82</v>
      </c>
      <c r="CN55" s="740">
        <v>37.93</v>
      </c>
      <c r="CO55" s="740">
        <v>38.04</v>
      </c>
      <c r="CP55" s="740">
        <v>38.15</v>
      </c>
      <c r="CQ55" s="740">
        <v>38.26</v>
      </c>
      <c r="CR55" s="740">
        <v>38.369999999999997</v>
      </c>
      <c r="CS55" s="740">
        <v>38.479999999999997</v>
      </c>
      <c r="CT55" s="740">
        <v>38.590000000000003</v>
      </c>
      <c r="CU55" s="740">
        <v>38.69</v>
      </c>
      <c r="CV55" s="740">
        <v>38.799999999999997</v>
      </c>
      <c r="CW55" s="740">
        <v>38.9</v>
      </c>
      <c r="CX55" s="740">
        <v>39.01</v>
      </c>
      <c r="CY55" s="740">
        <v>39.11</v>
      </c>
      <c r="CZ55" s="740">
        <v>39.21</v>
      </c>
      <c r="DA55" s="740">
        <v>39.32</v>
      </c>
      <c r="DB55" s="740">
        <v>39.42</v>
      </c>
      <c r="DC55" s="740">
        <v>39.520000000000003</v>
      </c>
      <c r="DD55" s="740">
        <v>39.619999999999997</v>
      </c>
      <c r="DE55" s="740">
        <v>39.71</v>
      </c>
      <c r="DF55" s="740">
        <v>39.81</v>
      </c>
      <c r="DG55" s="740">
        <v>39.909999999999997</v>
      </c>
      <c r="DH55" s="740">
        <v>40.01</v>
      </c>
      <c r="DI55" s="740">
        <v>40.1</v>
      </c>
      <c r="DJ55" s="740">
        <v>40.200000000000003</v>
      </c>
      <c r="DK55" s="740">
        <v>40.29</v>
      </c>
      <c r="DL55" s="740">
        <v>40.380000000000003</v>
      </c>
      <c r="DM55" s="740">
        <v>40.479999999999997</v>
      </c>
      <c r="DN55" s="740">
        <v>40.57</v>
      </c>
      <c r="DO55" s="740">
        <v>40.659999999999997</v>
      </c>
      <c r="DP55" s="740">
        <v>40.75</v>
      </c>
      <c r="DQ55" s="740">
        <v>40.840000000000003</v>
      </c>
      <c r="DR55" s="740">
        <v>40.93</v>
      </c>
    </row>
    <row r="56" spans="1:122">
      <c r="A56" s="912">
        <v>54</v>
      </c>
      <c r="B56" s="90"/>
      <c r="C56" s="90"/>
      <c r="D56" s="90"/>
      <c r="E56" s="90"/>
      <c r="F56" s="90"/>
      <c r="G56" s="90"/>
      <c r="H56" s="90"/>
      <c r="I56" s="90"/>
      <c r="J56" s="90"/>
      <c r="K56" s="90"/>
      <c r="L56" s="90"/>
      <c r="M56" s="90"/>
      <c r="N56" s="90"/>
      <c r="O56" s="90"/>
      <c r="P56" s="90"/>
      <c r="Q56" s="90"/>
      <c r="R56" s="90"/>
      <c r="S56" s="90"/>
      <c r="T56" s="90"/>
      <c r="U56" s="90"/>
      <c r="V56" s="740"/>
      <c r="W56" s="740">
        <v>27.91</v>
      </c>
      <c r="X56" s="740">
        <v>28.1</v>
      </c>
      <c r="Y56" s="740">
        <v>28.28</v>
      </c>
      <c r="Z56" s="740">
        <v>28.48</v>
      </c>
      <c r="AA56" s="740">
        <v>28.62</v>
      </c>
      <c r="AB56" s="740">
        <v>28.79</v>
      </c>
      <c r="AC56" s="740">
        <v>29</v>
      </c>
      <c r="AD56" s="740">
        <v>29.11</v>
      </c>
      <c r="AE56" s="740">
        <v>29.33</v>
      </c>
      <c r="AF56" s="740">
        <v>29.48</v>
      </c>
      <c r="AG56" s="740">
        <v>29.64</v>
      </c>
      <c r="AH56" s="740">
        <v>29.81</v>
      </c>
      <c r="AI56" s="740">
        <v>29.97</v>
      </c>
      <c r="AJ56" s="740">
        <v>30.21</v>
      </c>
      <c r="AK56" s="740">
        <v>30.42</v>
      </c>
      <c r="AL56" s="740">
        <v>30.67</v>
      </c>
      <c r="AM56" s="740">
        <v>30.89</v>
      </c>
      <c r="AN56" s="740">
        <v>31.09</v>
      </c>
      <c r="AO56" s="740">
        <v>31.23</v>
      </c>
      <c r="AP56" s="740">
        <v>31.33</v>
      </c>
      <c r="AQ56" s="740">
        <v>31.4</v>
      </c>
      <c r="AR56" s="740">
        <v>31.46</v>
      </c>
      <c r="AS56" s="740">
        <v>31.52</v>
      </c>
      <c r="AT56" s="740">
        <v>31.51</v>
      </c>
      <c r="AU56" s="740">
        <v>31.56</v>
      </c>
      <c r="AV56" s="740">
        <v>31.62</v>
      </c>
      <c r="AW56" s="740">
        <v>31.81</v>
      </c>
      <c r="AX56" s="740">
        <v>31.87</v>
      </c>
      <c r="AY56" s="740">
        <v>32</v>
      </c>
      <c r="AZ56" s="740">
        <v>32.119999999999997</v>
      </c>
      <c r="BA56" s="740">
        <v>32.24</v>
      </c>
      <c r="BB56" s="740">
        <v>32.340000000000003</v>
      </c>
      <c r="BC56" s="740">
        <v>32.46</v>
      </c>
      <c r="BD56" s="740">
        <v>32.549999999999997</v>
      </c>
      <c r="BE56" s="740">
        <v>32.67</v>
      </c>
      <c r="BF56" s="740">
        <v>32.79</v>
      </c>
      <c r="BG56" s="740">
        <v>32.92</v>
      </c>
      <c r="BH56" s="740">
        <v>33.07</v>
      </c>
      <c r="BI56" s="740">
        <v>33.19</v>
      </c>
      <c r="BJ56" s="740">
        <v>33.32</v>
      </c>
      <c r="BK56" s="740">
        <v>33.450000000000003</v>
      </c>
      <c r="BL56" s="740">
        <v>33.590000000000003</v>
      </c>
      <c r="BM56" s="740">
        <v>33.72</v>
      </c>
      <c r="BN56" s="740">
        <v>33.86</v>
      </c>
      <c r="BO56" s="740">
        <v>33.979999999999997</v>
      </c>
      <c r="BP56" s="740">
        <v>34.11</v>
      </c>
      <c r="BQ56" s="740">
        <v>34.24</v>
      </c>
      <c r="BR56" s="740">
        <v>34.369999999999997</v>
      </c>
      <c r="BS56" s="740">
        <v>34.5</v>
      </c>
      <c r="BT56" s="740">
        <v>34.619999999999997</v>
      </c>
      <c r="BU56" s="740">
        <v>34.75</v>
      </c>
      <c r="BV56" s="740">
        <v>34.869999999999997</v>
      </c>
      <c r="BW56" s="740">
        <v>35</v>
      </c>
      <c r="BX56" s="740">
        <v>35.119999999999997</v>
      </c>
      <c r="BY56" s="740">
        <v>35.24</v>
      </c>
      <c r="BZ56" s="740">
        <v>35.369999999999997</v>
      </c>
      <c r="CA56" s="740">
        <v>35.49</v>
      </c>
      <c r="CB56" s="740">
        <v>35.61</v>
      </c>
      <c r="CC56" s="740">
        <v>35.729999999999997</v>
      </c>
      <c r="CD56" s="740">
        <v>35.85</v>
      </c>
      <c r="CE56" s="740">
        <v>35.96</v>
      </c>
      <c r="CF56" s="740">
        <v>36.08</v>
      </c>
      <c r="CG56" s="740">
        <v>36.200000000000003</v>
      </c>
      <c r="CH56" s="740">
        <v>36.31</v>
      </c>
      <c r="CI56" s="740">
        <v>36.43</v>
      </c>
      <c r="CJ56" s="740">
        <v>36.54</v>
      </c>
      <c r="CK56" s="740">
        <v>36.659999999999997</v>
      </c>
      <c r="CL56" s="740">
        <v>36.770000000000003</v>
      </c>
      <c r="CM56" s="740">
        <v>36.880000000000003</v>
      </c>
      <c r="CN56" s="740">
        <v>36.99</v>
      </c>
      <c r="CO56" s="740">
        <v>37.1</v>
      </c>
      <c r="CP56" s="740">
        <v>37.21</v>
      </c>
      <c r="CQ56" s="740">
        <v>37.32</v>
      </c>
      <c r="CR56" s="740">
        <v>37.43</v>
      </c>
      <c r="CS56" s="740">
        <v>37.53</v>
      </c>
      <c r="CT56" s="740">
        <v>37.64</v>
      </c>
      <c r="CU56" s="740">
        <v>37.75</v>
      </c>
      <c r="CV56" s="740">
        <v>37.85</v>
      </c>
      <c r="CW56" s="740">
        <v>37.950000000000003</v>
      </c>
      <c r="CX56" s="740">
        <v>38.06</v>
      </c>
      <c r="CY56" s="740">
        <v>38.159999999999997</v>
      </c>
      <c r="CZ56" s="740">
        <v>38.26</v>
      </c>
      <c r="DA56" s="740">
        <v>38.36</v>
      </c>
      <c r="DB56" s="740">
        <v>38.46</v>
      </c>
      <c r="DC56" s="740">
        <v>38.56</v>
      </c>
      <c r="DD56" s="740">
        <v>38.659999999999997</v>
      </c>
      <c r="DE56" s="740">
        <v>38.76</v>
      </c>
      <c r="DF56" s="740">
        <v>38.86</v>
      </c>
      <c r="DG56" s="740">
        <v>38.950000000000003</v>
      </c>
      <c r="DH56" s="740">
        <v>39.049999999999997</v>
      </c>
      <c r="DI56" s="740">
        <v>39.14</v>
      </c>
      <c r="DJ56" s="740">
        <v>39.24</v>
      </c>
      <c r="DK56" s="740">
        <v>39.33</v>
      </c>
      <c r="DL56" s="740">
        <v>39.42</v>
      </c>
      <c r="DM56" s="740">
        <v>39.51</v>
      </c>
      <c r="DN56" s="740">
        <v>39.61</v>
      </c>
      <c r="DO56" s="740">
        <v>39.700000000000003</v>
      </c>
      <c r="DP56" s="740">
        <v>39.79</v>
      </c>
      <c r="DQ56" s="740">
        <v>39.880000000000003</v>
      </c>
      <c r="DR56" s="740">
        <v>39.96</v>
      </c>
    </row>
    <row r="57" spans="1:122">
      <c r="A57" s="912">
        <v>55</v>
      </c>
      <c r="B57" s="90"/>
      <c r="C57" s="90"/>
      <c r="D57" s="90"/>
      <c r="E57" s="90"/>
      <c r="F57" s="90"/>
      <c r="G57" s="90"/>
      <c r="H57" s="90"/>
      <c r="I57" s="90"/>
      <c r="J57" s="90"/>
      <c r="K57" s="90"/>
      <c r="L57" s="90"/>
      <c r="M57" s="90"/>
      <c r="N57" s="90"/>
      <c r="O57" s="90"/>
      <c r="P57" s="90"/>
      <c r="Q57" s="90"/>
      <c r="R57" s="90"/>
      <c r="S57" s="90"/>
      <c r="T57" s="90"/>
      <c r="U57" s="90"/>
      <c r="V57" s="740"/>
      <c r="W57" s="740">
        <v>27.07</v>
      </c>
      <c r="X57" s="740">
        <v>27.25</v>
      </c>
      <c r="Y57" s="740">
        <v>27.43</v>
      </c>
      <c r="Z57" s="740">
        <v>27.62</v>
      </c>
      <c r="AA57" s="740">
        <v>27.76</v>
      </c>
      <c r="AB57" s="740">
        <v>27.94</v>
      </c>
      <c r="AC57" s="740">
        <v>28.14</v>
      </c>
      <c r="AD57" s="740">
        <v>28.25</v>
      </c>
      <c r="AE57" s="740">
        <v>28.46</v>
      </c>
      <c r="AF57" s="740">
        <v>28.61</v>
      </c>
      <c r="AG57" s="740">
        <v>28.78</v>
      </c>
      <c r="AH57" s="740">
        <v>28.94</v>
      </c>
      <c r="AI57" s="740">
        <v>29.1</v>
      </c>
      <c r="AJ57" s="740">
        <v>29.34</v>
      </c>
      <c r="AK57" s="740">
        <v>29.55</v>
      </c>
      <c r="AL57" s="740">
        <v>29.8</v>
      </c>
      <c r="AM57" s="740">
        <v>30.02</v>
      </c>
      <c r="AN57" s="740">
        <v>30.21</v>
      </c>
      <c r="AO57" s="740">
        <v>30.35</v>
      </c>
      <c r="AP57" s="740">
        <v>30.45</v>
      </c>
      <c r="AQ57" s="740">
        <v>30.52</v>
      </c>
      <c r="AR57" s="740">
        <v>30.58</v>
      </c>
      <c r="AS57" s="740">
        <v>30.63</v>
      </c>
      <c r="AT57" s="740">
        <v>30.63</v>
      </c>
      <c r="AU57" s="740">
        <v>30.68</v>
      </c>
      <c r="AV57" s="740">
        <v>30.73</v>
      </c>
      <c r="AW57" s="740">
        <v>30.93</v>
      </c>
      <c r="AX57" s="740">
        <v>30.98</v>
      </c>
      <c r="AY57" s="740">
        <v>31.11</v>
      </c>
      <c r="AZ57" s="740">
        <v>31.23</v>
      </c>
      <c r="BA57" s="740">
        <v>31.34</v>
      </c>
      <c r="BB57" s="740">
        <v>31.44</v>
      </c>
      <c r="BC57" s="740">
        <v>31.55</v>
      </c>
      <c r="BD57" s="740">
        <v>31.65</v>
      </c>
      <c r="BE57" s="740">
        <v>31.77</v>
      </c>
      <c r="BF57" s="740">
        <v>31.9</v>
      </c>
      <c r="BG57" s="740">
        <v>32.020000000000003</v>
      </c>
      <c r="BH57" s="740">
        <v>32.17</v>
      </c>
      <c r="BI57" s="740">
        <v>32.29</v>
      </c>
      <c r="BJ57" s="740">
        <v>32.42</v>
      </c>
      <c r="BK57" s="740">
        <v>32.549999999999997</v>
      </c>
      <c r="BL57" s="740">
        <v>32.68</v>
      </c>
      <c r="BM57" s="740">
        <v>32.82</v>
      </c>
      <c r="BN57" s="740">
        <v>32.950000000000003</v>
      </c>
      <c r="BO57" s="740">
        <v>33.08</v>
      </c>
      <c r="BP57" s="740">
        <v>33.200000000000003</v>
      </c>
      <c r="BQ57" s="740">
        <v>33.33</v>
      </c>
      <c r="BR57" s="740">
        <v>33.46</v>
      </c>
      <c r="BS57" s="740">
        <v>33.58</v>
      </c>
      <c r="BT57" s="740">
        <v>33.71</v>
      </c>
      <c r="BU57" s="740">
        <v>33.83</v>
      </c>
      <c r="BV57" s="740">
        <v>33.96</v>
      </c>
      <c r="BW57" s="740">
        <v>34.08</v>
      </c>
      <c r="BX57" s="740">
        <v>34.200000000000003</v>
      </c>
      <c r="BY57" s="740">
        <v>34.32</v>
      </c>
      <c r="BZ57" s="740">
        <v>34.44</v>
      </c>
      <c r="CA57" s="740">
        <v>34.56</v>
      </c>
      <c r="CB57" s="740">
        <v>34.68</v>
      </c>
      <c r="CC57" s="740">
        <v>34.799999999999997</v>
      </c>
      <c r="CD57" s="740">
        <v>34.92</v>
      </c>
      <c r="CE57" s="740">
        <v>35.04</v>
      </c>
      <c r="CF57" s="740">
        <v>35.15</v>
      </c>
      <c r="CG57" s="740">
        <v>35.270000000000003</v>
      </c>
      <c r="CH57" s="740">
        <v>35.380000000000003</v>
      </c>
      <c r="CI57" s="740">
        <v>35.5</v>
      </c>
      <c r="CJ57" s="740">
        <v>35.61</v>
      </c>
      <c r="CK57" s="740">
        <v>35.72</v>
      </c>
      <c r="CL57" s="740">
        <v>35.83</v>
      </c>
      <c r="CM57" s="740">
        <v>35.94</v>
      </c>
      <c r="CN57" s="740">
        <v>36.049999999999997</v>
      </c>
      <c r="CO57" s="740">
        <v>36.159999999999997</v>
      </c>
      <c r="CP57" s="740">
        <v>36.270000000000003</v>
      </c>
      <c r="CQ57" s="740">
        <v>36.380000000000003</v>
      </c>
      <c r="CR57" s="740">
        <v>36.479999999999997</v>
      </c>
      <c r="CS57" s="740">
        <v>36.590000000000003</v>
      </c>
      <c r="CT57" s="740">
        <v>36.700000000000003</v>
      </c>
      <c r="CU57" s="740">
        <v>36.799999999999997</v>
      </c>
      <c r="CV57" s="740">
        <v>36.9</v>
      </c>
      <c r="CW57" s="740">
        <v>37.01</v>
      </c>
      <c r="CX57" s="740">
        <v>37.11</v>
      </c>
      <c r="CY57" s="740">
        <v>37.21</v>
      </c>
      <c r="CZ57" s="740">
        <v>37.31</v>
      </c>
      <c r="DA57" s="740">
        <v>37.409999999999997</v>
      </c>
      <c r="DB57" s="740">
        <v>37.51</v>
      </c>
      <c r="DC57" s="740">
        <v>37.61</v>
      </c>
      <c r="DD57" s="740">
        <v>37.71</v>
      </c>
      <c r="DE57" s="740">
        <v>37.81</v>
      </c>
      <c r="DF57" s="740">
        <v>37.9</v>
      </c>
      <c r="DG57" s="740">
        <v>38</v>
      </c>
      <c r="DH57" s="740">
        <v>38.090000000000003</v>
      </c>
      <c r="DI57" s="740">
        <v>38.19</v>
      </c>
      <c r="DJ57" s="740">
        <v>38.28</v>
      </c>
      <c r="DK57" s="740">
        <v>38.369999999999997</v>
      </c>
      <c r="DL57" s="740">
        <v>38.46</v>
      </c>
      <c r="DM57" s="740">
        <v>38.56</v>
      </c>
      <c r="DN57" s="740">
        <v>38.65</v>
      </c>
      <c r="DO57" s="740">
        <v>38.74</v>
      </c>
      <c r="DP57" s="740">
        <v>38.83</v>
      </c>
      <c r="DQ57" s="740">
        <v>38.909999999999997</v>
      </c>
      <c r="DR57" s="740">
        <v>39</v>
      </c>
    </row>
    <row r="58" spans="1:122">
      <c r="A58" s="912">
        <v>56</v>
      </c>
      <c r="B58" s="90"/>
      <c r="C58" s="90"/>
      <c r="D58" s="90"/>
      <c r="E58" s="90"/>
      <c r="F58" s="90"/>
      <c r="G58" s="90"/>
      <c r="H58" s="90"/>
      <c r="I58" s="90"/>
      <c r="J58" s="90"/>
      <c r="K58" s="90"/>
      <c r="L58" s="90"/>
      <c r="M58" s="90"/>
      <c r="N58" s="90"/>
      <c r="O58" s="90"/>
      <c r="P58" s="90"/>
      <c r="Q58" s="90"/>
      <c r="R58" s="90"/>
      <c r="S58" s="90"/>
      <c r="T58" s="90"/>
      <c r="U58" s="90"/>
      <c r="V58" s="740"/>
      <c r="W58" s="740">
        <v>26.23</v>
      </c>
      <c r="X58" s="740">
        <v>26.4</v>
      </c>
      <c r="Y58" s="740">
        <v>26.58</v>
      </c>
      <c r="Z58" s="740">
        <v>26.78</v>
      </c>
      <c r="AA58" s="740">
        <v>26.91</v>
      </c>
      <c r="AB58" s="740">
        <v>27.09</v>
      </c>
      <c r="AC58" s="740">
        <v>27.29</v>
      </c>
      <c r="AD58" s="740">
        <v>27.4</v>
      </c>
      <c r="AE58" s="740">
        <v>27.6</v>
      </c>
      <c r="AF58" s="740">
        <v>27.76</v>
      </c>
      <c r="AG58" s="740">
        <v>27.91</v>
      </c>
      <c r="AH58" s="740">
        <v>28.08</v>
      </c>
      <c r="AI58" s="740">
        <v>28.24</v>
      </c>
      <c r="AJ58" s="740">
        <v>28.48</v>
      </c>
      <c r="AK58" s="740">
        <v>28.69</v>
      </c>
      <c r="AL58" s="740">
        <v>28.93</v>
      </c>
      <c r="AM58" s="740">
        <v>29.15</v>
      </c>
      <c r="AN58" s="740">
        <v>29.33</v>
      </c>
      <c r="AO58" s="740">
        <v>29.47</v>
      </c>
      <c r="AP58" s="740">
        <v>29.57</v>
      </c>
      <c r="AQ58" s="740">
        <v>29.64</v>
      </c>
      <c r="AR58" s="740">
        <v>29.69</v>
      </c>
      <c r="AS58" s="740">
        <v>29.75</v>
      </c>
      <c r="AT58" s="740">
        <v>29.75</v>
      </c>
      <c r="AU58" s="740">
        <v>29.79</v>
      </c>
      <c r="AV58" s="740">
        <v>29.85</v>
      </c>
      <c r="AW58" s="740">
        <v>30.04</v>
      </c>
      <c r="AX58" s="740">
        <v>30.09</v>
      </c>
      <c r="AY58" s="740">
        <v>30.23</v>
      </c>
      <c r="AZ58" s="740">
        <v>30.34</v>
      </c>
      <c r="BA58" s="740">
        <v>30.45</v>
      </c>
      <c r="BB58" s="740">
        <v>30.56</v>
      </c>
      <c r="BC58" s="740">
        <v>30.66</v>
      </c>
      <c r="BD58" s="740">
        <v>30.76</v>
      </c>
      <c r="BE58" s="740">
        <v>30.88</v>
      </c>
      <c r="BF58" s="740">
        <v>31.01</v>
      </c>
      <c r="BG58" s="740">
        <v>31.13</v>
      </c>
      <c r="BH58" s="740">
        <v>31.27</v>
      </c>
      <c r="BI58" s="740">
        <v>31.39</v>
      </c>
      <c r="BJ58" s="740">
        <v>31.53</v>
      </c>
      <c r="BK58" s="740">
        <v>31.65</v>
      </c>
      <c r="BL58" s="740">
        <v>31.79</v>
      </c>
      <c r="BM58" s="740">
        <v>31.92</v>
      </c>
      <c r="BN58" s="740">
        <v>32.049999999999997</v>
      </c>
      <c r="BO58" s="740">
        <v>32.17</v>
      </c>
      <c r="BP58" s="740">
        <v>32.299999999999997</v>
      </c>
      <c r="BQ58" s="740">
        <v>32.42</v>
      </c>
      <c r="BR58" s="740">
        <v>32.549999999999997</v>
      </c>
      <c r="BS58" s="740">
        <v>32.67</v>
      </c>
      <c r="BT58" s="740">
        <v>32.799999999999997</v>
      </c>
      <c r="BU58" s="740">
        <v>32.92</v>
      </c>
      <c r="BV58" s="740">
        <v>33.04</v>
      </c>
      <c r="BW58" s="740">
        <v>33.159999999999997</v>
      </c>
      <c r="BX58" s="740">
        <v>33.29</v>
      </c>
      <c r="BY58" s="740">
        <v>33.409999999999997</v>
      </c>
      <c r="BZ58" s="740">
        <v>33.53</v>
      </c>
      <c r="CA58" s="740">
        <v>33.64</v>
      </c>
      <c r="CB58" s="740">
        <v>33.76</v>
      </c>
      <c r="CC58" s="740">
        <v>33.880000000000003</v>
      </c>
      <c r="CD58" s="740">
        <v>34</v>
      </c>
      <c r="CE58" s="740">
        <v>34.11</v>
      </c>
      <c r="CF58" s="740">
        <v>34.229999999999997</v>
      </c>
      <c r="CG58" s="740">
        <v>34.340000000000003</v>
      </c>
      <c r="CH58" s="740">
        <v>34.450000000000003</v>
      </c>
      <c r="CI58" s="740">
        <v>34.57</v>
      </c>
      <c r="CJ58" s="740">
        <v>34.68</v>
      </c>
      <c r="CK58" s="740">
        <v>34.79</v>
      </c>
      <c r="CL58" s="740">
        <v>34.9</v>
      </c>
      <c r="CM58" s="740">
        <v>35.01</v>
      </c>
      <c r="CN58" s="740">
        <v>35.119999999999997</v>
      </c>
      <c r="CO58" s="740">
        <v>35.229999999999997</v>
      </c>
      <c r="CP58" s="740">
        <v>35.33</v>
      </c>
      <c r="CQ58" s="740">
        <v>35.44</v>
      </c>
      <c r="CR58" s="740">
        <v>35.549999999999997</v>
      </c>
      <c r="CS58" s="740">
        <v>35.65</v>
      </c>
      <c r="CT58" s="740">
        <v>35.76</v>
      </c>
      <c r="CU58" s="740">
        <v>35.86</v>
      </c>
      <c r="CV58" s="740">
        <v>35.96</v>
      </c>
      <c r="CW58" s="740">
        <v>36.06</v>
      </c>
      <c r="CX58" s="740">
        <v>36.17</v>
      </c>
      <c r="CY58" s="740">
        <v>36.270000000000003</v>
      </c>
      <c r="CZ58" s="740">
        <v>36.369999999999997</v>
      </c>
      <c r="DA58" s="740">
        <v>36.47</v>
      </c>
      <c r="DB58" s="740">
        <v>36.56</v>
      </c>
      <c r="DC58" s="740">
        <v>36.659999999999997</v>
      </c>
      <c r="DD58" s="740">
        <v>36.76</v>
      </c>
      <c r="DE58" s="740">
        <v>36.86</v>
      </c>
      <c r="DF58" s="740">
        <v>36.950000000000003</v>
      </c>
      <c r="DG58" s="740">
        <v>37.049999999999997</v>
      </c>
      <c r="DH58" s="740">
        <v>37.14</v>
      </c>
      <c r="DI58" s="740">
        <v>37.229999999999997</v>
      </c>
      <c r="DJ58" s="740">
        <v>37.33</v>
      </c>
      <c r="DK58" s="740">
        <v>37.42</v>
      </c>
      <c r="DL58" s="740">
        <v>37.51</v>
      </c>
      <c r="DM58" s="740">
        <v>37.6</v>
      </c>
      <c r="DN58" s="740">
        <v>37.69</v>
      </c>
      <c r="DO58" s="740">
        <v>37.78</v>
      </c>
      <c r="DP58" s="740">
        <v>37.869999999999997</v>
      </c>
      <c r="DQ58" s="740">
        <v>37.950000000000003</v>
      </c>
      <c r="DR58" s="740">
        <v>38.04</v>
      </c>
    </row>
    <row r="59" spans="1:122">
      <c r="A59" s="912">
        <v>57</v>
      </c>
      <c r="B59" s="90"/>
      <c r="C59" s="90"/>
      <c r="D59" s="90"/>
      <c r="E59" s="90"/>
      <c r="F59" s="90"/>
      <c r="G59" s="90"/>
      <c r="H59" s="90"/>
      <c r="I59" s="90"/>
      <c r="J59" s="90"/>
      <c r="K59" s="90"/>
      <c r="L59" s="90"/>
      <c r="M59" s="90"/>
      <c r="N59" s="90"/>
      <c r="O59" s="90"/>
      <c r="P59" s="90"/>
      <c r="Q59" s="90"/>
      <c r="R59" s="90"/>
      <c r="S59" s="90"/>
      <c r="T59" s="90"/>
      <c r="U59" s="90"/>
      <c r="V59" s="740"/>
      <c r="W59" s="740">
        <v>25.39</v>
      </c>
      <c r="X59" s="740">
        <v>25.57</v>
      </c>
      <c r="Y59" s="740">
        <v>25.75</v>
      </c>
      <c r="Z59" s="740">
        <v>25.94</v>
      </c>
      <c r="AA59" s="740">
        <v>26.08</v>
      </c>
      <c r="AB59" s="740">
        <v>26.25</v>
      </c>
      <c r="AC59" s="740">
        <v>26.45</v>
      </c>
      <c r="AD59" s="740">
        <v>26.55</v>
      </c>
      <c r="AE59" s="740">
        <v>26.75</v>
      </c>
      <c r="AF59" s="740">
        <v>26.91</v>
      </c>
      <c r="AG59" s="740">
        <v>27.06</v>
      </c>
      <c r="AH59" s="740">
        <v>27.23</v>
      </c>
      <c r="AI59" s="740">
        <v>27.39</v>
      </c>
      <c r="AJ59" s="740">
        <v>27.62</v>
      </c>
      <c r="AK59" s="740">
        <v>27.82</v>
      </c>
      <c r="AL59" s="740">
        <v>28.06</v>
      </c>
      <c r="AM59" s="740">
        <v>28.28</v>
      </c>
      <c r="AN59" s="740">
        <v>28.46</v>
      </c>
      <c r="AO59" s="740">
        <v>28.6</v>
      </c>
      <c r="AP59" s="740">
        <v>28.7</v>
      </c>
      <c r="AQ59" s="740">
        <v>28.77</v>
      </c>
      <c r="AR59" s="740">
        <v>28.81</v>
      </c>
      <c r="AS59" s="740">
        <v>28.87</v>
      </c>
      <c r="AT59" s="740">
        <v>28.87</v>
      </c>
      <c r="AU59" s="740">
        <v>28.91</v>
      </c>
      <c r="AV59" s="740">
        <v>28.97</v>
      </c>
      <c r="AW59" s="740">
        <v>29.16</v>
      </c>
      <c r="AX59" s="740">
        <v>29.21</v>
      </c>
      <c r="AY59" s="740">
        <v>29.34</v>
      </c>
      <c r="AZ59" s="740">
        <v>29.46</v>
      </c>
      <c r="BA59" s="740">
        <v>29.57</v>
      </c>
      <c r="BB59" s="740">
        <v>29.67</v>
      </c>
      <c r="BC59" s="740">
        <v>29.77</v>
      </c>
      <c r="BD59" s="740">
        <v>29.88</v>
      </c>
      <c r="BE59" s="740">
        <v>30</v>
      </c>
      <c r="BF59" s="740">
        <v>30.13</v>
      </c>
      <c r="BG59" s="740">
        <v>30.25</v>
      </c>
      <c r="BH59" s="740">
        <v>30.38</v>
      </c>
      <c r="BI59" s="740">
        <v>30.51</v>
      </c>
      <c r="BJ59" s="740">
        <v>30.64</v>
      </c>
      <c r="BK59" s="740">
        <v>30.77</v>
      </c>
      <c r="BL59" s="740">
        <v>30.9</v>
      </c>
      <c r="BM59" s="740">
        <v>31.02</v>
      </c>
      <c r="BN59" s="740">
        <v>31.15</v>
      </c>
      <c r="BO59" s="740">
        <v>31.28</v>
      </c>
      <c r="BP59" s="740">
        <v>31.4</v>
      </c>
      <c r="BQ59" s="740">
        <v>31.52</v>
      </c>
      <c r="BR59" s="740">
        <v>31.65</v>
      </c>
      <c r="BS59" s="740">
        <v>31.77</v>
      </c>
      <c r="BT59" s="740">
        <v>31.89</v>
      </c>
      <c r="BU59" s="740">
        <v>32.020000000000003</v>
      </c>
      <c r="BV59" s="740">
        <v>32.14</v>
      </c>
      <c r="BW59" s="740">
        <v>32.26</v>
      </c>
      <c r="BX59" s="740">
        <v>32.380000000000003</v>
      </c>
      <c r="BY59" s="740">
        <v>32.49</v>
      </c>
      <c r="BZ59" s="740">
        <v>32.61</v>
      </c>
      <c r="CA59" s="740">
        <v>32.729999999999997</v>
      </c>
      <c r="CB59" s="740">
        <v>32.85</v>
      </c>
      <c r="CC59" s="740">
        <v>32.96</v>
      </c>
      <c r="CD59" s="740">
        <v>33.08</v>
      </c>
      <c r="CE59" s="740">
        <v>33.19</v>
      </c>
      <c r="CF59" s="740">
        <v>33.31</v>
      </c>
      <c r="CG59" s="740">
        <v>33.42</v>
      </c>
      <c r="CH59" s="740">
        <v>33.53</v>
      </c>
      <c r="CI59" s="740">
        <v>33.64</v>
      </c>
      <c r="CJ59" s="740">
        <v>33.75</v>
      </c>
      <c r="CK59" s="740">
        <v>33.86</v>
      </c>
      <c r="CL59" s="740">
        <v>33.97</v>
      </c>
      <c r="CM59" s="740">
        <v>34.08</v>
      </c>
      <c r="CN59" s="740">
        <v>34.19</v>
      </c>
      <c r="CO59" s="740">
        <v>34.299999999999997</v>
      </c>
      <c r="CP59" s="740">
        <v>34.4</v>
      </c>
      <c r="CQ59" s="740">
        <v>34.51</v>
      </c>
      <c r="CR59" s="740">
        <v>34.61</v>
      </c>
      <c r="CS59" s="740">
        <v>34.72</v>
      </c>
      <c r="CT59" s="740">
        <v>34.82</v>
      </c>
      <c r="CU59" s="740">
        <v>34.92</v>
      </c>
      <c r="CV59" s="740">
        <v>35.020000000000003</v>
      </c>
      <c r="CW59" s="740">
        <v>35.130000000000003</v>
      </c>
      <c r="CX59" s="740">
        <v>35.229999999999997</v>
      </c>
      <c r="CY59" s="740">
        <v>35.33</v>
      </c>
      <c r="CZ59" s="740">
        <v>35.42</v>
      </c>
      <c r="DA59" s="740">
        <v>35.520000000000003</v>
      </c>
      <c r="DB59" s="740">
        <v>35.619999999999997</v>
      </c>
      <c r="DC59" s="740">
        <v>35.72</v>
      </c>
      <c r="DD59" s="740">
        <v>35.81</v>
      </c>
      <c r="DE59" s="740">
        <v>35.909999999999997</v>
      </c>
      <c r="DF59" s="740">
        <v>36</v>
      </c>
      <c r="DG59" s="740">
        <v>36.1</v>
      </c>
      <c r="DH59" s="740">
        <v>36.19</v>
      </c>
      <c r="DI59" s="740">
        <v>36.28</v>
      </c>
      <c r="DJ59" s="740">
        <v>36.380000000000003</v>
      </c>
      <c r="DK59" s="740">
        <v>36.47</v>
      </c>
      <c r="DL59" s="740">
        <v>36.56</v>
      </c>
      <c r="DM59" s="740">
        <v>36.65</v>
      </c>
      <c r="DN59" s="740">
        <v>36.74</v>
      </c>
      <c r="DO59" s="740">
        <v>36.82</v>
      </c>
      <c r="DP59" s="740">
        <v>36.909999999999997</v>
      </c>
      <c r="DQ59" s="740">
        <v>37</v>
      </c>
      <c r="DR59" s="740">
        <v>37.08</v>
      </c>
    </row>
    <row r="60" spans="1:122">
      <c r="A60" s="912">
        <v>58</v>
      </c>
      <c r="B60" s="90"/>
      <c r="C60" s="90"/>
      <c r="D60" s="90"/>
      <c r="E60" s="90"/>
      <c r="F60" s="90"/>
      <c r="G60" s="90"/>
      <c r="H60" s="90"/>
      <c r="I60" s="90"/>
      <c r="J60" s="90"/>
      <c r="K60" s="90"/>
      <c r="L60" s="90"/>
      <c r="M60" s="90"/>
      <c r="N60" s="90"/>
      <c r="O60" s="90"/>
      <c r="P60" s="90"/>
      <c r="Q60" s="90"/>
      <c r="R60" s="90"/>
      <c r="S60" s="90"/>
      <c r="T60" s="90"/>
      <c r="U60" s="90"/>
      <c r="V60" s="740"/>
      <c r="W60" s="740">
        <v>24.56</v>
      </c>
      <c r="X60" s="740">
        <v>24.74</v>
      </c>
      <c r="Y60" s="740">
        <v>24.91</v>
      </c>
      <c r="Z60" s="740">
        <v>25.11</v>
      </c>
      <c r="AA60" s="740">
        <v>25.24</v>
      </c>
      <c r="AB60" s="740">
        <v>25.4</v>
      </c>
      <c r="AC60" s="740">
        <v>25.61</v>
      </c>
      <c r="AD60" s="740">
        <v>25.71</v>
      </c>
      <c r="AE60" s="740">
        <v>25.91</v>
      </c>
      <c r="AF60" s="740">
        <v>26.06</v>
      </c>
      <c r="AG60" s="740">
        <v>26.21</v>
      </c>
      <c r="AH60" s="740">
        <v>26.38</v>
      </c>
      <c r="AI60" s="740">
        <v>26.54</v>
      </c>
      <c r="AJ60" s="740">
        <v>26.76</v>
      </c>
      <c r="AK60" s="740">
        <v>26.97</v>
      </c>
      <c r="AL60" s="740">
        <v>27.21</v>
      </c>
      <c r="AM60" s="740">
        <v>27.42</v>
      </c>
      <c r="AN60" s="740">
        <v>27.59</v>
      </c>
      <c r="AO60" s="740">
        <v>27.73</v>
      </c>
      <c r="AP60" s="740">
        <v>27.83</v>
      </c>
      <c r="AQ60" s="740">
        <v>27.9</v>
      </c>
      <c r="AR60" s="740">
        <v>27.94</v>
      </c>
      <c r="AS60" s="740">
        <v>28</v>
      </c>
      <c r="AT60" s="740">
        <v>28</v>
      </c>
      <c r="AU60" s="740">
        <v>28.04</v>
      </c>
      <c r="AV60" s="740">
        <v>28.1</v>
      </c>
      <c r="AW60" s="740">
        <v>28.28</v>
      </c>
      <c r="AX60" s="740">
        <v>28.33</v>
      </c>
      <c r="AY60" s="740">
        <v>28.46</v>
      </c>
      <c r="AZ60" s="740">
        <v>28.58</v>
      </c>
      <c r="BA60" s="740">
        <v>28.69</v>
      </c>
      <c r="BB60" s="740">
        <v>28.79</v>
      </c>
      <c r="BC60" s="740">
        <v>28.89</v>
      </c>
      <c r="BD60" s="740">
        <v>29</v>
      </c>
      <c r="BE60" s="740">
        <v>29.12</v>
      </c>
      <c r="BF60" s="740">
        <v>29.25</v>
      </c>
      <c r="BG60" s="740">
        <v>29.37</v>
      </c>
      <c r="BH60" s="740">
        <v>29.5</v>
      </c>
      <c r="BI60" s="740">
        <v>29.63</v>
      </c>
      <c r="BJ60" s="740">
        <v>29.76</v>
      </c>
      <c r="BK60" s="740">
        <v>29.88</v>
      </c>
      <c r="BL60" s="740">
        <v>30.01</v>
      </c>
      <c r="BM60" s="740">
        <v>30.14</v>
      </c>
      <c r="BN60" s="740">
        <v>30.26</v>
      </c>
      <c r="BO60" s="740">
        <v>30.38</v>
      </c>
      <c r="BP60" s="740">
        <v>30.51</v>
      </c>
      <c r="BQ60" s="740">
        <v>30.63</v>
      </c>
      <c r="BR60" s="740">
        <v>30.75</v>
      </c>
      <c r="BS60" s="740">
        <v>30.87</v>
      </c>
      <c r="BT60" s="740">
        <v>30.99</v>
      </c>
      <c r="BU60" s="740">
        <v>31.12</v>
      </c>
      <c r="BV60" s="740">
        <v>31.23</v>
      </c>
      <c r="BW60" s="740">
        <v>31.35</v>
      </c>
      <c r="BX60" s="740">
        <v>31.47</v>
      </c>
      <c r="BY60" s="740">
        <v>31.59</v>
      </c>
      <c r="BZ60" s="740">
        <v>31.71</v>
      </c>
      <c r="CA60" s="740">
        <v>31.82</v>
      </c>
      <c r="CB60" s="740">
        <v>31.94</v>
      </c>
      <c r="CC60" s="740">
        <v>32.049999999999997</v>
      </c>
      <c r="CD60" s="740">
        <v>32.159999999999997</v>
      </c>
      <c r="CE60" s="740">
        <v>32.28</v>
      </c>
      <c r="CF60" s="740">
        <v>32.39</v>
      </c>
      <c r="CG60" s="740">
        <v>32.5</v>
      </c>
      <c r="CH60" s="740">
        <v>32.61</v>
      </c>
      <c r="CI60" s="740">
        <v>32.72</v>
      </c>
      <c r="CJ60" s="740">
        <v>32.83</v>
      </c>
      <c r="CK60" s="740">
        <v>32.94</v>
      </c>
      <c r="CL60" s="740">
        <v>33.049999999999997</v>
      </c>
      <c r="CM60" s="740">
        <v>33.159999999999997</v>
      </c>
      <c r="CN60" s="740">
        <v>33.26</v>
      </c>
      <c r="CO60" s="740">
        <v>33.369999999999997</v>
      </c>
      <c r="CP60" s="740">
        <v>33.47</v>
      </c>
      <c r="CQ60" s="740">
        <v>33.58</v>
      </c>
      <c r="CR60" s="740">
        <v>33.68</v>
      </c>
      <c r="CS60" s="740">
        <v>33.79</v>
      </c>
      <c r="CT60" s="740">
        <v>33.89</v>
      </c>
      <c r="CU60" s="740">
        <v>33.99</v>
      </c>
      <c r="CV60" s="740">
        <v>34.090000000000003</v>
      </c>
      <c r="CW60" s="740">
        <v>34.19</v>
      </c>
      <c r="CX60" s="740">
        <v>34.29</v>
      </c>
      <c r="CY60" s="740">
        <v>34.39</v>
      </c>
      <c r="CZ60" s="740">
        <v>34.49</v>
      </c>
      <c r="DA60" s="740">
        <v>34.58</v>
      </c>
      <c r="DB60" s="740">
        <v>34.68</v>
      </c>
      <c r="DC60" s="740">
        <v>34.78</v>
      </c>
      <c r="DD60" s="740">
        <v>34.869999999999997</v>
      </c>
      <c r="DE60" s="740">
        <v>34.97</v>
      </c>
      <c r="DF60" s="740">
        <v>35.06</v>
      </c>
      <c r="DG60" s="740">
        <v>35.15</v>
      </c>
      <c r="DH60" s="740">
        <v>35.24</v>
      </c>
      <c r="DI60" s="740">
        <v>35.340000000000003</v>
      </c>
      <c r="DJ60" s="740">
        <v>35.43</v>
      </c>
      <c r="DK60" s="740">
        <v>35.520000000000003</v>
      </c>
      <c r="DL60" s="740">
        <v>35.61</v>
      </c>
      <c r="DM60" s="740">
        <v>35.700000000000003</v>
      </c>
      <c r="DN60" s="740">
        <v>35.78</v>
      </c>
      <c r="DO60" s="740">
        <v>35.869999999999997</v>
      </c>
      <c r="DP60" s="740">
        <v>35.96</v>
      </c>
      <c r="DQ60" s="740">
        <v>36.04</v>
      </c>
      <c r="DR60" s="740">
        <v>36.130000000000003</v>
      </c>
    </row>
    <row r="61" spans="1:122">
      <c r="A61" s="912">
        <v>59</v>
      </c>
      <c r="B61" s="90"/>
      <c r="C61" s="90"/>
      <c r="D61" s="90"/>
      <c r="E61" s="90"/>
      <c r="F61" s="90"/>
      <c r="G61" s="90"/>
      <c r="H61" s="90"/>
      <c r="I61" s="90"/>
      <c r="J61" s="90"/>
      <c r="K61" s="90"/>
      <c r="L61" s="90"/>
      <c r="M61" s="90"/>
      <c r="N61" s="90"/>
      <c r="O61" s="90"/>
      <c r="P61" s="90"/>
      <c r="Q61" s="90"/>
      <c r="R61" s="90"/>
      <c r="S61" s="90"/>
      <c r="T61" s="90"/>
      <c r="U61" s="90"/>
      <c r="V61" s="740"/>
      <c r="W61" s="740">
        <v>23.74</v>
      </c>
      <c r="X61" s="740">
        <v>23.91</v>
      </c>
      <c r="Y61" s="740">
        <v>24.09</v>
      </c>
      <c r="Z61" s="740">
        <v>24.28</v>
      </c>
      <c r="AA61" s="740">
        <v>24.41</v>
      </c>
      <c r="AB61" s="740">
        <v>24.58</v>
      </c>
      <c r="AC61" s="740">
        <v>24.77</v>
      </c>
      <c r="AD61" s="740">
        <v>24.87</v>
      </c>
      <c r="AE61" s="740">
        <v>25.07</v>
      </c>
      <c r="AF61" s="740">
        <v>25.22</v>
      </c>
      <c r="AG61" s="740">
        <v>25.37</v>
      </c>
      <c r="AH61" s="740">
        <v>25.54</v>
      </c>
      <c r="AI61" s="740">
        <v>25.7</v>
      </c>
      <c r="AJ61" s="740">
        <v>25.92</v>
      </c>
      <c r="AK61" s="740">
        <v>26.12</v>
      </c>
      <c r="AL61" s="740">
        <v>26.35</v>
      </c>
      <c r="AM61" s="740">
        <v>26.56</v>
      </c>
      <c r="AN61" s="740">
        <v>26.72</v>
      </c>
      <c r="AO61" s="740">
        <v>26.86</v>
      </c>
      <c r="AP61" s="740">
        <v>26.96</v>
      </c>
      <c r="AQ61" s="740">
        <v>27.03</v>
      </c>
      <c r="AR61" s="740">
        <v>27.07</v>
      </c>
      <c r="AS61" s="740">
        <v>27.13</v>
      </c>
      <c r="AT61" s="740">
        <v>27.14</v>
      </c>
      <c r="AU61" s="740">
        <v>27.18</v>
      </c>
      <c r="AV61" s="740">
        <v>27.24</v>
      </c>
      <c r="AW61" s="740">
        <v>27.41</v>
      </c>
      <c r="AX61" s="740">
        <v>27.46</v>
      </c>
      <c r="AY61" s="740">
        <v>27.59</v>
      </c>
      <c r="AZ61" s="740">
        <v>27.71</v>
      </c>
      <c r="BA61" s="740">
        <v>27.81</v>
      </c>
      <c r="BB61" s="740">
        <v>27.92</v>
      </c>
      <c r="BC61" s="740">
        <v>28.02</v>
      </c>
      <c r="BD61" s="740">
        <v>28.12</v>
      </c>
      <c r="BE61" s="740">
        <v>28.24</v>
      </c>
      <c r="BF61" s="740">
        <v>28.37</v>
      </c>
      <c r="BG61" s="740">
        <v>28.5</v>
      </c>
      <c r="BH61" s="740">
        <v>28.63</v>
      </c>
      <c r="BI61" s="740">
        <v>28.76</v>
      </c>
      <c r="BJ61" s="740">
        <v>28.88</v>
      </c>
      <c r="BK61" s="740">
        <v>29.01</v>
      </c>
      <c r="BL61" s="740">
        <v>29.13</v>
      </c>
      <c r="BM61" s="740">
        <v>29.25</v>
      </c>
      <c r="BN61" s="740">
        <v>29.38</v>
      </c>
      <c r="BO61" s="740">
        <v>29.5</v>
      </c>
      <c r="BP61" s="740">
        <v>29.62</v>
      </c>
      <c r="BQ61" s="740">
        <v>29.74</v>
      </c>
      <c r="BR61" s="740">
        <v>29.86</v>
      </c>
      <c r="BS61" s="740">
        <v>29.98</v>
      </c>
      <c r="BT61" s="740">
        <v>30.1</v>
      </c>
      <c r="BU61" s="740">
        <v>30.22</v>
      </c>
      <c r="BV61" s="740">
        <v>30.34</v>
      </c>
      <c r="BW61" s="740">
        <v>30.46</v>
      </c>
      <c r="BX61" s="740">
        <v>30.57</v>
      </c>
      <c r="BY61" s="740">
        <v>30.69</v>
      </c>
      <c r="BZ61" s="740">
        <v>30.8</v>
      </c>
      <c r="CA61" s="740">
        <v>30.92</v>
      </c>
      <c r="CB61" s="740">
        <v>31.03</v>
      </c>
      <c r="CC61" s="740">
        <v>31.14</v>
      </c>
      <c r="CD61" s="740">
        <v>31.26</v>
      </c>
      <c r="CE61" s="740">
        <v>31.37</v>
      </c>
      <c r="CF61" s="740">
        <v>31.48</v>
      </c>
      <c r="CG61" s="740">
        <v>31.59</v>
      </c>
      <c r="CH61" s="740">
        <v>31.7</v>
      </c>
      <c r="CI61" s="740">
        <v>31.81</v>
      </c>
      <c r="CJ61" s="740">
        <v>31.92</v>
      </c>
      <c r="CK61" s="740">
        <v>32.020000000000003</v>
      </c>
      <c r="CL61" s="740">
        <v>32.130000000000003</v>
      </c>
      <c r="CM61" s="740">
        <v>32.24</v>
      </c>
      <c r="CN61" s="740">
        <v>32.340000000000003</v>
      </c>
      <c r="CO61" s="740">
        <v>32.450000000000003</v>
      </c>
      <c r="CP61" s="740">
        <v>32.549999999999997</v>
      </c>
      <c r="CQ61" s="740">
        <v>32.65</v>
      </c>
      <c r="CR61" s="740">
        <v>32.76</v>
      </c>
      <c r="CS61" s="740">
        <v>32.86</v>
      </c>
      <c r="CT61" s="740">
        <v>32.96</v>
      </c>
      <c r="CU61" s="740">
        <v>33.06</v>
      </c>
      <c r="CV61" s="740">
        <v>33.159999999999997</v>
      </c>
      <c r="CW61" s="740">
        <v>33.26</v>
      </c>
      <c r="CX61" s="740">
        <v>33.36</v>
      </c>
      <c r="CY61" s="740">
        <v>33.450000000000003</v>
      </c>
      <c r="CZ61" s="740">
        <v>33.549999999999997</v>
      </c>
      <c r="DA61" s="740">
        <v>33.65</v>
      </c>
      <c r="DB61" s="740">
        <v>33.74</v>
      </c>
      <c r="DC61" s="740">
        <v>33.840000000000003</v>
      </c>
      <c r="DD61" s="740">
        <v>33.93</v>
      </c>
      <c r="DE61" s="740">
        <v>34.03</v>
      </c>
      <c r="DF61" s="740">
        <v>34.119999999999997</v>
      </c>
      <c r="DG61" s="740">
        <v>34.21</v>
      </c>
      <c r="DH61" s="740">
        <v>34.299999999999997</v>
      </c>
      <c r="DI61" s="740">
        <v>34.39</v>
      </c>
      <c r="DJ61" s="740">
        <v>34.479999999999997</v>
      </c>
      <c r="DK61" s="740">
        <v>34.57</v>
      </c>
      <c r="DL61" s="740">
        <v>34.659999999999997</v>
      </c>
      <c r="DM61" s="740">
        <v>34.75</v>
      </c>
      <c r="DN61" s="740">
        <v>34.840000000000003</v>
      </c>
      <c r="DO61" s="740">
        <v>34.92</v>
      </c>
      <c r="DP61" s="740">
        <v>35.01</v>
      </c>
      <c r="DQ61" s="740">
        <v>35.090000000000003</v>
      </c>
      <c r="DR61" s="740">
        <v>35.18</v>
      </c>
    </row>
    <row r="62" spans="1:122">
      <c r="A62" s="912">
        <v>60</v>
      </c>
      <c r="B62" s="90"/>
      <c r="C62" s="90"/>
      <c r="D62" s="90"/>
      <c r="E62" s="90"/>
      <c r="F62" s="90"/>
      <c r="G62" s="90"/>
      <c r="H62" s="90"/>
      <c r="I62" s="90"/>
      <c r="J62" s="90"/>
      <c r="K62" s="90"/>
      <c r="L62" s="90"/>
      <c r="M62" s="90"/>
      <c r="N62" s="90"/>
      <c r="O62" s="90"/>
      <c r="P62" s="90"/>
      <c r="Q62" s="90"/>
      <c r="R62" s="90"/>
      <c r="S62" s="90"/>
      <c r="T62" s="90"/>
      <c r="U62" s="90"/>
      <c r="V62" s="740"/>
      <c r="W62" s="740">
        <v>22.93</v>
      </c>
      <c r="X62" s="740">
        <v>23.1</v>
      </c>
      <c r="Y62" s="740">
        <v>23.27</v>
      </c>
      <c r="Z62" s="740">
        <v>23.45</v>
      </c>
      <c r="AA62" s="740">
        <v>23.58</v>
      </c>
      <c r="AB62" s="740">
        <v>23.75</v>
      </c>
      <c r="AC62" s="740">
        <v>23.94</v>
      </c>
      <c r="AD62" s="740">
        <v>24.04</v>
      </c>
      <c r="AE62" s="740">
        <v>24.24</v>
      </c>
      <c r="AF62" s="740">
        <v>24.39</v>
      </c>
      <c r="AG62" s="740">
        <v>24.53</v>
      </c>
      <c r="AH62" s="740">
        <v>24.7</v>
      </c>
      <c r="AI62" s="740">
        <v>24.86</v>
      </c>
      <c r="AJ62" s="740">
        <v>25.07</v>
      </c>
      <c r="AK62" s="740">
        <v>25.28</v>
      </c>
      <c r="AL62" s="740">
        <v>25.5</v>
      </c>
      <c r="AM62" s="740">
        <v>25.71</v>
      </c>
      <c r="AN62" s="740">
        <v>25.86</v>
      </c>
      <c r="AO62" s="740">
        <v>26</v>
      </c>
      <c r="AP62" s="740">
        <v>26.09</v>
      </c>
      <c r="AQ62" s="740">
        <v>26.16</v>
      </c>
      <c r="AR62" s="740">
        <v>26.21</v>
      </c>
      <c r="AS62" s="740">
        <v>26.26</v>
      </c>
      <c r="AT62" s="740">
        <v>26.27</v>
      </c>
      <c r="AU62" s="740">
        <v>26.32</v>
      </c>
      <c r="AV62" s="740">
        <v>26.38</v>
      </c>
      <c r="AW62" s="740">
        <v>26.54</v>
      </c>
      <c r="AX62" s="740">
        <v>26.59</v>
      </c>
      <c r="AY62" s="740">
        <v>26.72</v>
      </c>
      <c r="AZ62" s="740">
        <v>26.83</v>
      </c>
      <c r="BA62" s="740">
        <v>26.94</v>
      </c>
      <c r="BB62" s="740">
        <v>27.05</v>
      </c>
      <c r="BC62" s="740">
        <v>27.15</v>
      </c>
      <c r="BD62" s="740">
        <v>27.26</v>
      </c>
      <c r="BE62" s="740">
        <v>27.38</v>
      </c>
      <c r="BF62" s="740">
        <v>27.5</v>
      </c>
      <c r="BG62" s="740">
        <v>27.63</v>
      </c>
      <c r="BH62" s="740">
        <v>27.76</v>
      </c>
      <c r="BI62" s="740">
        <v>27.89</v>
      </c>
      <c r="BJ62" s="740">
        <v>28.01</v>
      </c>
      <c r="BK62" s="740">
        <v>28.13</v>
      </c>
      <c r="BL62" s="740">
        <v>28.26</v>
      </c>
      <c r="BM62" s="740">
        <v>28.38</v>
      </c>
      <c r="BN62" s="740">
        <v>28.5</v>
      </c>
      <c r="BO62" s="740">
        <v>28.62</v>
      </c>
      <c r="BP62" s="740">
        <v>28.74</v>
      </c>
      <c r="BQ62" s="740">
        <v>28.86</v>
      </c>
      <c r="BR62" s="740">
        <v>28.98</v>
      </c>
      <c r="BS62" s="740">
        <v>29.1</v>
      </c>
      <c r="BT62" s="740">
        <v>29.21</v>
      </c>
      <c r="BU62" s="740">
        <v>29.33</v>
      </c>
      <c r="BV62" s="740">
        <v>29.45</v>
      </c>
      <c r="BW62" s="740">
        <v>29.56</v>
      </c>
      <c r="BX62" s="740">
        <v>29.68</v>
      </c>
      <c r="BY62" s="740">
        <v>29.79</v>
      </c>
      <c r="BZ62" s="740">
        <v>29.91</v>
      </c>
      <c r="CA62" s="740">
        <v>30.02</v>
      </c>
      <c r="CB62" s="740">
        <v>30.13</v>
      </c>
      <c r="CC62" s="740">
        <v>30.24</v>
      </c>
      <c r="CD62" s="740">
        <v>30.35</v>
      </c>
      <c r="CE62" s="740">
        <v>30.46</v>
      </c>
      <c r="CF62" s="740">
        <v>30.57</v>
      </c>
      <c r="CG62" s="740">
        <v>30.68</v>
      </c>
      <c r="CH62" s="740">
        <v>30.79</v>
      </c>
      <c r="CI62" s="740">
        <v>30.9</v>
      </c>
      <c r="CJ62" s="740">
        <v>31</v>
      </c>
      <c r="CK62" s="740">
        <v>31.11</v>
      </c>
      <c r="CL62" s="740">
        <v>31.22</v>
      </c>
      <c r="CM62" s="740">
        <v>31.32</v>
      </c>
      <c r="CN62" s="740">
        <v>31.42</v>
      </c>
      <c r="CO62" s="740">
        <v>31.53</v>
      </c>
      <c r="CP62" s="740">
        <v>31.63</v>
      </c>
      <c r="CQ62" s="740">
        <v>31.73</v>
      </c>
      <c r="CR62" s="740">
        <v>31.83</v>
      </c>
      <c r="CS62" s="740">
        <v>31.93</v>
      </c>
      <c r="CT62" s="740">
        <v>32.03</v>
      </c>
      <c r="CU62" s="740">
        <v>32.130000000000003</v>
      </c>
      <c r="CV62" s="740">
        <v>32.229999999999997</v>
      </c>
      <c r="CW62" s="740">
        <v>32.33</v>
      </c>
      <c r="CX62" s="740">
        <v>32.43</v>
      </c>
      <c r="CY62" s="740">
        <v>32.520000000000003</v>
      </c>
      <c r="CZ62" s="740">
        <v>32.619999999999997</v>
      </c>
      <c r="DA62" s="740">
        <v>32.71</v>
      </c>
      <c r="DB62" s="740">
        <v>32.81</v>
      </c>
      <c r="DC62" s="740">
        <v>32.9</v>
      </c>
      <c r="DD62" s="740">
        <v>33</v>
      </c>
      <c r="DE62" s="740">
        <v>33.090000000000003</v>
      </c>
      <c r="DF62" s="740">
        <v>33.18</v>
      </c>
      <c r="DG62" s="740">
        <v>33.270000000000003</v>
      </c>
      <c r="DH62" s="740">
        <v>33.36</v>
      </c>
      <c r="DI62" s="740">
        <v>33.450000000000003</v>
      </c>
      <c r="DJ62" s="740">
        <v>33.54</v>
      </c>
      <c r="DK62" s="740">
        <v>33.630000000000003</v>
      </c>
      <c r="DL62" s="740">
        <v>33.72</v>
      </c>
      <c r="DM62" s="740">
        <v>33.799999999999997</v>
      </c>
      <c r="DN62" s="740">
        <v>33.89</v>
      </c>
      <c r="DO62" s="740">
        <v>33.979999999999997</v>
      </c>
      <c r="DP62" s="740">
        <v>34.06</v>
      </c>
      <c r="DQ62" s="740">
        <v>34.15</v>
      </c>
      <c r="DR62" s="740">
        <v>34.229999999999997</v>
      </c>
    </row>
    <row r="63" spans="1:122">
      <c r="A63" s="912">
        <v>61</v>
      </c>
      <c r="B63" s="90"/>
      <c r="C63" s="90"/>
      <c r="D63" s="90"/>
      <c r="E63" s="90"/>
      <c r="F63" s="90"/>
      <c r="G63" s="90"/>
      <c r="H63" s="90"/>
      <c r="I63" s="90"/>
      <c r="J63" s="90"/>
      <c r="K63" s="90"/>
      <c r="L63" s="90"/>
      <c r="M63" s="90"/>
      <c r="N63" s="90"/>
      <c r="O63" s="90"/>
      <c r="P63" s="90"/>
      <c r="Q63" s="90"/>
      <c r="R63" s="90"/>
      <c r="S63" s="90"/>
      <c r="T63" s="90"/>
      <c r="U63" s="90"/>
      <c r="V63" s="740"/>
      <c r="W63" s="740">
        <v>22.12</v>
      </c>
      <c r="X63" s="740">
        <v>22.29</v>
      </c>
      <c r="Y63" s="740">
        <v>22.46</v>
      </c>
      <c r="Z63" s="740">
        <v>22.64</v>
      </c>
      <c r="AA63" s="740">
        <v>22.77</v>
      </c>
      <c r="AB63" s="740">
        <v>22.93</v>
      </c>
      <c r="AC63" s="740">
        <v>23.11</v>
      </c>
      <c r="AD63" s="740">
        <v>23.22</v>
      </c>
      <c r="AE63" s="740">
        <v>23.41</v>
      </c>
      <c r="AF63" s="740">
        <v>23.57</v>
      </c>
      <c r="AG63" s="740">
        <v>23.71</v>
      </c>
      <c r="AH63" s="740">
        <v>23.88</v>
      </c>
      <c r="AI63" s="740">
        <v>24.03</v>
      </c>
      <c r="AJ63" s="740">
        <v>24.24</v>
      </c>
      <c r="AK63" s="740">
        <v>24.44</v>
      </c>
      <c r="AL63" s="740">
        <v>24.65</v>
      </c>
      <c r="AM63" s="740">
        <v>24.86</v>
      </c>
      <c r="AN63" s="740">
        <v>25.01</v>
      </c>
      <c r="AO63" s="740">
        <v>25.15</v>
      </c>
      <c r="AP63" s="740">
        <v>25.23</v>
      </c>
      <c r="AQ63" s="740">
        <v>25.3</v>
      </c>
      <c r="AR63" s="740">
        <v>25.35</v>
      </c>
      <c r="AS63" s="740">
        <v>25.4</v>
      </c>
      <c r="AT63" s="740">
        <v>25.42</v>
      </c>
      <c r="AU63" s="740">
        <v>25.46</v>
      </c>
      <c r="AV63" s="740">
        <v>25.52</v>
      </c>
      <c r="AW63" s="740">
        <v>25.68</v>
      </c>
      <c r="AX63" s="740">
        <v>25.74</v>
      </c>
      <c r="AY63" s="740">
        <v>25.86</v>
      </c>
      <c r="AZ63" s="740">
        <v>25.97</v>
      </c>
      <c r="BA63" s="740">
        <v>26.09</v>
      </c>
      <c r="BB63" s="740">
        <v>26.19</v>
      </c>
      <c r="BC63" s="740">
        <v>26.29</v>
      </c>
      <c r="BD63" s="740">
        <v>26.41</v>
      </c>
      <c r="BE63" s="740">
        <v>26.53</v>
      </c>
      <c r="BF63" s="740">
        <v>26.65</v>
      </c>
      <c r="BG63" s="740">
        <v>26.77</v>
      </c>
      <c r="BH63" s="740">
        <v>26.9</v>
      </c>
      <c r="BI63" s="740">
        <v>27.02</v>
      </c>
      <c r="BJ63" s="740">
        <v>27.14</v>
      </c>
      <c r="BK63" s="740">
        <v>27.27</v>
      </c>
      <c r="BL63" s="740">
        <v>27.39</v>
      </c>
      <c r="BM63" s="740">
        <v>27.51</v>
      </c>
      <c r="BN63" s="740">
        <v>27.63</v>
      </c>
      <c r="BO63" s="740">
        <v>27.75</v>
      </c>
      <c r="BP63" s="740">
        <v>27.86</v>
      </c>
      <c r="BQ63" s="740">
        <v>27.98</v>
      </c>
      <c r="BR63" s="740">
        <v>28.1</v>
      </c>
      <c r="BS63" s="740">
        <v>28.21</v>
      </c>
      <c r="BT63" s="740">
        <v>28.33</v>
      </c>
      <c r="BU63" s="740">
        <v>28.45</v>
      </c>
      <c r="BV63" s="740">
        <v>28.56</v>
      </c>
      <c r="BW63" s="740">
        <v>28.67</v>
      </c>
      <c r="BX63" s="740">
        <v>28.79</v>
      </c>
      <c r="BY63" s="740">
        <v>28.9</v>
      </c>
      <c r="BZ63" s="740">
        <v>29.01</v>
      </c>
      <c r="CA63" s="740">
        <v>29.12</v>
      </c>
      <c r="CB63" s="740">
        <v>29.23</v>
      </c>
      <c r="CC63" s="740">
        <v>29.34</v>
      </c>
      <c r="CD63" s="740">
        <v>29.45</v>
      </c>
      <c r="CE63" s="740">
        <v>29.56</v>
      </c>
      <c r="CF63" s="740">
        <v>29.67</v>
      </c>
      <c r="CG63" s="740">
        <v>29.78</v>
      </c>
      <c r="CH63" s="740">
        <v>29.88</v>
      </c>
      <c r="CI63" s="740">
        <v>29.99</v>
      </c>
      <c r="CJ63" s="740">
        <v>30.09</v>
      </c>
      <c r="CK63" s="740">
        <v>30.2</v>
      </c>
      <c r="CL63" s="740">
        <v>30.3</v>
      </c>
      <c r="CM63" s="740">
        <v>30.41</v>
      </c>
      <c r="CN63" s="740">
        <v>30.51</v>
      </c>
      <c r="CO63" s="740">
        <v>30.61</v>
      </c>
      <c r="CP63" s="740">
        <v>30.71</v>
      </c>
      <c r="CQ63" s="740">
        <v>30.81</v>
      </c>
      <c r="CR63" s="740">
        <v>30.91</v>
      </c>
      <c r="CS63" s="740">
        <v>31.01</v>
      </c>
      <c r="CT63" s="740">
        <v>31.11</v>
      </c>
      <c r="CU63" s="740">
        <v>31.21</v>
      </c>
      <c r="CV63" s="740">
        <v>31.31</v>
      </c>
      <c r="CW63" s="740">
        <v>31.4</v>
      </c>
      <c r="CX63" s="740">
        <v>31.5</v>
      </c>
      <c r="CY63" s="740">
        <v>31.59</v>
      </c>
      <c r="CZ63" s="740">
        <v>31.69</v>
      </c>
      <c r="DA63" s="740">
        <v>31.78</v>
      </c>
      <c r="DB63" s="740">
        <v>31.88</v>
      </c>
      <c r="DC63" s="740">
        <v>31.97</v>
      </c>
      <c r="DD63" s="740">
        <v>32.06</v>
      </c>
      <c r="DE63" s="740">
        <v>32.15</v>
      </c>
      <c r="DF63" s="740">
        <v>32.24</v>
      </c>
      <c r="DG63" s="740">
        <v>32.33</v>
      </c>
      <c r="DH63" s="740">
        <v>32.42</v>
      </c>
      <c r="DI63" s="740">
        <v>32.51</v>
      </c>
      <c r="DJ63" s="740">
        <v>32.6</v>
      </c>
      <c r="DK63" s="740">
        <v>32.69</v>
      </c>
      <c r="DL63" s="740">
        <v>32.770000000000003</v>
      </c>
      <c r="DM63" s="740">
        <v>32.86</v>
      </c>
      <c r="DN63" s="740">
        <v>32.950000000000003</v>
      </c>
      <c r="DO63" s="740">
        <v>33.03</v>
      </c>
      <c r="DP63" s="740">
        <v>33.119999999999997</v>
      </c>
      <c r="DQ63" s="740">
        <v>33.200000000000003</v>
      </c>
      <c r="DR63" s="740">
        <v>33.28</v>
      </c>
    </row>
    <row r="64" spans="1:122">
      <c r="A64" s="912">
        <v>62</v>
      </c>
      <c r="B64" s="90"/>
      <c r="C64" s="90"/>
      <c r="D64" s="90"/>
      <c r="E64" s="90"/>
      <c r="F64" s="90"/>
      <c r="G64" s="90"/>
      <c r="H64" s="90"/>
      <c r="I64" s="90"/>
      <c r="J64" s="90"/>
      <c r="K64" s="90"/>
      <c r="L64" s="90"/>
      <c r="M64" s="90"/>
      <c r="N64" s="90"/>
      <c r="O64" s="90"/>
      <c r="P64" s="90"/>
      <c r="Q64" s="90"/>
      <c r="R64" s="90"/>
      <c r="S64" s="90"/>
      <c r="T64" s="90"/>
      <c r="U64" s="90"/>
      <c r="V64" s="740"/>
      <c r="W64" s="740">
        <v>21.32</v>
      </c>
      <c r="X64" s="740">
        <v>21.48</v>
      </c>
      <c r="Y64" s="740">
        <v>21.66</v>
      </c>
      <c r="Z64" s="740">
        <v>21.84</v>
      </c>
      <c r="AA64" s="740">
        <v>21.96</v>
      </c>
      <c r="AB64" s="740">
        <v>22.12</v>
      </c>
      <c r="AC64" s="740">
        <v>22.3</v>
      </c>
      <c r="AD64" s="740">
        <v>22.42</v>
      </c>
      <c r="AE64" s="740">
        <v>22.6</v>
      </c>
      <c r="AF64" s="740">
        <v>22.76</v>
      </c>
      <c r="AG64" s="740">
        <v>22.89</v>
      </c>
      <c r="AH64" s="740">
        <v>23.06</v>
      </c>
      <c r="AI64" s="740">
        <v>23.21</v>
      </c>
      <c r="AJ64" s="740">
        <v>23.41</v>
      </c>
      <c r="AK64" s="740">
        <v>23.61</v>
      </c>
      <c r="AL64" s="740">
        <v>23.81</v>
      </c>
      <c r="AM64" s="740">
        <v>24.01</v>
      </c>
      <c r="AN64" s="740">
        <v>24.16</v>
      </c>
      <c r="AO64" s="740">
        <v>24.3</v>
      </c>
      <c r="AP64" s="740">
        <v>24.38</v>
      </c>
      <c r="AQ64" s="740">
        <v>24.44</v>
      </c>
      <c r="AR64" s="740">
        <v>24.49</v>
      </c>
      <c r="AS64" s="740">
        <v>24.54</v>
      </c>
      <c r="AT64" s="740">
        <v>24.57</v>
      </c>
      <c r="AU64" s="740">
        <v>24.61</v>
      </c>
      <c r="AV64" s="740">
        <v>24.67</v>
      </c>
      <c r="AW64" s="740">
        <v>24.82</v>
      </c>
      <c r="AX64" s="740">
        <v>24.88</v>
      </c>
      <c r="AY64" s="740">
        <v>25.01</v>
      </c>
      <c r="AZ64" s="740">
        <v>25.12</v>
      </c>
      <c r="BA64" s="740">
        <v>25.23</v>
      </c>
      <c r="BB64" s="740">
        <v>25.33</v>
      </c>
      <c r="BC64" s="740">
        <v>25.44</v>
      </c>
      <c r="BD64" s="740">
        <v>25.56</v>
      </c>
      <c r="BE64" s="740">
        <v>25.67</v>
      </c>
      <c r="BF64" s="740">
        <v>25.8</v>
      </c>
      <c r="BG64" s="740">
        <v>25.92</v>
      </c>
      <c r="BH64" s="740">
        <v>26.04</v>
      </c>
      <c r="BI64" s="740">
        <v>26.17</v>
      </c>
      <c r="BJ64" s="740">
        <v>26.29</v>
      </c>
      <c r="BK64" s="740">
        <v>26.4</v>
      </c>
      <c r="BL64" s="740">
        <v>26.52</v>
      </c>
      <c r="BM64" s="740">
        <v>26.64</v>
      </c>
      <c r="BN64" s="740">
        <v>26.76</v>
      </c>
      <c r="BO64" s="740">
        <v>26.88</v>
      </c>
      <c r="BP64" s="740">
        <v>26.99</v>
      </c>
      <c r="BQ64" s="740">
        <v>27.11</v>
      </c>
      <c r="BR64" s="740">
        <v>27.22</v>
      </c>
      <c r="BS64" s="740">
        <v>27.34</v>
      </c>
      <c r="BT64" s="740">
        <v>27.45</v>
      </c>
      <c r="BU64" s="740">
        <v>27.57</v>
      </c>
      <c r="BV64" s="740">
        <v>27.68</v>
      </c>
      <c r="BW64" s="740">
        <v>27.79</v>
      </c>
      <c r="BX64" s="740">
        <v>27.9</v>
      </c>
      <c r="BY64" s="740">
        <v>28.01</v>
      </c>
      <c r="BZ64" s="740">
        <v>28.12</v>
      </c>
      <c r="CA64" s="740">
        <v>28.23</v>
      </c>
      <c r="CB64" s="740">
        <v>28.34</v>
      </c>
      <c r="CC64" s="740">
        <v>28.45</v>
      </c>
      <c r="CD64" s="740">
        <v>28.56</v>
      </c>
      <c r="CE64" s="740">
        <v>28.66</v>
      </c>
      <c r="CF64" s="740">
        <v>28.77</v>
      </c>
      <c r="CG64" s="740">
        <v>28.88</v>
      </c>
      <c r="CH64" s="740">
        <v>28.98</v>
      </c>
      <c r="CI64" s="740">
        <v>29.09</v>
      </c>
      <c r="CJ64" s="740">
        <v>29.19</v>
      </c>
      <c r="CK64" s="740">
        <v>29.29</v>
      </c>
      <c r="CL64" s="740">
        <v>29.4</v>
      </c>
      <c r="CM64" s="740">
        <v>29.5</v>
      </c>
      <c r="CN64" s="740">
        <v>29.6</v>
      </c>
      <c r="CO64" s="740">
        <v>29.7</v>
      </c>
      <c r="CP64" s="740">
        <v>29.8</v>
      </c>
      <c r="CQ64" s="740">
        <v>29.9</v>
      </c>
      <c r="CR64" s="740">
        <v>30</v>
      </c>
      <c r="CS64" s="740">
        <v>30.1</v>
      </c>
      <c r="CT64" s="740">
        <v>30.19</v>
      </c>
      <c r="CU64" s="740">
        <v>30.29</v>
      </c>
      <c r="CV64" s="740">
        <v>30.39</v>
      </c>
      <c r="CW64" s="740">
        <v>30.48</v>
      </c>
      <c r="CX64" s="740">
        <v>30.58</v>
      </c>
      <c r="CY64" s="740">
        <v>30.67</v>
      </c>
      <c r="CZ64" s="740">
        <v>30.76</v>
      </c>
      <c r="DA64" s="740">
        <v>30.86</v>
      </c>
      <c r="DB64" s="740">
        <v>30.95</v>
      </c>
      <c r="DC64" s="740">
        <v>31.04</v>
      </c>
      <c r="DD64" s="740">
        <v>31.13</v>
      </c>
      <c r="DE64" s="740">
        <v>31.22</v>
      </c>
      <c r="DF64" s="740">
        <v>31.31</v>
      </c>
      <c r="DG64" s="740">
        <v>31.4</v>
      </c>
      <c r="DH64" s="740">
        <v>31.49</v>
      </c>
      <c r="DI64" s="740">
        <v>31.58</v>
      </c>
      <c r="DJ64" s="740">
        <v>31.66</v>
      </c>
      <c r="DK64" s="740">
        <v>31.75</v>
      </c>
      <c r="DL64" s="740">
        <v>31.83</v>
      </c>
      <c r="DM64" s="740">
        <v>31.92</v>
      </c>
      <c r="DN64" s="740">
        <v>32</v>
      </c>
      <c r="DO64" s="740">
        <v>32.090000000000003</v>
      </c>
      <c r="DP64" s="740">
        <v>32.17</v>
      </c>
      <c r="DQ64" s="740">
        <v>32.25</v>
      </c>
      <c r="DR64" s="740">
        <v>32.340000000000003</v>
      </c>
    </row>
    <row r="65" spans="1:122">
      <c r="A65" s="912">
        <v>63</v>
      </c>
      <c r="B65" s="90"/>
      <c r="C65" s="90"/>
      <c r="D65" s="90"/>
      <c r="E65" s="90"/>
      <c r="F65" s="90"/>
      <c r="G65" s="90"/>
      <c r="H65" s="90"/>
      <c r="I65" s="90"/>
      <c r="J65" s="90"/>
      <c r="K65" s="90"/>
      <c r="L65" s="90"/>
      <c r="M65" s="90"/>
      <c r="N65" s="90"/>
      <c r="O65" s="90"/>
      <c r="P65" s="90"/>
      <c r="Q65" s="90"/>
      <c r="R65" s="90"/>
      <c r="S65" s="90"/>
      <c r="T65" s="90"/>
      <c r="U65" s="90"/>
      <c r="V65" s="740"/>
      <c r="W65" s="740">
        <v>20.54</v>
      </c>
      <c r="X65" s="740">
        <v>20.69</v>
      </c>
      <c r="Y65" s="740">
        <v>20.86</v>
      </c>
      <c r="Z65" s="740">
        <v>21.04</v>
      </c>
      <c r="AA65" s="740">
        <v>21.17</v>
      </c>
      <c r="AB65" s="740">
        <v>21.32</v>
      </c>
      <c r="AC65" s="740">
        <v>21.5</v>
      </c>
      <c r="AD65" s="740">
        <v>21.61</v>
      </c>
      <c r="AE65" s="740">
        <v>21.8</v>
      </c>
      <c r="AF65" s="740">
        <v>21.95</v>
      </c>
      <c r="AG65" s="740">
        <v>22.07</v>
      </c>
      <c r="AH65" s="740">
        <v>22.24</v>
      </c>
      <c r="AI65" s="740">
        <v>22.39</v>
      </c>
      <c r="AJ65" s="740">
        <v>22.59</v>
      </c>
      <c r="AK65" s="740">
        <v>22.77</v>
      </c>
      <c r="AL65" s="740">
        <v>22.98</v>
      </c>
      <c r="AM65" s="740">
        <v>23.17</v>
      </c>
      <c r="AN65" s="740">
        <v>23.32</v>
      </c>
      <c r="AO65" s="740">
        <v>23.45</v>
      </c>
      <c r="AP65" s="740">
        <v>23.53</v>
      </c>
      <c r="AQ65" s="740">
        <v>23.59</v>
      </c>
      <c r="AR65" s="740">
        <v>23.64</v>
      </c>
      <c r="AS65" s="740">
        <v>23.69</v>
      </c>
      <c r="AT65" s="740">
        <v>23.72</v>
      </c>
      <c r="AU65" s="740">
        <v>23.77</v>
      </c>
      <c r="AV65" s="740">
        <v>23.83</v>
      </c>
      <c r="AW65" s="740">
        <v>23.97</v>
      </c>
      <c r="AX65" s="740">
        <v>24.04</v>
      </c>
      <c r="AY65" s="740">
        <v>24.16</v>
      </c>
      <c r="AZ65" s="740">
        <v>24.28</v>
      </c>
      <c r="BA65" s="740">
        <v>24.38</v>
      </c>
      <c r="BB65" s="740">
        <v>24.48</v>
      </c>
      <c r="BC65" s="740">
        <v>24.59</v>
      </c>
      <c r="BD65" s="740">
        <v>24.71</v>
      </c>
      <c r="BE65" s="740">
        <v>24.83</v>
      </c>
      <c r="BF65" s="740">
        <v>24.96</v>
      </c>
      <c r="BG65" s="740">
        <v>25.08</v>
      </c>
      <c r="BH65" s="740">
        <v>25.19</v>
      </c>
      <c r="BI65" s="740">
        <v>25.31</v>
      </c>
      <c r="BJ65" s="740">
        <v>25.43</v>
      </c>
      <c r="BK65" s="740">
        <v>25.55</v>
      </c>
      <c r="BL65" s="740">
        <v>25.66</v>
      </c>
      <c r="BM65" s="740">
        <v>25.78</v>
      </c>
      <c r="BN65" s="740">
        <v>25.9</v>
      </c>
      <c r="BO65" s="740">
        <v>26.01</v>
      </c>
      <c r="BP65" s="740">
        <v>26.13</v>
      </c>
      <c r="BQ65" s="740">
        <v>26.24</v>
      </c>
      <c r="BR65" s="740">
        <v>26.35</v>
      </c>
      <c r="BS65" s="740">
        <v>26.47</v>
      </c>
      <c r="BT65" s="740">
        <v>26.58</v>
      </c>
      <c r="BU65" s="740">
        <v>26.69</v>
      </c>
      <c r="BV65" s="740">
        <v>26.8</v>
      </c>
      <c r="BW65" s="740">
        <v>26.91</v>
      </c>
      <c r="BX65" s="740">
        <v>27.02</v>
      </c>
      <c r="BY65" s="740">
        <v>27.13</v>
      </c>
      <c r="BZ65" s="740">
        <v>27.24</v>
      </c>
      <c r="CA65" s="740">
        <v>27.35</v>
      </c>
      <c r="CB65" s="740">
        <v>27.45</v>
      </c>
      <c r="CC65" s="740">
        <v>27.56</v>
      </c>
      <c r="CD65" s="740">
        <v>27.66</v>
      </c>
      <c r="CE65" s="740">
        <v>27.77</v>
      </c>
      <c r="CF65" s="740">
        <v>27.88</v>
      </c>
      <c r="CG65" s="740">
        <v>27.98</v>
      </c>
      <c r="CH65" s="740">
        <v>28.08</v>
      </c>
      <c r="CI65" s="740">
        <v>28.19</v>
      </c>
      <c r="CJ65" s="740">
        <v>28.29</v>
      </c>
      <c r="CK65" s="740">
        <v>28.39</v>
      </c>
      <c r="CL65" s="740">
        <v>28.49</v>
      </c>
      <c r="CM65" s="740">
        <v>28.59</v>
      </c>
      <c r="CN65" s="740">
        <v>28.69</v>
      </c>
      <c r="CO65" s="740">
        <v>28.79</v>
      </c>
      <c r="CP65" s="740">
        <v>28.89</v>
      </c>
      <c r="CQ65" s="740">
        <v>28.99</v>
      </c>
      <c r="CR65" s="740">
        <v>29.08</v>
      </c>
      <c r="CS65" s="740">
        <v>29.18</v>
      </c>
      <c r="CT65" s="740">
        <v>29.28</v>
      </c>
      <c r="CU65" s="740">
        <v>29.37</v>
      </c>
      <c r="CV65" s="740">
        <v>29.47</v>
      </c>
      <c r="CW65" s="740">
        <v>29.56</v>
      </c>
      <c r="CX65" s="740">
        <v>29.65</v>
      </c>
      <c r="CY65" s="740">
        <v>29.75</v>
      </c>
      <c r="CZ65" s="740">
        <v>29.84</v>
      </c>
      <c r="DA65" s="740">
        <v>29.93</v>
      </c>
      <c r="DB65" s="740">
        <v>30.02</v>
      </c>
      <c r="DC65" s="740">
        <v>30.11</v>
      </c>
      <c r="DD65" s="740">
        <v>30.2</v>
      </c>
      <c r="DE65" s="740">
        <v>30.29</v>
      </c>
      <c r="DF65" s="740">
        <v>30.38</v>
      </c>
      <c r="DG65" s="740">
        <v>30.47</v>
      </c>
      <c r="DH65" s="740">
        <v>30.55</v>
      </c>
      <c r="DI65" s="740">
        <v>30.64</v>
      </c>
      <c r="DJ65" s="740">
        <v>30.73</v>
      </c>
      <c r="DK65" s="740">
        <v>30.81</v>
      </c>
      <c r="DL65" s="740">
        <v>30.9</v>
      </c>
      <c r="DM65" s="740">
        <v>30.98</v>
      </c>
      <c r="DN65" s="740">
        <v>31.06</v>
      </c>
      <c r="DO65" s="740">
        <v>31.15</v>
      </c>
      <c r="DP65" s="740">
        <v>31.23</v>
      </c>
      <c r="DQ65" s="740">
        <v>31.31</v>
      </c>
      <c r="DR65" s="740">
        <v>31.39</v>
      </c>
    </row>
    <row r="66" spans="1:122">
      <c r="A66" s="912">
        <v>64</v>
      </c>
      <c r="B66" s="90"/>
      <c r="C66" s="90"/>
      <c r="D66" s="90"/>
      <c r="E66" s="90"/>
      <c r="F66" s="90"/>
      <c r="G66" s="90"/>
      <c r="H66" s="90"/>
      <c r="I66" s="90"/>
      <c r="J66" s="90"/>
      <c r="K66" s="90"/>
      <c r="L66" s="90"/>
      <c r="M66" s="90"/>
      <c r="N66" s="90"/>
      <c r="O66" s="90"/>
      <c r="P66" s="90"/>
      <c r="Q66" s="90"/>
      <c r="R66" s="90"/>
      <c r="S66" s="90"/>
      <c r="T66" s="90"/>
      <c r="U66" s="90"/>
      <c r="V66" s="740"/>
      <c r="W66" s="740">
        <v>19.760000000000002</v>
      </c>
      <c r="X66" s="740">
        <v>19.91</v>
      </c>
      <c r="Y66" s="740">
        <v>20.079999999999998</v>
      </c>
      <c r="Z66" s="740">
        <v>20.25</v>
      </c>
      <c r="AA66" s="740">
        <v>20.37</v>
      </c>
      <c r="AB66" s="740">
        <v>20.53</v>
      </c>
      <c r="AC66" s="740">
        <v>20.7</v>
      </c>
      <c r="AD66" s="740">
        <v>20.82</v>
      </c>
      <c r="AE66" s="740">
        <v>21</v>
      </c>
      <c r="AF66" s="740">
        <v>21.15</v>
      </c>
      <c r="AG66" s="740">
        <v>21.27</v>
      </c>
      <c r="AH66" s="740">
        <v>21.44</v>
      </c>
      <c r="AI66" s="740">
        <v>21.58</v>
      </c>
      <c r="AJ66" s="740">
        <v>21.77</v>
      </c>
      <c r="AK66" s="740">
        <v>21.95</v>
      </c>
      <c r="AL66" s="740">
        <v>22.14</v>
      </c>
      <c r="AM66" s="740">
        <v>22.33</v>
      </c>
      <c r="AN66" s="740">
        <v>22.48</v>
      </c>
      <c r="AO66" s="740">
        <v>22.61</v>
      </c>
      <c r="AP66" s="740">
        <v>22.69</v>
      </c>
      <c r="AQ66" s="740">
        <v>22.75</v>
      </c>
      <c r="AR66" s="740">
        <v>22.79</v>
      </c>
      <c r="AS66" s="740">
        <v>22.85</v>
      </c>
      <c r="AT66" s="740">
        <v>22.87</v>
      </c>
      <c r="AU66" s="740">
        <v>22.93</v>
      </c>
      <c r="AV66" s="740">
        <v>22.99</v>
      </c>
      <c r="AW66" s="740">
        <v>23.14</v>
      </c>
      <c r="AX66" s="740">
        <v>23.2</v>
      </c>
      <c r="AY66" s="740">
        <v>23.32</v>
      </c>
      <c r="AZ66" s="740">
        <v>23.43</v>
      </c>
      <c r="BA66" s="740">
        <v>23.54</v>
      </c>
      <c r="BB66" s="740">
        <v>23.64</v>
      </c>
      <c r="BC66" s="740">
        <v>23.75</v>
      </c>
      <c r="BD66" s="740">
        <v>23.87</v>
      </c>
      <c r="BE66" s="740">
        <v>24</v>
      </c>
      <c r="BF66" s="740">
        <v>24.11</v>
      </c>
      <c r="BG66" s="740">
        <v>24.23</v>
      </c>
      <c r="BH66" s="740">
        <v>24.35</v>
      </c>
      <c r="BI66" s="740">
        <v>24.47</v>
      </c>
      <c r="BJ66" s="740">
        <v>24.58</v>
      </c>
      <c r="BK66" s="740">
        <v>24.7</v>
      </c>
      <c r="BL66" s="740">
        <v>24.81</v>
      </c>
      <c r="BM66" s="740">
        <v>24.93</v>
      </c>
      <c r="BN66" s="740">
        <v>25.04</v>
      </c>
      <c r="BO66" s="740">
        <v>25.15</v>
      </c>
      <c r="BP66" s="740">
        <v>25.26</v>
      </c>
      <c r="BQ66" s="740">
        <v>25.38</v>
      </c>
      <c r="BR66" s="740">
        <v>25.49</v>
      </c>
      <c r="BS66" s="740">
        <v>25.6</v>
      </c>
      <c r="BT66" s="740">
        <v>25.71</v>
      </c>
      <c r="BU66" s="740">
        <v>25.82</v>
      </c>
      <c r="BV66" s="740">
        <v>25.93</v>
      </c>
      <c r="BW66" s="740">
        <v>26.03</v>
      </c>
      <c r="BX66" s="740">
        <v>26.14</v>
      </c>
      <c r="BY66" s="740">
        <v>26.25</v>
      </c>
      <c r="BZ66" s="740">
        <v>26.36</v>
      </c>
      <c r="CA66" s="740">
        <v>26.46</v>
      </c>
      <c r="CB66" s="740">
        <v>26.57</v>
      </c>
      <c r="CC66" s="740">
        <v>26.67</v>
      </c>
      <c r="CD66" s="740">
        <v>26.78</v>
      </c>
      <c r="CE66" s="740">
        <v>26.88</v>
      </c>
      <c r="CF66" s="740">
        <v>26.98</v>
      </c>
      <c r="CG66" s="740">
        <v>27.09</v>
      </c>
      <c r="CH66" s="740">
        <v>27.19</v>
      </c>
      <c r="CI66" s="740">
        <v>27.29</v>
      </c>
      <c r="CJ66" s="740">
        <v>27.39</v>
      </c>
      <c r="CK66" s="740">
        <v>27.49</v>
      </c>
      <c r="CL66" s="740">
        <v>27.59</v>
      </c>
      <c r="CM66" s="740">
        <v>27.69</v>
      </c>
      <c r="CN66" s="740">
        <v>27.79</v>
      </c>
      <c r="CO66" s="740">
        <v>27.88</v>
      </c>
      <c r="CP66" s="740">
        <v>27.98</v>
      </c>
      <c r="CQ66" s="740">
        <v>28.08</v>
      </c>
      <c r="CR66" s="740">
        <v>28.17</v>
      </c>
      <c r="CS66" s="740">
        <v>28.27</v>
      </c>
      <c r="CT66" s="740">
        <v>28.36</v>
      </c>
      <c r="CU66" s="740">
        <v>28.46</v>
      </c>
      <c r="CV66" s="740">
        <v>28.55</v>
      </c>
      <c r="CW66" s="740">
        <v>28.64</v>
      </c>
      <c r="CX66" s="740">
        <v>28.73</v>
      </c>
      <c r="CY66" s="740">
        <v>28.83</v>
      </c>
      <c r="CZ66" s="740">
        <v>28.92</v>
      </c>
      <c r="DA66" s="740">
        <v>29.01</v>
      </c>
      <c r="DB66" s="740">
        <v>29.1</v>
      </c>
      <c r="DC66" s="740">
        <v>29.19</v>
      </c>
      <c r="DD66" s="740">
        <v>29.27</v>
      </c>
      <c r="DE66" s="740">
        <v>29.36</v>
      </c>
      <c r="DF66" s="740">
        <v>29.45</v>
      </c>
      <c r="DG66" s="740">
        <v>29.54</v>
      </c>
      <c r="DH66" s="740">
        <v>29.62</v>
      </c>
      <c r="DI66" s="740">
        <v>29.71</v>
      </c>
      <c r="DJ66" s="740">
        <v>29.79</v>
      </c>
      <c r="DK66" s="740">
        <v>29.88</v>
      </c>
      <c r="DL66" s="740">
        <v>29.96</v>
      </c>
      <c r="DM66" s="740">
        <v>30.04</v>
      </c>
      <c r="DN66" s="740">
        <v>30.13</v>
      </c>
      <c r="DO66" s="740">
        <v>30.21</v>
      </c>
      <c r="DP66" s="740">
        <v>30.29</v>
      </c>
      <c r="DQ66" s="740">
        <v>30.37</v>
      </c>
      <c r="DR66" s="740">
        <v>30.45</v>
      </c>
    </row>
    <row r="67" spans="1:122">
      <c r="A67" s="912">
        <v>65</v>
      </c>
      <c r="B67" s="90"/>
      <c r="C67" s="90"/>
      <c r="D67" s="90"/>
      <c r="E67" s="90"/>
      <c r="F67" s="90"/>
      <c r="G67" s="90"/>
      <c r="H67" s="90"/>
      <c r="I67" s="90"/>
      <c r="J67" s="90"/>
      <c r="K67" s="90"/>
      <c r="L67" s="90"/>
      <c r="M67" s="90"/>
      <c r="N67" s="90"/>
      <c r="O67" s="90"/>
      <c r="P67" s="90"/>
      <c r="Q67" s="90"/>
      <c r="R67" s="90"/>
      <c r="S67" s="90"/>
      <c r="T67" s="90"/>
      <c r="U67" s="90"/>
      <c r="V67" s="740"/>
      <c r="W67" s="740">
        <v>18.98</v>
      </c>
      <c r="X67" s="740">
        <v>19.13</v>
      </c>
      <c r="Y67" s="740">
        <v>19.3</v>
      </c>
      <c r="Z67" s="740">
        <v>19.46</v>
      </c>
      <c r="AA67" s="740">
        <v>19.59</v>
      </c>
      <c r="AB67" s="740">
        <v>19.75</v>
      </c>
      <c r="AC67" s="740">
        <v>19.920000000000002</v>
      </c>
      <c r="AD67" s="740">
        <v>20.03</v>
      </c>
      <c r="AE67" s="740">
        <v>20.2</v>
      </c>
      <c r="AF67" s="740">
        <v>20.36</v>
      </c>
      <c r="AG67" s="740">
        <v>20.47</v>
      </c>
      <c r="AH67" s="740">
        <v>20.63</v>
      </c>
      <c r="AI67" s="740">
        <v>20.77</v>
      </c>
      <c r="AJ67" s="740">
        <v>20.95</v>
      </c>
      <c r="AK67" s="740">
        <v>21.13</v>
      </c>
      <c r="AL67" s="740">
        <v>21.32</v>
      </c>
      <c r="AM67" s="740">
        <v>21.5</v>
      </c>
      <c r="AN67" s="740">
        <v>21.65</v>
      </c>
      <c r="AO67" s="740">
        <v>21.77</v>
      </c>
      <c r="AP67" s="740">
        <v>21.84</v>
      </c>
      <c r="AQ67" s="740">
        <v>21.9</v>
      </c>
      <c r="AR67" s="740">
        <v>21.95</v>
      </c>
      <c r="AS67" s="740">
        <v>22</v>
      </c>
      <c r="AT67" s="740">
        <v>22.04</v>
      </c>
      <c r="AU67" s="740">
        <v>22.1</v>
      </c>
      <c r="AV67" s="740">
        <v>22.16</v>
      </c>
      <c r="AW67" s="740">
        <v>22.3</v>
      </c>
      <c r="AX67" s="740">
        <v>22.38</v>
      </c>
      <c r="AY67" s="740">
        <v>22.49</v>
      </c>
      <c r="AZ67" s="740">
        <v>22.6</v>
      </c>
      <c r="BA67" s="740">
        <v>22.71</v>
      </c>
      <c r="BB67" s="740">
        <v>22.81</v>
      </c>
      <c r="BC67" s="740">
        <v>22.93</v>
      </c>
      <c r="BD67" s="740">
        <v>23.05</v>
      </c>
      <c r="BE67" s="740">
        <v>23.16</v>
      </c>
      <c r="BF67" s="740">
        <v>23.28</v>
      </c>
      <c r="BG67" s="740">
        <v>23.4</v>
      </c>
      <c r="BH67" s="740">
        <v>23.51</v>
      </c>
      <c r="BI67" s="740">
        <v>23.62</v>
      </c>
      <c r="BJ67" s="740">
        <v>23.74</v>
      </c>
      <c r="BK67" s="740">
        <v>23.85</v>
      </c>
      <c r="BL67" s="740">
        <v>23.96</v>
      </c>
      <c r="BM67" s="740">
        <v>24.07</v>
      </c>
      <c r="BN67" s="740">
        <v>24.19</v>
      </c>
      <c r="BO67" s="740">
        <v>24.3</v>
      </c>
      <c r="BP67" s="740">
        <v>24.41</v>
      </c>
      <c r="BQ67" s="740">
        <v>24.52</v>
      </c>
      <c r="BR67" s="740">
        <v>24.62</v>
      </c>
      <c r="BS67" s="740">
        <v>24.73</v>
      </c>
      <c r="BT67" s="740">
        <v>24.84</v>
      </c>
      <c r="BU67" s="740">
        <v>24.95</v>
      </c>
      <c r="BV67" s="740">
        <v>25.06</v>
      </c>
      <c r="BW67" s="740">
        <v>25.16</v>
      </c>
      <c r="BX67" s="740">
        <v>25.27</v>
      </c>
      <c r="BY67" s="740">
        <v>25.37</v>
      </c>
      <c r="BZ67" s="740">
        <v>25.48</v>
      </c>
      <c r="CA67" s="740">
        <v>25.58</v>
      </c>
      <c r="CB67" s="740">
        <v>25.69</v>
      </c>
      <c r="CC67" s="740">
        <v>25.79</v>
      </c>
      <c r="CD67" s="740">
        <v>25.89</v>
      </c>
      <c r="CE67" s="740">
        <v>25.99</v>
      </c>
      <c r="CF67" s="740">
        <v>26.09</v>
      </c>
      <c r="CG67" s="740">
        <v>26.19</v>
      </c>
      <c r="CH67" s="740">
        <v>26.29</v>
      </c>
      <c r="CI67" s="740">
        <v>26.39</v>
      </c>
      <c r="CJ67" s="740">
        <v>26.49</v>
      </c>
      <c r="CK67" s="740">
        <v>26.59</v>
      </c>
      <c r="CL67" s="740">
        <v>26.69</v>
      </c>
      <c r="CM67" s="740">
        <v>26.79</v>
      </c>
      <c r="CN67" s="740">
        <v>26.88</v>
      </c>
      <c r="CO67" s="740">
        <v>26.98</v>
      </c>
      <c r="CP67" s="740">
        <v>27.08</v>
      </c>
      <c r="CQ67" s="740">
        <v>27.17</v>
      </c>
      <c r="CR67" s="740">
        <v>27.26</v>
      </c>
      <c r="CS67" s="740">
        <v>27.36</v>
      </c>
      <c r="CT67" s="740">
        <v>27.45</v>
      </c>
      <c r="CU67" s="740">
        <v>27.54</v>
      </c>
      <c r="CV67" s="740">
        <v>27.64</v>
      </c>
      <c r="CW67" s="740">
        <v>27.73</v>
      </c>
      <c r="CX67" s="740">
        <v>27.82</v>
      </c>
      <c r="CY67" s="740">
        <v>27.91</v>
      </c>
      <c r="CZ67" s="740">
        <v>28</v>
      </c>
      <c r="DA67" s="740">
        <v>28.09</v>
      </c>
      <c r="DB67" s="740">
        <v>28.18</v>
      </c>
      <c r="DC67" s="740">
        <v>28.26</v>
      </c>
      <c r="DD67" s="740">
        <v>28.35</v>
      </c>
      <c r="DE67" s="740">
        <v>28.44</v>
      </c>
      <c r="DF67" s="740">
        <v>28.52</v>
      </c>
      <c r="DG67" s="740">
        <v>28.61</v>
      </c>
      <c r="DH67" s="740">
        <v>28.69</v>
      </c>
      <c r="DI67" s="740">
        <v>28.78</v>
      </c>
      <c r="DJ67" s="740">
        <v>28.86</v>
      </c>
      <c r="DK67" s="740">
        <v>28.94</v>
      </c>
      <c r="DL67" s="740">
        <v>29.03</v>
      </c>
      <c r="DM67" s="740">
        <v>29.11</v>
      </c>
      <c r="DN67" s="740">
        <v>29.19</v>
      </c>
      <c r="DO67" s="740">
        <v>29.27</v>
      </c>
      <c r="DP67" s="740">
        <v>29.35</v>
      </c>
      <c r="DQ67" s="740">
        <v>29.43</v>
      </c>
      <c r="DR67" s="740">
        <v>29.51</v>
      </c>
    </row>
    <row r="68" spans="1:122">
      <c r="A68" s="912">
        <v>66</v>
      </c>
      <c r="B68" s="90"/>
      <c r="C68" s="90"/>
      <c r="D68" s="90"/>
      <c r="E68" s="90"/>
      <c r="F68" s="90"/>
      <c r="G68" s="90"/>
      <c r="H68" s="90"/>
      <c r="I68" s="90"/>
      <c r="J68" s="90"/>
      <c r="K68" s="90"/>
      <c r="L68" s="90"/>
      <c r="M68" s="90"/>
      <c r="N68" s="90"/>
      <c r="O68" s="90"/>
      <c r="P68" s="90"/>
      <c r="Q68" s="90"/>
      <c r="R68" s="90"/>
      <c r="S68" s="90"/>
      <c r="T68" s="90"/>
      <c r="U68" s="90"/>
      <c r="V68" s="740"/>
      <c r="W68" s="740">
        <v>18.23</v>
      </c>
      <c r="X68" s="740">
        <v>18.37</v>
      </c>
      <c r="Y68" s="740">
        <v>18.53</v>
      </c>
      <c r="Z68" s="740">
        <v>18.7</v>
      </c>
      <c r="AA68" s="740">
        <v>18.82</v>
      </c>
      <c r="AB68" s="740">
        <v>18.98</v>
      </c>
      <c r="AC68" s="740">
        <v>19.14</v>
      </c>
      <c r="AD68" s="740">
        <v>19.25</v>
      </c>
      <c r="AE68" s="740">
        <v>19.420000000000002</v>
      </c>
      <c r="AF68" s="740">
        <v>19.579999999999998</v>
      </c>
      <c r="AG68" s="740">
        <v>19.68</v>
      </c>
      <c r="AH68" s="740">
        <v>19.829999999999998</v>
      </c>
      <c r="AI68" s="740">
        <v>19.97</v>
      </c>
      <c r="AJ68" s="740">
        <v>20.14</v>
      </c>
      <c r="AK68" s="740">
        <v>20.309999999999999</v>
      </c>
      <c r="AL68" s="740">
        <v>20.5</v>
      </c>
      <c r="AM68" s="740">
        <v>20.68</v>
      </c>
      <c r="AN68" s="740">
        <v>20.82</v>
      </c>
      <c r="AO68" s="740">
        <v>20.93</v>
      </c>
      <c r="AP68" s="740">
        <v>21</v>
      </c>
      <c r="AQ68" s="740">
        <v>21.07</v>
      </c>
      <c r="AR68" s="740">
        <v>21.11</v>
      </c>
      <c r="AS68" s="740">
        <v>21.18</v>
      </c>
      <c r="AT68" s="740">
        <v>21.21</v>
      </c>
      <c r="AU68" s="740">
        <v>21.27</v>
      </c>
      <c r="AV68" s="740">
        <v>21.34</v>
      </c>
      <c r="AW68" s="740">
        <v>21.48</v>
      </c>
      <c r="AX68" s="740">
        <v>21.55</v>
      </c>
      <c r="AY68" s="740">
        <v>21.66</v>
      </c>
      <c r="AZ68" s="740">
        <v>21.78</v>
      </c>
      <c r="BA68" s="740">
        <v>21.88</v>
      </c>
      <c r="BB68" s="740">
        <v>21.99</v>
      </c>
      <c r="BC68" s="740">
        <v>22.11</v>
      </c>
      <c r="BD68" s="740">
        <v>22.22</v>
      </c>
      <c r="BE68" s="740">
        <v>22.34</v>
      </c>
      <c r="BF68" s="740">
        <v>22.45</v>
      </c>
      <c r="BG68" s="740">
        <v>22.56</v>
      </c>
      <c r="BH68" s="740">
        <v>22.68</v>
      </c>
      <c r="BI68" s="740">
        <v>22.79</v>
      </c>
      <c r="BJ68" s="740">
        <v>22.9</v>
      </c>
      <c r="BK68" s="740">
        <v>23.01</v>
      </c>
      <c r="BL68" s="740">
        <v>23.12</v>
      </c>
      <c r="BM68" s="740">
        <v>23.23</v>
      </c>
      <c r="BN68" s="740">
        <v>23.34</v>
      </c>
      <c r="BO68" s="740">
        <v>23.45</v>
      </c>
      <c r="BP68" s="740">
        <v>23.55</v>
      </c>
      <c r="BQ68" s="740">
        <v>23.66</v>
      </c>
      <c r="BR68" s="740">
        <v>23.77</v>
      </c>
      <c r="BS68" s="740">
        <v>23.87</v>
      </c>
      <c r="BT68" s="740">
        <v>23.98</v>
      </c>
      <c r="BU68" s="740">
        <v>24.09</v>
      </c>
      <c r="BV68" s="740">
        <v>24.19</v>
      </c>
      <c r="BW68" s="740">
        <v>24.29</v>
      </c>
      <c r="BX68" s="740">
        <v>24.4</v>
      </c>
      <c r="BY68" s="740">
        <v>24.5</v>
      </c>
      <c r="BZ68" s="740">
        <v>24.6</v>
      </c>
      <c r="CA68" s="740">
        <v>24.71</v>
      </c>
      <c r="CB68" s="740">
        <v>24.81</v>
      </c>
      <c r="CC68" s="740">
        <v>24.91</v>
      </c>
      <c r="CD68" s="740">
        <v>25.01</v>
      </c>
      <c r="CE68" s="740">
        <v>25.11</v>
      </c>
      <c r="CF68" s="740">
        <v>25.21</v>
      </c>
      <c r="CG68" s="740">
        <v>25.31</v>
      </c>
      <c r="CH68" s="740">
        <v>25.41</v>
      </c>
      <c r="CI68" s="740">
        <v>25.5</v>
      </c>
      <c r="CJ68" s="740">
        <v>25.6</v>
      </c>
      <c r="CK68" s="740">
        <v>25.7</v>
      </c>
      <c r="CL68" s="740">
        <v>25.79</v>
      </c>
      <c r="CM68" s="740">
        <v>25.89</v>
      </c>
      <c r="CN68" s="740">
        <v>25.99</v>
      </c>
      <c r="CO68" s="740">
        <v>26.08</v>
      </c>
      <c r="CP68" s="740">
        <v>26.17</v>
      </c>
      <c r="CQ68" s="740">
        <v>26.27</v>
      </c>
      <c r="CR68" s="740">
        <v>26.36</v>
      </c>
      <c r="CS68" s="740">
        <v>26.45</v>
      </c>
      <c r="CT68" s="740">
        <v>26.54</v>
      </c>
      <c r="CU68" s="740">
        <v>26.63</v>
      </c>
      <c r="CV68" s="740">
        <v>26.73</v>
      </c>
      <c r="CW68" s="740">
        <v>26.82</v>
      </c>
      <c r="CX68" s="740">
        <v>26.9</v>
      </c>
      <c r="CY68" s="740">
        <v>26.99</v>
      </c>
      <c r="CZ68" s="740">
        <v>27.08</v>
      </c>
      <c r="DA68" s="740">
        <v>27.17</v>
      </c>
      <c r="DB68" s="740">
        <v>27.26</v>
      </c>
      <c r="DC68" s="740">
        <v>27.34</v>
      </c>
      <c r="DD68" s="740">
        <v>27.43</v>
      </c>
      <c r="DE68" s="740">
        <v>27.51</v>
      </c>
      <c r="DF68" s="740">
        <v>27.6</v>
      </c>
      <c r="DG68" s="740">
        <v>27.68</v>
      </c>
      <c r="DH68" s="740">
        <v>27.77</v>
      </c>
      <c r="DI68" s="740">
        <v>27.85</v>
      </c>
      <c r="DJ68" s="740">
        <v>27.93</v>
      </c>
      <c r="DK68" s="740">
        <v>28.01</v>
      </c>
      <c r="DL68" s="740">
        <v>28.1</v>
      </c>
      <c r="DM68" s="740">
        <v>28.18</v>
      </c>
      <c r="DN68" s="740">
        <v>28.26</v>
      </c>
      <c r="DO68" s="740">
        <v>28.34</v>
      </c>
      <c r="DP68" s="740">
        <v>28.42</v>
      </c>
      <c r="DQ68" s="740">
        <v>28.49</v>
      </c>
      <c r="DR68" s="740">
        <v>28.57</v>
      </c>
    </row>
    <row r="69" spans="1:122">
      <c r="A69" s="912">
        <v>67</v>
      </c>
      <c r="B69" s="90"/>
      <c r="C69" s="90"/>
      <c r="D69" s="90"/>
      <c r="E69" s="90"/>
      <c r="F69" s="90"/>
      <c r="G69" s="90"/>
      <c r="H69" s="90"/>
      <c r="I69" s="90"/>
      <c r="J69" s="90"/>
      <c r="K69" s="90"/>
      <c r="L69" s="90"/>
      <c r="M69" s="90"/>
      <c r="N69" s="90"/>
      <c r="O69" s="90"/>
      <c r="P69" s="90"/>
      <c r="Q69" s="90"/>
      <c r="R69" s="90"/>
      <c r="S69" s="90"/>
      <c r="T69" s="90"/>
      <c r="U69" s="90"/>
      <c r="V69" s="740"/>
      <c r="W69" s="740">
        <v>17.47</v>
      </c>
      <c r="X69" s="740">
        <v>17.61</v>
      </c>
      <c r="Y69" s="740">
        <v>17.77</v>
      </c>
      <c r="Z69" s="740">
        <v>17.940000000000001</v>
      </c>
      <c r="AA69" s="740">
        <v>18.059999999999999</v>
      </c>
      <c r="AB69" s="740">
        <v>18.21</v>
      </c>
      <c r="AC69" s="740">
        <v>18.36</v>
      </c>
      <c r="AD69" s="740">
        <v>18.48</v>
      </c>
      <c r="AE69" s="740">
        <v>18.649999999999999</v>
      </c>
      <c r="AF69" s="740">
        <v>18.79</v>
      </c>
      <c r="AG69" s="740">
        <v>18.899999999999999</v>
      </c>
      <c r="AH69" s="740">
        <v>19.05</v>
      </c>
      <c r="AI69" s="740">
        <v>19.170000000000002</v>
      </c>
      <c r="AJ69" s="740">
        <v>19.34</v>
      </c>
      <c r="AK69" s="740">
        <v>19.510000000000002</v>
      </c>
      <c r="AL69" s="740">
        <v>19.690000000000001</v>
      </c>
      <c r="AM69" s="740">
        <v>19.86</v>
      </c>
      <c r="AN69" s="740">
        <v>19.989999999999998</v>
      </c>
      <c r="AO69" s="740">
        <v>20.100000000000001</v>
      </c>
      <c r="AP69" s="740">
        <v>20.170000000000002</v>
      </c>
      <c r="AQ69" s="740">
        <v>20.239999999999998</v>
      </c>
      <c r="AR69" s="740">
        <v>20.28</v>
      </c>
      <c r="AS69" s="740">
        <v>20.350000000000001</v>
      </c>
      <c r="AT69" s="740">
        <v>20.39</v>
      </c>
      <c r="AU69" s="740">
        <v>20.45</v>
      </c>
      <c r="AV69" s="740">
        <v>20.53</v>
      </c>
      <c r="AW69" s="740">
        <v>20.66</v>
      </c>
      <c r="AX69" s="740">
        <v>20.74</v>
      </c>
      <c r="AY69" s="740">
        <v>20.85</v>
      </c>
      <c r="AZ69" s="740">
        <v>20.97</v>
      </c>
      <c r="BA69" s="740">
        <v>21.07</v>
      </c>
      <c r="BB69" s="740">
        <v>21.18</v>
      </c>
      <c r="BC69" s="740">
        <v>21.29</v>
      </c>
      <c r="BD69" s="740">
        <v>21.41</v>
      </c>
      <c r="BE69" s="740">
        <v>21.52</v>
      </c>
      <c r="BF69" s="740">
        <v>21.63</v>
      </c>
      <c r="BG69" s="740">
        <v>21.74</v>
      </c>
      <c r="BH69" s="740">
        <v>21.85</v>
      </c>
      <c r="BI69" s="740">
        <v>21.96</v>
      </c>
      <c r="BJ69" s="740">
        <v>22.07</v>
      </c>
      <c r="BK69" s="740">
        <v>22.17</v>
      </c>
      <c r="BL69" s="740">
        <v>22.28</v>
      </c>
      <c r="BM69" s="740">
        <v>22.39</v>
      </c>
      <c r="BN69" s="740">
        <v>22.49</v>
      </c>
      <c r="BO69" s="740">
        <v>22.6</v>
      </c>
      <c r="BP69" s="740">
        <v>22.71</v>
      </c>
      <c r="BQ69" s="740">
        <v>22.81</v>
      </c>
      <c r="BR69" s="740">
        <v>22.92</v>
      </c>
      <c r="BS69" s="740">
        <v>23.02</v>
      </c>
      <c r="BT69" s="740">
        <v>23.12</v>
      </c>
      <c r="BU69" s="740">
        <v>23.23</v>
      </c>
      <c r="BV69" s="740">
        <v>23.33</v>
      </c>
      <c r="BW69" s="740">
        <v>23.43</v>
      </c>
      <c r="BX69" s="740">
        <v>23.53</v>
      </c>
      <c r="BY69" s="740">
        <v>23.63</v>
      </c>
      <c r="BZ69" s="740">
        <v>23.74</v>
      </c>
      <c r="CA69" s="740">
        <v>23.84</v>
      </c>
      <c r="CB69" s="740">
        <v>23.94</v>
      </c>
      <c r="CC69" s="740">
        <v>24.03</v>
      </c>
      <c r="CD69" s="740">
        <v>24.13</v>
      </c>
      <c r="CE69" s="740">
        <v>24.23</v>
      </c>
      <c r="CF69" s="740">
        <v>24.33</v>
      </c>
      <c r="CG69" s="740">
        <v>24.43</v>
      </c>
      <c r="CH69" s="740">
        <v>24.52</v>
      </c>
      <c r="CI69" s="740">
        <v>24.62</v>
      </c>
      <c r="CJ69" s="740">
        <v>24.71</v>
      </c>
      <c r="CK69" s="740">
        <v>24.81</v>
      </c>
      <c r="CL69" s="740">
        <v>24.9</v>
      </c>
      <c r="CM69" s="740">
        <v>25</v>
      </c>
      <c r="CN69" s="740">
        <v>25.09</v>
      </c>
      <c r="CO69" s="740">
        <v>25.18</v>
      </c>
      <c r="CP69" s="740">
        <v>25.28</v>
      </c>
      <c r="CQ69" s="740">
        <v>25.37</v>
      </c>
      <c r="CR69" s="740">
        <v>25.46</v>
      </c>
      <c r="CS69" s="740">
        <v>25.55</v>
      </c>
      <c r="CT69" s="740">
        <v>25.64</v>
      </c>
      <c r="CU69" s="740">
        <v>25.73</v>
      </c>
      <c r="CV69" s="740">
        <v>25.82</v>
      </c>
      <c r="CW69" s="740">
        <v>25.91</v>
      </c>
      <c r="CX69" s="740">
        <v>25.99</v>
      </c>
      <c r="CY69" s="740">
        <v>26.08</v>
      </c>
      <c r="CZ69" s="740">
        <v>26.17</v>
      </c>
      <c r="DA69" s="740">
        <v>26.25</v>
      </c>
      <c r="DB69" s="740">
        <v>26.34</v>
      </c>
      <c r="DC69" s="740">
        <v>26.43</v>
      </c>
      <c r="DD69" s="740">
        <v>26.51</v>
      </c>
      <c r="DE69" s="740">
        <v>26.59</v>
      </c>
      <c r="DF69" s="740">
        <v>26.68</v>
      </c>
      <c r="DG69" s="740">
        <v>26.76</v>
      </c>
      <c r="DH69" s="740">
        <v>26.84</v>
      </c>
      <c r="DI69" s="740">
        <v>26.92</v>
      </c>
      <c r="DJ69" s="740">
        <v>27.01</v>
      </c>
      <c r="DK69" s="740">
        <v>27.09</v>
      </c>
      <c r="DL69" s="740">
        <v>27.17</v>
      </c>
      <c r="DM69" s="740">
        <v>27.25</v>
      </c>
      <c r="DN69" s="740">
        <v>27.33</v>
      </c>
      <c r="DO69" s="740">
        <v>27.4</v>
      </c>
      <c r="DP69" s="740">
        <v>27.48</v>
      </c>
      <c r="DQ69" s="740">
        <v>27.56</v>
      </c>
      <c r="DR69" s="740">
        <v>27.64</v>
      </c>
    </row>
    <row r="70" spans="1:122">
      <c r="A70" s="912">
        <v>68</v>
      </c>
      <c r="B70" s="90"/>
      <c r="C70" s="90"/>
      <c r="D70" s="90"/>
      <c r="E70" s="90"/>
      <c r="F70" s="90"/>
      <c r="G70" s="90"/>
      <c r="H70" s="90"/>
      <c r="I70" s="90"/>
      <c r="J70" s="90"/>
      <c r="K70" s="90"/>
      <c r="L70" s="90"/>
      <c r="M70" s="90"/>
      <c r="N70" s="90"/>
      <c r="O70" s="90"/>
      <c r="P70" s="90"/>
      <c r="Q70" s="90"/>
      <c r="R70" s="90"/>
      <c r="S70" s="90"/>
      <c r="T70" s="90"/>
      <c r="U70" s="90"/>
      <c r="V70" s="740"/>
      <c r="W70" s="740">
        <v>16.73</v>
      </c>
      <c r="X70" s="740">
        <v>16.87</v>
      </c>
      <c r="Y70" s="740">
        <v>17.03</v>
      </c>
      <c r="Z70" s="740">
        <v>17.190000000000001</v>
      </c>
      <c r="AA70" s="740">
        <v>17.309999999999999</v>
      </c>
      <c r="AB70" s="740">
        <v>17.45</v>
      </c>
      <c r="AC70" s="740">
        <v>17.600000000000001</v>
      </c>
      <c r="AD70" s="740">
        <v>17.72</v>
      </c>
      <c r="AE70" s="740">
        <v>17.87</v>
      </c>
      <c r="AF70" s="740">
        <v>18.02</v>
      </c>
      <c r="AG70" s="740">
        <v>18.12</v>
      </c>
      <c r="AH70" s="740">
        <v>18.260000000000002</v>
      </c>
      <c r="AI70" s="740">
        <v>18.38</v>
      </c>
      <c r="AJ70" s="740">
        <v>18.54</v>
      </c>
      <c r="AK70" s="740">
        <v>18.71</v>
      </c>
      <c r="AL70" s="740">
        <v>18.88</v>
      </c>
      <c r="AM70" s="740">
        <v>19.05</v>
      </c>
      <c r="AN70" s="740">
        <v>19.170000000000002</v>
      </c>
      <c r="AO70" s="740">
        <v>19.27</v>
      </c>
      <c r="AP70" s="740">
        <v>19.350000000000001</v>
      </c>
      <c r="AQ70" s="740">
        <v>19.420000000000002</v>
      </c>
      <c r="AR70" s="740">
        <v>19.46</v>
      </c>
      <c r="AS70" s="740">
        <v>19.53</v>
      </c>
      <c r="AT70" s="740">
        <v>19.579999999999998</v>
      </c>
      <c r="AU70" s="740">
        <v>19.64</v>
      </c>
      <c r="AV70" s="740">
        <v>19.72</v>
      </c>
      <c r="AW70" s="740">
        <v>19.86</v>
      </c>
      <c r="AX70" s="740">
        <v>19.940000000000001</v>
      </c>
      <c r="AY70" s="740">
        <v>20.04</v>
      </c>
      <c r="AZ70" s="740">
        <v>20.16</v>
      </c>
      <c r="BA70" s="740">
        <v>20.27</v>
      </c>
      <c r="BB70" s="740">
        <v>20.38</v>
      </c>
      <c r="BC70" s="740">
        <v>20.49</v>
      </c>
      <c r="BD70" s="740">
        <v>20.6</v>
      </c>
      <c r="BE70" s="740">
        <v>20.7</v>
      </c>
      <c r="BF70" s="740">
        <v>20.81</v>
      </c>
      <c r="BG70" s="740">
        <v>20.92</v>
      </c>
      <c r="BH70" s="740">
        <v>21.03</v>
      </c>
      <c r="BI70" s="740">
        <v>21.13</v>
      </c>
      <c r="BJ70" s="740">
        <v>21.24</v>
      </c>
      <c r="BK70" s="740">
        <v>21.34</v>
      </c>
      <c r="BL70" s="740">
        <v>21.45</v>
      </c>
      <c r="BM70" s="740">
        <v>21.55</v>
      </c>
      <c r="BN70" s="740">
        <v>21.66</v>
      </c>
      <c r="BO70" s="740">
        <v>21.76</v>
      </c>
      <c r="BP70" s="740">
        <v>21.86</v>
      </c>
      <c r="BQ70" s="740">
        <v>21.97</v>
      </c>
      <c r="BR70" s="740">
        <v>22.07</v>
      </c>
      <c r="BS70" s="740">
        <v>22.17</v>
      </c>
      <c r="BT70" s="740">
        <v>22.27</v>
      </c>
      <c r="BU70" s="740">
        <v>22.37</v>
      </c>
      <c r="BV70" s="740">
        <v>22.47</v>
      </c>
      <c r="BW70" s="740">
        <v>22.57</v>
      </c>
      <c r="BX70" s="740">
        <v>22.67</v>
      </c>
      <c r="BY70" s="740">
        <v>22.77</v>
      </c>
      <c r="BZ70" s="740">
        <v>22.87</v>
      </c>
      <c r="CA70" s="740">
        <v>22.97</v>
      </c>
      <c r="CB70" s="740">
        <v>23.07</v>
      </c>
      <c r="CC70" s="740">
        <v>23.16</v>
      </c>
      <c r="CD70" s="740">
        <v>23.26</v>
      </c>
      <c r="CE70" s="740">
        <v>23.36</v>
      </c>
      <c r="CF70" s="740">
        <v>23.45</v>
      </c>
      <c r="CG70" s="740">
        <v>23.55</v>
      </c>
      <c r="CH70" s="740">
        <v>23.64</v>
      </c>
      <c r="CI70" s="740">
        <v>23.74</v>
      </c>
      <c r="CJ70" s="740">
        <v>23.83</v>
      </c>
      <c r="CK70" s="740">
        <v>23.92</v>
      </c>
      <c r="CL70" s="740">
        <v>24.02</v>
      </c>
      <c r="CM70" s="740">
        <v>24.11</v>
      </c>
      <c r="CN70" s="740">
        <v>24.2</v>
      </c>
      <c r="CO70" s="740">
        <v>24.29</v>
      </c>
      <c r="CP70" s="740">
        <v>24.38</v>
      </c>
      <c r="CQ70" s="740">
        <v>24.47</v>
      </c>
      <c r="CR70" s="740">
        <v>24.56</v>
      </c>
      <c r="CS70" s="740">
        <v>24.65</v>
      </c>
      <c r="CT70" s="740">
        <v>24.74</v>
      </c>
      <c r="CU70" s="740">
        <v>24.83</v>
      </c>
      <c r="CV70" s="740">
        <v>24.91</v>
      </c>
      <c r="CW70" s="740">
        <v>25</v>
      </c>
      <c r="CX70" s="740">
        <v>25.09</v>
      </c>
      <c r="CY70" s="740">
        <v>25.17</v>
      </c>
      <c r="CZ70" s="740">
        <v>25.26</v>
      </c>
      <c r="DA70" s="740">
        <v>25.34</v>
      </c>
      <c r="DB70" s="740">
        <v>25.43</v>
      </c>
      <c r="DC70" s="740">
        <v>25.51</v>
      </c>
      <c r="DD70" s="740">
        <v>25.59</v>
      </c>
      <c r="DE70" s="740">
        <v>25.68</v>
      </c>
      <c r="DF70" s="740">
        <v>25.76</v>
      </c>
      <c r="DG70" s="740">
        <v>25.84</v>
      </c>
      <c r="DH70" s="740">
        <v>25.92</v>
      </c>
      <c r="DI70" s="740">
        <v>26</v>
      </c>
      <c r="DJ70" s="740">
        <v>26.08</v>
      </c>
      <c r="DK70" s="740">
        <v>26.16</v>
      </c>
      <c r="DL70" s="740">
        <v>26.24</v>
      </c>
      <c r="DM70" s="740">
        <v>26.32</v>
      </c>
      <c r="DN70" s="740">
        <v>26.4</v>
      </c>
      <c r="DO70" s="740">
        <v>26.47</v>
      </c>
      <c r="DP70" s="740">
        <v>26.55</v>
      </c>
      <c r="DQ70" s="740">
        <v>26.63</v>
      </c>
      <c r="DR70" s="740">
        <v>26.7</v>
      </c>
    </row>
    <row r="71" spans="1:122">
      <c r="A71" s="912">
        <v>69</v>
      </c>
      <c r="B71" s="90"/>
      <c r="C71" s="90"/>
      <c r="D71" s="90"/>
      <c r="E71" s="90"/>
      <c r="F71" s="90"/>
      <c r="G71" s="90"/>
      <c r="H71" s="90"/>
      <c r="I71" s="90"/>
      <c r="J71" s="90"/>
      <c r="K71" s="90"/>
      <c r="L71" s="90"/>
      <c r="M71" s="90"/>
      <c r="N71" s="90"/>
      <c r="O71" s="90"/>
      <c r="P71" s="90"/>
      <c r="Q71" s="90"/>
      <c r="R71" s="90"/>
      <c r="S71" s="90"/>
      <c r="T71" s="90"/>
      <c r="U71" s="90"/>
      <c r="V71" s="740"/>
      <c r="W71" s="740">
        <v>16.010000000000002</v>
      </c>
      <c r="X71" s="740">
        <v>16.14</v>
      </c>
      <c r="Y71" s="740">
        <v>16.3</v>
      </c>
      <c r="Z71" s="740">
        <v>16.45</v>
      </c>
      <c r="AA71" s="740">
        <v>16.559999999999999</v>
      </c>
      <c r="AB71" s="740">
        <v>16.7</v>
      </c>
      <c r="AC71" s="740">
        <v>16.86</v>
      </c>
      <c r="AD71" s="740">
        <v>16.96</v>
      </c>
      <c r="AE71" s="740">
        <v>17.11</v>
      </c>
      <c r="AF71" s="740">
        <v>17.25</v>
      </c>
      <c r="AG71" s="740">
        <v>17.350000000000001</v>
      </c>
      <c r="AH71" s="740">
        <v>17.48</v>
      </c>
      <c r="AI71" s="740">
        <v>17.600000000000001</v>
      </c>
      <c r="AJ71" s="740">
        <v>17.760000000000002</v>
      </c>
      <c r="AK71" s="740">
        <v>17.91</v>
      </c>
      <c r="AL71" s="740">
        <v>18.07</v>
      </c>
      <c r="AM71" s="740">
        <v>18.239999999999998</v>
      </c>
      <c r="AN71" s="740">
        <v>18.36</v>
      </c>
      <c r="AO71" s="740">
        <v>18.46</v>
      </c>
      <c r="AP71" s="740">
        <v>18.54</v>
      </c>
      <c r="AQ71" s="740">
        <v>18.600000000000001</v>
      </c>
      <c r="AR71" s="740">
        <v>18.649999999999999</v>
      </c>
      <c r="AS71" s="740">
        <v>18.72</v>
      </c>
      <c r="AT71" s="740">
        <v>18.78</v>
      </c>
      <c r="AU71" s="740">
        <v>18.84</v>
      </c>
      <c r="AV71" s="740">
        <v>18.93</v>
      </c>
      <c r="AW71" s="740">
        <v>19.059999999999999</v>
      </c>
      <c r="AX71" s="740">
        <v>19.149999999999999</v>
      </c>
      <c r="AY71" s="740">
        <v>19.260000000000002</v>
      </c>
      <c r="AZ71" s="740">
        <v>19.36</v>
      </c>
      <c r="BA71" s="740">
        <v>19.47</v>
      </c>
      <c r="BB71" s="740">
        <v>19.579999999999998</v>
      </c>
      <c r="BC71" s="740">
        <v>19.68</v>
      </c>
      <c r="BD71" s="740">
        <v>19.79</v>
      </c>
      <c r="BE71" s="740">
        <v>19.899999999999999</v>
      </c>
      <c r="BF71" s="740">
        <v>20</v>
      </c>
      <c r="BG71" s="740">
        <v>20.11</v>
      </c>
      <c r="BH71" s="740">
        <v>20.21</v>
      </c>
      <c r="BI71" s="740">
        <v>20.309999999999999</v>
      </c>
      <c r="BJ71" s="740">
        <v>20.420000000000002</v>
      </c>
      <c r="BK71" s="740">
        <v>20.52</v>
      </c>
      <c r="BL71" s="740">
        <v>20.62</v>
      </c>
      <c r="BM71" s="740">
        <v>20.72</v>
      </c>
      <c r="BN71" s="740">
        <v>20.83</v>
      </c>
      <c r="BO71" s="740">
        <v>20.93</v>
      </c>
      <c r="BP71" s="740">
        <v>21.03</v>
      </c>
      <c r="BQ71" s="740">
        <v>21.13</v>
      </c>
      <c r="BR71" s="740">
        <v>21.23</v>
      </c>
      <c r="BS71" s="740">
        <v>21.33</v>
      </c>
      <c r="BT71" s="740">
        <v>21.43</v>
      </c>
      <c r="BU71" s="740">
        <v>21.53</v>
      </c>
      <c r="BV71" s="740">
        <v>21.62</v>
      </c>
      <c r="BW71" s="740">
        <v>21.72</v>
      </c>
      <c r="BX71" s="740">
        <v>21.82</v>
      </c>
      <c r="BY71" s="740">
        <v>21.92</v>
      </c>
      <c r="BZ71" s="740">
        <v>22.01</v>
      </c>
      <c r="CA71" s="740">
        <v>22.11</v>
      </c>
      <c r="CB71" s="740">
        <v>22.2</v>
      </c>
      <c r="CC71" s="740">
        <v>22.3</v>
      </c>
      <c r="CD71" s="740">
        <v>22.39</v>
      </c>
      <c r="CE71" s="740">
        <v>22.49</v>
      </c>
      <c r="CF71" s="740">
        <v>22.58</v>
      </c>
      <c r="CG71" s="740">
        <v>22.67</v>
      </c>
      <c r="CH71" s="740">
        <v>22.77</v>
      </c>
      <c r="CI71" s="740">
        <v>22.86</v>
      </c>
      <c r="CJ71" s="740">
        <v>22.95</v>
      </c>
      <c r="CK71" s="740">
        <v>23.04</v>
      </c>
      <c r="CL71" s="740">
        <v>23.13</v>
      </c>
      <c r="CM71" s="740">
        <v>23.22</v>
      </c>
      <c r="CN71" s="740">
        <v>23.31</v>
      </c>
      <c r="CO71" s="740">
        <v>23.4</v>
      </c>
      <c r="CP71" s="740">
        <v>23.49</v>
      </c>
      <c r="CQ71" s="740">
        <v>23.58</v>
      </c>
      <c r="CR71" s="740">
        <v>23.67</v>
      </c>
      <c r="CS71" s="740">
        <v>23.75</v>
      </c>
      <c r="CT71" s="740">
        <v>23.84</v>
      </c>
      <c r="CU71" s="740">
        <v>23.93</v>
      </c>
      <c r="CV71" s="740">
        <v>24.01</v>
      </c>
      <c r="CW71" s="740">
        <v>24.1</v>
      </c>
      <c r="CX71" s="740">
        <v>24.18</v>
      </c>
      <c r="CY71" s="740">
        <v>24.27</v>
      </c>
      <c r="CZ71" s="740">
        <v>24.35</v>
      </c>
      <c r="DA71" s="740">
        <v>24.43</v>
      </c>
      <c r="DB71" s="740">
        <v>24.52</v>
      </c>
      <c r="DC71" s="740">
        <v>24.6</v>
      </c>
      <c r="DD71" s="740">
        <v>24.68</v>
      </c>
      <c r="DE71" s="740">
        <v>24.76</v>
      </c>
      <c r="DF71" s="740">
        <v>24.84</v>
      </c>
      <c r="DG71" s="740">
        <v>24.92</v>
      </c>
      <c r="DH71" s="740">
        <v>25</v>
      </c>
      <c r="DI71" s="740">
        <v>25.08</v>
      </c>
      <c r="DJ71" s="740">
        <v>25.16</v>
      </c>
      <c r="DK71" s="740">
        <v>25.24</v>
      </c>
      <c r="DL71" s="740">
        <v>25.32</v>
      </c>
      <c r="DM71" s="740">
        <v>25.39</v>
      </c>
      <c r="DN71" s="740">
        <v>25.47</v>
      </c>
      <c r="DO71" s="740">
        <v>25.55</v>
      </c>
      <c r="DP71" s="740">
        <v>25.62</v>
      </c>
      <c r="DQ71" s="740">
        <v>25.7</v>
      </c>
      <c r="DR71" s="740">
        <v>25.77</v>
      </c>
    </row>
    <row r="72" spans="1:122">
      <c r="A72" s="912">
        <v>70</v>
      </c>
      <c r="B72" s="90"/>
      <c r="C72" s="90"/>
      <c r="D72" s="90"/>
      <c r="E72" s="90"/>
      <c r="F72" s="90"/>
      <c r="G72" s="90"/>
      <c r="H72" s="90"/>
      <c r="I72" s="90"/>
      <c r="J72" s="90"/>
      <c r="K72" s="90"/>
      <c r="L72" s="90"/>
      <c r="M72" s="90"/>
      <c r="N72" s="90"/>
      <c r="O72" s="90"/>
      <c r="P72" s="90"/>
      <c r="Q72" s="90"/>
      <c r="R72" s="90"/>
      <c r="S72" s="90"/>
      <c r="T72" s="90"/>
      <c r="U72" s="90"/>
      <c r="V72" s="740"/>
      <c r="W72" s="740">
        <v>15.3</v>
      </c>
      <c r="X72" s="740">
        <v>15.42</v>
      </c>
      <c r="Y72" s="740">
        <v>15.57</v>
      </c>
      <c r="Z72" s="740">
        <v>15.72</v>
      </c>
      <c r="AA72" s="740">
        <v>15.83</v>
      </c>
      <c r="AB72" s="740">
        <v>15.97</v>
      </c>
      <c r="AC72" s="740">
        <v>16.12</v>
      </c>
      <c r="AD72" s="740">
        <v>16.21</v>
      </c>
      <c r="AE72" s="740">
        <v>16.36</v>
      </c>
      <c r="AF72" s="740">
        <v>16.489999999999998</v>
      </c>
      <c r="AG72" s="740">
        <v>16.579999999999998</v>
      </c>
      <c r="AH72" s="740">
        <v>16.71</v>
      </c>
      <c r="AI72" s="740">
        <v>16.829999999999998</v>
      </c>
      <c r="AJ72" s="740">
        <v>16.98</v>
      </c>
      <c r="AK72" s="740">
        <v>17.13</v>
      </c>
      <c r="AL72" s="740">
        <v>17.28</v>
      </c>
      <c r="AM72" s="740">
        <v>17.440000000000001</v>
      </c>
      <c r="AN72" s="740">
        <v>17.559999999999999</v>
      </c>
      <c r="AO72" s="740">
        <v>17.66</v>
      </c>
      <c r="AP72" s="740">
        <v>17.73</v>
      </c>
      <c r="AQ72" s="740">
        <v>17.79</v>
      </c>
      <c r="AR72" s="740">
        <v>17.850000000000001</v>
      </c>
      <c r="AS72" s="740">
        <v>17.920000000000002</v>
      </c>
      <c r="AT72" s="740">
        <v>17.98</v>
      </c>
      <c r="AU72" s="740">
        <v>18.04</v>
      </c>
      <c r="AV72" s="740">
        <v>18.14</v>
      </c>
      <c r="AW72" s="740">
        <v>18.27</v>
      </c>
      <c r="AX72" s="740">
        <v>18.37</v>
      </c>
      <c r="AY72" s="740">
        <v>18.47</v>
      </c>
      <c r="AZ72" s="740">
        <v>18.579999999999998</v>
      </c>
      <c r="BA72" s="740">
        <v>18.68</v>
      </c>
      <c r="BB72" s="740">
        <v>18.79</v>
      </c>
      <c r="BC72" s="740">
        <v>18.89</v>
      </c>
      <c r="BD72" s="740">
        <v>18.989999999999998</v>
      </c>
      <c r="BE72" s="740">
        <v>19.100000000000001</v>
      </c>
      <c r="BF72" s="740">
        <v>19.2</v>
      </c>
      <c r="BG72" s="740">
        <v>19.3</v>
      </c>
      <c r="BH72" s="740">
        <v>19.399999999999999</v>
      </c>
      <c r="BI72" s="740">
        <v>19.5</v>
      </c>
      <c r="BJ72" s="740">
        <v>19.600000000000001</v>
      </c>
      <c r="BK72" s="740">
        <v>19.7</v>
      </c>
      <c r="BL72" s="740">
        <v>19.8</v>
      </c>
      <c r="BM72" s="740">
        <v>19.899999999999999</v>
      </c>
      <c r="BN72" s="740">
        <v>20</v>
      </c>
      <c r="BO72" s="740">
        <v>20.100000000000001</v>
      </c>
      <c r="BP72" s="740">
        <v>20.2</v>
      </c>
      <c r="BQ72" s="740">
        <v>20.29</v>
      </c>
      <c r="BR72" s="740">
        <v>20.39</v>
      </c>
      <c r="BS72" s="740">
        <v>20.49</v>
      </c>
      <c r="BT72" s="740">
        <v>20.59</v>
      </c>
      <c r="BU72" s="740">
        <v>20.68</v>
      </c>
      <c r="BV72" s="740">
        <v>20.78</v>
      </c>
      <c r="BW72" s="740">
        <v>20.87</v>
      </c>
      <c r="BX72" s="740">
        <v>20.97</v>
      </c>
      <c r="BY72" s="740">
        <v>21.06</v>
      </c>
      <c r="BZ72" s="740">
        <v>21.16</v>
      </c>
      <c r="CA72" s="740">
        <v>21.25</v>
      </c>
      <c r="CB72" s="740">
        <v>21.34</v>
      </c>
      <c r="CC72" s="740">
        <v>21.44</v>
      </c>
      <c r="CD72" s="740">
        <v>21.53</v>
      </c>
      <c r="CE72" s="740">
        <v>21.62</v>
      </c>
      <c r="CF72" s="740">
        <v>21.71</v>
      </c>
      <c r="CG72" s="740">
        <v>21.8</v>
      </c>
      <c r="CH72" s="740">
        <v>21.89</v>
      </c>
      <c r="CI72" s="740">
        <v>21.98</v>
      </c>
      <c r="CJ72" s="740">
        <v>22.07</v>
      </c>
      <c r="CK72" s="740">
        <v>22.16</v>
      </c>
      <c r="CL72" s="740">
        <v>22.25</v>
      </c>
      <c r="CM72" s="740">
        <v>22.34</v>
      </c>
      <c r="CN72" s="740">
        <v>22.43</v>
      </c>
      <c r="CO72" s="740">
        <v>22.52</v>
      </c>
      <c r="CP72" s="740">
        <v>22.6</v>
      </c>
      <c r="CQ72" s="740">
        <v>22.69</v>
      </c>
      <c r="CR72" s="740">
        <v>22.77</v>
      </c>
      <c r="CS72" s="740">
        <v>22.86</v>
      </c>
      <c r="CT72" s="740">
        <v>22.95</v>
      </c>
      <c r="CU72" s="740">
        <v>23.03</v>
      </c>
      <c r="CV72" s="740">
        <v>23.11</v>
      </c>
      <c r="CW72" s="740">
        <v>23.2</v>
      </c>
      <c r="CX72" s="740">
        <v>23.28</v>
      </c>
      <c r="CY72" s="740">
        <v>23.36</v>
      </c>
      <c r="CZ72" s="740">
        <v>23.45</v>
      </c>
      <c r="DA72" s="740">
        <v>23.53</v>
      </c>
      <c r="DB72" s="740">
        <v>23.61</v>
      </c>
      <c r="DC72" s="740">
        <v>23.69</v>
      </c>
      <c r="DD72" s="740">
        <v>23.77</v>
      </c>
      <c r="DE72" s="740">
        <v>23.85</v>
      </c>
      <c r="DF72" s="740">
        <v>23.93</v>
      </c>
      <c r="DG72" s="740">
        <v>24.01</v>
      </c>
      <c r="DH72" s="740">
        <v>24.09</v>
      </c>
      <c r="DI72" s="740">
        <v>24.16</v>
      </c>
      <c r="DJ72" s="740">
        <v>24.24</v>
      </c>
      <c r="DK72" s="740">
        <v>24.32</v>
      </c>
      <c r="DL72" s="740">
        <v>24.39</v>
      </c>
      <c r="DM72" s="740">
        <v>24.47</v>
      </c>
      <c r="DN72" s="740">
        <v>24.55</v>
      </c>
      <c r="DO72" s="740">
        <v>24.62</v>
      </c>
      <c r="DP72" s="740">
        <v>24.7</v>
      </c>
      <c r="DQ72" s="740">
        <v>24.77</v>
      </c>
      <c r="DR72" s="740">
        <v>24.84</v>
      </c>
    </row>
    <row r="73" spans="1:122">
      <c r="A73" s="912">
        <v>71</v>
      </c>
      <c r="B73" s="90"/>
      <c r="C73" s="90"/>
      <c r="D73" s="90"/>
      <c r="E73" s="90"/>
      <c r="F73" s="90"/>
      <c r="G73" s="90"/>
      <c r="H73" s="90"/>
      <c r="I73" s="90"/>
      <c r="J73" s="90"/>
      <c r="K73" s="90"/>
      <c r="L73" s="90"/>
      <c r="M73" s="90"/>
      <c r="N73" s="90"/>
      <c r="O73" s="90"/>
      <c r="P73" s="90"/>
      <c r="Q73" s="90"/>
      <c r="R73" s="90"/>
      <c r="S73" s="90"/>
      <c r="T73" s="90"/>
      <c r="U73" s="90"/>
      <c r="V73" s="740"/>
      <c r="W73" s="740">
        <v>14.59</v>
      </c>
      <c r="X73" s="740">
        <v>14.71</v>
      </c>
      <c r="Y73" s="740">
        <v>14.86</v>
      </c>
      <c r="Z73" s="740">
        <v>15.01</v>
      </c>
      <c r="AA73" s="740">
        <v>15.11</v>
      </c>
      <c r="AB73" s="740">
        <v>15.24</v>
      </c>
      <c r="AC73" s="740">
        <v>15.38</v>
      </c>
      <c r="AD73" s="740">
        <v>15.47</v>
      </c>
      <c r="AE73" s="740">
        <v>15.61</v>
      </c>
      <c r="AF73" s="740">
        <v>15.74</v>
      </c>
      <c r="AG73" s="740">
        <v>15.82</v>
      </c>
      <c r="AH73" s="740">
        <v>15.95</v>
      </c>
      <c r="AI73" s="740">
        <v>16.059999999999999</v>
      </c>
      <c r="AJ73" s="740">
        <v>16.21</v>
      </c>
      <c r="AK73" s="740">
        <v>16.34</v>
      </c>
      <c r="AL73" s="740">
        <v>16.489999999999998</v>
      </c>
      <c r="AM73" s="740">
        <v>16.64</v>
      </c>
      <c r="AN73" s="740">
        <v>16.760000000000002</v>
      </c>
      <c r="AO73" s="740">
        <v>16.86</v>
      </c>
      <c r="AP73" s="740">
        <v>16.93</v>
      </c>
      <c r="AQ73" s="740">
        <v>17</v>
      </c>
      <c r="AR73" s="740">
        <v>17.059999999999999</v>
      </c>
      <c r="AS73" s="740">
        <v>17.12</v>
      </c>
      <c r="AT73" s="740">
        <v>17.2</v>
      </c>
      <c r="AU73" s="740">
        <v>17.27</v>
      </c>
      <c r="AV73" s="740">
        <v>17.38</v>
      </c>
      <c r="AW73" s="740">
        <v>17.5</v>
      </c>
      <c r="AX73" s="740">
        <v>17.59</v>
      </c>
      <c r="AY73" s="740">
        <v>17.7</v>
      </c>
      <c r="AZ73" s="740">
        <v>17.8</v>
      </c>
      <c r="BA73" s="740">
        <v>17.899999999999999</v>
      </c>
      <c r="BB73" s="740">
        <v>18</v>
      </c>
      <c r="BC73" s="740">
        <v>18.100000000000001</v>
      </c>
      <c r="BD73" s="740">
        <v>18.2</v>
      </c>
      <c r="BE73" s="740">
        <v>18.3</v>
      </c>
      <c r="BF73" s="740">
        <v>18.399999999999999</v>
      </c>
      <c r="BG73" s="740">
        <v>18.5</v>
      </c>
      <c r="BH73" s="740">
        <v>18.600000000000001</v>
      </c>
      <c r="BI73" s="740">
        <v>18.690000000000001</v>
      </c>
      <c r="BJ73" s="740">
        <v>18.79</v>
      </c>
      <c r="BK73" s="740">
        <v>18.89</v>
      </c>
      <c r="BL73" s="740">
        <v>18.989999999999998</v>
      </c>
      <c r="BM73" s="740">
        <v>19.079999999999998</v>
      </c>
      <c r="BN73" s="740">
        <v>19.18</v>
      </c>
      <c r="BO73" s="740">
        <v>19.28</v>
      </c>
      <c r="BP73" s="740">
        <v>19.37</v>
      </c>
      <c r="BQ73" s="740">
        <v>19.47</v>
      </c>
      <c r="BR73" s="740">
        <v>19.559999999999999</v>
      </c>
      <c r="BS73" s="740">
        <v>19.66</v>
      </c>
      <c r="BT73" s="740">
        <v>19.75</v>
      </c>
      <c r="BU73" s="740">
        <v>19.84</v>
      </c>
      <c r="BV73" s="740">
        <v>19.940000000000001</v>
      </c>
      <c r="BW73" s="740">
        <v>20.03</v>
      </c>
      <c r="BX73" s="740">
        <v>20.12</v>
      </c>
      <c r="BY73" s="740">
        <v>20.21</v>
      </c>
      <c r="BZ73" s="740">
        <v>20.309999999999999</v>
      </c>
      <c r="CA73" s="740">
        <v>20.399999999999999</v>
      </c>
      <c r="CB73" s="740">
        <v>20.49</v>
      </c>
      <c r="CC73" s="740">
        <v>20.58</v>
      </c>
      <c r="CD73" s="740">
        <v>20.67</v>
      </c>
      <c r="CE73" s="740">
        <v>20.76</v>
      </c>
      <c r="CF73" s="740">
        <v>20.85</v>
      </c>
      <c r="CG73" s="740">
        <v>20.94</v>
      </c>
      <c r="CH73" s="740">
        <v>21.03</v>
      </c>
      <c r="CI73" s="740">
        <v>21.11</v>
      </c>
      <c r="CJ73" s="740">
        <v>21.2</v>
      </c>
      <c r="CK73" s="740">
        <v>21.29</v>
      </c>
      <c r="CL73" s="740">
        <v>21.38</v>
      </c>
      <c r="CM73" s="740">
        <v>21.46</v>
      </c>
      <c r="CN73" s="740">
        <v>21.55</v>
      </c>
      <c r="CO73" s="740">
        <v>21.63</v>
      </c>
      <c r="CP73" s="740">
        <v>21.72</v>
      </c>
      <c r="CQ73" s="740">
        <v>21.8</v>
      </c>
      <c r="CR73" s="740">
        <v>21.89</v>
      </c>
      <c r="CS73" s="740">
        <v>21.97</v>
      </c>
      <c r="CT73" s="740">
        <v>22.05</v>
      </c>
      <c r="CU73" s="740">
        <v>22.14</v>
      </c>
      <c r="CV73" s="740">
        <v>22.22</v>
      </c>
      <c r="CW73" s="740">
        <v>22.3</v>
      </c>
      <c r="CX73" s="740">
        <v>22.38</v>
      </c>
      <c r="CY73" s="740">
        <v>22.46</v>
      </c>
      <c r="CZ73" s="740">
        <v>22.54</v>
      </c>
      <c r="DA73" s="740">
        <v>22.63</v>
      </c>
      <c r="DB73" s="740">
        <v>22.7</v>
      </c>
      <c r="DC73" s="740">
        <v>22.78</v>
      </c>
      <c r="DD73" s="740">
        <v>22.86</v>
      </c>
      <c r="DE73" s="740">
        <v>22.94</v>
      </c>
      <c r="DF73" s="740">
        <v>23.02</v>
      </c>
      <c r="DG73" s="740">
        <v>23.1</v>
      </c>
      <c r="DH73" s="740">
        <v>23.17</v>
      </c>
      <c r="DI73" s="740">
        <v>23.25</v>
      </c>
      <c r="DJ73" s="740">
        <v>23.33</v>
      </c>
      <c r="DK73" s="740">
        <v>23.4</v>
      </c>
      <c r="DL73" s="740">
        <v>23.48</v>
      </c>
      <c r="DM73" s="740">
        <v>23.55</v>
      </c>
      <c r="DN73" s="740">
        <v>23.62</v>
      </c>
      <c r="DO73" s="740">
        <v>23.7</v>
      </c>
      <c r="DP73" s="740">
        <v>23.77</v>
      </c>
      <c r="DQ73" s="740">
        <v>23.84</v>
      </c>
      <c r="DR73" s="740">
        <v>23.92</v>
      </c>
    </row>
    <row r="74" spans="1:122">
      <c r="A74" s="912">
        <v>72</v>
      </c>
      <c r="B74" s="90"/>
      <c r="C74" s="90"/>
      <c r="D74" s="90"/>
      <c r="E74" s="90"/>
      <c r="F74" s="90"/>
      <c r="G74" s="90"/>
      <c r="H74" s="90"/>
      <c r="I74" s="90"/>
      <c r="J74" s="90"/>
      <c r="K74" s="90"/>
      <c r="L74" s="90"/>
      <c r="M74" s="90"/>
      <c r="N74" s="90"/>
      <c r="O74" s="90"/>
      <c r="P74" s="90"/>
      <c r="Q74" s="90"/>
      <c r="R74" s="90"/>
      <c r="S74" s="90"/>
      <c r="T74" s="90"/>
      <c r="U74" s="90"/>
      <c r="V74" s="740"/>
      <c r="W74" s="740">
        <v>13.9</v>
      </c>
      <c r="X74" s="740">
        <v>14.01</v>
      </c>
      <c r="Y74" s="740">
        <v>14.15</v>
      </c>
      <c r="Z74" s="740">
        <v>14.3</v>
      </c>
      <c r="AA74" s="740">
        <v>14.39</v>
      </c>
      <c r="AB74" s="740">
        <v>14.52</v>
      </c>
      <c r="AC74" s="740">
        <v>14.66</v>
      </c>
      <c r="AD74" s="740">
        <v>14.74</v>
      </c>
      <c r="AE74" s="740">
        <v>14.86</v>
      </c>
      <c r="AF74" s="740">
        <v>15</v>
      </c>
      <c r="AG74" s="740">
        <v>15.08</v>
      </c>
      <c r="AH74" s="740">
        <v>15.2</v>
      </c>
      <c r="AI74" s="740">
        <v>15.3</v>
      </c>
      <c r="AJ74" s="740">
        <v>15.44</v>
      </c>
      <c r="AK74" s="740">
        <v>15.57</v>
      </c>
      <c r="AL74" s="740">
        <v>15.71</v>
      </c>
      <c r="AM74" s="740">
        <v>15.86</v>
      </c>
      <c r="AN74" s="740">
        <v>15.97</v>
      </c>
      <c r="AO74" s="740">
        <v>16.07</v>
      </c>
      <c r="AP74" s="740">
        <v>16.149999999999999</v>
      </c>
      <c r="AQ74" s="740">
        <v>16.21</v>
      </c>
      <c r="AR74" s="740">
        <v>16.27</v>
      </c>
      <c r="AS74" s="740">
        <v>16.350000000000001</v>
      </c>
      <c r="AT74" s="740">
        <v>16.420000000000002</v>
      </c>
      <c r="AU74" s="740">
        <v>16.510000000000002</v>
      </c>
      <c r="AV74" s="740">
        <v>16.62</v>
      </c>
      <c r="AW74" s="740">
        <v>16.72</v>
      </c>
      <c r="AX74" s="740">
        <v>16.82</v>
      </c>
      <c r="AY74" s="740">
        <v>16.920000000000002</v>
      </c>
      <c r="AZ74" s="740">
        <v>17.02</v>
      </c>
      <c r="BA74" s="740">
        <v>17.12</v>
      </c>
      <c r="BB74" s="740">
        <v>17.22</v>
      </c>
      <c r="BC74" s="740">
        <v>17.32</v>
      </c>
      <c r="BD74" s="740">
        <v>17.41</v>
      </c>
      <c r="BE74" s="740">
        <v>17.510000000000002</v>
      </c>
      <c r="BF74" s="740">
        <v>17.61</v>
      </c>
      <c r="BG74" s="740">
        <v>17.7</v>
      </c>
      <c r="BH74" s="740">
        <v>17.8</v>
      </c>
      <c r="BI74" s="740">
        <v>17.89</v>
      </c>
      <c r="BJ74" s="740">
        <v>17.989999999999998</v>
      </c>
      <c r="BK74" s="740">
        <v>18.079999999999998</v>
      </c>
      <c r="BL74" s="740">
        <v>18.18</v>
      </c>
      <c r="BM74" s="740">
        <v>18.27</v>
      </c>
      <c r="BN74" s="740">
        <v>18.36</v>
      </c>
      <c r="BO74" s="740">
        <v>18.46</v>
      </c>
      <c r="BP74" s="740">
        <v>18.55</v>
      </c>
      <c r="BQ74" s="740">
        <v>18.64</v>
      </c>
      <c r="BR74" s="740">
        <v>18.73</v>
      </c>
      <c r="BS74" s="740">
        <v>18.829999999999998</v>
      </c>
      <c r="BT74" s="740">
        <v>18.920000000000002</v>
      </c>
      <c r="BU74" s="740">
        <v>19.010000000000002</v>
      </c>
      <c r="BV74" s="740">
        <v>19.100000000000001</v>
      </c>
      <c r="BW74" s="740">
        <v>19.190000000000001</v>
      </c>
      <c r="BX74" s="740">
        <v>19.28</v>
      </c>
      <c r="BY74" s="740">
        <v>19.37</v>
      </c>
      <c r="BZ74" s="740">
        <v>19.46</v>
      </c>
      <c r="CA74" s="740">
        <v>19.55</v>
      </c>
      <c r="CB74" s="740">
        <v>19.64</v>
      </c>
      <c r="CC74" s="740">
        <v>19.73</v>
      </c>
      <c r="CD74" s="740">
        <v>19.809999999999999</v>
      </c>
      <c r="CE74" s="740">
        <v>19.899999999999999</v>
      </c>
      <c r="CF74" s="740">
        <v>19.989999999999998</v>
      </c>
      <c r="CG74" s="740">
        <v>20.079999999999998</v>
      </c>
      <c r="CH74" s="740">
        <v>20.16</v>
      </c>
      <c r="CI74" s="740">
        <v>20.25</v>
      </c>
      <c r="CJ74" s="740">
        <v>20.329999999999998</v>
      </c>
      <c r="CK74" s="740">
        <v>20.420000000000002</v>
      </c>
      <c r="CL74" s="740">
        <v>20.5</v>
      </c>
      <c r="CM74" s="740">
        <v>20.59</v>
      </c>
      <c r="CN74" s="740">
        <v>20.67</v>
      </c>
      <c r="CO74" s="740">
        <v>20.76</v>
      </c>
      <c r="CP74" s="740">
        <v>20.84</v>
      </c>
      <c r="CQ74" s="740">
        <v>20.92</v>
      </c>
      <c r="CR74" s="740">
        <v>21</v>
      </c>
      <c r="CS74" s="740">
        <v>21.09</v>
      </c>
      <c r="CT74" s="740">
        <v>21.17</v>
      </c>
      <c r="CU74" s="740">
        <v>21.25</v>
      </c>
      <c r="CV74" s="740">
        <v>21.33</v>
      </c>
      <c r="CW74" s="740">
        <v>21.41</v>
      </c>
      <c r="CX74" s="740">
        <v>21.49</v>
      </c>
      <c r="CY74" s="740">
        <v>21.57</v>
      </c>
      <c r="CZ74" s="740">
        <v>21.65</v>
      </c>
      <c r="DA74" s="740">
        <v>21.73</v>
      </c>
      <c r="DB74" s="740">
        <v>21.8</v>
      </c>
      <c r="DC74" s="740">
        <v>21.88</v>
      </c>
      <c r="DD74" s="740">
        <v>21.96</v>
      </c>
      <c r="DE74" s="740">
        <v>22.04</v>
      </c>
      <c r="DF74" s="740">
        <v>22.11</v>
      </c>
      <c r="DG74" s="740">
        <v>22.19</v>
      </c>
      <c r="DH74" s="740">
        <v>22.26</v>
      </c>
      <c r="DI74" s="740">
        <v>22.34</v>
      </c>
      <c r="DJ74" s="740">
        <v>22.41</v>
      </c>
      <c r="DK74" s="740">
        <v>22.49</v>
      </c>
      <c r="DL74" s="740">
        <v>22.56</v>
      </c>
      <c r="DM74" s="740">
        <v>22.63</v>
      </c>
      <c r="DN74" s="740">
        <v>22.71</v>
      </c>
      <c r="DO74" s="740">
        <v>22.78</v>
      </c>
      <c r="DP74" s="740">
        <v>22.85</v>
      </c>
      <c r="DQ74" s="740">
        <v>22.92</v>
      </c>
      <c r="DR74" s="740">
        <v>22.99</v>
      </c>
    </row>
    <row r="75" spans="1:122">
      <c r="A75" s="912">
        <v>73</v>
      </c>
      <c r="B75" s="90"/>
      <c r="C75" s="90"/>
      <c r="D75" s="90"/>
      <c r="E75" s="90"/>
      <c r="F75" s="90"/>
      <c r="G75" s="90"/>
      <c r="H75" s="90"/>
      <c r="I75" s="90"/>
      <c r="J75" s="90"/>
      <c r="K75" s="90"/>
      <c r="L75" s="90"/>
      <c r="M75" s="90"/>
      <c r="N75" s="90"/>
      <c r="O75" s="90"/>
      <c r="P75" s="90"/>
      <c r="Q75" s="90"/>
      <c r="R75" s="90"/>
      <c r="S75" s="90"/>
      <c r="T75" s="90"/>
      <c r="U75" s="90"/>
      <c r="V75" s="740"/>
      <c r="W75" s="740">
        <v>13.23</v>
      </c>
      <c r="X75" s="740">
        <v>13.32</v>
      </c>
      <c r="Y75" s="740">
        <v>13.47</v>
      </c>
      <c r="Z75" s="740">
        <v>13.6</v>
      </c>
      <c r="AA75" s="740">
        <v>13.7</v>
      </c>
      <c r="AB75" s="740">
        <v>13.82</v>
      </c>
      <c r="AC75" s="740">
        <v>13.94</v>
      </c>
      <c r="AD75" s="740">
        <v>14.02</v>
      </c>
      <c r="AE75" s="740">
        <v>14.14</v>
      </c>
      <c r="AF75" s="740">
        <v>14.27</v>
      </c>
      <c r="AG75" s="740">
        <v>14.34</v>
      </c>
      <c r="AH75" s="740">
        <v>14.46</v>
      </c>
      <c r="AI75" s="740">
        <v>14.56</v>
      </c>
      <c r="AJ75" s="740">
        <v>14.68</v>
      </c>
      <c r="AK75" s="740">
        <v>14.81</v>
      </c>
      <c r="AL75" s="740">
        <v>14.94</v>
      </c>
      <c r="AM75" s="740">
        <v>15.09</v>
      </c>
      <c r="AN75" s="740">
        <v>15.2</v>
      </c>
      <c r="AO75" s="740">
        <v>15.29</v>
      </c>
      <c r="AP75" s="740">
        <v>15.37</v>
      </c>
      <c r="AQ75" s="740">
        <v>15.43</v>
      </c>
      <c r="AR75" s="740">
        <v>15.51</v>
      </c>
      <c r="AS75" s="740">
        <v>15.58</v>
      </c>
      <c r="AT75" s="740">
        <v>15.66</v>
      </c>
      <c r="AU75" s="740">
        <v>15.75</v>
      </c>
      <c r="AV75" s="740">
        <v>15.87</v>
      </c>
      <c r="AW75" s="740">
        <v>15.96</v>
      </c>
      <c r="AX75" s="740">
        <v>16.059999999999999</v>
      </c>
      <c r="AY75" s="740">
        <v>16.16</v>
      </c>
      <c r="AZ75" s="740">
        <v>16.25</v>
      </c>
      <c r="BA75" s="740">
        <v>16.350000000000001</v>
      </c>
      <c r="BB75" s="740">
        <v>16.440000000000001</v>
      </c>
      <c r="BC75" s="740">
        <v>16.54</v>
      </c>
      <c r="BD75" s="740">
        <v>16.63</v>
      </c>
      <c r="BE75" s="740">
        <v>16.72</v>
      </c>
      <c r="BF75" s="740">
        <v>16.82</v>
      </c>
      <c r="BG75" s="740">
        <v>16.91</v>
      </c>
      <c r="BH75" s="740">
        <v>17</v>
      </c>
      <c r="BI75" s="740">
        <v>17.09</v>
      </c>
      <c r="BJ75" s="740">
        <v>17.190000000000001</v>
      </c>
      <c r="BK75" s="740">
        <v>17.28</v>
      </c>
      <c r="BL75" s="740">
        <v>17.37</v>
      </c>
      <c r="BM75" s="740">
        <v>17.46</v>
      </c>
      <c r="BN75" s="740">
        <v>17.55</v>
      </c>
      <c r="BO75" s="740">
        <v>17.64</v>
      </c>
      <c r="BP75" s="740">
        <v>17.73</v>
      </c>
      <c r="BQ75" s="740">
        <v>17.82</v>
      </c>
      <c r="BR75" s="740">
        <v>17.91</v>
      </c>
      <c r="BS75" s="740">
        <v>18</v>
      </c>
      <c r="BT75" s="740">
        <v>18.09</v>
      </c>
      <c r="BU75" s="740">
        <v>18.18</v>
      </c>
      <c r="BV75" s="740">
        <v>18.27</v>
      </c>
      <c r="BW75" s="740">
        <v>18.36</v>
      </c>
      <c r="BX75" s="740">
        <v>18.440000000000001</v>
      </c>
      <c r="BY75" s="740">
        <v>18.53</v>
      </c>
      <c r="BZ75" s="740">
        <v>18.62</v>
      </c>
      <c r="CA75" s="740">
        <v>18.7</v>
      </c>
      <c r="CB75" s="740">
        <v>18.79</v>
      </c>
      <c r="CC75" s="740">
        <v>18.88</v>
      </c>
      <c r="CD75" s="740">
        <v>18.96</v>
      </c>
      <c r="CE75" s="740">
        <v>19.05</v>
      </c>
      <c r="CF75" s="740">
        <v>19.13</v>
      </c>
      <c r="CG75" s="740">
        <v>19.22</v>
      </c>
      <c r="CH75" s="740">
        <v>19.3</v>
      </c>
      <c r="CI75" s="740">
        <v>19.39</v>
      </c>
      <c r="CJ75" s="740">
        <v>19.47</v>
      </c>
      <c r="CK75" s="740">
        <v>19.55</v>
      </c>
      <c r="CL75" s="740">
        <v>19.64</v>
      </c>
      <c r="CM75" s="740">
        <v>19.72</v>
      </c>
      <c r="CN75" s="740">
        <v>19.8</v>
      </c>
      <c r="CO75" s="740">
        <v>19.88</v>
      </c>
      <c r="CP75" s="740">
        <v>19.96</v>
      </c>
      <c r="CQ75" s="740">
        <v>20.04</v>
      </c>
      <c r="CR75" s="740">
        <v>20.12</v>
      </c>
      <c r="CS75" s="740">
        <v>20.2</v>
      </c>
      <c r="CT75" s="740">
        <v>20.28</v>
      </c>
      <c r="CU75" s="740">
        <v>20.36</v>
      </c>
      <c r="CV75" s="740">
        <v>20.440000000000001</v>
      </c>
      <c r="CW75" s="740">
        <v>20.52</v>
      </c>
      <c r="CX75" s="740">
        <v>20.6</v>
      </c>
      <c r="CY75" s="740">
        <v>20.68</v>
      </c>
      <c r="CZ75" s="740">
        <v>20.75</v>
      </c>
      <c r="DA75" s="740">
        <v>20.83</v>
      </c>
      <c r="DB75" s="740">
        <v>20.91</v>
      </c>
      <c r="DC75" s="740">
        <v>20.98</v>
      </c>
      <c r="DD75" s="740">
        <v>21.06</v>
      </c>
      <c r="DE75" s="740">
        <v>21.13</v>
      </c>
      <c r="DF75" s="740">
        <v>21.21</v>
      </c>
      <c r="DG75" s="740">
        <v>21.28</v>
      </c>
      <c r="DH75" s="740">
        <v>21.36</v>
      </c>
      <c r="DI75" s="740">
        <v>21.43</v>
      </c>
      <c r="DJ75" s="740">
        <v>21.5</v>
      </c>
      <c r="DK75" s="740">
        <v>21.58</v>
      </c>
      <c r="DL75" s="740">
        <v>21.65</v>
      </c>
      <c r="DM75" s="740">
        <v>21.72</v>
      </c>
      <c r="DN75" s="740">
        <v>21.79</v>
      </c>
      <c r="DO75" s="740">
        <v>21.86</v>
      </c>
      <c r="DP75" s="740">
        <v>21.93</v>
      </c>
      <c r="DQ75" s="740">
        <v>22</v>
      </c>
      <c r="DR75" s="740">
        <v>22.07</v>
      </c>
    </row>
    <row r="76" spans="1:122">
      <c r="A76" s="912">
        <v>74</v>
      </c>
      <c r="B76" s="90"/>
      <c r="C76" s="90"/>
      <c r="D76" s="90"/>
      <c r="E76" s="90"/>
      <c r="F76" s="90"/>
      <c r="G76" s="90"/>
      <c r="H76" s="90"/>
      <c r="I76" s="90"/>
      <c r="J76" s="90"/>
      <c r="K76" s="90"/>
      <c r="L76" s="90"/>
      <c r="M76" s="90"/>
      <c r="N76" s="90"/>
      <c r="O76" s="90"/>
      <c r="P76" s="90"/>
      <c r="Q76" s="90"/>
      <c r="R76" s="90"/>
      <c r="S76" s="90"/>
      <c r="T76" s="90"/>
      <c r="U76" s="90"/>
      <c r="V76" s="740"/>
      <c r="W76" s="740">
        <v>12.56</v>
      </c>
      <c r="X76" s="740">
        <v>12.66</v>
      </c>
      <c r="Y76" s="740">
        <v>12.79</v>
      </c>
      <c r="Z76" s="740">
        <v>12.91</v>
      </c>
      <c r="AA76" s="740">
        <v>13.01</v>
      </c>
      <c r="AB76" s="740">
        <v>13.12</v>
      </c>
      <c r="AC76" s="740">
        <v>13.24</v>
      </c>
      <c r="AD76" s="740">
        <v>13.3</v>
      </c>
      <c r="AE76" s="740">
        <v>13.43</v>
      </c>
      <c r="AF76" s="740">
        <v>13.55</v>
      </c>
      <c r="AG76" s="740">
        <v>13.62</v>
      </c>
      <c r="AH76" s="740">
        <v>13.72</v>
      </c>
      <c r="AI76" s="740">
        <v>13.81</v>
      </c>
      <c r="AJ76" s="740">
        <v>13.94</v>
      </c>
      <c r="AK76" s="740">
        <v>14.07</v>
      </c>
      <c r="AL76" s="740">
        <v>14.18</v>
      </c>
      <c r="AM76" s="740">
        <v>14.32</v>
      </c>
      <c r="AN76" s="740">
        <v>14.43</v>
      </c>
      <c r="AO76" s="740">
        <v>14.53</v>
      </c>
      <c r="AP76" s="740">
        <v>14.6</v>
      </c>
      <c r="AQ76" s="740">
        <v>14.67</v>
      </c>
      <c r="AR76" s="740">
        <v>14.75</v>
      </c>
      <c r="AS76" s="740">
        <v>14.82</v>
      </c>
      <c r="AT76" s="740">
        <v>14.92</v>
      </c>
      <c r="AU76" s="740">
        <v>15.02</v>
      </c>
      <c r="AV76" s="740">
        <v>15.11</v>
      </c>
      <c r="AW76" s="740">
        <v>15.21</v>
      </c>
      <c r="AX76" s="740">
        <v>15.3</v>
      </c>
      <c r="AY76" s="740">
        <v>15.39</v>
      </c>
      <c r="AZ76" s="740">
        <v>15.49</v>
      </c>
      <c r="BA76" s="740">
        <v>15.58</v>
      </c>
      <c r="BB76" s="740">
        <v>15.67</v>
      </c>
      <c r="BC76" s="740">
        <v>15.76</v>
      </c>
      <c r="BD76" s="740">
        <v>15.85</v>
      </c>
      <c r="BE76" s="740">
        <v>15.94</v>
      </c>
      <c r="BF76" s="740">
        <v>16.03</v>
      </c>
      <c r="BG76" s="740">
        <v>16.12</v>
      </c>
      <c r="BH76" s="740">
        <v>16.21</v>
      </c>
      <c r="BI76" s="740">
        <v>16.3</v>
      </c>
      <c r="BJ76" s="740">
        <v>16.39</v>
      </c>
      <c r="BK76" s="740">
        <v>16.48</v>
      </c>
      <c r="BL76" s="740">
        <v>16.57</v>
      </c>
      <c r="BM76" s="740">
        <v>16.66</v>
      </c>
      <c r="BN76" s="740">
        <v>16.739999999999998</v>
      </c>
      <c r="BO76" s="740">
        <v>16.829999999999998</v>
      </c>
      <c r="BP76" s="740">
        <v>16.920000000000002</v>
      </c>
      <c r="BQ76" s="740">
        <v>17.010000000000002</v>
      </c>
      <c r="BR76" s="740">
        <v>17.09</v>
      </c>
      <c r="BS76" s="740">
        <v>17.18</v>
      </c>
      <c r="BT76" s="740">
        <v>17.27</v>
      </c>
      <c r="BU76" s="740">
        <v>17.350000000000001</v>
      </c>
      <c r="BV76" s="740">
        <v>17.440000000000001</v>
      </c>
      <c r="BW76" s="740">
        <v>17.53</v>
      </c>
      <c r="BX76" s="740">
        <v>17.61</v>
      </c>
      <c r="BY76" s="740">
        <v>17.7</v>
      </c>
      <c r="BZ76" s="740">
        <v>17.78</v>
      </c>
      <c r="CA76" s="740">
        <v>17.87</v>
      </c>
      <c r="CB76" s="740">
        <v>17.95</v>
      </c>
      <c r="CC76" s="740">
        <v>18.03</v>
      </c>
      <c r="CD76" s="740">
        <v>18.12</v>
      </c>
      <c r="CE76" s="740">
        <v>18.2</v>
      </c>
      <c r="CF76" s="740">
        <v>18.28</v>
      </c>
      <c r="CG76" s="740">
        <v>18.37</v>
      </c>
      <c r="CH76" s="740">
        <v>18.45</v>
      </c>
      <c r="CI76" s="740">
        <v>18.53</v>
      </c>
      <c r="CJ76" s="740">
        <v>18.61</v>
      </c>
      <c r="CK76" s="740">
        <v>18.690000000000001</v>
      </c>
      <c r="CL76" s="740">
        <v>18.77</v>
      </c>
      <c r="CM76" s="740">
        <v>18.850000000000001</v>
      </c>
      <c r="CN76" s="740">
        <v>18.93</v>
      </c>
      <c r="CO76" s="740">
        <v>19.010000000000002</v>
      </c>
      <c r="CP76" s="740">
        <v>19.09</v>
      </c>
      <c r="CQ76" s="740">
        <v>19.170000000000002</v>
      </c>
      <c r="CR76" s="740">
        <v>19.25</v>
      </c>
      <c r="CS76" s="740">
        <v>19.329999999999998</v>
      </c>
      <c r="CT76" s="740">
        <v>19.41</v>
      </c>
      <c r="CU76" s="740">
        <v>19.48</v>
      </c>
      <c r="CV76" s="740">
        <v>19.559999999999999</v>
      </c>
      <c r="CW76" s="740">
        <v>19.64</v>
      </c>
      <c r="CX76" s="740">
        <v>19.71</v>
      </c>
      <c r="CY76" s="740">
        <v>19.79</v>
      </c>
      <c r="CZ76" s="740">
        <v>19.86</v>
      </c>
      <c r="DA76" s="740">
        <v>19.940000000000001</v>
      </c>
      <c r="DB76" s="740">
        <v>20.010000000000002</v>
      </c>
      <c r="DC76" s="740">
        <v>20.09</v>
      </c>
      <c r="DD76" s="740">
        <v>20.16</v>
      </c>
      <c r="DE76" s="740">
        <v>20.239999999999998</v>
      </c>
      <c r="DF76" s="740">
        <v>20.309999999999999</v>
      </c>
      <c r="DG76" s="740">
        <v>20.38</v>
      </c>
      <c r="DH76" s="740">
        <v>20.45</v>
      </c>
      <c r="DI76" s="740">
        <v>20.53</v>
      </c>
      <c r="DJ76" s="740">
        <v>20.6</v>
      </c>
      <c r="DK76" s="740">
        <v>20.67</v>
      </c>
      <c r="DL76" s="740">
        <v>20.74</v>
      </c>
      <c r="DM76" s="740">
        <v>20.81</v>
      </c>
      <c r="DN76" s="740">
        <v>20.88</v>
      </c>
      <c r="DO76" s="740">
        <v>20.95</v>
      </c>
      <c r="DP76" s="740">
        <v>21.02</v>
      </c>
      <c r="DQ76" s="740">
        <v>21.09</v>
      </c>
      <c r="DR76" s="740">
        <v>21.16</v>
      </c>
    </row>
    <row r="77" spans="1:122">
      <c r="A77" s="912">
        <v>75</v>
      </c>
      <c r="B77" s="90"/>
      <c r="C77" s="90"/>
      <c r="D77" s="90"/>
      <c r="E77" s="90"/>
      <c r="F77" s="90"/>
      <c r="G77" s="90"/>
      <c r="H77" s="90"/>
      <c r="I77" s="90"/>
      <c r="J77" s="90"/>
      <c r="K77" s="90"/>
      <c r="L77" s="90"/>
      <c r="M77" s="90"/>
      <c r="N77" s="90"/>
      <c r="O77" s="90"/>
      <c r="P77" s="90"/>
      <c r="Q77" s="90"/>
      <c r="R77" s="90"/>
      <c r="S77" s="90"/>
      <c r="T77" s="90"/>
      <c r="U77" s="90"/>
      <c r="V77" s="740"/>
      <c r="W77" s="740">
        <v>11.92</v>
      </c>
      <c r="X77" s="740">
        <v>12.01</v>
      </c>
      <c r="Y77" s="740">
        <v>12.12</v>
      </c>
      <c r="Z77" s="740">
        <v>12.24</v>
      </c>
      <c r="AA77" s="740">
        <v>12.32</v>
      </c>
      <c r="AB77" s="740">
        <v>12.42</v>
      </c>
      <c r="AC77" s="740">
        <v>12.54</v>
      </c>
      <c r="AD77" s="740">
        <v>12.61</v>
      </c>
      <c r="AE77" s="740">
        <v>12.72</v>
      </c>
      <c r="AF77" s="740">
        <v>12.84</v>
      </c>
      <c r="AG77" s="740">
        <v>12.9</v>
      </c>
      <c r="AH77" s="740">
        <v>12.99</v>
      </c>
      <c r="AI77" s="740">
        <v>13.08</v>
      </c>
      <c r="AJ77" s="740">
        <v>13.2</v>
      </c>
      <c r="AK77" s="740">
        <v>13.33</v>
      </c>
      <c r="AL77" s="740">
        <v>13.44</v>
      </c>
      <c r="AM77" s="740">
        <v>13.58</v>
      </c>
      <c r="AN77" s="740">
        <v>13.68</v>
      </c>
      <c r="AO77" s="740">
        <v>13.77</v>
      </c>
      <c r="AP77" s="740">
        <v>13.85</v>
      </c>
      <c r="AQ77" s="740">
        <v>13.92</v>
      </c>
      <c r="AR77" s="740">
        <v>14</v>
      </c>
      <c r="AS77" s="740">
        <v>14.08</v>
      </c>
      <c r="AT77" s="740">
        <v>14.18</v>
      </c>
      <c r="AU77" s="740">
        <v>14.27</v>
      </c>
      <c r="AV77" s="740">
        <v>14.37</v>
      </c>
      <c r="AW77" s="740">
        <v>14.46</v>
      </c>
      <c r="AX77" s="740">
        <v>14.55</v>
      </c>
      <c r="AY77" s="740">
        <v>14.64</v>
      </c>
      <c r="AZ77" s="740">
        <v>14.72</v>
      </c>
      <c r="BA77" s="740">
        <v>14.81</v>
      </c>
      <c r="BB77" s="740">
        <v>14.9</v>
      </c>
      <c r="BC77" s="740">
        <v>14.99</v>
      </c>
      <c r="BD77" s="740">
        <v>15.08</v>
      </c>
      <c r="BE77" s="740">
        <v>15.17</v>
      </c>
      <c r="BF77" s="740">
        <v>15.25</v>
      </c>
      <c r="BG77" s="740">
        <v>15.34</v>
      </c>
      <c r="BH77" s="740">
        <v>15.43</v>
      </c>
      <c r="BI77" s="740">
        <v>15.51</v>
      </c>
      <c r="BJ77" s="740">
        <v>15.6</v>
      </c>
      <c r="BK77" s="740">
        <v>15.69</v>
      </c>
      <c r="BL77" s="740">
        <v>15.77</v>
      </c>
      <c r="BM77" s="740">
        <v>15.86</v>
      </c>
      <c r="BN77" s="740">
        <v>15.94</v>
      </c>
      <c r="BO77" s="740">
        <v>16.03</v>
      </c>
      <c r="BP77" s="740">
        <v>16.11</v>
      </c>
      <c r="BQ77" s="740">
        <v>16.2</v>
      </c>
      <c r="BR77" s="740">
        <v>16.28</v>
      </c>
      <c r="BS77" s="740">
        <v>16.37</v>
      </c>
      <c r="BT77" s="740">
        <v>16.45</v>
      </c>
      <c r="BU77" s="740">
        <v>16.53</v>
      </c>
      <c r="BV77" s="740">
        <v>16.62</v>
      </c>
      <c r="BW77" s="740">
        <v>16.7</v>
      </c>
      <c r="BX77" s="740">
        <v>16.78</v>
      </c>
      <c r="BY77" s="740">
        <v>16.87</v>
      </c>
      <c r="BZ77" s="740">
        <v>16.95</v>
      </c>
      <c r="CA77" s="740">
        <v>17.03</v>
      </c>
      <c r="CB77" s="740">
        <v>17.11</v>
      </c>
      <c r="CC77" s="740">
        <v>17.190000000000001</v>
      </c>
      <c r="CD77" s="740">
        <v>17.28</v>
      </c>
      <c r="CE77" s="740">
        <v>17.36</v>
      </c>
      <c r="CF77" s="740">
        <v>17.440000000000001</v>
      </c>
      <c r="CG77" s="740">
        <v>17.52</v>
      </c>
      <c r="CH77" s="740">
        <v>17.600000000000001</v>
      </c>
      <c r="CI77" s="740">
        <v>17.68</v>
      </c>
      <c r="CJ77" s="740">
        <v>17.760000000000002</v>
      </c>
      <c r="CK77" s="740">
        <v>17.84</v>
      </c>
      <c r="CL77" s="740">
        <v>17.91</v>
      </c>
      <c r="CM77" s="740">
        <v>17.989999999999998</v>
      </c>
      <c r="CN77" s="740">
        <v>18.07</v>
      </c>
      <c r="CO77" s="740">
        <v>18.149999999999999</v>
      </c>
      <c r="CP77" s="740">
        <v>18.23</v>
      </c>
      <c r="CQ77" s="740">
        <v>18.3</v>
      </c>
      <c r="CR77" s="740">
        <v>18.38</v>
      </c>
      <c r="CS77" s="740">
        <v>18.46</v>
      </c>
      <c r="CT77" s="740">
        <v>18.53</v>
      </c>
      <c r="CU77" s="740">
        <v>18.61</v>
      </c>
      <c r="CV77" s="740">
        <v>18.68</v>
      </c>
      <c r="CW77" s="740">
        <v>18.760000000000002</v>
      </c>
      <c r="CX77" s="740">
        <v>18.829999999999998</v>
      </c>
      <c r="CY77" s="740">
        <v>18.91</v>
      </c>
      <c r="CZ77" s="740">
        <v>18.98</v>
      </c>
      <c r="DA77" s="740">
        <v>19.05</v>
      </c>
      <c r="DB77" s="740">
        <v>19.13</v>
      </c>
      <c r="DC77" s="740">
        <v>19.2</v>
      </c>
      <c r="DD77" s="740">
        <v>19.27</v>
      </c>
      <c r="DE77" s="740">
        <v>19.34</v>
      </c>
      <c r="DF77" s="740">
        <v>19.420000000000002</v>
      </c>
      <c r="DG77" s="740">
        <v>19.489999999999998</v>
      </c>
      <c r="DH77" s="740">
        <v>19.559999999999999</v>
      </c>
      <c r="DI77" s="740">
        <v>19.63</v>
      </c>
      <c r="DJ77" s="740">
        <v>19.7</v>
      </c>
      <c r="DK77" s="740">
        <v>19.77</v>
      </c>
      <c r="DL77" s="740">
        <v>19.84</v>
      </c>
      <c r="DM77" s="740">
        <v>19.91</v>
      </c>
      <c r="DN77" s="740">
        <v>19.97</v>
      </c>
      <c r="DO77" s="740">
        <v>20.04</v>
      </c>
      <c r="DP77" s="740">
        <v>20.11</v>
      </c>
      <c r="DQ77" s="740">
        <v>20.18</v>
      </c>
      <c r="DR77" s="740">
        <v>20.239999999999998</v>
      </c>
    </row>
    <row r="78" spans="1:122">
      <c r="A78" s="912">
        <v>76</v>
      </c>
      <c r="B78" s="90"/>
      <c r="C78" s="90"/>
      <c r="D78" s="90"/>
      <c r="E78" s="90"/>
      <c r="F78" s="90"/>
      <c r="G78" s="90"/>
      <c r="H78" s="90"/>
      <c r="I78" s="90"/>
      <c r="J78" s="90"/>
      <c r="K78" s="90"/>
      <c r="L78" s="90"/>
      <c r="M78" s="90"/>
      <c r="N78" s="90"/>
      <c r="O78" s="90"/>
      <c r="P78" s="90"/>
      <c r="Q78" s="90"/>
      <c r="R78" s="90"/>
      <c r="S78" s="90"/>
      <c r="T78" s="90"/>
      <c r="U78" s="90"/>
      <c r="V78" s="740"/>
      <c r="W78" s="740">
        <v>11.28</v>
      </c>
      <c r="X78" s="740">
        <v>11.35</v>
      </c>
      <c r="Y78" s="740">
        <v>11.47</v>
      </c>
      <c r="Z78" s="740">
        <v>11.57</v>
      </c>
      <c r="AA78" s="740">
        <v>11.65</v>
      </c>
      <c r="AB78" s="740">
        <v>11.74</v>
      </c>
      <c r="AC78" s="740">
        <v>11.87</v>
      </c>
      <c r="AD78" s="740">
        <v>11.93</v>
      </c>
      <c r="AE78" s="740">
        <v>12.02</v>
      </c>
      <c r="AF78" s="740">
        <v>12.13</v>
      </c>
      <c r="AG78" s="740">
        <v>12.19</v>
      </c>
      <c r="AH78" s="740">
        <v>12.28</v>
      </c>
      <c r="AI78" s="740">
        <v>12.37</v>
      </c>
      <c r="AJ78" s="740">
        <v>12.48</v>
      </c>
      <c r="AK78" s="740">
        <v>12.6</v>
      </c>
      <c r="AL78" s="740">
        <v>12.72</v>
      </c>
      <c r="AM78" s="740">
        <v>12.85</v>
      </c>
      <c r="AN78" s="740">
        <v>12.94</v>
      </c>
      <c r="AO78" s="740">
        <v>13.03</v>
      </c>
      <c r="AP78" s="740">
        <v>13.1</v>
      </c>
      <c r="AQ78" s="740">
        <v>13.18</v>
      </c>
      <c r="AR78" s="740">
        <v>13.27</v>
      </c>
      <c r="AS78" s="740">
        <v>13.36</v>
      </c>
      <c r="AT78" s="740">
        <v>13.45</v>
      </c>
      <c r="AU78" s="740">
        <v>13.54</v>
      </c>
      <c r="AV78" s="740">
        <v>13.62</v>
      </c>
      <c r="AW78" s="740">
        <v>13.71</v>
      </c>
      <c r="AX78" s="740">
        <v>13.8</v>
      </c>
      <c r="AY78" s="740">
        <v>13.88</v>
      </c>
      <c r="AZ78" s="740">
        <v>13.97</v>
      </c>
      <c r="BA78" s="740">
        <v>14.06</v>
      </c>
      <c r="BB78" s="740">
        <v>14.14</v>
      </c>
      <c r="BC78" s="740">
        <v>14.23</v>
      </c>
      <c r="BD78" s="740">
        <v>14.31</v>
      </c>
      <c r="BE78" s="740">
        <v>14.4</v>
      </c>
      <c r="BF78" s="740">
        <v>14.48</v>
      </c>
      <c r="BG78" s="740">
        <v>14.56</v>
      </c>
      <c r="BH78" s="740">
        <v>14.65</v>
      </c>
      <c r="BI78" s="740">
        <v>14.73</v>
      </c>
      <c r="BJ78" s="740">
        <v>14.81</v>
      </c>
      <c r="BK78" s="740">
        <v>14.9</v>
      </c>
      <c r="BL78" s="740">
        <v>14.98</v>
      </c>
      <c r="BM78" s="740">
        <v>15.06</v>
      </c>
      <c r="BN78" s="740">
        <v>15.15</v>
      </c>
      <c r="BO78" s="740">
        <v>15.23</v>
      </c>
      <c r="BP78" s="740">
        <v>15.31</v>
      </c>
      <c r="BQ78" s="740">
        <v>15.39</v>
      </c>
      <c r="BR78" s="740">
        <v>15.48</v>
      </c>
      <c r="BS78" s="740">
        <v>15.56</v>
      </c>
      <c r="BT78" s="740">
        <v>15.64</v>
      </c>
      <c r="BU78" s="740">
        <v>15.72</v>
      </c>
      <c r="BV78" s="740">
        <v>15.8</v>
      </c>
      <c r="BW78" s="740">
        <v>15.88</v>
      </c>
      <c r="BX78" s="740">
        <v>15.96</v>
      </c>
      <c r="BY78" s="740">
        <v>16.04</v>
      </c>
      <c r="BZ78" s="740">
        <v>16.12</v>
      </c>
      <c r="CA78" s="740">
        <v>16.2</v>
      </c>
      <c r="CB78" s="740">
        <v>16.28</v>
      </c>
      <c r="CC78" s="740">
        <v>16.36</v>
      </c>
      <c r="CD78" s="740">
        <v>16.440000000000001</v>
      </c>
      <c r="CE78" s="740">
        <v>16.52</v>
      </c>
      <c r="CF78" s="740">
        <v>16.600000000000001</v>
      </c>
      <c r="CG78" s="740">
        <v>16.68</v>
      </c>
      <c r="CH78" s="740">
        <v>16.75</v>
      </c>
      <c r="CI78" s="740">
        <v>16.829999999999998</v>
      </c>
      <c r="CJ78" s="740">
        <v>16.91</v>
      </c>
      <c r="CK78" s="740">
        <v>16.989999999999998</v>
      </c>
      <c r="CL78" s="740">
        <v>17.059999999999999</v>
      </c>
      <c r="CM78" s="740">
        <v>17.14</v>
      </c>
      <c r="CN78" s="740">
        <v>17.21</v>
      </c>
      <c r="CO78" s="740">
        <v>17.29</v>
      </c>
      <c r="CP78" s="740">
        <v>17.37</v>
      </c>
      <c r="CQ78" s="740">
        <v>17.440000000000001</v>
      </c>
      <c r="CR78" s="740">
        <v>17.52</v>
      </c>
      <c r="CS78" s="740">
        <v>17.59</v>
      </c>
      <c r="CT78" s="740">
        <v>17.66</v>
      </c>
      <c r="CU78" s="740">
        <v>17.739999999999998</v>
      </c>
      <c r="CV78" s="740">
        <v>17.809999999999999</v>
      </c>
      <c r="CW78" s="740">
        <v>17.88</v>
      </c>
      <c r="CX78" s="740">
        <v>17.96</v>
      </c>
      <c r="CY78" s="740">
        <v>18.03</v>
      </c>
      <c r="CZ78" s="740">
        <v>18.100000000000001</v>
      </c>
      <c r="DA78" s="740">
        <v>18.170000000000002</v>
      </c>
      <c r="DB78" s="740">
        <v>18.25</v>
      </c>
      <c r="DC78" s="740">
        <v>18.32</v>
      </c>
      <c r="DD78" s="740">
        <v>18.39</v>
      </c>
      <c r="DE78" s="740">
        <v>18.46</v>
      </c>
      <c r="DF78" s="740">
        <v>18.53</v>
      </c>
      <c r="DG78" s="740">
        <v>18.600000000000001</v>
      </c>
      <c r="DH78" s="740">
        <v>18.670000000000002</v>
      </c>
      <c r="DI78" s="740">
        <v>18.73</v>
      </c>
      <c r="DJ78" s="740">
        <v>18.8</v>
      </c>
      <c r="DK78" s="740">
        <v>18.87</v>
      </c>
      <c r="DL78" s="740">
        <v>18.940000000000001</v>
      </c>
      <c r="DM78" s="740">
        <v>19.010000000000002</v>
      </c>
      <c r="DN78" s="740">
        <v>19.07</v>
      </c>
      <c r="DO78" s="740">
        <v>19.14</v>
      </c>
      <c r="DP78" s="740">
        <v>19.21</v>
      </c>
      <c r="DQ78" s="740">
        <v>19.27</v>
      </c>
      <c r="DR78" s="740">
        <v>19.34</v>
      </c>
    </row>
    <row r="79" spans="1:122">
      <c r="A79" s="912">
        <v>77</v>
      </c>
      <c r="B79" s="90"/>
      <c r="C79" s="90"/>
      <c r="D79" s="90"/>
      <c r="E79" s="90"/>
      <c r="F79" s="90"/>
      <c r="G79" s="90"/>
      <c r="H79" s="90"/>
      <c r="I79" s="90"/>
      <c r="J79" s="90"/>
      <c r="K79" s="90"/>
      <c r="L79" s="90"/>
      <c r="M79" s="90"/>
      <c r="N79" s="90"/>
      <c r="O79" s="90"/>
      <c r="P79" s="90"/>
      <c r="Q79" s="90"/>
      <c r="R79" s="90"/>
      <c r="S79" s="90"/>
      <c r="T79" s="90"/>
      <c r="U79" s="90"/>
      <c r="V79" s="740"/>
      <c r="W79" s="740">
        <v>10.65</v>
      </c>
      <c r="X79" s="740">
        <v>10.73</v>
      </c>
      <c r="Y79" s="740">
        <v>10.83</v>
      </c>
      <c r="Z79" s="740">
        <v>10.92</v>
      </c>
      <c r="AA79" s="740">
        <v>10.99</v>
      </c>
      <c r="AB79" s="740">
        <v>11.09</v>
      </c>
      <c r="AC79" s="740">
        <v>11.21</v>
      </c>
      <c r="AD79" s="740">
        <v>11.26</v>
      </c>
      <c r="AE79" s="740">
        <v>11.34</v>
      </c>
      <c r="AF79" s="740">
        <v>11.44</v>
      </c>
      <c r="AG79" s="740">
        <v>11.5</v>
      </c>
      <c r="AH79" s="740">
        <v>11.59</v>
      </c>
      <c r="AI79" s="740">
        <v>11.68</v>
      </c>
      <c r="AJ79" s="740">
        <v>11.78</v>
      </c>
      <c r="AK79" s="740">
        <v>11.9</v>
      </c>
      <c r="AL79" s="740">
        <v>12.01</v>
      </c>
      <c r="AM79" s="740">
        <v>12.12</v>
      </c>
      <c r="AN79" s="740">
        <v>12.22</v>
      </c>
      <c r="AO79" s="740">
        <v>12.3</v>
      </c>
      <c r="AP79" s="740">
        <v>12.38</v>
      </c>
      <c r="AQ79" s="740">
        <v>12.47</v>
      </c>
      <c r="AR79" s="740">
        <v>12.55</v>
      </c>
      <c r="AS79" s="740">
        <v>12.63</v>
      </c>
      <c r="AT79" s="740">
        <v>12.72</v>
      </c>
      <c r="AU79" s="740">
        <v>12.8</v>
      </c>
      <c r="AV79" s="740">
        <v>12.89</v>
      </c>
      <c r="AW79" s="740">
        <v>12.97</v>
      </c>
      <c r="AX79" s="740">
        <v>13.06</v>
      </c>
      <c r="AY79" s="740">
        <v>13.14</v>
      </c>
      <c r="AZ79" s="740">
        <v>13.22</v>
      </c>
      <c r="BA79" s="740">
        <v>13.31</v>
      </c>
      <c r="BB79" s="740">
        <v>13.39</v>
      </c>
      <c r="BC79" s="740">
        <v>13.47</v>
      </c>
      <c r="BD79" s="740">
        <v>13.55</v>
      </c>
      <c r="BE79" s="740">
        <v>13.63</v>
      </c>
      <c r="BF79" s="740">
        <v>13.71</v>
      </c>
      <c r="BG79" s="740">
        <v>13.8</v>
      </c>
      <c r="BH79" s="740">
        <v>13.88</v>
      </c>
      <c r="BI79" s="740">
        <v>13.96</v>
      </c>
      <c r="BJ79" s="740">
        <v>14.04</v>
      </c>
      <c r="BK79" s="740">
        <v>14.12</v>
      </c>
      <c r="BL79" s="740">
        <v>14.2</v>
      </c>
      <c r="BM79" s="740">
        <v>14.28</v>
      </c>
      <c r="BN79" s="740">
        <v>14.36</v>
      </c>
      <c r="BO79" s="740">
        <v>14.44</v>
      </c>
      <c r="BP79" s="740">
        <v>14.52</v>
      </c>
      <c r="BQ79" s="740">
        <v>14.6</v>
      </c>
      <c r="BR79" s="740">
        <v>14.68</v>
      </c>
      <c r="BS79" s="740">
        <v>14.76</v>
      </c>
      <c r="BT79" s="740">
        <v>14.84</v>
      </c>
      <c r="BU79" s="740">
        <v>14.92</v>
      </c>
      <c r="BV79" s="740">
        <v>14.99</v>
      </c>
      <c r="BW79" s="740">
        <v>15.07</v>
      </c>
      <c r="BX79" s="740">
        <v>15.15</v>
      </c>
      <c r="BY79" s="740">
        <v>15.23</v>
      </c>
      <c r="BZ79" s="740">
        <v>15.31</v>
      </c>
      <c r="CA79" s="740">
        <v>15.38</v>
      </c>
      <c r="CB79" s="740">
        <v>15.46</v>
      </c>
      <c r="CC79" s="740">
        <v>15.54</v>
      </c>
      <c r="CD79" s="740">
        <v>15.61</v>
      </c>
      <c r="CE79" s="740">
        <v>15.69</v>
      </c>
      <c r="CF79" s="740">
        <v>15.77</v>
      </c>
      <c r="CG79" s="740">
        <v>15.84</v>
      </c>
      <c r="CH79" s="740">
        <v>15.92</v>
      </c>
      <c r="CI79" s="740">
        <v>15.99</v>
      </c>
      <c r="CJ79" s="740">
        <v>16.07</v>
      </c>
      <c r="CK79" s="740">
        <v>16.14</v>
      </c>
      <c r="CL79" s="740">
        <v>16.22</v>
      </c>
      <c r="CM79" s="740">
        <v>16.29</v>
      </c>
      <c r="CN79" s="740">
        <v>16.37</v>
      </c>
      <c r="CO79" s="740">
        <v>16.440000000000001</v>
      </c>
      <c r="CP79" s="740">
        <v>16.510000000000002</v>
      </c>
      <c r="CQ79" s="740">
        <v>16.59</v>
      </c>
      <c r="CR79" s="740">
        <v>16.66</v>
      </c>
      <c r="CS79" s="740">
        <v>16.73</v>
      </c>
      <c r="CT79" s="740">
        <v>16.8</v>
      </c>
      <c r="CU79" s="740">
        <v>16.88</v>
      </c>
      <c r="CV79" s="740">
        <v>16.95</v>
      </c>
      <c r="CW79" s="740">
        <v>17.02</v>
      </c>
      <c r="CX79" s="740">
        <v>17.09</v>
      </c>
      <c r="CY79" s="740">
        <v>17.16</v>
      </c>
      <c r="CZ79" s="740">
        <v>17.23</v>
      </c>
      <c r="DA79" s="740">
        <v>17.3</v>
      </c>
      <c r="DB79" s="740">
        <v>17.37</v>
      </c>
      <c r="DC79" s="740">
        <v>17.440000000000001</v>
      </c>
      <c r="DD79" s="740">
        <v>17.510000000000002</v>
      </c>
      <c r="DE79" s="740">
        <v>17.579999999999998</v>
      </c>
      <c r="DF79" s="740">
        <v>17.649999999999999</v>
      </c>
      <c r="DG79" s="740">
        <v>17.71</v>
      </c>
      <c r="DH79" s="740">
        <v>17.78</v>
      </c>
      <c r="DI79" s="740">
        <v>17.850000000000001</v>
      </c>
      <c r="DJ79" s="740">
        <v>17.91</v>
      </c>
      <c r="DK79" s="740">
        <v>17.98</v>
      </c>
      <c r="DL79" s="740">
        <v>18.05</v>
      </c>
      <c r="DM79" s="740">
        <v>18.11</v>
      </c>
      <c r="DN79" s="740">
        <v>18.18</v>
      </c>
      <c r="DO79" s="740">
        <v>18.239999999999998</v>
      </c>
      <c r="DP79" s="740">
        <v>18.309999999999999</v>
      </c>
      <c r="DQ79" s="740">
        <v>18.37</v>
      </c>
      <c r="DR79" s="740">
        <v>18.440000000000001</v>
      </c>
    </row>
    <row r="80" spans="1:122">
      <c r="A80" s="912">
        <v>78</v>
      </c>
      <c r="B80" s="90"/>
      <c r="C80" s="90"/>
      <c r="D80" s="90"/>
      <c r="E80" s="90"/>
      <c r="F80" s="90"/>
      <c r="G80" s="90"/>
      <c r="H80" s="90"/>
      <c r="I80" s="90"/>
      <c r="J80" s="90"/>
      <c r="K80" s="90"/>
      <c r="L80" s="90"/>
      <c r="M80" s="90"/>
      <c r="N80" s="90"/>
      <c r="O80" s="90"/>
      <c r="P80" s="90"/>
      <c r="Q80" s="90"/>
      <c r="R80" s="90"/>
      <c r="S80" s="90"/>
      <c r="T80" s="90"/>
      <c r="U80" s="90"/>
      <c r="V80" s="740"/>
      <c r="W80" s="740">
        <v>10.039999999999999</v>
      </c>
      <c r="X80" s="740">
        <v>10.1</v>
      </c>
      <c r="Y80" s="740">
        <v>10.19</v>
      </c>
      <c r="Z80" s="740">
        <v>10.28</v>
      </c>
      <c r="AA80" s="740">
        <v>10.35</v>
      </c>
      <c r="AB80" s="740">
        <v>10.44</v>
      </c>
      <c r="AC80" s="740">
        <v>10.54</v>
      </c>
      <c r="AD80" s="740">
        <v>10.6</v>
      </c>
      <c r="AE80" s="740">
        <v>10.67</v>
      </c>
      <c r="AF80" s="740">
        <v>10.77</v>
      </c>
      <c r="AG80" s="740">
        <v>10.83</v>
      </c>
      <c r="AH80" s="740">
        <v>10.91</v>
      </c>
      <c r="AI80" s="740">
        <v>10.99</v>
      </c>
      <c r="AJ80" s="740">
        <v>11.09</v>
      </c>
      <c r="AK80" s="740">
        <v>11.21</v>
      </c>
      <c r="AL80" s="740">
        <v>11.31</v>
      </c>
      <c r="AM80" s="740">
        <v>11.42</v>
      </c>
      <c r="AN80" s="740">
        <v>11.51</v>
      </c>
      <c r="AO80" s="740">
        <v>11.59</v>
      </c>
      <c r="AP80" s="740">
        <v>11.67</v>
      </c>
      <c r="AQ80" s="740">
        <v>11.75</v>
      </c>
      <c r="AR80" s="740">
        <v>11.84</v>
      </c>
      <c r="AS80" s="740">
        <v>11.92</v>
      </c>
      <c r="AT80" s="740">
        <v>12</v>
      </c>
      <c r="AU80" s="740">
        <v>12.08</v>
      </c>
      <c r="AV80" s="740">
        <v>12.17</v>
      </c>
      <c r="AW80" s="740">
        <v>12.25</v>
      </c>
      <c r="AX80" s="740">
        <v>12.33</v>
      </c>
      <c r="AY80" s="740">
        <v>12.41</v>
      </c>
      <c r="AZ80" s="740">
        <v>12.49</v>
      </c>
      <c r="BA80" s="740">
        <v>12.57</v>
      </c>
      <c r="BB80" s="740">
        <v>12.64</v>
      </c>
      <c r="BC80" s="740">
        <v>12.72</v>
      </c>
      <c r="BD80" s="740">
        <v>12.8</v>
      </c>
      <c r="BE80" s="740">
        <v>12.88</v>
      </c>
      <c r="BF80" s="740">
        <v>12.96</v>
      </c>
      <c r="BG80" s="740">
        <v>13.04</v>
      </c>
      <c r="BH80" s="740">
        <v>13.12</v>
      </c>
      <c r="BI80" s="740">
        <v>13.19</v>
      </c>
      <c r="BJ80" s="740">
        <v>13.27</v>
      </c>
      <c r="BK80" s="740">
        <v>13.35</v>
      </c>
      <c r="BL80" s="740">
        <v>13.43</v>
      </c>
      <c r="BM80" s="740">
        <v>13.51</v>
      </c>
      <c r="BN80" s="740">
        <v>13.58</v>
      </c>
      <c r="BO80" s="740">
        <v>13.66</v>
      </c>
      <c r="BP80" s="740">
        <v>13.74</v>
      </c>
      <c r="BQ80" s="740">
        <v>13.81</v>
      </c>
      <c r="BR80" s="740">
        <v>13.89</v>
      </c>
      <c r="BS80" s="740">
        <v>13.97</v>
      </c>
      <c r="BT80" s="740">
        <v>14.04</v>
      </c>
      <c r="BU80" s="740">
        <v>14.12</v>
      </c>
      <c r="BV80" s="740">
        <v>14.2</v>
      </c>
      <c r="BW80" s="740">
        <v>14.27</v>
      </c>
      <c r="BX80" s="740">
        <v>14.35</v>
      </c>
      <c r="BY80" s="740">
        <v>14.42</v>
      </c>
      <c r="BZ80" s="740">
        <v>14.5</v>
      </c>
      <c r="CA80" s="740">
        <v>14.57</v>
      </c>
      <c r="CB80" s="740">
        <v>14.65</v>
      </c>
      <c r="CC80" s="740">
        <v>14.72</v>
      </c>
      <c r="CD80" s="740">
        <v>14.8</v>
      </c>
      <c r="CE80" s="740">
        <v>14.87</v>
      </c>
      <c r="CF80" s="740">
        <v>14.95</v>
      </c>
      <c r="CG80" s="740">
        <v>15.02</v>
      </c>
      <c r="CH80" s="740">
        <v>15.09</v>
      </c>
      <c r="CI80" s="740">
        <v>15.17</v>
      </c>
      <c r="CJ80" s="740">
        <v>15.24</v>
      </c>
      <c r="CK80" s="740">
        <v>15.31</v>
      </c>
      <c r="CL80" s="740">
        <v>15.38</v>
      </c>
      <c r="CM80" s="740">
        <v>15.46</v>
      </c>
      <c r="CN80" s="740">
        <v>15.53</v>
      </c>
      <c r="CO80" s="740">
        <v>15.6</v>
      </c>
      <c r="CP80" s="740">
        <v>15.67</v>
      </c>
      <c r="CQ80" s="740">
        <v>15.74</v>
      </c>
      <c r="CR80" s="740">
        <v>15.81</v>
      </c>
      <c r="CS80" s="740">
        <v>15.88</v>
      </c>
      <c r="CT80" s="740">
        <v>15.95</v>
      </c>
      <c r="CU80" s="740">
        <v>16.02</v>
      </c>
      <c r="CV80" s="740">
        <v>16.09</v>
      </c>
      <c r="CW80" s="740">
        <v>16.16</v>
      </c>
      <c r="CX80" s="740">
        <v>16.23</v>
      </c>
      <c r="CY80" s="740">
        <v>16.3</v>
      </c>
      <c r="CZ80" s="740">
        <v>16.37</v>
      </c>
      <c r="DA80" s="740">
        <v>16.440000000000001</v>
      </c>
      <c r="DB80" s="740">
        <v>16.5</v>
      </c>
      <c r="DC80" s="740">
        <v>16.57</v>
      </c>
      <c r="DD80" s="740">
        <v>16.64</v>
      </c>
      <c r="DE80" s="740">
        <v>16.7</v>
      </c>
      <c r="DF80" s="740">
        <v>16.77</v>
      </c>
      <c r="DG80" s="740">
        <v>16.84</v>
      </c>
      <c r="DH80" s="740">
        <v>16.899999999999999</v>
      </c>
      <c r="DI80" s="740">
        <v>16.97</v>
      </c>
      <c r="DJ80" s="740">
        <v>17.03</v>
      </c>
      <c r="DK80" s="740">
        <v>17.100000000000001</v>
      </c>
      <c r="DL80" s="740">
        <v>17.16</v>
      </c>
      <c r="DM80" s="740">
        <v>17.23</v>
      </c>
      <c r="DN80" s="740">
        <v>17.29</v>
      </c>
      <c r="DO80" s="740">
        <v>17.36</v>
      </c>
      <c r="DP80" s="740">
        <v>17.420000000000002</v>
      </c>
      <c r="DQ80" s="740">
        <v>17.48</v>
      </c>
      <c r="DR80" s="740">
        <v>17.54</v>
      </c>
    </row>
    <row r="81" spans="1:122">
      <c r="A81" s="912">
        <v>79</v>
      </c>
      <c r="B81" s="90"/>
      <c r="C81" s="90"/>
      <c r="D81" s="90"/>
      <c r="E81" s="90"/>
      <c r="F81" s="90"/>
      <c r="G81" s="90"/>
      <c r="H81" s="90"/>
      <c r="I81" s="90"/>
      <c r="J81" s="90"/>
      <c r="K81" s="90"/>
      <c r="L81" s="90"/>
      <c r="M81" s="90"/>
      <c r="N81" s="90"/>
      <c r="O81" s="90"/>
      <c r="P81" s="90"/>
      <c r="Q81" s="90"/>
      <c r="R81" s="90"/>
      <c r="S81" s="90"/>
      <c r="T81" s="90"/>
      <c r="U81" s="90"/>
      <c r="V81" s="740"/>
      <c r="W81" s="740">
        <v>9.44</v>
      </c>
      <c r="X81" s="740">
        <v>9.48</v>
      </c>
      <c r="Y81" s="740">
        <v>9.58</v>
      </c>
      <c r="Z81" s="740">
        <v>9.67</v>
      </c>
      <c r="AA81" s="740">
        <v>9.7200000000000006</v>
      </c>
      <c r="AB81" s="740">
        <v>9.8000000000000007</v>
      </c>
      <c r="AC81" s="740">
        <v>9.9</v>
      </c>
      <c r="AD81" s="740">
        <v>9.94</v>
      </c>
      <c r="AE81" s="740">
        <v>10.02</v>
      </c>
      <c r="AF81" s="740">
        <v>10.119999999999999</v>
      </c>
      <c r="AG81" s="740">
        <v>10.17</v>
      </c>
      <c r="AH81" s="740">
        <v>10.25</v>
      </c>
      <c r="AI81" s="740">
        <v>10.33</v>
      </c>
      <c r="AJ81" s="740">
        <v>10.43</v>
      </c>
      <c r="AK81" s="740">
        <v>10.53</v>
      </c>
      <c r="AL81" s="740">
        <v>10.63</v>
      </c>
      <c r="AM81" s="740">
        <v>10.73</v>
      </c>
      <c r="AN81" s="740">
        <v>10.82</v>
      </c>
      <c r="AO81" s="740">
        <v>10.9</v>
      </c>
      <c r="AP81" s="740">
        <v>10.98</v>
      </c>
      <c r="AQ81" s="740">
        <v>11.06</v>
      </c>
      <c r="AR81" s="740">
        <v>11.14</v>
      </c>
      <c r="AS81" s="740">
        <v>11.22</v>
      </c>
      <c r="AT81" s="740">
        <v>11.3</v>
      </c>
      <c r="AU81" s="740">
        <v>11.38</v>
      </c>
      <c r="AV81" s="740">
        <v>11.45</v>
      </c>
      <c r="AW81" s="740">
        <v>11.53</v>
      </c>
      <c r="AX81" s="740">
        <v>11.61</v>
      </c>
      <c r="AY81" s="740">
        <v>11.69</v>
      </c>
      <c r="AZ81" s="740">
        <v>11.76</v>
      </c>
      <c r="BA81" s="740">
        <v>11.84</v>
      </c>
      <c r="BB81" s="740">
        <v>11.91</v>
      </c>
      <c r="BC81" s="740">
        <v>11.99</v>
      </c>
      <c r="BD81" s="740">
        <v>12.07</v>
      </c>
      <c r="BE81" s="740">
        <v>12.14</v>
      </c>
      <c r="BF81" s="740">
        <v>12.22</v>
      </c>
      <c r="BG81" s="740">
        <v>12.29</v>
      </c>
      <c r="BH81" s="740">
        <v>12.37</v>
      </c>
      <c r="BI81" s="740">
        <v>12.44</v>
      </c>
      <c r="BJ81" s="740">
        <v>12.52</v>
      </c>
      <c r="BK81" s="740">
        <v>12.59</v>
      </c>
      <c r="BL81" s="740">
        <v>12.67</v>
      </c>
      <c r="BM81" s="740">
        <v>12.74</v>
      </c>
      <c r="BN81" s="740">
        <v>12.82</v>
      </c>
      <c r="BO81" s="740">
        <v>12.89</v>
      </c>
      <c r="BP81" s="740">
        <v>12.97</v>
      </c>
      <c r="BQ81" s="740">
        <v>13.04</v>
      </c>
      <c r="BR81" s="740">
        <v>13.12</v>
      </c>
      <c r="BS81" s="740">
        <v>13.19</v>
      </c>
      <c r="BT81" s="740">
        <v>13.26</v>
      </c>
      <c r="BU81" s="740">
        <v>13.34</v>
      </c>
      <c r="BV81" s="740">
        <v>13.41</v>
      </c>
      <c r="BW81" s="740">
        <v>13.48</v>
      </c>
      <c r="BX81" s="740">
        <v>13.56</v>
      </c>
      <c r="BY81" s="740">
        <v>13.63</v>
      </c>
      <c r="BZ81" s="740">
        <v>13.7</v>
      </c>
      <c r="CA81" s="740">
        <v>13.78</v>
      </c>
      <c r="CB81" s="740">
        <v>13.85</v>
      </c>
      <c r="CC81" s="740">
        <v>13.92</v>
      </c>
      <c r="CD81" s="740">
        <v>13.99</v>
      </c>
      <c r="CE81" s="740">
        <v>14.06</v>
      </c>
      <c r="CF81" s="740">
        <v>14.14</v>
      </c>
      <c r="CG81" s="740">
        <v>14.21</v>
      </c>
      <c r="CH81" s="740">
        <v>14.28</v>
      </c>
      <c r="CI81" s="740">
        <v>14.35</v>
      </c>
      <c r="CJ81" s="740">
        <v>14.42</v>
      </c>
      <c r="CK81" s="740">
        <v>14.49</v>
      </c>
      <c r="CL81" s="740">
        <v>14.56</v>
      </c>
      <c r="CM81" s="740">
        <v>14.63</v>
      </c>
      <c r="CN81" s="740">
        <v>14.7</v>
      </c>
      <c r="CO81" s="740">
        <v>14.77</v>
      </c>
      <c r="CP81" s="740">
        <v>14.84</v>
      </c>
      <c r="CQ81" s="740">
        <v>14.91</v>
      </c>
      <c r="CR81" s="740">
        <v>14.98</v>
      </c>
      <c r="CS81" s="740">
        <v>15.04</v>
      </c>
      <c r="CT81" s="740">
        <v>15.11</v>
      </c>
      <c r="CU81" s="740">
        <v>15.18</v>
      </c>
      <c r="CV81" s="740">
        <v>15.25</v>
      </c>
      <c r="CW81" s="740">
        <v>15.31</v>
      </c>
      <c r="CX81" s="740">
        <v>15.38</v>
      </c>
      <c r="CY81" s="740">
        <v>15.45</v>
      </c>
      <c r="CZ81" s="740">
        <v>15.52</v>
      </c>
      <c r="DA81" s="740">
        <v>15.58</v>
      </c>
      <c r="DB81" s="740">
        <v>15.65</v>
      </c>
      <c r="DC81" s="740">
        <v>15.71</v>
      </c>
      <c r="DD81" s="740">
        <v>15.78</v>
      </c>
      <c r="DE81" s="740">
        <v>15.84</v>
      </c>
      <c r="DF81" s="740">
        <v>15.91</v>
      </c>
      <c r="DG81" s="740">
        <v>15.97</v>
      </c>
      <c r="DH81" s="740">
        <v>16.04</v>
      </c>
      <c r="DI81" s="740">
        <v>16.100000000000001</v>
      </c>
      <c r="DJ81" s="740">
        <v>16.16</v>
      </c>
      <c r="DK81" s="740">
        <v>16.23</v>
      </c>
      <c r="DL81" s="740">
        <v>16.29</v>
      </c>
      <c r="DM81" s="740">
        <v>16.350000000000001</v>
      </c>
      <c r="DN81" s="740">
        <v>16.41</v>
      </c>
      <c r="DO81" s="740">
        <v>16.48</v>
      </c>
      <c r="DP81" s="740">
        <v>16.54</v>
      </c>
      <c r="DQ81" s="740">
        <v>16.600000000000001</v>
      </c>
      <c r="DR81" s="740">
        <v>16.66</v>
      </c>
    </row>
    <row r="82" spans="1:122">
      <c r="A82" s="912">
        <v>80</v>
      </c>
      <c r="B82" s="90"/>
      <c r="C82" s="90"/>
      <c r="D82" s="90"/>
      <c r="E82" s="90"/>
      <c r="F82" s="90"/>
      <c r="G82" s="90"/>
      <c r="H82" s="90"/>
      <c r="I82" s="90"/>
      <c r="J82" s="90"/>
      <c r="K82" s="90"/>
      <c r="L82" s="90"/>
      <c r="M82" s="90"/>
      <c r="N82" s="90"/>
      <c r="O82" s="90"/>
      <c r="P82" s="90"/>
      <c r="Q82" s="90"/>
      <c r="R82" s="90"/>
      <c r="S82" s="90"/>
      <c r="T82" s="90"/>
      <c r="U82" s="90"/>
      <c r="V82" s="740"/>
      <c r="W82" s="740">
        <v>8.85</v>
      </c>
      <c r="X82" s="740">
        <v>8.89</v>
      </c>
      <c r="Y82" s="740">
        <v>8.99</v>
      </c>
      <c r="Z82" s="740">
        <v>9.07</v>
      </c>
      <c r="AA82" s="740">
        <v>9.11</v>
      </c>
      <c r="AB82" s="740">
        <v>9.18</v>
      </c>
      <c r="AC82" s="740">
        <v>9.27</v>
      </c>
      <c r="AD82" s="740">
        <v>9.32</v>
      </c>
      <c r="AE82" s="740">
        <v>9.4</v>
      </c>
      <c r="AF82" s="740">
        <v>9.48</v>
      </c>
      <c r="AG82" s="740">
        <v>9.5399999999999991</v>
      </c>
      <c r="AH82" s="740">
        <v>9.61</v>
      </c>
      <c r="AI82" s="740">
        <v>9.6999999999999993</v>
      </c>
      <c r="AJ82" s="740">
        <v>9.7799999999999994</v>
      </c>
      <c r="AK82" s="740">
        <v>9.8800000000000008</v>
      </c>
      <c r="AL82" s="740">
        <v>9.9700000000000006</v>
      </c>
      <c r="AM82" s="740">
        <v>10.07</v>
      </c>
      <c r="AN82" s="740">
        <v>10.16</v>
      </c>
      <c r="AO82" s="740">
        <v>10.23</v>
      </c>
      <c r="AP82" s="740">
        <v>10.31</v>
      </c>
      <c r="AQ82" s="740">
        <v>10.38</v>
      </c>
      <c r="AR82" s="740">
        <v>10.46</v>
      </c>
      <c r="AS82" s="740">
        <v>10.53</v>
      </c>
      <c r="AT82" s="740">
        <v>10.61</v>
      </c>
      <c r="AU82" s="740">
        <v>10.69</v>
      </c>
      <c r="AV82" s="740">
        <v>10.76</v>
      </c>
      <c r="AW82" s="740">
        <v>10.83</v>
      </c>
      <c r="AX82" s="740">
        <v>10.91</v>
      </c>
      <c r="AY82" s="740">
        <v>10.98</v>
      </c>
      <c r="AZ82" s="740">
        <v>11.05</v>
      </c>
      <c r="BA82" s="740">
        <v>11.13</v>
      </c>
      <c r="BB82" s="740">
        <v>11.2</v>
      </c>
      <c r="BC82" s="740">
        <v>11.27</v>
      </c>
      <c r="BD82" s="740">
        <v>11.35</v>
      </c>
      <c r="BE82" s="740">
        <v>11.42</v>
      </c>
      <c r="BF82" s="740">
        <v>11.49</v>
      </c>
      <c r="BG82" s="740">
        <v>11.56</v>
      </c>
      <c r="BH82" s="740">
        <v>11.64</v>
      </c>
      <c r="BI82" s="740">
        <v>11.71</v>
      </c>
      <c r="BJ82" s="740">
        <v>11.78</v>
      </c>
      <c r="BK82" s="740">
        <v>11.85</v>
      </c>
      <c r="BL82" s="740">
        <v>11.93</v>
      </c>
      <c r="BM82" s="740">
        <v>12</v>
      </c>
      <c r="BN82" s="740">
        <v>12.07</v>
      </c>
      <c r="BO82" s="740">
        <v>12.14</v>
      </c>
      <c r="BP82" s="740">
        <v>12.21</v>
      </c>
      <c r="BQ82" s="740">
        <v>12.28</v>
      </c>
      <c r="BR82" s="740">
        <v>12.36</v>
      </c>
      <c r="BS82" s="740">
        <v>12.43</v>
      </c>
      <c r="BT82" s="740">
        <v>12.5</v>
      </c>
      <c r="BU82" s="740">
        <v>12.57</v>
      </c>
      <c r="BV82" s="740">
        <v>12.64</v>
      </c>
      <c r="BW82" s="740">
        <v>12.71</v>
      </c>
      <c r="BX82" s="740">
        <v>12.78</v>
      </c>
      <c r="BY82" s="740">
        <v>12.85</v>
      </c>
      <c r="BZ82" s="740">
        <v>12.92</v>
      </c>
      <c r="CA82" s="740">
        <v>12.99</v>
      </c>
      <c r="CB82" s="740">
        <v>13.06</v>
      </c>
      <c r="CC82" s="740">
        <v>13.13</v>
      </c>
      <c r="CD82" s="740">
        <v>13.2</v>
      </c>
      <c r="CE82" s="740">
        <v>13.27</v>
      </c>
      <c r="CF82" s="740">
        <v>13.34</v>
      </c>
      <c r="CG82" s="740">
        <v>13.41</v>
      </c>
      <c r="CH82" s="740">
        <v>13.48</v>
      </c>
      <c r="CI82" s="740">
        <v>13.55</v>
      </c>
      <c r="CJ82" s="740">
        <v>13.61</v>
      </c>
      <c r="CK82" s="740">
        <v>13.68</v>
      </c>
      <c r="CL82" s="740">
        <v>13.75</v>
      </c>
      <c r="CM82" s="740">
        <v>13.82</v>
      </c>
      <c r="CN82" s="740">
        <v>13.88</v>
      </c>
      <c r="CO82" s="740">
        <v>13.95</v>
      </c>
      <c r="CP82" s="740">
        <v>14.02</v>
      </c>
      <c r="CQ82" s="740">
        <v>14.09</v>
      </c>
      <c r="CR82" s="740">
        <v>14.15</v>
      </c>
      <c r="CS82" s="740">
        <v>14.22</v>
      </c>
      <c r="CT82" s="740">
        <v>14.28</v>
      </c>
      <c r="CU82" s="740">
        <v>14.35</v>
      </c>
      <c r="CV82" s="740">
        <v>14.42</v>
      </c>
      <c r="CW82" s="740">
        <v>14.48</v>
      </c>
      <c r="CX82" s="740">
        <v>14.55</v>
      </c>
      <c r="CY82" s="740">
        <v>14.61</v>
      </c>
      <c r="CZ82" s="740">
        <v>14.67</v>
      </c>
      <c r="DA82" s="740">
        <v>14.74</v>
      </c>
      <c r="DB82" s="740">
        <v>14.8</v>
      </c>
      <c r="DC82" s="740">
        <v>14.87</v>
      </c>
      <c r="DD82" s="740">
        <v>14.93</v>
      </c>
      <c r="DE82" s="740">
        <v>14.99</v>
      </c>
      <c r="DF82" s="740">
        <v>15.06</v>
      </c>
      <c r="DG82" s="740">
        <v>15.12</v>
      </c>
      <c r="DH82" s="740">
        <v>15.18</v>
      </c>
      <c r="DI82" s="740">
        <v>15.24</v>
      </c>
      <c r="DJ82" s="740">
        <v>15.3</v>
      </c>
      <c r="DK82" s="740">
        <v>15.37</v>
      </c>
      <c r="DL82" s="740">
        <v>15.43</v>
      </c>
      <c r="DM82" s="740">
        <v>15.49</v>
      </c>
      <c r="DN82" s="740">
        <v>15.55</v>
      </c>
      <c r="DO82" s="740">
        <v>15.61</v>
      </c>
      <c r="DP82" s="740">
        <v>15.67</v>
      </c>
      <c r="DQ82" s="740">
        <v>15.73</v>
      </c>
      <c r="DR82" s="740">
        <v>15.79</v>
      </c>
    </row>
    <row r="83" spans="1:122">
      <c r="A83" s="912">
        <v>81</v>
      </c>
      <c r="B83" s="90"/>
      <c r="C83" s="90"/>
      <c r="D83" s="90"/>
      <c r="E83" s="90"/>
      <c r="F83" s="90"/>
      <c r="G83" s="90"/>
      <c r="H83" s="90"/>
      <c r="I83" s="90"/>
      <c r="J83" s="90"/>
      <c r="K83" s="90"/>
      <c r="L83" s="90"/>
      <c r="M83" s="90"/>
      <c r="N83" s="90"/>
      <c r="O83" s="90"/>
      <c r="P83" s="90"/>
      <c r="Q83" s="90"/>
      <c r="R83" s="90"/>
      <c r="S83" s="90"/>
      <c r="T83" s="90"/>
      <c r="U83" s="90"/>
      <c r="V83" s="740"/>
      <c r="W83" s="740">
        <v>8.2899999999999991</v>
      </c>
      <c r="X83" s="740">
        <v>8.34</v>
      </c>
      <c r="Y83" s="740">
        <v>8.41</v>
      </c>
      <c r="Z83" s="740">
        <v>8.48</v>
      </c>
      <c r="AA83" s="740">
        <v>8.52</v>
      </c>
      <c r="AB83" s="740">
        <v>8.59</v>
      </c>
      <c r="AC83" s="740">
        <v>8.67</v>
      </c>
      <c r="AD83" s="740">
        <v>8.7200000000000006</v>
      </c>
      <c r="AE83" s="740">
        <v>8.7799999999999994</v>
      </c>
      <c r="AF83" s="740">
        <v>8.8699999999999992</v>
      </c>
      <c r="AG83" s="740">
        <v>8.92</v>
      </c>
      <c r="AH83" s="740">
        <v>9</v>
      </c>
      <c r="AI83" s="740">
        <v>9.07</v>
      </c>
      <c r="AJ83" s="740">
        <v>9.16</v>
      </c>
      <c r="AK83" s="740">
        <v>9.25</v>
      </c>
      <c r="AL83" s="740">
        <v>9.34</v>
      </c>
      <c r="AM83" s="740">
        <v>9.43</v>
      </c>
      <c r="AN83" s="740">
        <v>9.5</v>
      </c>
      <c r="AO83" s="740">
        <v>9.58</v>
      </c>
      <c r="AP83" s="740">
        <v>9.65</v>
      </c>
      <c r="AQ83" s="740">
        <v>9.7200000000000006</v>
      </c>
      <c r="AR83" s="740">
        <v>9.8000000000000007</v>
      </c>
      <c r="AS83" s="740">
        <v>9.8699999999999992</v>
      </c>
      <c r="AT83" s="740">
        <v>9.94</v>
      </c>
      <c r="AU83" s="740">
        <v>10.01</v>
      </c>
      <c r="AV83" s="740">
        <v>10.08</v>
      </c>
      <c r="AW83" s="740">
        <v>10.15</v>
      </c>
      <c r="AX83" s="740">
        <v>10.220000000000001</v>
      </c>
      <c r="AY83" s="740">
        <v>10.29</v>
      </c>
      <c r="AZ83" s="740">
        <v>10.36</v>
      </c>
      <c r="BA83" s="740">
        <v>10.43</v>
      </c>
      <c r="BB83" s="740">
        <v>10.5</v>
      </c>
      <c r="BC83" s="740">
        <v>10.57</v>
      </c>
      <c r="BD83" s="740">
        <v>10.64</v>
      </c>
      <c r="BE83" s="740">
        <v>10.71</v>
      </c>
      <c r="BF83" s="740">
        <v>10.78</v>
      </c>
      <c r="BG83" s="740">
        <v>10.85</v>
      </c>
      <c r="BH83" s="740">
        <v>10.92</v>
      </c>
      <c r="BI83" s="740">
        <v>10.99</v>
      </c>
      <c r="BJ83" s="740">
        <v>11.06</v>
      </c>
      <c r="BK83" s="740">
        <v>11.13</v>
      </c>
      <c r="BL83" s="740">
        <v>11.2</v>
      </c>
      <c r="BM83" s="740">
        <v>11.27</v>
      </c>
      <c r="BN83" s="740">
        <v>11.34</v>
      </c>
      <c r="BO83" s="740">
        <v>11.41</v>
      </c>
      <c r="BP83" s="740">
        <v>11.48</v>
      </c>
      <c r="BQ83" s="740">
        <v>11.54</v>
      </c>
      <c r="BR83" s="740">
        <v>11.61</v>
      </c>
      <c r="BS83" s="740">
        <v>11.68</v>
      </c>
      <c r="BT83" s="740">
        <v>11.75</v>
      </c>
      <c r="BU83" s="740">
        <v>11.82</v>
      </c>
      <c r="BV83" s="740">
        <v>11.89</v>
      </c>
      <c r="BW83" s="740">
        <v>11.95</v>
      </c>
      <c r="BX83" s="740">
        <v>12.02</v>
      </c>
      <c r="BY83" s="740">
        <v>12.09</v>
      </c>
      <c r="BZ83" s="740">
        <v>12.16</v>
      </c>
      <c r="CA83" s="740">
        <v>12.22</v>
      </c>
      <c r="CB83" s="740">
        <v>12.29</v>
      </c>
      <c r="CC83" s="740">
        <v>12.36</v>
      </c>
      <c r="CD83" s="740">
        <v>12.43</v>
      </c>
      <c r="CE83" s="740">
        <v>12.49</v>
      </c>
      <c r="CF83" s="740">
        <v>12.56</v>
      </c>
      <c r="CG83" s="740">
        <v>12.63</v>
      </c>
      <c r="CH83" s="740">
        <v>12.69</v>
      </c>
      <c r="CI83" s="740">
        <v>12.76</v>
      </c>
      <c r="CJ83" s="740">
        <v>12.82</v>
      </c>
      <c r="CK83" s="740">
        <v>12.89</v>
      </c>
      <c r="CL83" s="740">
        <v>12.96</v>
      </c>
      <c r="CM83" s="740">
        <v>13.02</v>
      </c>
      <c r="CN83" s="740">
        <v>13.09</v>
      </c>
      <c r="CO83" s="740">
        <v>13.15</v>
      </c>
      <c r="CP83" s="740">
        <v>13.22</v>
      </c>
      <c r="CQ83" s="740">
        <v>13.28</v>
      </c>
      <c r="CR83" s="740">
        <v>13.34</v>
      </c>
      <c r="CS83" s="740">
        <v>13.41</v>
      </c>
      <c r="CT83" s="740">
        <v>13.47</v>
      </c>
      <c r="CU83" s="740">
        <v>13.54</v>
      </c>
      <c r="CV83" s="740">
        <v>13.6</v>
      </c>
      <c r="CW83" s="740">
        <v>13.66</v>
      </c>
      <c r="CX83" s="740">
        <v>13.72</v>
      </c>
      <c r="CY83" s="740">
        <v>13.79</v>
      </c>
      <c r="CZ83" s="740">
        <v>13.85</v>
      </c>
      <c r="DA83" s="740">
        <v>13.91</v>
      </c>
      <c r="DB83" s="740">
        <v>13.97</v>
      </c>
      <c r="DC83" s="740">
        <v>14.03</v>
      </c>
      <c r="DD83" s="740">
        <v>14.1</v>
      </c>
      <c r="DE83" s="740">
        <v>14.16</v>
      </c>
      <c r="DF83" s="740">
        <v>14.22</v>
      </c>
      <c r="DG83" s="740">
        <v>14.28</v>
      </c>
      <c r="DH83" s="740">
        <v>14.34</v>
      </c>
      <c r="DI83" s="740">
        <v>14.4</v>
      </c>
      <c r="DJ83" s="740">
        <v>14.46</v>
      </c>
      <c r="DK83" s="740">
        <v>14.52</v>
      </c>
      <c r="DL83" s="740">
        <v>14.58</v>
      </c>
      <c r="DM83" s="740">
        <v>14.64</v>
      </c>
      <c r="DN83" s="740">
        <v>14.69</v>
      </c>
      <c r="DO83" s="740">
        <v>14.75</v>
      </c>
      <c r="DP83" s="740">
        <v>14.81</v>
      </c>
      <c r="DQ83" s="740">
        <v>14.87</v>
      </c>
      <c r="DR83" s="740">
        <v>14.93</v>
      </c>
    </row>
    <row r="84" spans="1:122">
      <c r="A84" s="912">
        <v>82</v>
      </c>
      <c r="B84" s="90"/>
      <c r="C84" s="90"/>
      <c r="D84" s="90"/>
      <c r="E84" s="90"/>
      <c r="F84" s="90"/>
      <c r="G84" s="90"/>
      <c r="H84" s="90"/>
      <c r="I84" s="90"/>
      <c r="J84" s="90"/>
      <c r="K84" s="90"/>
      <c r="L84" s="90"/>
      <c r="M84" s="90"/>
      <c r="N84" s="90"/>
      <c r="O84" s="90"/>
      <c r="P84" s="90"/>
      <c r="Q84" s="90"/>
      <c r="R84" s="90"/>
      <c r="S84" s="90"/>
      <c r="T84" s="90"/>
      <c r="U84" s="90"/>
      <c r="V84" s="740"/>
      <c r="W84" s="740">
        <v>7.76</v>
      </c>
      <c r="X84" s="740">
        <v>7.79</v>
      </c>
      <c r="Y84" s="740">
        <v>7.85</v>
      </c>
      <c r="Z84" s="740">
        <v>7.91</v>
      </c>
      <c r="AA84" s="740">
        <v>7.95</v>
      </c>
      <c r="AB84" s="740">
        <v>8.02</v>
      </c>
      <c r="AC84" s="740">
        <v>8.09</v>
      </c>
      <c r="AD84" s="740">
        <v>8.1300000000000008</v>
      </c>
      <c r="AE84" s="740">
        <v>8.19</v>
      </c>
      <c r="AF84" s="740">
        <v>8.2799999999999994</v>
      </c>
      <c r="AG84" s="740">
        <v>8.34</v>
      </c>
      <c r="AH84" s="740">
        <v>8.39</v>
      </c>
      <c r="AI84" s="740">
        <v>8.48</v>
      </c>
      <c r="AJ84" s="740">
        <v>8.5500000000000007</v>
      </c>
      <c r="AK84" s="740">
        <v>8.65</v>
      </c>
      <c r="AL84" s="740">
        <v>8.73</v>
      </c>
      <c r="AM84" s="740">
        <v>8.8000000000000007</v>
      </c>
      <c r="AN84" s="740">
        <v>8.8800000000000008</v>
      </c>
      <c r="AO84" s="740">
        <v>8.9499999999999993</v>
      </c>
      <c r="AP84" s="740">
        <v>9.02</v>
      </c>
      <c r="AQ84" s="740">
        <v>9.09</v>
      </c>
      <c r="AR84" s="740">
        <v>9.16</v>
      </c>
      <c r="AS84" s="740">
        <v>9.2200000000000006</v>
      </c>
      <c r="AT84" s="740">
        <v>9.2899999999999991</v>
      </c>
      <c r="AU84" s="740">
        <v>9.36</v>
      </c>
      <c r="AV84" s="740">
        <v>9.43</v>
      </c>
      <c r="AW84" s="740">
        <v>9.5</v>
      </c>
      <c r="AX84" s="740">
        <v>9.56</v>
      </c>
      <c r="AY84" s="740">
        <v>9.6300000000000008</v>
      </c>
      <c r="AZ84" s="740">
        <v>9.6999999999999993</v>
      </c>
      <c r="BA84" s="740">
        <v>9.76</v>
      </c>
      <c r="BB84" s="740">
        <v>9.83</v>
      </c>
      <c r="BC84" s="740">
        <v>9.9</v>
      </c>
      <c r="BD84" s="740">
        <v>9.9600000000000009</v>
      </c>
      <c r="BE84" s="740">
        <v>10.029999999999999</v>
      </c>
      <c r="BF84" s="740">
        <v>10.1</v>
      </c>
      <c r="BG84" s="740">
        <v>10.16</v>
      </c>
      <c r="BH84" s="740">
        <v>10.23</v>
      </c>
      <c r="BI84" s="740">
        <v>10.29</v>
      </c>
      <c r="BJ84" s="740">
        <v>10.36</v>
      </c>
      <c r="BK84" s="740">
        <v>10.43</v>
      </c>
      <c r="BL84" s="740">
        <v>10.49</v>
      </c>
      <c r="BM84" s="740">
        <v>10.56</v>
      </c>
      <c r="BN84" s="740">
        <v>10.63</v>
      </c>
      <c r="BO84" s="740">
        <v>10.69</v>
      </c>
      <c r="BP84" s="740">
        <v>10.76</v>
      </c>
      <c r="BQ84" s="740">
        <v>10.82</v>
      </c>
      <c r="BR84" s="740">
        <v>10.89</v>
      </c>
      <c r="BS84" s="740">
        <v>10.96</v>
      </c>
      <c r="BT84" s="740">
        <v>11.02</v>
      </c>
      <c r="BU84" s="740">
        <v>11.09</v>
      </c>
      <c r="BV84" s="740">
        <v>11.15</v>
      </c>
      <c r="BW84" s="740">
        <v>11.22</v>
      </c>
      <c r="BX84" s="740">
        <v>11.28</v>
      </c>
      <c r="BY84" s="740">
        <v>11.35</v>
      </c>
      <c r="BZ84" s="740">
        <v>11.41</v>
      </c>
      <c r="CA84" s="740">
        <v>11.48</v>
      </c>
      <c r="CB84" s="740">
        <v>11.54</v>
      </c>
      <c r="CC84" s="740">
        <v>11.61</v>
      </c>
      <c r="CD84" s="740">
        <v>11.67</v>
      </c>
      <c r="CE84" s="740">
        <v>11.73</v>
      </c>
      <c r="CF84" s="740">
        <v>11.8</v>
      </c>
      <c r="CG84" s="740">
        <v>11.86</v>
      </c>
      <c r="CH84" s="740">
        <v>11.93</v>
      </c>
      <c r="CI84" s="740">
        <v>11.99</v>
      </c>
      <c r="CJ84" s="740">
        <v>12.05</v>
      </c>
      <c r="CK84" s="740">
        <v>12.12</v>
      </c>
      <c r="CL84" s="740">
        <v>12.18</v>
      </c>
      <c r="CM84" s="740">
        <v>12.24</v>
      </c>
      <c r="CN84" s="740">
        <v>12.3</v>
      </c>
      <c r="CO84" s="740">
        <v>12.37</v>
      </c>
      <c r="CP84" s="740">
        <v>12.43</v>
      </c>
      <c r="CQ84" s="740">
        <v>12.49</v>
      </c>
      <c r="CR84" s="740">
        <v>12.55</v>
      </c>
      <c r="CS84" s="740">
        <v>12.61</v>
      </c>
      <c r="CT84" s="740">
        <v>12.68</v>
      </c>
      <c r="CU84" s="740">
        <v>12.74</v>
      </c>
      <c r="CV84" s="740">
        <v>12.8</v>
      </c>
      <c r="CW84" s="740">
        <v>12.86</v>
      </c>
      <c r="CX84" s="740">
        <v>12.92</v>
      </c>
      <c r="CY84" s="740">
        <v>12.98</v>
      </c>
      <c r="CZ84" s="740">
        <v>13.04</v>
      </c>
      <c r="DA84" s="740">
        <v>13.1</v>
      </c>
      <c r="DB84" s="740">
        <v>13.16</v>
      </c>
      <c r="DC84" s="740">
        <v>13.22</v>
      </c>
      <c r="DD84" s="740">
        <v>13.28</v>
      </c>
      <c r="DE84" s="740">
        <v>13.34</v>
      </c>
      <c r="DF84" s="740">
        <v>13.4</v>
      </c>
      <c r="DG84" s="740">
        <v>13.45</v>
      </c>
      <c r="DH84" s="740">
        <v>13.51</v>
      </c>
      <c r="DI84" s="740">
        <v>13.57</v>
      </c>
      <c r="DJ84" s="740">
        <v>13.63</v>
      </c>
      <c r="DK84" s="740">
        <v>13.69</v>
      </c>
      <c r="DL84" s="740">
        <v>13.74</v>
      </c>
      <c r="DM84" s="740">
        <v>13.8</v>
      </c>
      <c r="DN84" s="740">
        <v>13.86</v>
      </c>
      <c r="DO84" s="740">
        <v>13.91</v>
      </c>
      <c r="DP84" s="740">
        <v>13.97</v>
      </c>
      <c r="DQ84" s="740">
        <v>14.02</v>
      </c>
      <c r="DR84" s="740">
        <v>14.08</v>
      </c>
    </row>
    <row r="85" spans="1:122">
      <c r="A85" s="912">
        <v>83</v>
      </c>
      <c r="B85" s="90"/>
      <c r="C85" s="90"/>
      <c r="D85" s="90"/>
      <c r="E85" s="90"/>
      <c r="F85" s="90"/>
      <c r="G85" s="90"/>
      <c r="H85" s="90"/>
      <c r="I85" s="90"/>
      <c r="J85" s="90"/>
      <c r="K85" s="90"/>
      <c r="L85" s="90"/>
      <c r="M85" s="90"/>
      <c r="N85" s="90"/>
      <c r="O85" s="90"/>
      <c r="P85" s="90"/>
      <c r="Q85" s="90"/>
      <c r="R85" s="90"/>
      <c r="S85" s="90"/>
      <c r="T85" s="90"/>
      <c r="U85" s="90"/>
      <c r="V85" s="740"/>
      <c r="W85" s="740">
        <v>7.24</v>
      </c>
      <c r="X85" s="740">
        <v>7.25</v>
      </c>
      <c r="Y85" s="740">
        <v>7.31</v>
      </c>
      <c r="Z85" s="740">
        <v>7.36</v>
      </c>
      <c r="AA85" s="740">
        <v>7.4</v>
      </c>
      <c r="AB85" s="740">
        <v>7.48</v>
      </c>
      <c r="AC85" s="740">
        <v>7.53</v>
      </c>
      <c r="AD85" s="740">
        <v>7.58</v>
      </c>
      <c r="AE85" s="740">
        <v>7.63</v>
      </c>
      <c r="AF85" s="740">
        <v>7.72</v>
      </c>
      <c r="AG85" s="740">
        <v>7.76</v>
      </c>
      <c r="AH85" s="740">
        <v>7.83</v>
      </c>
      <c r="AI85" s="740">
        <v>7.9</v>
      </c>
      <c r="AJ85" s="740">
        <v>7.99</v>
      </c>
      <c r="AK85" s="740">
        <v>8.07</v>
      </c>
      <c r="AL85" s="740">
        <v>8.14</v>
      </c>
      <c r="AM85" s="740">
        <v>8.2100000000000009</v>
      </c>
      <c r="AN85" s="740">
        <v>8.27</v>
      </c>
      <c r="AO85" s="740">
        <v>8.34</v>
      </c>
      <c r="AP85" s="740">
        <v>8.41</v>
      </c>
      <c r="AQ85" s="740">
        <v>8.4700000000000006</v>
      </c>
      <c r="AR85" s="740">
        <v>8.5399999999999991</v>
      </c>
      <c r="AS85" s="740">
        <v>8.6</v>
      </c>
      <c r="AT85" s="740">
        <v>8.67</v>
      </c>
      <c r="AU85" s="740">
        <v>8.73</v>
      </c>
      <c r="AV85" s="740">
        <v>8.8000000000000007</v>
      </c>
      <c r="AW85" s="740">
        <v>8.86</v>
      </c>
      <c r="AX85" s="740">
        <v>8.92</v>
      </c>
      <c r="AY85" s="740">
        <v>8.99</v>
      </c>
      <c r="AZ85" s="740">
        <v>9.0500000000000007</v>
      </c>
      <c r="BA85" s="740">
        <v>9.11</v>
      </c>
      <c r="BB85" s="740">
        <v>9.18</v>
      </c>
      <c r="BC85" s="740">
        <v>9.24</v>
      </c>
      <c r="BD85" s="740">
        <v>9.3000000000000007</v>
      </c>
      <c r="BE85" s="740">
        <v>9.3699999999999992</v>
      </c>
      <c r="BF85" s="740">
        <v>9.43</v>
      </c>
      <c r="BG85" s="740">
        <v>9.49</v>
      </c>
      <c r="BH85" s="740">
        <v>9.56</v>
      </c>
      <c r="BI85" s="740">
        <v>9.6199999999999992</v>
      </c>
      <c r="BJ85" s="740">
        <v>9.68</v>
      </c>
      <c r="BK85" s="740">
        <v>9.75</v>
      </c>
      <c r="BL85" s="740">
        <v>9.81</v>
      </c>
      <c r="BM85" s="740">
        <v>9.8699999999999992</v>
      </c>
      <c r="BN85" s="740">
        <v>9.94</v>
      </c>
      <c r="BO85" s="740">
        <v>10</v>
      </c>
      <c r="BP85" s="740">
        <v>10.06</v>
      </c>
      <c r="BQ85" s="740">
        <v>10.130000000000001</v>
      </c>
      <c r="BR85" s="740">
        <v>10.19</v>
      </c>
      <c r="BS85" s="740">
        <v>10.25</v>
      </c>
      <c r="BT85" s="740">
        <v>10.31</v>
      </c>
      <c r="BU85" s="740">
        <v>10.38</v>
      </c>
      <c r="BV85" s="740">
        <v>10.44</v>
      </c>
      <c r="BW85" s="740">
        <v>10.5</v>
      </c>
      <c r="BX85" s="740">
        <v>10.56</v>
      </c>
      <c r="BY85" s="740">
        <v>10.63</v>
      </c>
      <c r="BZ85" s="740">
        <v>10.69</v>
      </c>
      <c r="CA85" s="740">
        <v>10.75</v>
      </c>
      <c r="CB85" s="740">
        <v>10.81</v>
      </c>
      <c r="CC85" s="740">
        <v>10.87</v>
      </c>
      <c r="CD85" s="740">
        <v>10.94</v>
      </c>
      <c r="CE85" s="740">
        <v>11</v>
      </c>
      <c r="CF85" s="740">
        <v>11.06</v>
      </c>
      <c r="CG85" s="740">
        <v>11.12</v>
      </c>
      <c r="CH85" s="740">
        <v>11.18</v>
      </c>
      <c r="CI85" s="740">
        <v>11.24</v>
      </c>
      <c r="CJ85" s="740">
        <v>11.3</v>
      </c>
      <c r="CK85" s="740">
        <v>11.36</v>
      </c>
      <c r="CL85" s="740">
        <v>11.42</v>
      </c>
      <c r="CM85" s="740">
        <v>11.48</v>
      </c>
      <c r="CN85" s="740">
        <v>11.54</v>
      </c>
      <c r="CO85" s="740">
        <v>11.6</v>
      </c>
      <c r="CP85" s="740">
        <v>11.66</v>
      </c>
      <c r="CQ85" s="740">
        <v>11.72</v>
      </c>
      <c r="CR85" s="740">
        <v>11.78</v>
      </c>
      <c r="CS85" s="740">
        <v>11.84</v>
      </c>
      <c r="CT85" s="740">
        <v>11.9</v>
      </c>
      <c r="CU85" s="740">
        <v>11.96</v>
      </c>
      <c r="CV85" s="740">
        <v>12.02</v>
      </c>
      <c r="CW85" s="740">
        <v>12.08</v>
      </c>
      <c r="CX85" s="740">
        <v>12.13</v>
      </c>
      <c r="CY85" s="740">
        <v>12.19</v>
      </c>
      <c r="CZ85" s="740">
        <v>12.25</v>
      </c>
      <c r="DA85" s="740">
        <v>12.31</v>
      </c>
      <c r="DB85" s="740">
        <v>12.36</v>
      </c>
      <c r="DC85" s="740">
        <v>12.42</v>
      </c>
      <c r="DD85" s="740">
        <v>12.48</v>
      </c>
      <c r="DE85" s="740">
        <v>12.54</v>
      </c>
      <c r="DF85" s="740">
        <v>12.59</v>
      </c>
      <c r="DG85" s="740">
        <v>12.65</v>
      </c>
      <c r="DH85" s="740">
        <v>12.7</v>
      </c>
      <c r="DI85" s="740">
        <v>12.76</v>
      </c>
      <c r="DJ85" s="740">
        <v>12.81</v>
      </c>
      <c r="DK85" s="740">
        <v>12.87</v>
      </c>
      <c r="DL85" s="740">
        <v>12.93</v>
      </c>
      <c r="DM85" s="740">
        <v>12.98</v>
      </c>
      <c r="DN85" s="740">
        <v>13.03</v>
      </c>
      <c r="DO85" s="740">
        <v>13.09</v>
      </c>
      <c r="DP85" s="740">
        <v>13.14</v>
      </c>
      <c r="DQ85" s="740">
        <v>13.2</v>
      </c>
      <c r="DR85" s="740">
        <v>13.25</v>
      </c>
    </row>
    <row r="86" spans="1:122">
      <c r="A86" s="912">
        <v>84</v>
      </c>
      <c r="B86" s="90"/>
      <c r="C86" s="90"/>
      <c r="D86" s="90"/>
      <c r="E86" s="90"/>
      <c r="F86" s="90"/>
      <c r="G86" s="90"/>
      <c r="H86" s="90"/>
      <c r="I86" s="90"/>
      <c r="J86" s="90"/>
      <c r="K86" s="90"/>
      <c r="L86" s="90"/>
      <c r="M86" s="90"/>
      <c r="N86" s="90"/>
      <c r="O86" s="90"/>
      <c r="P86" s="90"/>
      <c r="Q86" s="90"/>
      <c r="R86" s="90"/>
      <c r="S86" s="90"/>
      <c r="T86" s="90"/>
      <c r="U86" s="90"/>
      <c r="V86" s="740"/>
      <c r="W86" s="740">
        <v>6.74</v>
      </c>
      <c r="X86" s="740">
        <v>6.74</v>
      </c>
      <c r="Y86" s="740">
        <v>6.79</v>
      </c>
      <c r="Z86" s="740">
        <v>6.84</v>
      </c>
      <c r="AA86" s="740">
        <v>6.89</v>
      </c>
      <c r="AB86" s="740">
        <v>6.95</v>
      </c>
      <c r="AC86" s="740">
        <v>7</v>
      </c>
      <c r="AD86" s="740">
        <v>7.04</v>
      </c>
      <c r="AE86" s="740">
        <v>7.11</v>
      </c>
      <c r="AF86" s="740">
        <v>7.17</v>
      </c>
      <c r="AG86" s="740">
        <v>7.22</v>
      </c>
      <c r="AH86" s="740">
        <v>7.28</v>
      </c>
      <c r="AI86" s="740">
        <v>7.36</v>
      </c>
      <c r="AJ86" s="740">
        <v>7.44</v>
      </c>
      <c r="AK86" s="740">
        <v>7.5</v>
      </c>
      <c r="AL86" s="740">
        <v>7.57</v>
      </c>
      <c r="AM86" s="740">
        <v>7.63</v>
      </c>
      <c r="AN86" s="740">
        <v>7.7</v>
      </c>
      <c r="AO86" s="740">
        <v>7.76</v>
      </c>
      <c r="AP86" s="740">
        <v>7.82</v>
      </c>
      <c r="AQ86" s="740">
        <v>7.88</v>
      </c>
      <c r="AR86" s="740">
        <v>7.95</v>
      </c>
      <c r="AS86" s="740">
        <v>8.01</v>
      </c>
      <c r="AT86" s="740">
        <v>8.07</v>
      </c>
      <c r="AU86" s="740">
        <v>8.1300000000000008</v>
      </c>
      <c r="AV86" s="740">
        <v>8.19</v>
      </c>
      <c r="AW86" s="740">
        <v>8.25</v>
      </c>
      <c r="AX86" s="740">
        <v>8.31</v>
      </c>
      <c r="AY86" s="740">
        <v>8.3699999999999992</v>
      </c>
      <c r="AZ86" s="740">
        <v>8.43</v>
      </c>
      <c r="BA86" s="740">
        <v>8.49</v>
      </c>
      <c r="BB86" s="740">
        <v>8.5500000000000007</v>
      </c>
      <c r="BC86" s="740">
        <v>8.61</v>
      </c>
      <c r="BD86" s="740">
        <v>8.67</v>
      </c>
      <c r="BE86" s="740">
        <v>8.73</v>
      </c>
      <c r="BF86" s="740">
        <v>8.7899999999999991</v>
      </c>
      <c r="BG86" s="740">
        <v>8.85</v>
      </c>
      <c r="BH86" s="740">
        <v>8.91</v>
      </c>
      <c r="BI86" s="740">
        <v>8.9700000000000006</v>
      </c>
      <c r="BJ86" s="740">
        <v>9.0299999999999994</v>
      </c>
      <c r="BK86" s="740">
        <v>9.09</v>
      </c>
      <c r="BL86" s="740">
        <v>9.15</v>
      </c>
      <c r="BM86" s="740">
        <v>9.2100000000000009</v>
      </c>
      <c r="BN86" s="740">
        <v>9.27</v>
      </c>
      <c r="BO86" s="740">
        <v>9.33</v>
      </c>
      <c r="BP86" s="740">
        <v>9.39</v>
      </c>
      <c r="BQ86" s="740">
        <v>9.4499999999999993</v>
      </c>
      <c r="BR86" s="740">
        <v>9.51</v>
      </c>
      <c r="BS86" s="740">
        <v>9.57</v>
      </c>
      <c r="BT86" s="740">
        <v>9.6300000000000008</v>
      </c>
      <c r="BU86" s="740">
        <v>9.69</v>
      </c>
      <c r="BV86" s="740">
        <v>9.75</v>
      </c>
      <c r="BW86" s="740">
        <v>9.81</v>
      </c>
      <c r="BX86" s="740">
        <v>9.8699999999999992</v>
      </c>
      <c r="BY86" s="740">
        <v>9.93</v>
      </c>
      <c r="BZ86" s="740">
        <v>9.99</v>
      </c>
      <c r="CA86" s="740">
        <v>10.050000000000001</v>
      </c>
      <c r="CB86" s="740">
        <v>10.11</v>
      </c>
      <c r="CC86" s="740">
        <v>10.17</v>
      </c>
      <c r="CD86" s="740">
        <v>10.220000000000001</v>
      </c>
      <c r="CE86" s="740">
        <v>10.28</v>
      </c>
      <c r="CF86" s="740">
        <v>10.34</v>
      </c>
      <c r="CG86" s="740">
        <v>10.4</v>
      </c>
      <c r="CH86" s="740">
        <v>10.46</v>
      </c>
      <c r="CI86" s="740">
        <v>10.52</v>
      </c>
      <c r="CJ86" s="740">
        <v>10.57</v>
      </c>
      <c r="CK86" s="740">
        <v>10.63</v>
      </c>
      <c r="CL86" s="740">
        <v>10.69</v>
      </c>
      <c r="CM86" s="740">
        <v>10.75</v>
      </c>
      <c r="CN86" s="740">
        <v>10.8</v>
      </c>
      <c r="CO86" s="740">
        <v>10.86</v>
      </c>
      <c r="CP86" s="740">
        <v>10.92</v>
      </c>
      <c r="CQ86" s="740">
        <v>10.98</v>
      </c>
      <c r="CR86" s="740">
        <v>11.03</v>
      </c>
      <c r="CS86" s="740">
        <v>11.09</v>
      </c>
      <c r="CT86" s="740">
        <v>11.15</v>
      </c>
      <c r="CU86" s="740">
        <v>11.2</v>
      </c>
      <c r="CV86" s="740">
        <v>11.26</v>
      </c>
      <c r="CW86" s="740">
        <v>11.31</v>
      </c>
      <c r="CX86" s="740">
        <v>11.37</v>
      </c>
      <c r="CY86" s="740">
        <v>11.42</v>
      </c>
      <c r="CZ86" s="740">
        <v>11.48</v>
      </c>
      <c r="DA86" s="740">
        <v>11.54</v>
      </c>
      <c r="DB86" s="740">
        <v>11.59</v>
      </c>
      <c r="DC86" s="740">
        <v>11.64</v>
      </c>
      <c r="DD86" s="740">
        <v>11.7</v>
      </c>
      <c r="DE86" s="740">
        <v>11.75</v>
      </c>
      <c r="DF86" s="740">
        <v>11.81</v>
      </c>
      <c r="DG86" s="740">
        <v>11.86</v>
      </c>
      <c r="DH86" s="740">
        <v>11.92</v>
      </c>
      <c r="DI86" s="740">
        <v>11.97</v>
      </c>
      <c r="DJ86" s="740">
        <v>12.02</v>
      </c>
      <c r="DK86" s="740">
        <v>12.07</v>
      </c>
      <c r="DL86" s="740">
        <v>12.13</v>
      </c>
      <c r="DM86" s="740">
        <v>12.18</v>
      </c>
      <c r="DN86" s="740">
        <v>12.23</v>
      </c>
      <c r="DO86" s="740">
        <v>12.28</v>
      </c>
      <c r="DP86" s="740">
        <v>12.34</v>
      </c>
      <c r="DQ86" s="740">
        <v>12.39</v>
      </c>
      <c r="DR86" s="740">
        <v>12.44</v>
      </c>
    </row>
    <row r="87" spans="1:122">
      <c r="A87" s="912">
        <v>85</v>
      </c>
      <c r="B87" s="90"/>
      <c r="C87" s="90"/>
      <c r="D87" s="90"/>
      <c r="E87" s="90"/>
      <c r="F87" s="90"/>
      <c r="G87" s="90"/>
      <c r="H87" s="90"/>
      <c r="I87" s="90"/>
      <c r="J87" s="90"/>
      <c r="K87" s="90"/>
      <c r="L87" s="90"/>
      <c r="M87" s="90"/>
      <c r="N87" s="90"/>
      <c r="O87" s="90"/>
      <c r="P87" s="90"/>
      <c r="Q87" s="90"/>
      <c r="R87" s="90"/>
      <c r="S87" s="90"/>
      <c r="T87" s="90"/>
      <c r="U87" s="90"/>
      <c r="V87" s="740"/>
      <c r="W87" s="740">
        <v>6.25</v>
      </c>
      <c r="X87" s="740">
        <v>6.24</v>
      </c>
      <c r="Y87" s="740">
        <v>6.29</v>
      </c>
      <c r="Z87" s="740">
        <v>6.35</v>
      </c>
      <c r="AA87" s="740">
        <v>6.39</v>
      </c>
      <c r="AB87" s="740">
        <v>6.44</v>
      </c>
      <c r="AC87" s="740">
        <v>6.5</v>
      </c>
      <c r="AD87" s="740">
        <v>6.55</v>
      </c>
      <c r="AE87" s="740">
        <v>6.59</v>
      </c>
      <c r="AF87" s="740">
        <v>6.67</v>
      </c>
      <c r="AG87" s="740">
        <v>6.7</v>
      </c>
      <c r="AH87" s="740">
        <v>6.76</v>
      </c>
      <c r="AI87" s="740">
        <v>6.85</v>
      </c>
      <c r="AJ87" s="740">
        <v>6.9</v>
      </c>
      <c r="AK87" s="740">
        <v>6.97</v>
      </c>
      <c r="AL87" s="740">
        <v>7.03</v>
      </c>
      <c r="AM87" s="740">
        <v>7.09</v>
      </c>
      <c r="AN87" s="740">
        <v>7.15</v>
      </c>
      <c r="AO87" s="740">
        <v>7.21</v>
      </c>
      <c r="AP87" s="740">
        <v>7.27</v>
      </c>
      <c r="AQ87" s="740">
        <v>7.33</v>
      </c>
      <c r="AR87" s="740">
        <v>7.38</v>
      </c>
      <c r="AS87" s="740">
        <v>7.44</v>
      </c>
      <c r="AT87" s="740">
        <v>7.5</v>
      </c>
      <c r="AU87" s="740">
        <v>7.56</v>
      </c>
      <c r="AV87" s="740">
        <v>7.61</v>
      </c>
      <c r="AW87" s="740">
        <v>7.67</v>
      </c>
      <c r="AX87" s="740">
        <v>7.73</v>
      </c>
      <c r="AY87" s="740">
        <v>7.78</v>
      </c>
      <c r="AZ87" s="740">
        <v>7.84</v>
      </c>
      <c r="BA87" s="740">
        <v>7.9</v>
      </c>
      <c r="BB87" s="740">
        <v>7.95</v>
      </c>
      <c r="BC87" s="740">
        <v>8.01</v>
      </c>
      <c r="BD87" s="740">
        <v>8.07</v>
      </c>
      <c r="BE87" s="740">
        <v>8.1300000000000008</v>
      </c>
      <c r="BF87" s="740">
        <v>8.18</v>
      </c>
      <c r="BG87" s="740">
        <v>8.24</v>
      </c>
      <c r="BH87" s="740">
        <v>8.3000000000000007</v>
      </c>
      <c r="BI87" s="740">
        <v>8.35</v>
      </c>
      <c r="BJ87" s="740">
        <v>8.41</v>
      </c>
      <c r="BK87" s="740">
        <v>8.4700000000000006</v>
      </c>
      <c r="BL87" s="740">
        <v>8.52</v>
      </c>
      <c r="BM87" s="740">
        <v>8.58</v>
      </c>
      <c r="BN87" s="740">
        <v>8.64</v>
      </c>
      <c r="BO87" s="740">
        <v>8.69</v>
      </c>
      <c r="BP87" s="740">
        <v>8.75</v>
      </c>
      <c r="BQ87" s="740">
        <v>8.81</v>
      </c>
      <c r="BR87" s="740">
        <v>8.86</v>
      </c>
      <c r="BS87" s="740">
        <v>8.92</v>
      </c>
      <c r="BT87" s="740">
        <v>8.98</v>
      </c>
      <c r="BU87" s="740">
        <v>9.0299999999999994</v>
      </c>
      <c r="BV87" s="740">
        <v>9.09</v>
      </c>
      <c r="BW87" s="740">
        <v>9.15</v>
      </c>
      <c r="BX87" s="740">
        <v>9.1999999999999993</v>
      </c>
      <c r="BY87" s="740">
        <v>9.26</v>
      </c>
      <c r="BZ87" s="740">
        <v>9.32</v>
      </c>
      <c r="CA87" s="740">
        <v>9.3699999999999992</v>
      </c>
      <c r="CB87" s="740">
        <v>9.43</v>
      </c>
      <c r="CC87" s="740">
        <v>9.48</v>
      </c>
      <c r="CD87" s="740">
        <v>9.5399999999999991</v>
      </c>
      <c r="CE87" s="740">
        <v>9.6</v>
      </c>
      <c r="CF87" s="740">
        <v>9.65</v>
      </c>
      <c r="CG87" s="740">
        <v>9.7100000000000009</v>
      </c>
      <c r="CH87" s="740">
        <v>9.76</v>
      </c>
      <c r="CI87" s="740">
        <v>9.82</v>
      </c>
      <c r="CJ87" s="740">
        <v>9.8699999999999992</v>
      </c>
      <c r="CK87" s="740">
        <v>9.93</v>
      </c>
      <c r="CL87" s="740">
        <v>9.98</v>
      </c>
      <c r="CM87" s="740">
        <v>10.039999999999999</v>
      </c>
      <c r="CN87" s="740">
        <v>10.09</v>
      </c>
      <c r="CO87" s="740">
        <v>10.15</v>
      </c>
      <c r="CP87" s="740">
        <v>10.199999999999999</v>
      </c>
      <c r="CQ87" s="740">
        <v>10.25</v>
      </c>
      <c r="CR87" s="740">
        <v>10.31</v>
      </c>
      <c r="CS87" s="740">
        <v>10.36</v>
      </c>
      <c r="CT87" s="740">
        <v>10.42</v>
      </c>
      <c r="CU87" s="740">
        <v>10.47</v>
      </c>
      <c r="CV87" s="740">
        <v>10.52</v>
      </c>
      <c r="CW87" s="740">
        <v>10.58</v>
      </c>
      <c r="CX87" s="740">
        <v>10.63</v>
      </c>
      <c r="CY87" s="740">
        <v>10.68</v>
      </c>
      <c r="CZ87" s="740">
        <v>10.73</v>
      </c>
      <c r="DA87" s="740">
        <v>10.79</v>
      </c>
      <c r="DB87" s="740">
        <v>10.84</v>
      </c>
      <c r="DC87" s="740">
        <v>10.89</v>
      </c>
      <c r="DD87" s="740">
        <v>10.94</v>
      </c>
      <c r="DE87" s="740">
        <v>10.99</v>
      </c>
      <c r="DF87" s="740">
        <v>11.05</v>
      </c>
      <c r="DG87" s="740">
        <v>11.1</v>
      </c>
      <c r="DH87" s="740">
        <v>11.15</v>
      </c>
      <c r="DI87" s="740">
        <v>11.2</v>
      </c>
      <c r="DJ87" s="740">
        <v>11.25</v>
      </c>
      <c r="DK87" s="740">
        <v>11.3</v>
      </c>
      <c r="DL87" s="740">
        <v>11.35</v>
      </c>
      <c r="DM87" s="740">
        <v>11.4</v>
      </c>
      <c r="DN87" s="740">
        <v>11.45</v>
      </c>
      <c r="DO87" s="740">
        <v>11.5</v>
      </c>
      <c r="DP87" s="740">
        <v>11.55</v>
      </c>
      <c r="DQ87" s="740">
        <v>11.6</v>
      </c>
      <c r="DR87" s="740">
        <v>11.65</v>
      </c>
    </row>
    <row r="88" spans="1:122">
      <c r="A88" s="912">
        <v>86</v>
      </c>
      <c r="B88" s="90"/>
      <c r="C88" s="90"/>
      <c r="D88" s="90"/>
      <c r="E88" s="90"/>
      <c r="F88" s="90"/>
      <c r="G88" s="90"/>
      <c r="H88" s="90"/>
      <c r="I88" s="90"/>
      <c r="J88" s="90"/>
      <c r="K88" s="90"/>
      <c r="L88" s="90"/>
      <c r="M88" s="90"/>
      <c r="N88" s="90"/>
      <c r="O88" s="90"/>
      <c r="P88" s="90"/>
      <c r="Q88" s="90"/>
      <c r="R88" s="90"/>
      <c r="S88" s="90"/>
      <c r="T88" s="90"/>
      <c r="U88" s="90"/>
      <c r="V88" s="740"/>
      <c r="W88" s="740">
        <v>5.78</v>
      </c>
      <c r="X88" s="740">
        <v>5.78</v>
      </c>
      <c r="Y88" s="740">
        <v>5.84</v>
      </c>
      <c r="Z88" s="740">
        <v>5.88</v>
      </c>
      <c r="AA88" s="740">
        <v>5.91</v>
      </c>
      <c r="AB88" s="740">
        <v>5.97</v>
      </c>
      <c r="AC88" s="740">
        <v>6.03</v>
      </c>
      <c r="AD88" s="740">
        <v>6.06</v>
      </c>
      <c r="AE88" s="740">
        <v>6.11</v>
      </c>
      <c r="AF88" s="740">
        <v>6.17</v>
      </c>
      <c r="AG88" s="740">
        <v>6.22</v>
      </c>
      <c r="AH88" s="740">
        <v>6.28</v>
      </c>
      <c r="AI88" s="740">
        <v>6.34</v>
      </c>
      <c r="AJ88" s="740">
        <v>6.4</v>
      </c>
      <c r="AK88" s="740">
        <v>6.46</v>
      </c>
      <c r="AL88" s="740">
        <v>6.52</v>
      </c>
      <c r="AM88" s="740">
        <v>6.57</v>
      </c>
      <c r="AN88" s="740">
        <v>6.63</v>
      </c>
      <c r="AO88" s="740">
        <v>6.69</v>
      </c>
      <c r="AP88" s="740">
        <v>6.74</v>
      </c>
      <c r="AQ88" s="740">
        <v>6.8</v>
      </c>
      <c r="AR88" s="740">
        <v>6.85</v>
      </c>
      <c r="AS88" s="740">
        <v>6.91</v>
      </c>
      <c r="AT88" s="740">
        <v>6.96</v>
      </c>
      <c r="AU88" s="740">
        <v>7.01</v>
      </c>
      <c r="AV88" s="740">
        <v>7.07</v>
      </c>
      <c r="AW88" s="740">
        <v>7.12</v>
      </c>
      <c r="AX88" s="740">
        <v>7.17</v>
      </c>
      <c r="AY88" s="740">
        <v>7.23</v>
      </c>
      <c r="AZ88" s="740">
        <v>7.28</v>
      </c>
      <c r="BA88" s="740">
        <v>7.33</v>
      </c>
      <c r="BB88" s="740">
        <v>7.39</v>
      </c>
      <c r="BC88" s="740">
        <v>7.44</v>
      </c>
      <c r="BD88" s="740">
        <v>7.49</v>
      </c>
      <c r="BE88" s="740">
        <v>7.55</v>
      </c>
      <c r="BF88" s="740">
        <v>7.6</v>
      </c>
      <c r="BG88" s="740">
        <v>7.66</v>
      </c>
      <c r="BH88" s="740">
        <v>7.71</v>
      </c>
      <c r="BI88" s="740">
        <v>7.76</v>
      </c>
      <c r="BJ88" s="740">
        <v>7.82</v>
      </c>
      <c r="BK88" s="740">
        <v>7.87</v>
      </c>
      <c r="BL88" s="740">
        <v>7.92</v>
      </c>
      <c r="BM88" s="740">
        <v>7.98</v>
      </c>
      <c r="BN88" s="740">
        <v>8.0299999999999994</v>
      </c>
      <c r="BO88" s="740">
        <v>8.08</v>
      </c>
      <c r="BP88" s="740">
        <v>8.14</v>
      </c>
      <c r="BQ88" s="740">
        <v>8.19</v>
      </c>
      <c r="BR88" s="740">
        <v>8.25</v>
      </c>
      <c r="BS88" s="740">
        <v>8.3000000000000007</v>
      </c>
      <c r="BT88" s="740">
        <v>8.35</v>
      </c>
      <c r="BU88" s="740">
        <v>8.41</v>
      </c>
      <c r="BV88" s="740">
        <v>8.4600000000000009</v>
      </c>
      <c r="BW88" s="740">
        <v>8.51</v>
      </c>
      <c r="BX88" s="740">
        <v>8.57</v>
      </c>
      <c r="BY88" s="740">
        <v>8.6199999999999992</v>
      </c>
      <c r="BZ88" s="740">
        <v>8.67</v>
      </c>
      <c r="CA88" s="740">
        <v>8.7200000000000006</v>
      </c>
      <c r="CB88" s="740">
        <v>8.7799999999999994</v>
      </c>
      <c r="CC88" s="740">
        <v>8.83</v>
      </c>
      <c r="CD88" s="740">
        <v>8.8800000000000008</v>
      </c>
      <c r="CE88" s="740">
        <v>8.94</v>
      </c>
      <c r="CF88" s="740">
        <v>8.99</v>
      </c>
      <c r="CG88" s="740">
        <v>9.0399999999999991</v>
      </c>
      <c r="CH88" s="740">
        <v>9.09</v>
      </c>
      <c r="CI88" s="740">
        <v>9.14</v>
      </c>
      <c r="CJ88" s="740">
        <v>9.1999999999999993</v>
      </c>
      <c r="CK88" s="740">
        <v>9.25</v>
      </c>
      <c r="CL88" s="740">
        <v>9.3000000000000007</v>
      </c>
      <c r="CM88" s="740">
        <v>9.35</v>
      </c>
      <c r="CN88" s="740">
        <v>9.4</v>
      </c>
      <c r="CO88" s="740">
        <v>9.4600000000000009</v>
      </c>
      <c r="CP88" s="740">
        <v>9.51</v>
      </c>
      <c r="CQ88" s="740">
        <v>9.56</v>
      </c>
      <c r="CR88" s="740">
        <v>9.61</v>
      </c>
      <c r="CS88" s="740">
        <v>9.66</v>
      </c>
      <c r="CT88" s="740">
        <v>9.7100000000000009</v>
      </c>
      <c r="CU88" s="740">
        <v>9.76</v>
      </c>
      <c r="CV88" s="740">
        <v>9.81</v>
      </c>
      <c r="CW88" s="740">
        <v>9.86</v>
      </c>
      <c r="CX88" s="740">
        <v>9.91</v>
      </c>
      <c r="CY88" s="740">
        <v>9.9600000000000009</v>
      </c>
      <c r="CZ88" s="740">
        <v>10.01</v>
      </c>
      <c r="DA88" s="740">
        <v>10.06</v>
      </c>
      <c r="DB88" s="740">
        <v>10.11</v>
      </c>
      <c r="DC88" s="740">
        <v>10.16</v>
      </c>
      <c r="DD88" s="740">
        <v>10.210000000000001</v>
      </c>
      <c r="DE88" s="740">
        <v>10.26</v>
      </c>
      <c r="DF88" s="740">
        <v>10.31</v>
      </c>
      <c r="DG88" s="740">
        <v>10.36</v>
      </c>
      <c r="DH88" s="740">
        <v>10.41</v>
      </c>
      <c r="DI88" s="740">
        <v>10.46</v>
      </c>
      <c r="DJ88" s="740">
        <v>10.5</v>
      </c>
      <c r="DK88" s="740">
        <v>10.55</v>
      </c>
      <c r="DL88" s="740">
        <v>10.6</v>
      </c>
      <c r="DM88" s="740">
        <v>10.65</v>
      </c>
      <c r="DN88" s="740">
        <v>10.69</v>
      </c>
      <c r="DO88" s="740">
        <v>10.74</v>
      </c>
      <c r="DP88" s="740">
        <v>10.79</v>
      </c>
      <c r="DQ88" s="740">
        <v>10.84</v>
      </c>
      <c r="DR88" s="740">
        <v>10.88</v>
      </c>
    </row>
    <row r="89" spans="1:122">
      <c r="A89" s="912">
        <v>87</v>
      </c>
      <c r="B89" s="90"/>
      <c r="C89" s="90"/>
      <c r="D89" s="90"/>
      <c r="E89" s="90"/>
      <c r="F89" s="90"/>
      <c r="G89" s="90"/>
      <c r="H89" s="90"/>
      <c r="I89" s="90"/>
      <c r="J89" s="90"/>
      <c r="K89" s="90"/>
      <c r="L89" s="90"/>
      <c r="M89" s="90"/>
      <c r="N89" s="90"/>
      <c r="O89" s="90"/>
      <c r="P89" s="90"/>
      <c r="Q89" s="90"/>
      <c r="R89" s="90"/>
      <c r="S89" s="90"/>
      <c r="T89" s="90"/>
      <c r="U89" s="90"/>
      <c r="V89" s="740"/>
      <c r="W89" s="740">
        <v>5.35</v>
      </c>
      <c r="X89" s="740">
        <v>5.36</v>
      </c>
      <c r="Y89" s="740">
        <v>5.4</v>
      </c>
      <c r="Z89" s="740">
        <v>5.43</v>
      </c>
      <c r="AA89" s="740">
        <v>5.47</v>
      </c>
      <c r="AB89" s="740">
        <v>5.54</v>
      </c>
      <c r="AC89" s="740">
        <v>5.57</v>
      </c>
      <c r="AD89" s="740">
        <v>5.62</v>
      </c>
      <c r="AE89" s="740">
        <v>5.65</v>
      </c>
      <c r="AF89" s="740">
        <v>5.72</v>
      </c>
      <c r="AG89" s="740">
        <v>5.77</v>
      </c>
      <c r="AH89" s="740">
        <v>5.82</v>
      </c>
      <c r="AI89" s="740">
        <v>5.88</v>
      </c>
      <c r="AJ89" s="740">
        <v>5.93</v>
      </c>
      <c r="AK89" s="740">
        <v>5.98</v>
      </c>
      <c r="AL89" s="740">
        <v>6.04</v>
      </c>
      <c r="AM89" s="740">
        <v>6.09</v>
      </c>
      <c r="AN89" s="740">
        <v>6.14</v>
      </c>
      <c r="AO89" s="740">
        <v>6.2</v>
      </c>
      <c r="AP89" s="740">
        <v>6.25</v>
      </c>
      <c r="AQ89" s="740">
        <v>6.3</v>
      </c>
      <c r="AR89" s="740">
        <v>6.35</v>
      </c>
      <c r="AS89" s="740">
        <v>6.4</v>
      </c>
      <c r="AT89" s="740">
        <v>6.45</v>
      </c>
      <c r="AU89" s="740">
        <v>6.5</v>
      </c>
      <c r="AV89" s="740">
        <v>6.55</v>
      </c>
      <c r="AW89" s="740">
        <v>6.6</v>
      </c>
      <c r="AX89" s="740">
        <v>6.65</v>
      </c>
      <c r="AY89" s="740">
        <v>6.7</v>
      </c>
      <c r="AZ89" s="740">
        <v>6.75</v>
      </c>
      <c r="BA89" s="740">
        <v>6.8</v>
      </c>
      <c r="BB89" s="740">
        <v>6.85</v>
      </c>
      <c r="BC89" s="740">
        <v>6.9</v>
      </c>
      <c r="BD89" s="740">
        <v>6.95</v>
      </c>
      <c r="BE89" s="740">
        <v>7</v>
      </c>
      <c r="BF89" s="740">
        <v>7.05</v>
      </c>
      <c r="BG89" s="740">
        <v>7.1</v>
      </c>
      <c r="BH89" s="740">
        <v>7.15</v>
      </c>
      <c r="BI89" s="740">
        <v>7.2</v>
      </c>
      <c r="BJ89" s="740">
        <v>7.25</v>
      </c>
      <c r="BK89" s="740">
        <v>7.3</v>
      </c>
      <c r="BL89" s="740">
        <v>7.35</v>
      </c>
      <c r="BM89" s="740">
        <v>7.4</v>
      </c>
      <c r="BN89" s="740">
        <v>7.46</v>
      </c>
      <c r="BO89" s="740">
        <v>7.51</v>
      </c>
      <c r="BP89" s="740">
        <v>7.56</v>
      </c>
      <c r="BQ89" s="740">
        <v>7.61</v>
      </c>
      <c r="BR89" s="740">
        <v>7.66</v>
      </c>
      <c r="BS89" s="740">
        <v>7.71</v>
      </c>
      <c r="BT89" s="740">
        <v>7.76</v>
      </c>
      <c r="BU89" s="740">
        <v>7.81</v>
      </c>
      <c r="BV89" s="740">
        <v>7.86</v>
      </c>
      <c r="BW89" s="740">
        <v>7.91</v>
      </c>
      <c r="BX89" s="740">
        <v>7.96</v>
      </c>
      <c r="BY89" s="740">
        <v>8.01</v>
      </c>
      <c r="BZ89" s="740">
        <v>8.06</v>
      </c>
      <c r="CA89" s="740">
        <v>8.11</v>
      </c>
      <c r="CB89" s="740">
        <v>8.16</v>
      </c>
      <c r="CC89" s="740">
        <v>8.2100000000000009</v>
      </c>
      <c r="CD89" s="740">
        <v>8.26</v>
      </c>
      <c r="CE89" s="740">
        <v>8.3000000000000007</v>
      </c>
      <c r="CF89" s="740">
        <v>8.35</v>
      </c>
      <c r="CG89" s="740">
        <v>8.4</v>
      </c>
      <c r="CH89" s="740">
        <v>8.4499999999999993</v>
      </c>
      <c r="CI89" s="740">
        <v>8.5</v>
      </c>
      <c r="CJ89" s="740">
        <v>8.5500000000000007</v>
      </c>
      <c r="CK89" s="740">
        <v>8.6</v>
      </c>
      <c r="CL89" s="740">
        <v>8.65</v>
      </c>
      <c r="CM89" s="740">
        <v>8.6999999999999993</v>
      </c>
      <c r="CN89" s="740">
        <v>8.75</v>
      </c>
      <c r="CO89" s="740">
        <v>8.7899999999999991</v>
      </c>
      <c r="CP89" s="740">
        <v>8.84</v>
      </c>
      <c r="CQ89" s="740">
        <v>8.89</v>
      </c>
      <c r="CR89" s="740">
        <v>8.94</v>
      </c>
      <c r="CS89" s="740">
        <v>8.99</v>
      </c>
      <c r="CT89" s="740">
        <v>9.0399999999999991</v>
      </c>
      <c r="CU89" s="740">
        <v>9.08</v>
      </c>
      <c r="CV89" s="740">
        <v>9.1300000000000008</v>
      </c>
      <c r="CW89" s="740">
        <v>9.18</v>
      </c>
      <c r="CX89" s="740">
        <v>9.23</v>
      </c>
      <c r="CY89" s="740">
        <v>9.27</v>
      </c>
      <c r="CZ89" s="740">
        <v>9.32</v>
      </c>
      <c r="DA89" s="740">
        <v>9.3699999999999992</v>
      </c>
      <c r="DB89" s="740">
        <v>9.41</v>
      </c>
      <c r="DC89" s="740">
        <v>9.4600000000000009</v>
      </c>
      <c r="DD89" s="740">
        <v>9.51</v>
      </c>
      <c r="DE89" s="740">
        <v>9.5500000000000007</v>
      </c>
      <c r="DF89" s="740">
        <v>9.6</v>
      </c>
      <c r="DG89" s="740">
        <v>9.65</v>
      </c>
      <c r="DH89" s="740">
        <v>9.69</v>
      </c>
      <c r="DI89" s="740">
        <v>9.74</v>
      </c>
      <c r="DJ89" s="740">
        <v>9.7799999999999994</v>
      </c>
      <c r="DK89" s="740">
        <v>9.83</v>
      </c>
      <c r="DL89" s="740">
        <v>9.8699999999999992</v>
      </c>
      <c r="DM89" s="740">
        <v>9.92</v>
      </c>
      <c r="DN89" s="740">
        <v>9.9600000000000009</v>
      </c>
      <c r="DO89" s="740">
        <v>10.01</v>
      </c>
      <c r="DP89" s="740">
        <v>10.050000000000001</v>
      </c>
      <c r="DQ89" s="740">
        <v>10.1</v>
      </c>
      <c r="DR89" s="740">
        <v>10.14</v>
      </c>
    </row>
    <row r="90" spans="1:122">
      <c r="A90" s="912">
        <v>88</v>
      </c>
      <c r="B90" s="90"/>
      <c r="C90" s="90"/>
      <c r="D90" s="90"/>
      <c r="E90" s="90"/>
      <c r="F90" s="90"/>
      <c r="G90" s="90"/>
      <c r="H90" s="90"/>
      <c r="I90" s="90"/>
      <c r="J90" s="90"/>
      <c r="K90" s="90"/>
      <c r="L90" s="90"/>
      <c r="M90" s="90"/>
      <c r="N90" s="90"/>
      <c r="O90" s="90"/>
      <c r="P90" s="90"/>
      <c r="Q90" s="90"/>
      <c r="R90" s="90"/>
      <c r="S90" s="90"/>
      <c r="T90" s="90"/>
      <c r="U90" s="90"/>
      <c r="V90" s="740"/>
      <c r="W90" s="740">
        <v>4.97</v>
      </c>
      <c r="X90" s="740">
        <v>4.95</v>
      </c>
      <c r="Y90" s="740">
        <v>4.99</v>
      </c>
      <c r="Z90" s="740">
        <v>5.0199999999999996</v>
      </c>
      <c r="AA90" s="740">
        <v>5.0599999999999996</v>
      </c>
      <c r="AB90" s="740">
        <v>5.0999999999999996</v>
      </c>
      <c r="AC90" s="740">
        <v>5.17</v>
      </c>
      <c r="AD90" s="740">
        <v>5.19</v>
      </c>
      <c r="AE90" s="740">
        <v>5.23</v>
      </c>
      <c r="AF90" s="740">
        <v>5.29</v>
      </c>
      <c r="AG90" s="740">
        <v>5.34</v>
      </c>
      <c r="AH90" s="740">
        <v>5.39</v>
      </c>
      <c r="AI90" s="740">
        <v>5.44</v>
      </c>
      <c r="AJ90" s="740">
        <v>5.49</v>
      </c>
      <c r="AK90" s="740">
        <v>5.54</v>
      </c>
      <c r="AL90" s="740">
        <v>5.59</v>
      </c>
      <c r="AM90" s="740">
        <v>5.64</v>
      </c>
      <c r="AN90" s="740">
        <v>5.69</v>
      </c>
      <c r="AO90" s="740">
        <v>5.74</v>
      </c>
      <c r="AP90" s="740">
        <v>5.79</v>
      </c>
      <c r="AQ90" s="740">
        <v>5.83</v>
      </c>
      <c r="AR90" s="740">
        <v>5.88</v>
      </c>
      <c r="AS90" s="740">
        <v>5.93</v>
      </c>
      <c r="AT90" s="740">
        <v>5.97</v>
      </c>
      <c r="AU90" s="740">
        <v>6.02</v>
      </c>
      <c r="AV90" s="740">
        <v>6.07</v>
      </c>
      <c r="AW90" s="740">
        <v>6.11</v>
      </c>
      <c r="AX90" s="740">
        <v>6.16</v>
      </c>
      <c r="AY90" s="740">
        <v>6.21</v>
      </c>
      <c r="AZ90" s="740">
        <v>6.25</v>
      </c>
      <c r="BA90" s="740">
        <v>6.3</v>
      </c>
      <c r="BB90" s="740">
        <v>6.35</v>
      </c>
      <c r="BC90" s="740">
        <v>6.39</v>
      </c>
      <c r="BD90" s="740">
        <v>6.44</v>
      </c>
      <c r="BE90" s="740">
        <v>6.49</v>
      </c>
      <c r="BF90" s="740">
        <v>6.53</v>
      </c>
      <c r="BG90" s="740">
        <v>6.58</v>
      </c>
      <c r="BH90" s="740">
        <v>6.63</v>
      </c>
      <c r="BI90" s="740">
        <v>6.68</v>
      </c>
      <c r="BJ90" s="740">
        <v>6.72</v>
      </c>
      <c r="BK90" s="740">
        <v>6.77</v>
      </c>
      <c r="BL90" s="740">
        <v>6.82</v>
      </c>
      <c r="BM90" s="740">
        <v>6.86</v>
      </c>
      <c r="BN90" s="740">
        <v>6.91</v>
      </c>
      <c r="BO90" s="740">
        <v>6.96</v>
      </c>
      <c r="BP90" s="740">
        <v>7</v>
      </c>
      <c r="BQ90" s="740">
        <v>7.05</v>
      </c>
      <c r="BR90" s="740">
        <v>7.1</v>
      </c>
      <c r="BS90" s="740">
        <v>7.15</v>
      </c>
      <c r="BT90" s="740">
        <v>7.19</v>
      </c>
      <c r="BU90" s="740">
        <v>7.24</v>
      </c>
      <c r="BV90" s="740">
        <v>7.29</v>
      </c>
      <c r="BW90" s="740">
        <v>7.33</v>
      </c>
      <c r="BX90" s="740">
        <v>7.38</v>
      </c>
      <c r="BY90" s="740">
        <v>7.43</v>
      </c>
      <c r="BZ90" s="740">
        <v>7.47</v>
      </c>
      <c r="CA90" s="740">
        <v>7.52</v>
      </c>
      <c r="CB90" s="740">
        <v>7.57</v>
      </c>
      <c r="CC90" s="740">
        <v>7.61</v>
      </c>
      <c r="CD90" s="740">
        <v>7.66</v>
      </c>
      <c r="CE90" s="740">
        <v>7.7</v>
      </c>
      <c r="CF90" s="740">
        <v>7.75</v>
      </c>
      <c r="CG90" s="740">
        <v>7.8</v>
      </c>
      <c r="CH90" s="740">
        <v>7.84</v>
      </c>
      <c r="CI90" s="740">
        <v>7.89</v>
      </c>
      <c r="CJ90" s="740">
        <v>7.93</v>
      </c>
      <c r="CK90" s="740">
        <v>7.98</v>
      </c>
      <c r="CL90" s="740">
        <v>8.0299999999999994</v>
      </c>
      <c r="CM90" s="740">
        <v>8.07</v>
      </c>
      <c r="CN90" s="740">
        <v>8.1199999999999992</v>
      </c>
      <c r="CO90" s="740">
        <v>8.16</v>
      </c>
      <c r="CP90" s="740">
        <v>8.2100000000000009</v>
      </c>
      <c r="CQ90" s="740">
        <v>8.25</v>
      </c>
      <c r="CR90" s="740">
        <v>8.3000000000000007</v>
      </c>
      <c r="CS90" s="740">
        <v>8.34</v>
      </c>
      <c r="CT90" s="740">
        <v>8.39</v>
      </c>
      <c r="CU90" s="740">
        <v>8.43</v>
      </c>
      <c r="CV90" s="740">
        <v>8.48</v>
      </c>
      <c r="CW90" s="740">
        <v>8.52</v>
      </c>
      <c r="CX90" s="740">
        <v>8.57</v>
      </c>
      <c r="CY90" s="740">
        <v>8.61</v>
      </c>
      <c r="CZ90" s="740">
        <v>8.65</v>
      </c>
      <c r="DA90" s="740">
        <v>8.6999999999999993</v>
      </c>
      <c r="DB90" s="740">
        <v>8.74</v>
      </c>
      <c r="DC90" s="740">
        <v>8.7899999999999991</v>
      </c>
      <c r="DD90" s="740">
        <v>8.83</v>
      </c>
      <c r="DE90" s="740">
        <v>8.8699999999999992</v>
      </c>
      <c r="DF90" s="740">
        <v>8.92</v>
      </c>
      <c r="DG90" s="740">
        <v>8.9600000000000009</v>
      </c>
      <c r="DH90" s="740">
        <v>9</v>
      </c>
      <c r="DI90" s="740">
        <v>9.0500000000000007</v>
      </c>
      <c r="DJ90" s="740">
        <v>9.09</v>
      </c>
      <c r="DK90" s="740">
        <v>9.1300000000000008</v>
      </c>
      <c r="DL90" s="740">
        <v>9.17</v>
      </c>
      <c r="DM90" s="740">
        <v>9.2200000000000006</v>
      </c>
      <c r="DN90" s="740">
        <v>9.26</v>
      </c>
      <c r="DO90" s="740">
        <v>9.3000000000000007</v>
      </c>
      <c r="DP90" s="740">
        <v>9.34</v>
      </c>
      <c r="DQ90" s="740">
        <v>9.3800000000000008</v>
      </c>
      <c r="DR90" s="740">
        <v>9.42</v>
      </c>
    </row>
    <row r="91" spans="1:122">
      <c r="A91" s="912">
        <v>89</v>
      </c>
      <c r="B91" s="90"/>
      <c r="C91" s="90"/>
      <c r="D91" s="90"/>
      <c r="E91" s="90"/>
      <c r="F91" s="90"/>
      <c r="G91" s="90"/>
      <c r="H91" s="90"/>
      <c r="I91" s="90"/>
      <c r="J91" s="90"/>
      <c r="K91" s="90"/>
      <c r="L91" s="90"/>
      <c r="M91" s="90"/>
      <c r="N91" s="90"/>
      <c r="O91" s="90"/>
      <c r="P91" s="90"/>
      <c r="Q91" s="90"/>
      <c r="R91" s="90"/>
      <c r="S91" s="90"/>
      <c r="T91" s="90"/>
      <c r="U91" s="90"/>
      <c r="V91" s="740"/>
      <c r="W91" s="740">
        <v>4.59</v>
      </c>
      <c r="X91" s="740">
        <v>4.5599999999999996</v>
      </c>
      <c r="Y91" s="740">
        <v>4.5999999999999996</v>
      </c>
      <c r="Z91" s="740">
        <v>4.66</v>
      </c>
      <c r="AA91" s="740">
        <v>4.66</v>
      </c>
      <c r="AB91" s="740">
        <v>4.72</v>
      </c>
      <c r="AC91" s="740">
        <v>4.76</v>
      </c>
      <c r="AD91" s="740">
        <v>4.8</v>
      </c>
      <c r="AE91" s="740">
        <v>4.8499999999999996</v>
      </c>
      <c r="AF91" s="740">
        <v>4.8899999999999997</v>
      </c>
      <c r="AG91" s="740">
        <v>4.9400000000000004</v>
      </c>
      <c r="AH91" s="740">
        <v>4.99</v>
      </c>
      <c r="AI91" s="740">
        <v>5.03</v>
      </c>
      <c r="AJ91" s="740">
        <v>5.08</v>
      </c>
      <c r="AK91" s="740">
        <v>5.13</v>
      </c>
      <c r="AL91" s="740">
        <v>5.17</v>
      </c>
      <c r="AM91" s="740">
        <v>5.22</v>
      </c>
      <c r="AN91" s="740">
        <v>5.27</v>
      </c>
      <c r="AO91" s="740">
        <v>5.31</v>
      </c>
      <c r="AP91" s="740">
        <v>5.35</v>
      </c>
      <c r="AQ91" s="740">
        <v>5.4</v>
      </c>
      <c r="AR91" s="740">
        <v>5.44</v>
      </c>
      <c r="AS91" s="740">
        <v>5.48</v>
      </c>
      <c r="AT91" s="740">
        <v>5.53</v>
      </c>
      <c r="AU91" s="740">
        <v>5.57</v>
      </c>
      <c r="AV91" s="740">
        <v>5.61</v>
      </c>
      <c r="AW91" s="740">
        <v>5.66</v>
      </c>
      <c r="AX91" s="740">
        <v>5.7</v>
      </c>
      <c r="AY91" s="740">
        <v>5.74</v>
      </c>
      <c r="AZ91" s="740">
        <v>5.79</v>
      </c>
      <c r="BA91" s="740">
        <v>5.83</v>
      </c>
      <c r="BB91" s="740">
        <v>5.87</v>
      </c>
      <c r="BC91" s="740">
        <v>5.92</v>
      </c>
      <c r="BD91" s="740">
        <v>5.96</v>
      </c>
      <c r="BE91" s="740">
        <v>6</v>
      </c>
      <c r="BF91" s="740">
        <v>6.05</v>
      </c>
      <c r="BG91" s="740">
        <v>6.09</v>
      </c>
      <c r="BH91" s="740">
        <v>6.14</v>
      </c>
      <c r="BI91" s="740">
        <v>6.18</v>
      </c>
      <c r="BJ91" s="740">
        <v>6.22</v>
      </c>
      <c r="BK91" s="740">
        <v>6.27</v>
      </c>
      <c r="BL91" s="740">
        <v>6.31</v>
      </c>
      <c r="BM91" s="740">
        <v>6.35</v>
      </c>
      <c r="BN91" s="740">
        <v>6.4</v>
      </c>
      <c r="BO91" s="740">
        <v>6.44</v>
      </c>
      <c r="BP91" s="740">
        <v>6.48</v>
      </c>
      <c r="BQ91" s="740">
        <v>6.53</v>
      </c>
      <c r="BR91" s="740">
        <v>6.57</v>
      </c>
      <c r="BS91" s="740">
        <v>6.62</v>
      </c>
      <c r="BT91" s="740">
        <v>6.66</v>
      </c>
      <c r="BU91" s="740">
        <v>6.7</v>
      </c>
      <c r="BV91" s="740">
        <v>6.75</v>
      </c>
      <c r="BW91" s="740">
        <v>6.79</v>
      </c>
      <c r="BX91" s="740">
        <v>6.83</v>
      </c>
      <c r="BY91" s="740">
        <v>6.88</v>
      </c>
      <c r="BZ91" s="740">
        <v>6.92</v>
      </c>
      <c r="CA91" s="740">
        <v>6.96</v>
      </c>
      <c r="CB91" s="740">
        <v>7.01</v>
      </c>
      <c r="CC91" s="740">
        <v>7.05</v>
      </c>
      <c r="CD91" s="740">
        <v>7.09</v>
      </c>
      <c r="CE91" s="740">
        <v>7.13</v>
      </c>
      <c r="CF91" s="740">
        <v>7.18</v>
      </c>
      <c r="CG91" s="740">
        <v>7.22</v>
      </c>
      <c r="CH91" s="740">
        <v>7.26</v>
      </c>
      <c r="CI91" s="740">
        <v>7.31</v>
      </c>
      <c r="CJ91" s="740">
        <v>7.35</v>
      </c>
      <c r="CK91" s="740">
        <v>7.39</v>
      </c>
      <c r="CL91" s="740">
        <v>7.43</v>
      </c>
      <c r="CM91" s="740">
        <v>7.48</v>
      </c>
      <c r="CN91" s="740">
        <v>7.52</v>
      </c>
      <c r="CO91" s="740">
        <v>7.56</v>
      </c>
      <c r="CP91" s="740">
        <v>7.6</v>
      </c>
      <c r="CQ91" s="740">
        <v>7.64</v>
      </c>
      <c r="CR91" s="740">
        <v>7.69</v>
      </c>
      <c r="CS91" s="740">
        <v>7.73</v>
      </c>
      <c r="CT91" s="740">
        <v>7.77</v>
      </c>
      <c r="CU91" s="740">
        <v>7.81</v>
      </c>
      <c r="CV91" s="740">
        <v>7.85</v>
      </c>
      <c r="CW91" s="740">
        <v>7.89</v>
      </c>
      <c r="CX91" s="740">
        <v>7.94</v>
      </c>
      <c r="CY91" s="740">
        <v>7.98</v>
      </c>
      <c r="CZ91" s="740">
        <v>8.02</v>
      </c>
      <c r="DA91" s="740">
        <v>8.06</v>
      </c>
      <c r="DB91" s="740">
        <v>8.1</v>
      </c>
      <c r="DC91" s="740">
        <v>8.14</v>
      </c>
      <c r="DD91" s="740">
        <v>8.18</v>
      </c>
      <c r="DE91" s="740">
        <v>8.2200000000000006</v>
      </c>
      <c r="DF91" s="740">
        <v>8.26</v>
      </c>
      <c r="DG91" s="740">
        <v>8.3000000000000007</v>
      </c>
      <c r="DH91" s="740">
        <v>8.34</v>
      </c>
      <c r="DI91" s="740">
        <v>8.3800000000000008</v>
      </c>
      <c r="DJ91" s="740">
        <v>8.42</v>
      </c>
      <c r="DK91" s="740">
        <v>8.4600000000000009</v>
      </c>
      <c r="DL91" s="740">
        <v>8.5</v>
      </c>
      <c r="DM91" s="740">
        <v>8.5399999999999991</v>
      </c>
      <c r="DN91" s="740">
        <v>8.58</v>
      </c>
      <c r="DO91" s="740">
        <v>8.6199999999999992</v>
      </c>
      <c r="DP91" s="740">
        <v>8.66</v>
      </c>
      <c r="DQ91" s="740">
        <v>8.6999999999999993</v>
      </c>
      <c r="DR91" s="740">
        <v>8.73</v>
      </c>
    </row>
    <row r="92" spans="1:122">
      <c r="A92" s="912">
        <v>90</v>
      </c>
      <c r="B92" s="90"/>
      <c r="C92" s="90"/>
      <c r="D92" s="90"/>
      <c r="E92" s="90"/>
      <c r="F92" s="90"/>
      <c r="G92" s="90"/>
      <c r="H92" s="90"/>
      <c r="I92" s="90"/>
      <c r="J92" s="90"/>
      <c r="K92" s="90"/>
      <c r="L92" s="90"/>
      <c r="M92" s="90"/>
      <c r="N92" s="90"/>
      <c r="O92" s="90"/>
      <c r="P92" s="90"/>
      <c r="Q92" s="90"/>
      <c r="R92" s="90"/>
      <c r="S92" s="90"/>
      <c r="T92" s="90"/>
      <c r="U92" s="90"/>
      <c r="V92" s="740"/>
      <c r="W92" s="740">
        <v>4.24</v>
      </c>
      <c r="X92" s="740">
        <v>4.21</v>
      </c>
      <c r="Y92" s="740">
        <v>4.2699999999999996</v>
      </c>
      <c r="Z92" s="740">
        <v>4.28</v>
      </c>
      <c r="AA92" s="740">
        <v>4.3099999999999996</v>
      </c>
      <c r="AB92" s="740">
        <v>4.3499999999999996</v>
      </c>
      <c r="AC92" s="740">
        <v>4.4000000000000004</v>
      </c>
      <c r="AD92" s="740">
        <v>4.4400000000000004</v>
      </c>
      <c r="AE92" s="740">
        <v>4.49</v>
      </c>
      <c r="AF92" s="740">
        <v>4.53</v>
      </c>
      <c r="AG92" s="740">
        <v>4.57</v>
      </c>
      <c r="AH92" s="740">
        <v>4.6100000000000003</v>
      </c>
      <c r="AI92" s="740">
        <v>4.66</v>
      </c>
      <c r="AJ92" s="740">
        <v>4.7</v>
      </c>
      <c r="AK92" s="740">
        <v>4.75</v>
      </c>
      <c r="AL92" s="740">
        <v>4.79</v>
      </c>
      <c r="AM92" s="740">
        <v>4.83</v>
      </c>
      <c r="AN92" s="740">
        <v>4.87</v>
      </c>
      <c r="AO92" s="740">
        <v>4.91</v>
      </c>
      <c r="AP92" s="740">
        <v>4.95</v>
      </c>
      <c r="AQ92" s="740">
        <v>4.99</v>
      </c>
      <c r="AR92" s="740">
        <v>5.03</v>
      </c>
      <c r="AS92" s="740">
        <v>5.07</v>
      </c>
      <c r="AT92" s="740">
        <v>5.1100000000000003</v>
      </c>
      <c r="AU92" s="740">
        <v>5.15</v>
      </c>
      <c r="AV92" s="740">
        <v>5.19</v>
      </c>
      <c r="AW92" s="740">
        <v>5.23</v>
      </c>
      <c r="AX92" s="740">
        <v>5.27</v>
      </c>
      <c r="AY92" s="740">
        <v>5.31</v>
      </c>
      <c r="AZ92" s="740">
        <v>5.35</v>
      </c>
      <c r="BA92" s="740">
        <v>5.39</v>
      </c>
      <c r="BB92" s="740">
        <v>5.43</v>
      </c>
      <c r="BC92" s="740">
        <v>5.47</v>
      </c>
      <c r="BD92" s="740">
        <v>5.51</v>
      </c>
      <c r="BE92" s="740">
        <v>5.55</v>
      </c>
      <c r="BF92" s="740">
        <v>5.59</v>
      </c>
      <c r="BG92" s="740">
        <v>5.63</v>
      </c>
      <c r="BH92" s="740">
        <v>5.67</v>
      </c>
      <c r="BI92" s="740">
        <v>5.71</v>
      </c>
      <c r="BJ92" s="740">
        <v>5.75</v>
      </c>
      <c r="BK92" s="740">
        <v>5.79</v>
      </c>
      <c r="BL92" s="740">
        <v>5.83</v>
      </c>
      <c r="BM92" s="740">
        <v>5.87</v>
      </c>
      <c r="BN92" s="740">
        <v>5.91</v>
      </c>
      <c r="BO92" s="740">
        <v>5.95</v>
      </c>
      <c r="BP92" s="740">
        <v>6</v>
      </c>
      <c r="BQ92" s="740">
        <v>6.04</v>
      </c>
      <c r="BR92" s="740">
        <v>6.08</v>
      </c>
      <c r="BS92" s="740">
        <v>6.12</v>
      </c>
      <c r="BT92" s="740">
        <v>6.16</v>
      </c>
      <c r="BU92" s="740">
        <v>6.2</v>
      </c>
      <c r="BV92" s="740">
        <v>6.24</v>
      </c>
      <c r="BW92" s="740">
        <v>6.28</v>
      </c>
      <c r="BX92" s="740">
        <v>6.32</v>
      </c>
      <c r="BY92" s="740">
        <v>6.36</v>
      </c>
      <c r="BZ92" s="740">
        <v>6.4</v>
      </c>
      <c r="CA92" s="740">
        <v>6.44</v>
      </c>
      <c r="CB92" s="740">
        <v>6.48</v>
      </c>
      <c r="CC92" s="740">
        <v>6.52</v>
      </c>
      <c r="CD92" s="740">
        <v>6.56</v>
      </c>
      <c r="CE92" s="740">
        <v>6.6</v>
      </c>
      <c r="CF92" s="740">
        <v>6.63</v>
      </c>
      <c r="CG92" s="740">
        <v>6.67</v>
      </c>
      <c r="CH92" s="740">
        <v>6.71</v>
      </c>
      <c r="CI92" s="740">
        <v>6.75</v>
      </c>
      <c r="CJ92" s="740">
        <v>6.79</v>
      </c>
      <c r="CK92" s="740">
        <v>6.83</v>
      </c>
      <c r="CL92" s="740">
        <v>6.87</v>
      </c>
      <c r="CM92" s="740">
        <v>6.91</v>
      </c>
      <c r="CN92" s="740">
        <v>6.95</v>
      </c>
      <c r="CO92" s="740">
        <v>6.99</v>
      </c>
      <c r="CP92" s="740">
        <v>7.03</v>
      </c>
      <c r="CQ92" s="740">
        <v>7.07</v>
      </c>
      <c r="CR92" s="740">
        <v>7.1</v>
      </c>
      <c r="CS92" s="740">
        <v>7.14</v>
      </c>
      <c r="CT92" s="740">
        <v>7.18</v>
      </c>
      <c r="CU92" s="740">
        <v>7.22</v>
      </c>
      <c r="CV92" s="740">
        <v>7.26</v>
      </c>
      <c r="CW92" s="740">
        <v>7.3</v>
      </c>
      <c r="CX92" s="740">
        <v>7.33</v>
      </c>
      <c r="CY92" s="740">
        <v>7.37</v>
      </c>
      <c r="CZ92" s="740">
        <v>7.41</v>
      </c>
      <c r="DA92" s="740">
        <v>7.45</v>
      </c>
      <c r="DB92" s="740">
        <v>7.49</v>
      </c>
      <c r="DC92" s="740">
        <v>7.52</v>
      </c>
      <c r="DD92" s="740">
        <v>7.56</v>
      </c>
      <c r="DE92" s="740">
        <v>7.6</v>
      </c>
      <c r="DF92" s="740">
        <v>7.64</v>
      </c>
      <c r="DG92" s="740">
        <v>7.67</v>
      </c>
      <c r="DH92" s="740">
        <v>7.71</v>
      </c>
      <c r="DI92" s="740">
        <v>7.75</v>
      </c>
      <c r="DJ92" s="740">
        <v>7.78</v>
      </c>
      <c r="DK92" s="740">
        <v>7.82</v>
      </c>
      <c r="DL92" s="740">
        <v>7.86</v>
      </c>
      <c r="DM92" s="740">
        <v>7.89</v>
      </c>
      <c r="DN92" s="740">
        <v>7.93</v>
      </c>
      <c r="DO92" s="740">
        <v>7.96</v>
      </c>
      <c r="DP92" s="740">
        <v>8</v>
      </c>
      <c r="DQ92" s="740">
        <v>8.0399999999999991</v>
      </c>
      <c r="DR92" s="740">
        <v>8.07</v>
      </c>
    </row>
    <row r="93" spans="1:122">
      <c r="A93" s="912">
        <v>91</v>
      </c>
      <c r="B93" s="90"/>
      <c r="C93" s="90"/>
      <c r="D93" s="90"/>
      <c r="E93" s="90"/>
      <c r="F93" s="90"/>
      <c r="G93" s="90"/>
      <c r="H93" s="90"/>
      <c r="I93" s="90"/>
      <c r="J93" s="90"/>
      <c r="K93" s="90"/>
      <c r="L93" s="90"/>
      <c r="M93" s="90"/>
      <c r="N93" s="90"/>
      <c r="O93" s="90"/>
      <c r="P93" s="90"/>
      <c r="Q93" s="90"/>
      <c r="R93" s="90"/>
      <c r="S93" s="90"/>
      <c r="T93" s="90"/>
      <c r="U93" s="90"/>
      <c r="V93" s="740"/>
      <c r="W93" s="740">
        <v>3.93</v>
      </c>
      <c r="X93" s="740">
        <v>3.9</v>
      </c>
      <c r="Y93" s="740">
        <v>3.91</v>
      </c>
      <c r="Z93" s="740">
        <v>3.97</v>
      </c>
      <c r="AA93" s="740">
        <v>3.97</v>
      </c>
      <c r="AB93" s="740">
        <v>4.0199999999999996</v>
      </c>
      <c r="AC93" s="740">
        <v>4.08</v>
      </c>
      <c r="AD93" s="740">
        <v>4.1100000000000003</v>
      </c>
      <c r="AE93" s="740">
        <v>4.1500000000000004</v>
      </c>
      <c r="AF93" s="740">
        <v>4.1900000000000004</v>
      </c>
      <c r="AG93" s="740">
        <v>4.2300000000000004</v>
      </c>
      <c r="AH93" s="740">
        <v>4.2699999999999996</v>
      </c>
      <c r="AI93" s="740">
        <v>4.3099999999999996</v>
      </c>
      <c r="AJ93" s="740">
        <v>4.3499999999999996</v>
      </c>
      <c r="AK93" s="740">
        <v>4.3899999999999997</v>
      </c>
      <c r="AL93" s="740">
        <v>4.43</v>
      </c>
      <c r="AM93" s="740">
        <v>4.47</v>
      </c>
      <c r="AN93" s="740">
        <v>4.51</v>
      </c>
      <c r="AO93" s="740">
        <v>4.54</v>
      </c>
      <c r="AP93" s="740">
        <v>4.58</v>
      </c>
      <c r="AQ93" s="740">
        <v>4.62</v>
      </c>
      <c r="AR93" s="740">
        <v>4.6500000000000004</v>
      </c>
      <c r="AS93" s="740">
        <v>4.6900000000000004</v>
      </c>
      <c r="AT93" s="740">
        <v>4.7300000000000004</v>
      </c>
      <c r="AU93" s="740">
        <v>4.76</v>
      </c>
      <c r="AV93" s="740">
        <v>4.8</v>
      </c>
      <c r="AW93" s="740">
        <v>4.84</v>
      </c>
      <c r="AX93" s="740">
        <v>4.87</v>
      </c>
      <c r="AY93" s="740">
        <v>4.91</v>
      </c>
      <c r="AZ93" s="740">
        <v>4.95</v>
      </c>
      <c r="BA93" s="740">
        <v>4.9800000000000004</v>
      </c>
      <c r="BB93" s="740">
        <v>5.0199999999999996</v>
      </c>
      <c r="BC93" s="740">
        <v>5.0599999999999996</v>
      </c>
      <c r="BD93" s="740">
        <v>5.09</v>
      </c>
      <c r="BE93" s="740">
        <v>5.13</v>
      </c>
      <c r="BF93" s="740">
        <v>5.17</v>
      </c>
      <c r="BG93" s="740">
        <v>5.2</v>
      </c>
      <c r="BH93" s="740">
        <v>5.24</v>
      </c>
      <c r="BI93" s="740">
        <v>5.28</v>
      </c>
      <c r="BJ93" s="740">
        <v>5.31</v>
      </c>
      <c r="BK93" s="740">
        <v>5.35</v>
      </c>
      <c r="BL93" s="740">
        <v>5.39</v>
      </c>
      <c r="BM93" s="740">
        <v>5.43</v>
      </c>
      <c r="BN93" s="740">
        <v>5.46</v>
      </c>
      <c r="BO93" s="740">
        <v>5.5</v>
      </c>
      <c r="BP93" s="740">
        <v>5.54</v>
      </c>
      <c r="BQ93" s="740">
        <v>5.57</v>
      </c>
      <c r="BR93" s="740">
        <v>5.61</v>
      </c>
      <c r="BS93" s="740">
        <v>5.65</v>
      </c>
      <c r="BT93" s="740">
        <v>5.68</v>
      </c>
      <c r="BU93" s="740">
        <v>5.72</v>
      </c>
      <c r="BV93" s="740">
        <v>5.76</v>
      </c>
      <c r="BW93" s="740">
        <v>5.79</v>
      </c>
      <c r="BX93" s="740">
        <v>5.83</v>
      </c>
      <c r="BY93" s="740">
        <v>5.87</v>
      </c>
      <c r="BZ93" s="740">
        <v>5.9</v>
      </c>
      <c r="CA93" s="740">
        <v>5.94</v>
      </c>
      <c r="CB93" s="740">
        <v>5.98</v>
      </c>
      <c r="CC93" s="740">
        <v>6.01</v>
      </c>
      <c r="CD93" s="740">
        <v>6.05</v>
      </c>
      <c r="CE93" s="740">
        <v>6.09</v>
      </c>
      <c r="CF93" s="740">
        <v>6.12</v>
      </c>
      <c r="CG93" s="740">
        <v>6.16</v>
      </c>
      <c r="CH93" s="740">
        <v>6.19</v>
      </c>
      <c r="CI93" s="740">
        <v>6.23</v>
      </c>
      <c r="CJ93" s="740">
        <v>6.27</v>
      </c>
      <c r="CK93" s="740">
        <v>6.3</v>
      </c>
      <c r="CL93" s="740">
        <v>6.34</v>
      </c>
      <c r="CM93" s="740">
        <v>6.37</v>
      </c>
      <c r="CN93" s="740">
        <v>6.41</v>
      </c>
      <c r="CO93" s="740">
        <v>6.45</v>
      </c>
      <c r="CP93" s="740">
        <v>6.48</v>
      </c>
      <c r="CQ93" s="740">
        <v>6.52</v>
      </c>
      <c r="CR93" s="740">
        <v>6.55</v>
      </c>
      <c r="CS93" s="740">
        <v>6.59</v>
      </c>
      <c r="CT93" s="740">
        <v>6.62</v>
      </c>
      <c r="CU93" s="740">
        <v>6.66</v>
      </c>
      <c r="CV93" s="740">
        <v>6.69</v>
      </c>
      <c r="CW93" s="740">
        <v>6.73</v>
      </c>
      <c r="CX93" s="740">
        <v>6.76</v>
      </c>
      <c r="CY93" s="740">
        <v>6.8</v>
      </c>
      <c r="CZ93" s="740">
        <v>6.83</v>
      </c>
      <c r="DA93" s="740">
        <v>6.87</v>
      </c>
      <c r="DB93" s="740">
        <v>6.9</v>
      </c>
      <c r="DC93" s="740">
        <v>6.94</v>
      </c>
      <c r="DD93" s="740">
        <v>6.97</v>
      </c>
      <c r="DE93" s="740">
        <v>7</v>
      </c>
      <c r="DF93" s="740">
        <v>7.04</v>
      </c>
      <c r="DG93" s="740">
        <v>7.07</v>
      </c>
      <c r="DH93" s="740">
        <v>7.11</v>
      </c>
      <c r="DI93" s="740">
        <v>7.14</v>
      </c>
      <c r="DJ93" s="740">
        <v>7.17</v>
      </c>
      <c r="DK93" s="740">
        <v>7.21</v>
      </c>
      <c r="DL93" s="740">
        <v>7.24</v>
      </c>
      <c r="DM93" s="740">
        <v>7.27</v>
      </c>
      <c r="DN93" s="740">
        <v>7.31</v>
      </c>
      <c r="DO93" s="740">
        <v>7.34</v>
      </c>
      <c r="DP93" s="740">
        <v>7.37</v>
      </c>
      <c r="DQ93" s="740">
        <v>7.4</v>
      </c>
      <c r="DR93" s="740">
        <v>7.44</v>
      </c>
    </row>
    <row r="94" spans="1:122">
      <c r="A94" s="912">
        <v>92</v>
      </c>
      <c r="B94" s="90"/>
      <c r="C94" s="90"/>
      <c r="D94" s="90"/>
      <c r="E94" s="90"/>
      <c r="F94" s="90"/>
      <c r="G94" s="90"/>
      <c r="H94" s="90"/>
      <c r="I94" s="90"/>
      <c r="J94" s="90"/>
      <c r="K94" s="90"/>
      <c r="L94" s="90"/>
      <c r="M94" s="90"/>
      <c r="N94" s="90"/>
      <c r="O94" s="90"/>
      <c r="P94" s="90"/>
      <c r="Q94" s="90"/>
      <c r="R94" s="90"/>
      <c r="S94" s="90"/>
      <c r="T94" s="90"/>
      <c r="U94" s="90"/>
      <c r="V94" s="740"/>
      <c r="W94" s="740">
        <v>3.66</v>
      </c>
      <c r="X94" s="740">
        <v>3.58</v>
      </c>
      <c r="Y94" s="740">
        <v>3.63</v>
      </c>
      <c r="Z94" s="740">
        <v>3.65</v>
      </c>
      <c r="AA94" s="740">
        <v>3.68</v>
      </c>
      <c r="AB94" s="740">
        <v>3.73</v>
      </c>
      <c r="AC94" s="740">
        <v>3.77</v>
      </c>
      <c r="AD94" s="740">
        <v>3.81</v>
      </c>
      <c r="AE94" s="740">
        <v>3.84</v>
      </c>
      <c r="AF94" s="740">
        <v>3.88</v>
      </c>
      <c r="AG94" s="740">
        <v>3.92</v>
      </c>
      <c r="AH94" s="740">
        <v>3.95</v>
      </c>
      <c r="AI94" s="740">
        <v>3.99</v>
      </c>
      <c r="AJ94" s="740">
        <v>4.03</v>
      </c>
      <c r="AK94" s="740">
        <v>4.0599999999999996</v>
      </c>
      <c r="AL94" s="740">
        <v>4.0999999999999996</v>
      </c>
      <c r="AM94" s="740">
        <v>4.13</v>
      </c>
      <c r="AN94" s="740">
        <v>4.17</v>
      </c>
      <c r="AO94" s="740">
        <v>4.2</v>
      </c>
      <c r="AP94" s="740">
        <v>4.2300000000000004</v>
      </c>
      <c r="AQ94" s="740">
        <v>4.2699999999999996</v>
      </c>
      <c r="AR94" s="740">
        <v>4.3</v>
      </c>
      <c r="AS94" s="740">
        <v>4.33</v>
      </c>
      <c r="AT94" s="740">
        <v>4.37</v>
      </c>
      <c r="AU94" s="740">
        <v>4.4000000000000004</v>
      </c>
      <c r="AV94" s="740">
        <v>4.43</v>
      </c>
      <c r="AW94" s="740">
        <v>4.47</v>
      </c>
      <c r="AX94" s="740">
        <v>4.5</v>
      </c>
      <c r="AY94" s="740">
        <v>4.53</v>
      </c>
      <c r="AZ94" s="740">
        <v>4.57</v>
      </c>
      <c r="BA94" s="740">
        <v>4.5999999999999996</v>
      </c>
      <c r="BB94" s="740">
        <v>4.63</v>
      </c>
      <c r="BC94" s="740">
        <v>4.67</v>
      </c>
      <c r="BD94" s="740">
        <v>4.7</v>
      </c>
      <c r="BE94" s="740">
        <v>4.74</v>
      </c>
      <c r="BF94" s="740">
        <v>4.7699999999999996</v>
      </c>
      <c r="BG94" s="740">
        <v>4.8</v>
      </c>
      <c r="BH94" s="740">
        <v>4.84</v>
      </c>
      <c r="BI94" s="740">
        <v>4.87</v>
      </c>
      <c r="BJ94" s="740">
        <v>4.9000000000000004</v>
      </c>
      <c r="BK94" s="740">
        <v>4.9400000000000004</v>
      </c>
      <c r="BL94" s="740">
        <v>4.97</v>
      </c>
      <c r="BM94" s="740">
        <v>5</v>
      </c>
      <c r="BN94" s="740">
        <v>5.04</v>
      </c>
      <c r="BO94" s="740">
        <v>5.07</v>
      </c>
      <c r="BP94" s="740">
        <v>5.0999999999999996</v>
      </c>
      <c r="BQ94" s="740">
        <v>5.14</v>
      </c>
      <c r="BR94" s="740">
        <v>5.17</v>
      </c>
      <c r="BS94" s="740">
        <v>5.2</v>
      </c>
      <c r="BT94" s="740">
        <v>5.24</v>
      </c>
      <c r="BU94" s="740">
        <v>5.27</v>
      </c>
      <c r="BV94" s="740">
        <v>5.3</v>
      </c>
      <c r="BW94" s="740">
        <v>5.34</v>
      </c>
      <c r="BX94" s="740">
        <v>5.37</v>
      </c>
      <c r="BY94" s="740">
        <v>5.4</v>
      </c>
      <c r="BZ94" s="740">
        <v>5.44</v>
      </c>
      <c r="CA94" s="740">
        <v>5.47</v>
      </c>
      <c r="CB94" s="740">
        <v>5.5</v>
      </c>
      <c r="CC94" s="740">
        <v>5.54</v>
      </c>
      <c r="CD94" s="740">
        <v>5.57</v>
      </c>
      <c r="CE94" s="740">
        <v>5.6</v>
      </c>
      <c r="CF94" s="740">
        <v>5.64</v>
      </c>
      <c r="CG94" s="740">
        <v>5.67</v>
      </c>
      <c r="CH94" s="740">
        <v>5.7</v>
      </c>
      <c r="CI94" s="740">
        <v>5.73</v>
      </c>
      <c r="CJ94" s="740">
        <v>5.77</v>
      </c>
      <c r="CK94" s="740">
        <v>5.8</v>
      </c>
      <c r="CL94" s="740">
        <v>5.83</v>
      </c>
      <c r="CM94" s="740">
        <v>5.87</v>
      </c>
      <c r="CN94" s="740">
        <v>5.9</v>
      </c>
      <c r="CO94" s="740">
        <v>5.93</v>
      </c>
      <c r="CP94" s="740">
        <v>5.96</v>
      </c>
      <c r="CQ94" s="740">
        <v>5.99</v>
      </c>
      <c r="CR94" s="740">
        <v>6.03</v>
      </c>
      <c r="CS94" s="740">
        <v>6.06</v>
      </c>
      <c r="CT94" s="740">
        <v>6.09</v>
      </c>
      <c r="CU94" s="740">
        <v>6.12</v>
      </c>
      <c r="CV94" s="740">
        <v>6.15</v>
      </c>
      <c r="CW94" s="740">
        <v>6.19</v>
      </c>
      <c r="CX94" s="740">
        <v>6.22</v>
      </c>
      <c r="CY94" s="740">
        <v>6.25</v>
      </c>
      <c r="CZ94" s="740">
        <v>6.28</v>
      </c>
      <c r="DA94" s="740">
        <v>6.31</v>
      </c>
      <c r="DB94" s="740">
        <v>6.34</v>
      </c>
      <c r="DC94" s="740">
        <v>6.37</v>
      </c>
      <c r="DD94" s="740">
        <v>6.41</v>
      </c>
      <c r="DE94" s="740">
        <v>6.44</v>
      </c>
      <c r="DF94" s="740">
        <v>6.47</v>
      </c>
      <c r="DG94" s="740">
        <v>6.5</v>
      </c>
      <c r="DH94" s="740">
        <v>6.53</v>
      </c>
      <c r="DI94" s="740">
        <v>6.56</v>
      </c>
      <c r="DJ94" s="740">
        <v>6.59</v>
      </c>
      <c r="DK94" s="740">
        <v>6.62</v>
      </c>
      <c r="DL94" s="740">
        <v>6.65</v>
      </c>
      <c r="DM94" s="740">
        <v>6.68</v>
      </c>
      <c r="DN94" s="740">
        <v>6.71</v>
      </c>
      <c r="DO94" s="740">
        <v>6.74</v>
      </c>
      <c r="DP94" s="740">
        <v>6.77</v>
      </c>
      <c r="DQ94" s="740">
        <v>6.8</v>
      </c>
      <c r="DR94" s="740">
        <v>6.83</v>
      </c>
    </row>
    <row r="95" spans="1:122">
      <c r="A95" s="912">
        <v>93</v>
      </c>
      <c r="B95" s="90"/>
      <c r="C95" s="90"/>
      <c r="D95" s="90"/>
      <c r="E95" s="90"/>
      <c r="F95" s="90"/>
      <c r="G95" s="90"/>
      <c r="H95" s="90"/>
      <c r="I95" s="90"/>
      <c r="J95" s="90"/>
      <c r="K95" s="90"/>
      <c r="L95" s="90"/>
      <c r="M95" s="90"/>
      <c r="N95" s="90"/>
      <c r="O95" s="90"/>
      <c r="P95" s="90"/>
      <c r="Q95" s="90"/>
      <c r="R95" s="90"/>
      <c r="S95" s="90"/>
      <c r="T95" s="90"/>
      <c r="U95" s="90"/>
      <c r="V95" s="740"/>
      <c r="W95" s="740">
        <v>3.38</v>
      </c>
      <c r="X95" s="740">
        <v>3.32</v>
      </c>
      <c r="Y95" s="740">
        <v>3.33</v>
      </c>
      <c r="Z95" s="740">
        <v>3.4</v>
      </c>
      <c r="AA95" s="740">
        <v>3.42</v>
      </c>
      <c r="AB95" s="740">
        <v>3.46</v>
      </c>
      <c r="AC95" s="740">
        <v>3.49</v>
      </c>
      <c r="AD95" s="740">
        <v>3.53</v>
      </c>
      <c r="AE95" s="740">
        <v>3.56</v>
      </c>
      <c r="AF95" s="740">
        <v>3.59</v>
      </c>
      <c r="AG95" s="740">
        <v>3.63</v>
      </c>
      <c r="AH95" s="740">
        <v>3.66</v>
      </c>
      <c r="AI95" s="740">
        <v>3.69</v>
      </c>
      <c r="AJ95" s="740">
        <v>3.73</v>
      </c>
      <c r="AK95" s="740">
        <v>3.76</v>
      </c>
      <c r="AL95" s="740">
        <v>3.79</v>
      </c>
      <c r="AM95" s="740">
        <v>3.82</v>
      </c>
      <c r="AN95" s="740">
        <v>3.85</v>
      </c>
      <c r="AO95" s="740">
        <v>3.88</v>
      </c>
      <c r="AP95" s="740">
        <v>3.91</v>
      </c>
      <c r="AQ95" s="740">
        <v>3.94</v>
      </c>
      <c r="AR95" s="740">
        <v>3.97</v>
      </c>
      <c r="AS95" s="740">
        <v>4</v>
      </c>
      <c r="AT95" s="740">
        <v>4.03</v>
      </c>
      <c r="AU95" s="740">
        <v>4.0599999999999996</v>
      </c>
      <c r="AV95" s="740">
        <v>4.09</v>
      </c>
      <c r="AW95" s="740">
        <v>4.13</v>
      </c>
      <c r="AX95" s="740">
        <v>4.16</v>
      </c>
      <c r="AY95" s="740">
        <v>4.1900000000000004</v>
      </c>
      <c r="AZ95" s="740">
        <v>4.22</v>
      </c>
      <c r="BA95" s="740">
        <v>4.25</v>
      </c>
      <c r="BB95" s="740">
        <v>4.28</v>
      </c>
      <c r="BC95" s="740">
        <v>4.3099999999999996</v>
      </c>
      <c r="BD95" s="740">
        <v>4.34</v>
      </c>
      <c r="BE95" s="740">
        <v>4.37</v>
      </c>
      <c r="BF95" s="740">
        <v>4.4000000000000004</v>
      </c>
      <c r="BG95" s="740">
        <v>4.43</v>
      </c>
      <c r="BH95" s="740">
        <v>4.46</v>
      </c>
      <c r="BI95" s="740">
        <v>4.49</v>
      </c>
      <c r="BJ95" s="740">
        <v>4.5199999999999996</v>
      </c>
      <c r="BK95" s="740">
        <v>4.55</v>
      </c>
      <c r="BL95" s="740">
        <v>4.58</v>
      </c>
      <c r="BM95" s="740">
        <v>4.6100000000000003</v>
      </c>
      <c r="BN95" s="740">
        <v>4.6399999999999997</v>
      </c>
      <c r="BO95" s="740">
        <v>4.67</v>
      </c>
      <c r="BP95" s="740">
        <v>4.7</v>
      </c>
      <c r="BQ95" s="740">
        <v>4.7300000000000004</v>
      </c>
      <c r="BR95" s="740">
        <v>4.76</v>
      </c>
      <c r="BS95" s="740">
        <v>4.79</v>
      </c>
      <c r="BT95" s="740">
        <v>4.82</v>
      </c>
      <c r="BU95" s="740">
        <v>4.8499999999999996</v>
      </c>
      <c r="BV95" s="740">
        <v>4.88</v>
      </c>
      <c r="BW95" s="740">
        <v>4.91</v>
      </c>
      <c r="BX95" s="740">
        <v>4.9400000000000004</v>
      </c>
      <c r="BY95" s="740">
        <v>4.97</v>
      </c>
      <c r="BZ95" s="740">
        <v>5</v>
      </c>
      <c r="CA95" s="740">
        <v>5.03</v>
      </c>
      <c r="CB95" s="740">
        <v>5.0599999999999996</v>
      </c>
      <c r="CC95" s="740">
        <v>5.09</v>
      </c>
      <c r="CD95" s="740">
        <v>5.12</v>
      </c>
      <c r="CE95" s="740">
        <v>5.15</v>
      </c>
      <c r="CF95" s="740">
        <v>5.18</v>
      </c>
      <c r="CG95" s="740">
        <v>5.21</v>
      </c>
      <c r="CH95" s="740">
        <v>5.24</v>
      </c>
      <c r="CI95" s="740">
        <v>5.27</v>
      </c>
      <c r="CJ95" s="740">
        <v>5.3</v>
      </c>
      <c r="CK95" s="740">
        <v>5.32</v>
      </c>
      <c r="CL95" s="740">
        <v>5.35</v>
      </c>
      <c r="CM95" s="740">
        <v>5.38</v>
      </c>
      <c r="CN95" s="740">
        <v>5.41</v>
      </c>
      <c r="CO95" s="740">
        <v>5.44</v>
      </c>
      <c r="CP95" s="740">
        <v>5.47</v>
      </c>
      <c r="CQ95" s="740">
        <v>5.5</v>
      </c>
      <c r="CR95" s="740">
        <v>5.53</v>
      </c>
      <c r="CS95" s="740">
        <v>5.56</v>
      </c>
      <c r="CT95" s="740">
        <v>5.59</v>
      </c>
      <c r="CU95" s="740">
        <v>5.61</v>
      </c>
      <c r="CV95" s="740">
        <v>5.64</v>
      </c>
      <c r="CW95" s="740">
        <v>5.67</v>
      </c>
      <c r="CX95" s="740">
        <v>5.7</v>
      </c>
      <c r="CY95" s="740">
        <v>5.73</v>
      </c>
      <c r="CZ95" s="740">
        <v>5.76</v>
      </c>
      <c r="DA95" s="740">
        <v>5.78</v>
      </c>
      <c r="DB95" s="740">
        <v>5.81</v>
      </c>
      <c r="DC95" s="740">
        <v>5.84</v>
      </c>
      <c r="DD95" s="740">
        <v>5.87</v>
      </c>
      <c r="DE95" s="740">
        <v>5.89</v>
      </c>
      <c r="DF95" s="740">
        <v>5.92</v>
      </c>
      <c r="DG95" s="740">
        <v>5.95</v>
      </c>
      <c r="DH95" s="740">
        <v>5.98</v>
      </c>
      <c r="DI95" s="740">
        <v>6</v>
      </c>
      <c r="DJ95" s="740">
        <v>6.03</v>
      </c>
      <c r="DK95" s="740">
        <v>6.06</v>
      </c>
      <c r="DL95" s="740">
        <v>6.09</v>
      </c>
      <c r="DM95" s="740">
        <v>6.11</v>
      </c>
      <c r="DN95" s="740">
        <v>6.14</v>
      </c>
      <c r="DO95" s="740">
        <v>6.17</v>
      </c>
      <c r="DP95" s="740">
        <v>6.19</v>
      </c>
      <c r="DQ95" s="740">
        <v>6.22</v>
      </c>
      <c r="DR95" s="740">
        <v>6.25</v>
      </c>
    </row>
    <row r="96" spans="1:122">
      <c r="A96" s="912">
        <v>94</v>
      </c>
      <c r="B96" s="90"/>
      <c r="C96" s="90"/>
      <c r="D96" s="90"/>
      <c r="E96" s="90"/>
      <c r="F96" s="90"/>
      <c r="G96" s="90"/>
      <c r="H96" s="90"/>
      <c r="I96" s="90"/>
      <c r="J96" s="90"/>
      <c r="K96" s="90"/>
      <c r="L96" s="90"/>
      <c r="M96" s="90"/>
      <c r="N96" s="90"/>
      <c r="O96" s="90"/>
      <c r="P96" s="90"/>
      <c r="Q96" s="90"/>
      <c r="R96" s="90"/>
      <c r="S96" s="90"/>
      <c r="T96" s="90"/>
      <c r="U96" s="90"/>
      <c r="V96" s="740"/>
      <c r="W96" s="740">
        <v>3.17</v>
      </c>
      <c r="X96" s="740">
        <v>3.05</v>
      </c>
      <c r="Y96" s="740">
        <v>3.1</v>
      </c>
      <c r="Z96" s="740">
        <v>3.17</v>
      </c>
      <c r="AA96" s="740">
        <v>3.18</v>
      </c>
      <c r="AB96" s="740">
        <v>3.21</v>
      </c>
      <c r="AC96" s="740">
        <v>3.24</v>
      </c>
      <c r="AD96" s="740">
        <v>3.27</v>
      </c>
      <c r="AE96" s="740">
        <v>3.3</v>
      </c>
      <c r="AF96" s="740">
        <v>3.33</v>
      </c>
      <c r="AG96" s="740">
        <v>3.36</v>
      </c>
      <c r="AH96" s="740">
        <v>3.39</v>
      </c>
      <c r="AI96" s="740">
        <v>3.42</v>
      </c>
      <c r="AJ96" s="740">
        <v>3.45</v>
      </c>
      <c r="AK96" s="740">
        <v>3.48</v>
      </c>
      <c r="AL96" s="740">
        <v>3.51</v>
      </c>
      <c r="AM96" s="740">
        <v>3.54</v>
      </c>
      <c r="AN96" s="740">
        <v>3.56</v>
      </c>
      <c r="AO96" s="740">
        <v>3.59</v>
      </c>
      <c r="AP96" s="740">
        <v>3.62</v>
      </c>
      <c r="AQ96" s="740">
        <v>3.64</v>
      </c>
      <c r="AR96" s="740">
        <v>3.67</v>
      </c>
      <c r="AS96" s="740">
        <v>3.7</v>
      </c>
      <c r="AT96" s="740">
        <v>3.72</v>
      </c>
      <c r="AU96" s="740">
        <v>3.75</v>
      </c>
      <c r="AV96" s="740">
        <v>3.78</v>
      </c>
      <c r="AW96" s="740">
        <v>3.81</v>
      </c>
      <c r="AX96" s="740">
        <v>3.83</v>
      </c>
      <c r="AY96" s="740">
        <v>3.86</v>
      </c>
      <c r="AZ96" s="740">
        <v>3.89</v>
      </c>
      <c r="BA96" s="740">
        <v>3.91</v>
      </c>
      <c r="BB96" s="740">
        <v>3.94</v>
      </c>
      <c r="BC96" s="740">
        <v>3.97</v>
      </c>
      <c r="BD96" s="740">
        <v>3.99</v>
      </c>
      <c r="BE96" s="740">
        <v>4.0199999999999996</v>
      </c>
      <c r="BF96" s="740">
        <v>4.05</v>
      </c>
      <c r="BG96" s="740">
        <v>4.08</v>
      </c>
      <c r="BH96" s="740">
        <v>4.0999999999999996</v>
      </c>
      <c r="BI96" s="740">
        <v>4.13</v>
      </c>
      <c r="BJ96" s="740">
        <v>4.16</v>
      </c>
      <c r="BK96" s="740">
        <v>4.18</v>
      </c>
      <c r="BL96" s="740">
        <v>4.21</v>
      </c>
      <c r="BM96" s="740">
        <v>4.24</v>
      </c>
      <c r="BN96" s="740">
        <v>4.26</v>
      </c>
      <c r="BO96" s="740">
        <v>4.29</v>
      </c>
      <c r="BP96" s="740">
        <v>4.32</v>
      </c>
      <c r="BQ96" s="740">
        <v>4.3499999999999996</v>
      </c>
      <c r="BR96" s="740">
        <v>4.37</v>
      </c>
      <c r="BS96" s="740">
        <v>4.4000000000000004</v>
      </c>
      <c r="BT96" s="740">
        <v>4.43</v>
      </c>
      <c r="BU96" s="740">
        <v>4.45</v>
      </c>
      <c r="BV96" s="740">
        <v>4.4800000000000004</v>
      </c>
      <c r="BW96" s="740">
        <v>4.51</v>
      </c>
      <c r="BX96" s="740">
        <v>4.53</v>
      </c>
      <c r="BY96" s="740">
        <v>4.5599999999999996</v>
      </c>
      <c r="BZ96" s="740">
        <v>4.59</v>
      </c>
      <c r="CA96" s="740">
        <v>4.6100000000000003</v>
      </c>
      <c r="CB96" s="740">
        <v>4.6399999999999997</v>
      </c>
      <c r="CC96" s="740">
        <v>4.66</v>
      </c>
      <c r="CD96" s="740">
        <v>4.6900000000000004</v>
      </c>
      <c r="CE96" s="740">
        <v>4.72</v>
      </c>
      <c r="CF96" s="740">
        <v>4.74</v>
      </c>
      <c r="CG96" s="740">
        <v>4.7699999999999996</v>
      </c>
      <c r="CH96" s="740">
        <v>4.8</v>
      </c>
      <c r="CI96" s="740">
        <v>4.82</v>
      </c>
      <c r="CJ96" s="740">
        <v>4.8499999999999996</v>
      </c>
      <c r="CK96" s="740">
        <v>4.87</v>
      </c>
      <c r="CL96" s="740">
        <v>4.9000000000000004</v>
      </c>
      <c r="CM96" s="740">
        <v>4.93</v>
      </c>
      <c r="CN96" s="740">
        <v>4.95</v>
      </c>
      <c r="CO96" s="740">
        <v>4.9800000000000004</v>
      </c>
      <c r="CP96" s="740">
        <v>5</v>
      </c>
      <c r="CQ96" s="740">
        <v>5.03</v>
      </c>
      <c r="CR96" s="740">
        <v>5.05</v>
      </c>
      <c r="CS96" s="740">
        <v>5.08</v>
      </c>
      <c r="CT96" s="740">
        <v>5.0999999999999996</v>
      </c>
      <c r="CU96" s="740">
        <v>5.13</v>
      </c>
      <c r="CV96" s="740">
        <v>5.15</v>
      </c>
      <c r="CW96" s="740">
        <v>5.18</v>
      </c>
      <c r="CX96" s="740">
        <v>5.2</v>
      </c>
      <c r="CY96" s="740">
        <v>5.23</v>
      </c>
      <c r="CZ96" s="740">
        <v>5.25</v>
      </c>
      <c r="DA96" s="740">
        <v>5.28</v>
      </c>
      <c r="DB96" s="740">
        <v>5.3</v>
      </c>
      <c r="DC96" s="740">
        <v>5.33</v>
      </c>
      <c r="DD96" s="740">
        <v>5.35</v>
      </c>
      <c r="DE96" s="740">
        <v>5.38</v>
      </c>
      <c r="DF96" s="740">
        <v>5.4</v>
      </c>
      <c r="DG96" s="740">
        <v>5.43</v>
      </c>
      <c r="DH96" s="740">
        <v>5.45</v>
      </c>
      <c r="DI96" s="740">
        <v>5.47</v>
      </c>
      <c r="DJ96" s="740">
        <v>5.5</v>
      </c>
      <c r="DK96" s="740">
        <v>5.52</v>
      </c>
      <c r="DL96" s="740">
        <v>5.55</v>
      </c>
      <c r="DM96" s="740">
        <v>5.57</v>
      </c>
      <c r="DN96" s="740">
        <v>5.59</v>
      </c>
      <c r="DO96" s="740">
        <v>5.62</v>
      </c>
      <c r="DP96" s="740">
        <v>5.64</v>
      </c>
      <c r="DQ96" s="740">
        <v>5.66</v>
      </c>
      <c r="DR96" s="740">
        <v>5.69</v>
      </c>
    </row>
    <row r="97" spans="1:122">
      <c r="A97" s="912">
        <v>95</v>
      </c>
      <c r="B97" s="90"/>
      <c r="C97" s="90"/>
      <c r="D97" s="90"/>
      <c r="E97" s="90"/>
      <c r="F97" s="90"/>
      <c r="G97" s="90"/>
      <c r="H97" s="90"/>
      <c r="I97" s="90"/>
      <c r="J97" s="90"/>
      <c r="K97" s="90"/>
      <c r="L97" s="90"/>
      <c r="M97" s="90"/>
      <c r="N97" s="90"/>
      <c r="O97" s="90"/>
      <c r="P97" s="90"/>
      <c r="Q97" s="90"/>
      <c r="R97" s="90"/>
      <c r="S97" s="90"/>
      <c r="T97" s="90"/>
      <c r="U97" s="90"/>
      <c r="V97" s="740"/>
      <c r="W97" s="740">
        <v>2.94</v>
      </c>
      <c r="X97" s="740">
        <v>2.83</v>
      </c>
      <c r="Y97" s="740">
        <v>2.87</v>
      </c>
      <c r="Z97" s="740">
        <v>2.94</v>
      </c>
      <c r="AA97" s="740">
        <v>2.95</v>
      </c>
      <c r="AB97" s="740">
        <v>2.98</v>
      </c>
      <c r="AC97" s="740">
        <v>3</v>
      </c>
      <c r="AD97" s="740">
        <v>3.03</v>
      </c>
      <c r="AE97" s="740">
        <v>3.06</v>
      </c>
      <c r="AF97" s="740">
        <v>3.08</v>
      </c>
      <c r="AG97" s="740">
        <v>3.11</v>
      </c>
      <c r="AH97" s="740">
        <v>3.14</v>
      </c>
      <c r="AI97" s="740">
        <v>3.16</v>
      </c>
      <c r="AJ97" s="740">
        <v>3.19</v>
      </c>
      <c r="AK97" s="740">
        <v>3.22</v>
      </c>
      <c r="AL97" s="740">
        <v>3.24</v>
      </c>
      <c r="AM97" s="740">
        <v>3.27</v>
      </c>
      <c r="AN97" s="740">
        <v>3.29</v>
      </c>
      <c r="AO97" s="740">
        <v>3.32</v>
      </c>
      <c r="AP97" s="740">
        <v>3.34</v>
      </c>
      <c r="AQ97" s="740">
        <v>3.36</v>
      </c>
      <c r="AR97" s="740">
        <v>3.39</v>
      </c>
      <c r="AS97" s="740">
        <v>3.41</v>
      </c>
      <c r="AT97" s="740">
        <v>3.43</v>
      </c>
      <c r="AU97" s="740">
        <v>3.46</v>
      </c>
      <c r="AV97" s="740">
        <v>3.48</v>
      </c>
      <c r="AW97" s="740">
        <v>3.51</v>
      </c>
      <c r="AX97" s="740">
        <v>3.53</v>
      </c>
      <c r="AY97" s="740">
        <v>3.55</v>
      </c>
      <c r="AZ97" s="740">
        <v>3.58</v>
      </c>
      <c r="BA97" s="740">
        <v>3.6</v>
      </c>
      <c r="BB97" s="740">
        <v>3.63</v>
      </c>
      <c r="BC97" s="740">
        <v>3.65</v>
      </c>
      <c r="BD97" s="740">
        <v>3.67</v>
      </c>
      <c r="BE97" s="740">
        <v>3.7</v>
      </c>
      <c r="BF97" s="740">
        <v>3.72</v>
      </c>
      <c r="BG97" s="740">
        <v>3.74</v>
      </c>
      <c r="BH97" s="740">
        <v>3.77</v>
      </c>
      <c r="BI97" s="740">
        <v>3.79</v>
      </c>
      <c r="BJ97" s="740">
        <v>3.82</v>
      </c>
      <c r="BK97" s="740">
        <v>3.84</v>
      </c>
      <c r="BL97" s="740">
        <v>3.86</v>
      </c>
      <c r="BM97" s="740">
        <v>3.89</v>
      </c>
      <c r="BN97" s="740">
        <v>3.91</v>
      </c>
      <c r="BO97" s="740">
        <v>3.93</v>
      </c>
      <c r="BP97" s="740">
        <v>3.96</v>
      </c>
      <c r="BQ97" s="740">
        <v>3.98</v>
      </c>
      <c r="BR97" s="740">
        <v>4</v>
      </c>
      <c r="BS97" s="740">
        <v>4.03</v>
      </c>
      <c r="BT97" s="740">
        <v>4.05</v>
      </c>
      <c r="BU97" s="740">
        <v>4.08</v>
      </c>
      <c r="BV97" s="740">
        <v>4.0999999999999996</v>
      </c>
      <c r="BW97" s="740">
        <v>4.12</v>
      </c>
      <c r="BX97" s="740">
        <v>4.1500000000000004</v>
      </c>
      <c r="BY97" s="740">
        <v>4.17</v>
      </c>
      <c r="BZ97" s="740">
        <v>4.1900000000000004</v>
      </c>
      <c r="CA97" s="740">
        <v>4.21</v>
      </c>
      <c r="CB97" s="740">
        <v>4.24</v>
      </c>
      <c r="CC97" s="740">
        <v>4.26</v>
      </c>
      <c r="CD97" s="740">
        <v>4.28</v>
      </c>
      <c r="CE97" s="740">
        <v>4.3099999999999996</v>
      </c>
      <c r="CF97" s="740">
        <v>4.33</v>
      </c>
      <c r="CG97" s="740">
        <v>4.3499999999999996</v>
      </c>
      <c r="CH97" s="740">
        <v>4.38</v>
      </c>
      <c r="CI97" s="740">
        <v>4.4000000000000004</v>
      </c>
      <c r="CJ97" s="740">
        <v>4.42</v>
      </c>
      <c r="CK97" s="740">
        <v>4.4400000000000004</v>
      </c>
      <c r="CL97" s="740">
        <v>4.47</v>
      </c>
      <c r="CM97" s="740">
        <v>4.49</v>
      </c>
      <c r="CN97" s="740">
        <v>4.51</v>
      </c>
      <c r="CO97" s="740">
        <v>4.53</v>
      </c>
      <c r="CP97" s="740">
        <v>4.5599999999999996</v>
      </c>
      <c r="CQ97" s="740">
        <v>4.58</v>
      </c>
      <c r="CR97" s="740">
        <v>4.5999999999999996</v>
      </c>
      <c r="CS97" s="740">
        <v>4.62</v>
      </c>
      <c r="CT97" s="740">
        <v>4.6399999999999997</v>
      </c>
      <c r="CU97" s="740">
        <v>4.67</v>
      </c>
      <c r="CV97" s="740">
        <v>4.6900000000000004</v>
      </c>
      <c r="CW97" s="740">
        <v>4.71</v>
      </c>
      <c r="CX97" s="740">
        <v>4.7300000000000004</v>
      </c>
      <c r="CY97" s="740">
        <v>4.75</v>
      </c>
      <c r="CZ97" s="740">
        <v>4.7699999999999996</v>
      </c>
      <c r="DA97" s="740">
        <v>4.8</v>
      </c>
      <c r="DB97" s="740">
        <v>4.82</v>
      </c>
      <c r="DC97" s="740">
        <v>4.84</v>
      </c>
      <c r="DD97" s="740">
        <v>4.8600000000000003</v>
      </c>
      <c r="DE97" s="740">
        <v>4.88</v>
      </c>
      <c r="DF97" s="740">
        <v>4.9000000000000004</v>
      </c>
      <c r="DG97" s="740">
        <v>4.92</v>
      </c>
      <c r="DH97" s="740">
        <v>4.9400000000000004</v>
      </c>
      <c r="DI97" s="740">
        <v>4.96</v>
      </c>
      <c r="DJ97" s="740">
        <v>4.99</v>
      </c>
      <c r="DK97" s="740">
        <v>5.01</v>
      </c>
      <c r="DL97" s="740">
        <v>5.03</v>
      </c>
      <c r="DM97" s="740">
        <v>5.05</v>
      </c>
      <c r="DN97" s="740">
        <v>5.07</v>
      </c>
      <c r="DO97" s="740">
        <v>5.09</v>
      </c>
      <c r="DP97" s="740">
        <v>5.1100000000000003</v>
      </c>
      <c r="DQ97" s="740">
        <v>5.13</v>
      </c>
      <c r="DR97" s="740">
        <v>5.15</v>
      </c>
    </row>
    <row r="98" spans="1:122">
      <c r="A98" s="912">
        <v>96</v>
      </c>
      <c r="B98" s="90"/>
      <c r="C98" s="90"/>
      <c r="D98" s="90"/>
      <c r="E98" s="90"/>
      <c r="F98" s="90"/>
      <c r="G98" s="90"/>
      <c r="H98" s="90"/>
      <c r="I98" s="90"/>
      <c r="J98" s="90"/>
      <c r="K98" s="90"/>
      <c r="L98" s="90"/>
      <c r="M98" s="90"/>
      <c r="N98" s="90"/>
      <c r="O98" s="90"/>
      <c r="P98" s="90"/>
      <c r="Q98" s="90"/>
      <c r="R98" s="90"/>
      <c r="S98" s="90"/>
      <c r="T98" s="90"/>
      <c r="U98" s="90"/>
      <c r="V98" s="740"/>
      <c r="W98" s="740">
        <v>2.74</v>
      </c>
      <c r="X98" s="740">
        <v>2.64</v>
      </c>
      <c r="Y98" s="740">
        <v>2.68</v>
      </c>
      <c r="Z98" s="740">
        <v>2.74</v>
      </c>
      <c r="AA98" s="740">
        <v>2.74</v>
      </c>
      <c r="AB98" s="740">
        <v>2.77</v>
      </c>
      <c r="AC98" s="740">
        <v>2.79</v>
      </c>
      <c r="AD98" s="740">
        <v>2.82</v>
      </c>
      <c r="AE98" s="740">
        <v>2.84</v>
      </c>
      <c r="AF98" s="740">
        <v>2.86</v>
      </c>
      <c r="AG98" s="740">
        <v>2.89</v>
      </c>
      <c r="AH98" s="740">
        <v>2.91</v>
      </c>
      <c r="AI98" s="740">
        <v>2.93</v>
      </c>
      <c r="AJ98" s="740">
        <v>2.96</v>
      </c>
      <c r="AK98" s="740">
        <v>2.98</v>
      </c>
      <c r="AL98" s="740">
        <v>3.01</v>
      </c>
      <c r="AM98" s="740">
        <v>3.03</v>
      </c>
      <c r="AN98" s="740">
        <v>3.05</v>
      </c>
      <c r="AO98" s="740">
        <v>3.07</v>
      </c>
      <c r="AP98" s="740">
        <v>3.09</v>
      </c>
      <c r="AQ98" s="740">
        <v>3.11</v>
      </c>
      <c r="AR98" s="740">
        <v>3.13</v>
      </c>
      <c r="AS98" s="740">
        <v>3.16</v>
      </c>
      <c r="AT98" s="740">
        <v>3.18</v>
      </c>
      <c r="AU98" s="740">
        <v>3.2</v>
      </c>
      <c r="AV98" s="740">
        <v>3.22</v>
      </c>
      <c r="AW98" s="740">
        <v>3.24</v>
      </c>
      <c r="AX98" s="740">
        <v>3.26</v>
      </c>
      <c r="AY98" s="740">
        <v>3.28</v>
      </c>
      <c r="AZ98" s="740">
        <v>3.3</v>
      </c>
      <c r="BA98" s="740">
        <v>3.33</v>
      </c>
      <c r="BB98" s="740">
        <v>3.35</v>
      </c>
      <c r="BC98" s="740">
        <v>3.37</v>
      </c>
      <c r="BD98" s="740">
        <v>3.39</v>
      </c>
      <c r="BE98" s="740">
        <v>3.41</v>
      </c>
      <c r="BF98" s="740">
        <v>3.43</v>
      </c>
      <c r="BG98" s="740">
        <v>3.45</v>
      </c>
      <c r="BH98" s="740">
        <v>3.47</v>
      </c>
      <c r="BI98" s="740">
        <v>3.49</v>
      </c>
      <c r="BJ98" s="740">
        <v>3.52</v>
      </c>
      <c r="BK98" s="740">
        <v>3.54</v>
      </c>
      <c r="BL98" s="740">
        <v>3.56</v>
      </c>
      <c r="BM98" s="740">
        <v>3.58</v>
      </c>
      <c r="BN98" s="740">
        <v>3.6</v>
      </c>
      <c r="BO98" s="740">
        <v>3.62</v>
      </c>
      <c r="BP98" s="740">
        <v>3.64</v>
      </c>
      <c r="BQ98" s="740">
        <v>3.66</v>
      </c>
      <c r="BR98" s="740">
        <v>3.68</v>
      </c>
      <c r="BS98" s="740">
        <v>3.7</v>
      </c>
      <c r="BT98" s="740">
        <v>3.72</v>
      </c>
      <c r="BU98" s="740">
        <v>3.74</v>
      </c>
      <c r="BV98" s="740">
        <v>3.76</v>
      </c>
      <c r="BW98" s="740">
        <v>3.79</v>
      </c>
      <c r="BX98" s="740">
        <v>3.81</v>
      </c>
      <c r="BY98" s="740">
        <v>3.83</v>
      </c>
      <c r="BZ98" s="740">
        <v>3.85</v>
      </c>
      <c r="CA98" s="740">
        <v>3.87</v>
      </c>
      <c r="CB98" s="740">
        <v>3.89</v>
      </c>
      <c r="CC98" s="740">
        <v>3.91</v>
      </c>
      <c r="CD98" s="740">
        <v>3.93</v>
      </c>
      <c r="CE98" s="740">
        <v>3.95</v>
      </c>
      <c r="CF98" s="740">
        <v>3.97</v>
      </c>
      <c r="CG98" s="740">
        <v>3.99</v>
      </c>
      <c r="CH98" s="740">
        <v>4.01</v>
      </c>
      <c r="CI98" s="740">
        <v>4.03</v>
      </c>
      <c r="CJ98" s="740">
        <v>4.05</v>
      </c>
      <c r="CK98" s="740">
        <v>4.07</v>
      </c>
      <c r="CL98" s="740">
        <v>4.09</v>
      </c>
      <c r="CM98" s="740">
        <v>4.1100000000000003</v>
      </c>
      <c r="CN98" s="740">
        <v>4.13</v>
      </c>
      <c r="CO98" s="740">
        <v>4.1500000000000004</v>
      </c>
      <c r="CP98" s="740">
        <v>4.17</v>
      </c>
      <c r="CQ98" s="740">
        <v>4.18</v>
      </c>
      <c r="CR98" s="740">
        <v>4.2</v>
      </c>
      <c r="CS98" s="740">
        <v>4.22</v>
      </c>
      <c r="CT98" s="740">
        <v>4.24</v>
      </c>
      <c r="CU98" s="740">
        <v>4.26</v>
      </c>
      <c r="CV98" s="740">
        <v>4.28</v>
      </c>
      <c r="CW98" s="740">
        <v>4.3</v>
      </c>
      <c r="CX98" s="740">
        <v>4.32</v>
      </c>
      <c r="CY98" s="740">
        <v>4.34</v>
      </c>
      <c r="CZ98" s="740">
        <v>4.3600000000000003</v>
      </c>
      <c r="DA98" s="740">
        <v>4.38</v>
      </c>
      <c r="DB98" s="740">
        <v>4.3899999999999997</v>
      </c>
      <c r="DC98" s="740">
        <v>4.41</v>
      </c>
      <c r="DD98" s="740">
        <v>4.43</v>
      </c>
      <c r="DE98" s="740">
        <v>4.45</v>
      </c>
      <c r="DF98" s="740">
        <v>4.47</v>
      </c>
      <c r="DG98" s="740">
        <v>4.49</v>
      </c>
      <c r="DH98" s="740">
        <v>4.5</v>
      </c>
      <c r="DI98" s="740">
        <v>4.5199999999999996</v>
      </c>
      <c r="DJ98" s="740">
        <v>4.54</v>
      </c>
      <c r="DK98" s="740">
        <v>4.5599999999999996</v>
      </c>
      <c r="DL98" s="740">
        <v>4.58</v>
      </c>
      <c r="DM98" s="740">
        <v>4.59</v>
      </c>
      <c r="DN98" s="740">
        <v>4.6100000000000003</v>
      </c>
      <c r="DO98" s="740">
        <v>4.63</v>
      </c>
      <c r="DP98" s="740">
        <v>4.6500000000000004</v>
      </c>
      <c r="DQ98" s="740">
        <v>4.66</v>
      </c>
      <c r="DR98" s="740">
        <v>4.68</v>
      </c>
    </row>
    <row r="99" spans="1:122">
      <c r="A99" s="912">
        <v>97</v>
      </c>
      <c r="B99" s="90"/>
      <c r="C99" s="90"/>
      <c r="D99" s="90"/>
      <c r="E99" s="90"/>
      <c r="F99" s="90"/>
      <c r="G99" s="90"/>
      <c r="H99" s="90"/>
      <c r="I99" s="90"/>
      <c r="J99" s="90"/>
      <c r="K99" s="90"/>
      <c r="L99" s="90"/>
      <c r="M99" s="90"/>
      <c r="N99" s="90"/>
      <c r="O99" s="90"/>
      <c r="P99" s="90"/>
      <c r="Q99" s="90"/>
      <c r="R99" s="90"/>
      <c r="S99" s="90"/>
      <c r="T99" s="90"/>
      <c r="U99" s="90"/>
      <c r="V99" s="740"/>
      <c r="W99" s="740">
        <v>2.5499999999999998</v>
      </c>
      <c r="X99" s="740">
        <v>2.46</v>
      </c>
      <c r="Y99" s="740">
        <v>2.5</v>
      </c>
      <c r="Z99" s="740">
        <v>2.5499999999999998</v>
      </c>
      <c r="AA99" s="740">
        <v>2.56</v>
      </c>
      <c r="AB99" s="740">
        <v>2.58</v>
      </c>
      <c r="AC99" s="740">
        <v>2.6</v>
      </c>
      <c r="AD99" s="740">
        <v>2.62</v>
      </c>
      <c r="AE99" s="740">
        <v>2.64</v>
      </c>
      <c r="AF99" s="740">
        <v>2.67</v>
      </c>
      <c r="AG99" s="740">
        <v>2.69</v>
      </c>
      <c r="AH99" s="740">
        <v>2.71</v>
      </c>
      <c r="AI99" s="740">
        <v>2.73</v>
      </c>
      <c r="AJ99" s="740">
        <v>2.75</v>
      </c>
      <c r="AK99" s="740">
        <v>2.77</v>
      </c>
      <c r="AL99" s="740">
        <v>2.8</v>
      </c>
      <c r="AM99" s="740">
        <v>2.81</v>
      </c>
      <c r="AN99" s="740">
        <v>2.83</v>
      </c>
      <c r="AO99" s="740">
        <v>2.85</v>
      </c>
      <c r="AP99" s="740">
        <v>2.87</v>
      </c>
      <c r="AQ99" s="740">
        <v>2.89</v>
      </c>
      <c r="AR99" s="740">
        <v>2.91</v>
      </c>
      <c r="AS99" s="740">
        <v>2.93</v>
      </c>
      <c r="AT99" s="740">
        <v>2.95</v>
      </c>
      <c r="AU99" s="740">
        <v>2.97</v>
      </c>
      <c r="AV99" s="740">
        <v>2.99</v>
      </c>
      <c r="AW99" s="740">
        <v>3</v>
      </c>
      <c r="AX99" s="740">
        <v>3.02</v>
      </c>
      <c r="AY99" s="740">
        <v>3.04</v>
      </c>
      <c r="AZ99" s="740">
        <v>3.06</v>
      </c>
      <c r="BA99" s="740">
        <v>3.08</v>
      </c>
      <c r="BB99" s="740">
        <v>3.1</v>
      </c>
      <c r="BC99" s="740">
        <v>3.12</v>
      </c>
      <c r="BD99" s="740">
        <v>3.14</v>
      </c>
      <c r="BE99" s="740">
        <v>3.16</v>
      </c>
      <c r="BF99" s="740">
        <v>3.17</v>
      </c>
      <c r="BG99" s="740">
        <v>3.19</v>
      </c>
      <c r="BH99" s="740">
        <v>3.21</v>
      </c>
      <c r="BI99" s="740">
        <v>3.23</v>
      </c>
      <c r="BJ99" s="740">
        <v>3.25</v>
      </c>
      <c r="BK99" s="740">
        <v>3.27</v>
      </c>
      <c r="BL99" s="740">
        <v>3.29</v>
      </c>
      <c r="BM99" s="740">
        <v>3.31</v>
      </c>
      <c r="BN99" s="740">
        <v>3.32</v>
      </c>
      <c r="BO99" s="740">
        <v>3.34</v>
      </c>
      <c r="BP99" s="740">
        <v>3.36</v>
      </c>
      <c r="BQ99" s="740">
        <v>3.38</v>
      </c>
      <c r="BR99" s="740">
        <v>3.4</v>
      </c>
      <c r="BS99" s="740">
        <v>3.42</v>
      </c>
      <c r="BT99" s="740">
        <v>3.43</v>
      </c>
      <c r="BU99" s="740">
        <v>3.45</v>
      </c>
      <c r="BV99" s="740">
        <v>3.47</v>
      </c>
      <c r="BW99" s="740">
        <v>3.49</v>
      </c>
      <c r="BX99" s="740">
        <v>3.51</v>
      </c>
      <c r="BY99" s="740">
        <v>3.53</v>
      </c>
      <c r="BZ99" s="740">
        <v>3.54</v>
      </c>
      <c r="CA99" s="740">
        <v>3.56</v>
      </c>
      <c r="CB99" s="740">
        <v>3.58</v>
      </c>
      <c r="CC99" s="740">
        <v>3.6</v>
      </c>
      <c r="CD99" s="740">
        <v>3.62</v>
      </c>
      <c r="CE99" s="740">
        <v>3.63</v>
      </c>
      <c r="CF99" s="740">
        <v>3.65</v>
      </c>
      <c r="CG99" s="740">
        <v>3.67</v>
      </c>
      <c r="CH99" s="740">
        <v>3.69</v>
      </c>
      <c r="CI99" s="740">
        <v>3.7</v>
      </c>
      <c r="CJ99" s="740">
        <v>3.72</v>
      </c>
      <c r="CK99" s="740">
        <v>3.74</v>
      </c>
      <c r="CL99" s="740">
        <v>3.76</v>
      </c>
      <c r="CM99" s="740">
        <v>3.77</v>
      </c>
      <c r="CN99" s="740">
        <v>3.79</v>
      </c>
      <c r="CO99" s="740">
        <v>3.81</v>
      </c>
      <c r="CP99" s="740">
        <v>3.83</v>
      </c>
      <c r="CQ99" s="740">
        <v>3.84</v>
      </c>
      <c r="CR99" s="740">
        <v>3.86</v>
      </c>
      <c r="CS99" s="740">
        <v>3.88</v>
      </c>
      <c r="CT99" s="740">
        <v>3.89</v>
      </c>
      <c r="CU99" s="740">
        <v>3.91</v>
      </c>
      <c r="CV99" s="740">
        <v>3.93</v>
      </c>
      <c r="CW99" s="740">
        <v>3.94</v>
      </c>
      <c r="CX99" s="740">
        <v>3.96</v>
      </c>
      <c r="CY99" s="740">
        <v>3.98</v>
      </c>
      <c r="CZ99" s="740">
        <v>3.99</v>
      </c>
      <c r="DA99" s="740">
        <v>4.01</v>
      </c>
      <c r="DB99" s="740">
        <v>4.03</v>
      </c>
      <c r="DC99" s="740">
        <v>4.04</v>
      </c>
      <c r="DD99" s="740">
        <v>4.0599999999999996</v>
      </c>
      <c r="DE99" s="740">
        <v>4.08</v>
      </c>
      <c r="DF99" s="740">
        <v>4.09</v>
      </c>
      <c r="DG99" s="740">
        <v>4.1100000000000003</v>
      </c>
      <c r="DH99" s="740">
        <v>4.12</v>
      </c>
      <c r="DI99" s="740">
        <v>4.1399999999999997</v>
      </c>
      <c r="DJ99" s="740">
        <v>4.16</v>
      </c>
      <c r="DK99" s="740">
        <v>4.17</v>
      </c>
      <c r="DL99" s="740">
        <v>4.1900000000000004</v>
      </c>
      <c r="DM99" s="740">
        <v>4.2</v>
      </c>
      <c r="DN99" s="740">
        <v>4.22</v>
      </c>
      <c r="DO99" s="740">
        <v>4.2300000000000004</v>
      </c>
      <c r="DP99" s="740">
        <v>4.25</v>
      </c>
      <c r="DQ99" s="740">
        <v>4.26</v>
      </c>
      <c r="DR99" s="740">
        <v>4.28</v>
      </c>
    </row>
    <row r="100" spans="1:122">
      <c r="A100" s="912">
        <v>98</v>
      </c>
      <c r="B100" s="90"/>
      <c r="C100" s="90"/>
      <c r="D100" s="90"/>
      <c r="E100" s="90"/>
      <c r="F100" s="90"/>
      <c r="G100" s="90"/>
      <c r="H100" s="90"/>
      <c r="I100" s="90"/>
      <c r="J100" s="90"/>
      <c r="K100" s="90"/>
      <c r="L100" s="90"/>
      <c r="M100" s="90"/>
      <c r="N100" s="90"/>
      <c r="O100" s="90"/>
      <c r="P100" s="90"/>
      <c r="Q100" s="90"/>
      <c r="R100" s="90"/>
      <c r="S100" s="90"/>
      <c r="T100" s="90"/>
      <c r="U100" s="90"/>
      <c r="V100" s="740"/>
      <c r="W100" s="740">
        <v>2.39</v>
      </c>
      <c r="X100" s="740">
        <v>2.31</v>
      </c>
      <c r="Y100" s="740">
        <v>2.34</v>
      </c>
      <c r="Z100" s="740">
        <v>2.39</v>
      </c>
      <c r="AA100" s="740">
        <v>2.39</v>
      </c>
      <c r="AB100" s="740">
        <v>2.41</v>
      </c>
      <c r="AC100" s="740">
        <v>2.4300000000000002</v>
      </c>
      <c r="AD100" s="740">
        <v>2.4500000000000002</v>
      </c>
      <c r="AE100" s="740">
        <v>2.4700000000000002</v>
      </c>
      <c r="AF100" s="740">
        <v>2.4900000000000002</v>
      </c>
      <c r="AG100" s="740">
        <v>2.5099999999999998</v>
      </c>
      <c r="AH100" s="740">
        <v>2.5299999999999998</v>
      </c>
      <c r="AI100" s="740">
        <v>2.5499999999999998</v>
      </c>
      <c r="AJ100" s="740">
        <v>2.57</v>
      </c>
      <c r="AK100" s="740">
        <v>2.59</v>
      </c>
      <c r="AL100" s="740">
        <v>2.61</v>
      </c>
      <c r="AM100" s="740">
        <v>2.62</v>
      </c>
      <c r="AN100" s="740">
        <v>2.64</v>
      </c>
      <c r="AO100" s="740">
        <v>2.66</v>
      </c>
      <c r="AP100" s="740">
        <v>2.68</v>
      </c>
      <c r="AQ100" s="740">
        <v>2.69</v>
      </c>
      <c r="AR100" s="740">
        <v>2.71</v>
      </c>
      <c r="AS100" s="740">
        <v>2.73</v>
      </c>
      <c r="AT100" s="740">
        <v>2.74</v>
      </c>
      <c r="AU100" s="740">
        <v>2.76</v>
      </c>
      <c r="AV100" s="740">
        <v>2.78</v>
      </c>
      <c r="AW100" s="740">
        <v>2.8</v>
      </c>
      <c r="AX100" s="740">
        <v>2.81</v>
      </c>
      <c r="AY100" s="740">
        <v>2.83</v>
      </c>
      <c r="AZ100" s="740">
        <v>2.85</v>
      </c>
      <c r="BA100" s="740">
        <v>2.86</v>
      </c>
      <c r="BB100" s="740">
        <v>2.88</v>
      </c>
      <c r="BC100" s="740">
        <v>2.9</v>
      </c>
      <c r="BD100" s="740">
        <v>2.91</v>
      </c>
      <c r="BE100" s="740">
        <v>2.93</v>
      </c>
      <c r="BF100" s="740">
        <v>2.95</v>
      </c>
      <c r="BG100" s="740">
        <v>2.97</v>
      </c>
      <c r="BH100" s="740">
        <v>2.98</v>
      </c>
      <c r="BI100" s="740">
        <v>3</v>
      </c>
      <c r="BJ100" s="740">
        <v>3.02</v>
      </c>
      <c r="BK100" s="740">
        <v>3.03</v>
      </c>
      <c r="BL100" s="740">
        <v>3.05</v>
      </c>
      <c r="BM100" s="740">
        <v>3.07</v>
      </c>
      <c r="BN100" s="740">
        <v>3.08</v>
      </c>
      <c r="BO100" s="740">
        <v>3.1</v>
      </c>
      <c r="BP100" s="740">
        <v>3.12</v>
      </c>
      <c r="BQ100" s="740">
        <v>3.13</v>
      </c>
      <c r="BR100" s="740">
        <v>3.15</v>
      </c>
      <c r="BS100" s="740">
        <v>3.16</v>
      </c>
      <c r="BT100" s="740">
        <v>3.18</v>
      </c>
      <c r="BU100" s="740">
        <v>3.2</v>
      </c>
      <c r="BV100" s="740">
        <v>3.21</v>
      </c>
      <c r="BW100" s="740">
        <v>3.23</v>
      </c>
      <c r="BX100" s="740">
        <v>3.25</v>
      </c>
      <c r="BY100" s="740">
        <v>3.26</v>
      </c>
      <c r="BZ100" s="740">
        <v>3.28</v>
      </c>
      <c r="CA100" s="740">
        <v>3.29</v>
      </c>
      <c r="CB100" s="740">
        <v>3.31</v>
      </c>
      <c r="CC100" s="740">
        <v>3.33</v>
      </c>
      <c r="CD100" s="740">
        <v>3.34</v>
      </c>
      <c r="CE100" s="740">
        <v>3.36</v>
      </c>
      <c r="CF100" s="740">
        <v>3.37</v>
      </c>
      <c r="CG100" s="740">
        <v>3.39</v>
      </c>
      <c r="CH100" s="740">
        <v>3.41</v>
      </c>
      <c r="CI100" s="740">
        <v>3.42</v>
      </c>
      <c r="CJ100" s="740">
        <v>3.44</v>
      </c>
      <c r="CK100" s="740">
        <v>3.45</v>
      </c>
      <c r="CL100" s="740">
        <v>3.47</v>
      </c>
      <c r="CM100" s="740">
        <v>3.48</v>
      </c>
      <c r="CN100" s="740">
        <v>3.5</v>
      </c>
      <c r="CO100" s="740">
        <v>3.51</v>
      </c>
      <c r="CP100" s="740">
        <v>3.53</v>
      </c>
      <c r="CQ100" s="740">
        <v>3.54</v>
      </c>
      <c r="CR100" s="740">
        <v>3.56</v>
      </c>
      <c r="CS100" s="740">
        <v>3.57</v>
      </c>
      <c r="CT100" s="740">
        <v>3.59</v>
      </c>
      <c r="CU100" s="740">
        <v>3.6</v>
      </c>
      <c r="CV100" s="740">
        <v>3.62</v>
      </c>
      <c r="CW100" s="740">
        <v>3.63</v>
      </c>
      <c r="CX100" s="740">
        <v>3.65</v>
      </c>
      <c r="CY100" s="740">
        <v>3.66</v>
      </c>
      <c r="CZ100" s="740">
        <v>3.68</v>
      </c>
      <c r="DA100" s="740">
        <v>3.69</v>
      </c>
      <c r="DB100" s="740">
        <v>3.71</v>
      </c>
      <c r="DC100" s="740">
        <v>3.72</v>
      </c>
      <c r="DD100" s="740">
        <v>3.74</v>
      </c>
      <c r="DE100" s="740">
        <v>3.75</v>
      </c>
      <c r="DF100" s="740">
        <v>3.76</v>
      </c>
      <c r="DG100" s="740">
        <v>3.78</v>
      </c>
      <c r="DH100" s="740">
        <v>3.79</v>
      </c>
      <c r="DI100" s="740">
        <v>3.81</v>
      </c>
      <c r="DJ100" s="740">
        <v>3.82</v>
      </c>
      <c r="DK100" s="740">
        <v>3.83</v>
      </c>
      <c r="DL100" s="740">
        <v>3.85</v>
      </c>
      <c r="DM100" s="740">
        <v>3.86</v>
      </c>
      <c r="DN100" s="740">
        <v>3.88</v>
      </c>
      <c r="DO100" s="740">
        <v>3.89</v>
      </c>
      <c r="DP100" s="740">
        <v>3.9</v>
      </c>
      <c r="DQ100" s="740">
        <v>3.92</v>
      </c>
      <c r="DR100" s="740">
        <v>3.93</v>
      </c>
    </row>
    <row r="101" spans="1:122">
      <c r="A101" s="912">
        <v>99</v>
      </c>
      <c r="B101" s="90"/>
      <c r="C101" s="90"/>
      <c r="D101" s="90"/>
      <c r="E101" s="90"/>
      <c r="F101" s="90"/>
      <c r="G101" s="90"/>
      <c r="H101" s="90"/>
      <c r="I101" s="90"/>
      <c r="J101" s="90"/>
      <c r="K101" s="90"/>
      <c r="L101" s="90"/>
      <c r="M101" s="90"/>
      <c r="N101" s="90"/>
      <c r="O101" s="90"/>
      <c r="P101" s="90"/>
      <c r="Q101" s="90"/>
      <c r="R101" s="90"/>
      <c r="S101" s="90"/>
      <c r="T101" s="90"/>
      <c r="U101" s="90"/>
      <c r="V101" s="740"/>
      <c r="W101" s="740">
        <v>2.2400000000000002</v>
      </c>
      <c r="X101" s="740">
        <v>2.17</v>
      </c>
      <c r="Y101" s="740">
        <v>2.19</v>
      </c>
      <c r="Z101" s="740">
        <v>2.2400000000000002</v>
      </c>
      <c r="AA101" s="740">
        <v>2.25</v>
      </c>
      <c r="AB101" s="740">
        <v>2.2599999999999998</v>
      </c>
      <c r="AC101" s="740">
        <v>2.2799999999999998</v>
      </c>
      <c r="AD101" s="740">
        <v>2.2999999999999998</v>
      </c>
      <c r="AE101" s="740">
        <v>2.3199999999999998</v>
      </c>
      <c r="AF101" s="740">
        <v>2.33</v>
      </c>
      <c r="AG101" s="740">
        <v>2.35</v>
      </c>
      <c r="AH101" s="740">
        <v>2.37</v>
      </c>
      <c r="AI101" s="740">
        <v>2.39</v>
      </c>
      <c r="AJ101" s="740">
        <v>2.41</v>
      </c>
      <c r="AK101" s="740">
        <v>2.42</v>
      </c>
      <c r="AL101" s="740">
        <v>2.44</v>
      </c>
      <c r="AM101" s="740">
        <v>2.46</v>
      </c>
      <c r="AN101" s="740">
        <v>2.4700000000000002</v>
      </c>
      <c r="AO101" s="740">
        <v>2.4900000000000002</v>
      </c>
      <c r="AP101" s="740">
        <v>2.5</v>
      </c>
      <c r="AQ101" s="740">
        <v>2.52</v>
      </c>
      <c r="AR101" s="740">
        <v>2.5299999999999998</v>
      </c>
      <c r="AS101" s="740">
        <v>2.5499999999999998</v>
      </c>
      <c r="AT101" s="740">
        <v>2.56</v>
      </c>
      <c r="AU101" s="740">
        <v>2.58</v>
      </c>
      <c r="AV101" s="740">
        <v>2.6</v>
      </c>
      <c r="AW101" s="740">
        <v>2.61</v>
      </c>
      <c r="AX101" s="740">
        <v>2.63</v>
      </c>
      <c r="AY101" s="740">
        <v>2.64</v>
      </c>
      <c r="AZ101" s="740">
        <v>2.66</v>
      </c>
      <c r="BA101" s="740">
        <v>2.67</v>
      </c>
      <c r="BB101" s="740">
        <v>2.69</v>
      </c>
      <c r="BC101" s="740">
        <v>2.7</v>
      </c>
      <c r="BD101" s="740">
        <v>2.72</v>
      </c>
      <c r="BE101" s="740">
        <v>2.73</v>
      </c>
      <c r="BF101" s="740">
        <v>2.75</v>
      </c>
      <c r="BG101" s="740">
        <v>2.76</v>
      </c>
      <c r="BH101" s="740">
        <v>2.78</v>
      </c>
      <c r="BI101" s="740">
        <v>2.79</v>
      </c>
      <c r="BJ101" s="740">
        <v>2.81</v>
      </c>
      <c r="BK101" s="740">
        <v>2.82</v>
      </c>
      <c r="BL101" s="740">
        <v>2.84</v>
      </c>
      <c r="BM101" s="740">
        <v>2.85</v>
      </c>
      <c r="BN101" s="740">
        <v>2.87</v>
      </c>
      <c r="BO101" s="740">
        <v>2.88</v>
      </c>
      <c r="BP101" s="740">
        <v>2.9</v>
      </c>
      <c r="BQ101" s="740">
        <v>2.91</v>
      </c>
      <c r="BR101" s="740">
        <v>2.93</v>
      </c>
      <c r="BS101" s="740">
        <v>2.94</v>
      </c>
      <c r="BT101" s="740">
        <v>2.96</v>
      </c>
      <c r="BU101" s="740">
        <v>2.97</v>
      </c>
      <c r="BV101" s="740">
        <v>2.99</v>
      </c>
      <c r="BW101" s="740">
        <v>3</v>
      </c>
      <c r="BX101" s="740">
        <v>3.02</v>
      </c>
      <c r="BY101" s="740">
        <v>3.03</v>
      </c>
      <c r="BZ101" s="740">
        <v>3.05</v>
      </c>
      <c r="CA101" s="740">
        <v>3.06</v>
      </c>
      <c r="CB101" s="740">
        <v>3.07</v>
      </c>
      <c r="CC101" s="740">
        <v>3.09</v>
      </c>
      <c r="CD101" s="740">
        <v>3.1</v>
      </c>
      <c r="CE101" s="740">
        <v>3.12</v>
      </c>
      <c r="CF101" s="740">
        <v>3.13</v>
      </c>
      <c r="CG101" s="740">
        <v>3.15</v>
      </c>
      <c r="CH101" s="740">
        <v>3.16</v>
      </c>
      <c r="CI101" s="740">
        <v>3.17</v>
      </c>
      <c r="CJ101" s="740">
        <v>3.19</v>
      </c>
      <c r="CK101" s="740">
        <v>3.2</v>
      </c>
      <c r="CL101" s="740">
        <v>3.21</v>
      </c>
      <c r="CM101" s="740">
        <v>3.23</v>
      </c>
      <c r="CN101" s="740">
        <v>3.24</v>
      </c>
      <c r="CO101" s="740">
        <v>3.26</v>
      </c>
      <c r="CP101" s="740">
        <v>3.27</v>
      </c>
      <c r="CQ101" s="740">
        <v>3.28</v>
      </c>
      <c r="CR101" s="740">
        <v>3.3</v>
      </c>
      <c r="CS101" s="740">
        <v>3.31</v>
      </c>
      <c r="CT101" s="740">
        <v>3.32</v>
      </c>
      <c r="CU101" s="740">
        <v>3.34</v>
      </c>
      <c r="CV101" s="740">
        <v>3.35</v>
      </c>
      <c r="CW101" s="740">
        <v>3.36</v>
      </c>
      <c r="CX101" s="740">
        <v>3.38</v>
      </c>
      <c r="CY101" s="740">
        <v>3.39</v>
      </c>
      <c r="CZ101" s="740">
        <v>3.4</v>
      </c>
      <c r="DA101" s="740">
        <v>3.42</v>
      </c>
      <c r="DB101" s="740">
        <v>3.43</v>
      </c>
      <c r="DC101" s="740">
        <v>3.44</v>
      </c>
      <c r="DD101" s="740">
        <v>3.45</v>
      </c>
      <c r="DE101" s="740">
        <v>3.47</v>
      </c>
      <c r="DF101" s="740">
        <v>3.48</v>
      </c>
      <c r="DG101" s="740">
        <v>3.49</v>
      </c>
      <c r="DH101" s="740">
        <v>3.5</v>
      </c>
      <c r="DI101" s="740">
        <v>3.52</v>
      </c>
      <c r="DJ101" s="740">
        <v>3.53</v>
      </c>
      <c r="DK101" s="740">
        <v>3.54</v>
      </c>
      <c r="DL101" s="740">
        <v>3.55</v>
      </c>
      <c r="DM101" s="740">
        <v>3.57</v>
      </c>
      <c r="DN101" s="740">
        <v>3.58</v>
      </c>
      <c r="DO101" s="740">
        <v>3.59</v>
      </c>
      <c r="DP101" s="740">
        <v>3.6</v>
      </c>
      <c r="DQ101" s="740">
        <v>3.61</v>
      </c>
      <c r="DR101" s="740">
        <v>3.63</v>
      </c>
    </row>
    <row r="102" spans="1:122">
      <c r="A102" s="912">
        <v>100</v>
      </c>
      <c r="B102" s="90"/>
      <c r="C102" s="90"/>
      <c r="D102" s="90"/>
      <c r="E102" s="90"/>
      <c r="F102" s="90"/>
      <c r="G102" s="90"/>
      <c r="H102" s="90"/>
      <c r="I102" s="90"/>
      <c r="J102" s="90"/>
      <c r="K102" s="90"/>
      <c r="L102" s="90"/>
      <c r="M102" s="90"/>
      <c r="N102" s="90"/>
      <c r="O102" s="90"/>
      <c r="P102" s="90"/>
      <c r="Q102" s="90"/>
      <c r="R102" s="90"/>
      <c r="S102" s="90"/>
      <c r="T102" s="90"/>
      <c r="U102" s="90"/>
      <c r="V102" s="740"/>
      <c r="W102" s="740">
        <v>2.11</v>
      </c>
      <c r="X102" s="740">
        <v>2.04</v>
      </c>
      <c r="Y102" s="740">
        <v>2.0699999999999998</v>
      </c>
      <c r="Z102" s="740">
        <v>2.11</v>
      </c>
      <c r="AA102" s="740">
        <v>2.11</v>
      </c>
      <c r="AB102" s="740">
        <v>2.13</v>
      </c>
      <c r="AC102" s="740">
        <v>2.15</v>
      </c>
      <c r="AD102" s="740">
        <v>2.16</v>
      </c>
      <c r="AE102" s="740">
        <v>2.1800000000000002</v>
      </c>
      <c r="AF102" s="740">
        <v>2.2000000000000002</v>
      </c>
      <c r="AG102" s="740">
        <v>2.21</v>
      </c>
      <c r="AH102" s="740">
        <v>2.23</v>
      </c>
      <c r="AI102" s="740">
        <v>2.2400000000000002</v>
      </c>
      <c r="AJ102" s="740">
        <v>2.2599999999999998</v>
      </c>
      <c r="AK102" s="740">
        <v>2.2799999999999998</v>
      </c>
      <c r="AL102" s="740">
        <v>2.29</v>
      </c>
      <c r="AM102" s="740">
        <v>2.31</v>
      </c>
      <c r="AN102" s="740">
        <v>2.3199999999999998</v>
      </c>
      <c r="AO102" s="740">
        <v>2.33</v>
      </c>
      <c r="AP102" s="740">
        <v>2.35</v>
      </c>
      <c r="AQ102" s="740">
        <v>2.36</v>
      </c>
      <c r="AR102" s="740">
        <v>2.38</v>
      </c>
      <c r="AS102" s="740">
        <v>2.39</v>
      </c>
      <c r="AT102" s="740">
        <v>2.41</v>
      </c>
      <c r="AU102" s="740">
        <v>2.42</v>
      </c>
      <c r="AV102" s="740">
        <v>2.4300000000000002</v>
      </c>
      <c r="AW102" s="740">
        <v>2.4500000000000002</v>
      </c>
      <c r="AX102" s="740">
        <v>2.46</v>
      </c>
      <c r="AY102" s="740">
        <v>2.48</v>
      </c>
      <c r="AZ102" s="740">
        <v>2.4900000000000002</v>
      </c>
      <c r="BA102" s="740">
        <v>2.5</v>
      </c>
      <c r="BB102" s="740">
        <v>2.52</v>
      </c>
      <c r="BC102" s="740">
        <v>2.5299999999999998</v>
      </c>
      <c r="BD102" s="740">
        <v>2.5499999999999998</v>
      </c>
      <c r="BE102" s="740">
        <v>2.56</v>
      </c>
      <c r="BF102" s="740">
        <v>2.57</v>
      </c>
      <c r="BG102" s="740">
        <v>2.59</v>
      </c>
      <c r="BH102" s="740">
        <v>2.6</v>
      </c>
      <c r="BI102" s="740">
        <v>2.61</v>
      </c>
      <c r="BJ102" s="740">
        <v>2.63</v>
      </c>
      <c r="BK102" s="740">
        <v>2.64</v>
      </c>
      <c r="BL102" s="740">
        <v>2.66</v>
      </c>
      <c r="BM102" s="740">
        <v>2.67</v>
      </c>
      <c r="BN102" s="740">
        <v>2.68</v>
      </c>
      <c r="BO102" s="740">
        <v>2.7</v>
      </c>
      <c r="BP102" s="740">
        <v>2.71</v>
      </c>
      <c r="BQ102" s="740">
        <v>2.72</v>
      </c>
      <c r="BR102" s="740">
        <v>2.74</v>
      </c>
      <c r="BS102" s="740">
        <v>2.75</v>
      </c>
      <c r="BT102" s="740">
        <v>2.76</v>
      </c>
      <c r="BU102" s="740">
        <v>2.78</v>
      </c>
      <c r="BV102" s="740">
        <v>2.79</v>
      </c>
      <c r="BW102" s="740">
        <v>2.8</v>
      </c>
      <c r="BX102" s="740">
        <v>2.82</v>
      </c>
      <c r="BY102" s="740">
        <v>2.83</v>
      </c>
      <c r="BZ102" s="740">
        <v>2.84</v>
      </c>
      <c r="CA102" s="740">
        <v>2.85</v>
      </c>
      <c r="CB102" s="740">
        <v>2.87</v>
      </c>
      <c r="CC102" s="740">
        <v>2.88</v>
      </c>
      <c r="CD102" s="740">
        <v>2.89</v>
      </c>
      <c r="CE102" s="740">
        <v>2.91</v>
      </c>
      <c r="CF102" s="740">
        <v>2.92</v>
      </c>
      <c r="CG102" s="740">
        <v>2.93</v>
      </c>
      <c r="CH102" s="740">
        <v>2.94</v>
      </c>
      <c r="CI102" s="740">
        <v>2.96</v>
      </c>
      <c r="CJ102" s="740">
        <v>2.97</v>
      </c>
      <c r="CK102" s="740">
        <v>2.98</v>
      </c>
      <c r="CL102" s="740">
        <v>2.99</v>
      </c>
      <c r="CM102" s="740">
        <v>3.01</v>
      </c>
      <c r="CN102" s="740">
        <v>3.02</v>
      </c>
      <c r="CO102" s="740">
        <v>3.03</v>
      </c>
      <c r="CP102" s="740">
        <v>3.04</v>
      </c>
      <c r="CQ102" s="740">
        <v>3.06</v>
      </c>
      <c r="CR102" s="740">
        <v>3.07</v>
      </c>
      <c r="CS102" s="740">
        <v>3.08</v>
      </c>
      <c r="CT102" s="740">
        <v>3.09</v>
      </c>
      <c r="CU102" s="740">
        <v>3.1</v>
      </c>
      <c r="CV102" s="740">
        <v>3.12</v>
      </c>
      <c r="CW102" s="740">
        <v>3.13</v>
      </c>
      <c r="CX102" s="740">
        <v>3.14</v>
      </c>
      <c r="CY102" s="740">
        <v>3.15</v>
      </c>
      <c r="CZ102" s="740">
        <v>3.16</v>
      </c>
      <c r="DA102" s="740">
        <v>3.17</v>
      </c>
      <c r="DB102" s="740">
        <v>3.19</v>
      </c>
      <c r="DC102" s="740">
        <v>3.2</v>
      </c>
      <c r="DD102" s="740">
        <v>3.21</v>
      </c>
      <c r="DE102" s="740">
        <v>3.22</v>
      </c>
      <c r="DF102" s="740">
        <v>3.23</v>
      </c>
      <c r="DG102" s="740">
        <v>3.24</v>
      </c>
      <c r="DH102" s="740">
        <v>3.25</v>
      </c>
      <c r="DI102" s="740">
        <v>3.26</v>
      </c>
      <c r="DJ102" s="740">
        <v>3.28</v>
      </c>
      <c r="DK102" s="740">
        <v>3.29</v>
      </c>
      <c r="DL102" s="740">
        <v>3.3</v>
      </c>
      <c r="DM102" s="740">
        <v>3.31</v>
      </c>
      <c r="DN102" s="740">
        <v>3.32</v>
      </c>
      <c r="DO102" s="740">
        <v>3.33</v>
      </c>
      <c r="DP102" s="740">
        <v>3.34</v>
      </c>
      <c r="DQ102" s="740">
        <v>3.35</v>
      </c>
      <c r="DR102" s="740">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60"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0"/>
      <c r="B1" s="910">
        <v>1900</v>
      </c>
      <c r="C1" s="910">
        <v>1901</v>
      </c>
      <c r="D1" s="910">
        <v>1902</v>
      </c>
      <c r="E1" s="910">
        <v>1903</v>
      </c>
      <c r="F1" s="910">
        <v>1904</v>
      </c>
      <c r="G1" s="910">
        <v>1905</v>
      </c>
      <c r="H1" s="910">
        <v>1906</v>
      </c>
      <c r="I1" s="910">
        <v>1907</v>
      </c>
      <c r="J1" s="910">
        <v>1908</v>
      </c>
      <c r="K1" s="910">
        <v>1909</v>
      </c>
      <c r="L1" s="910">
        <v>1910</v>
      </c>
      <c r="M1" s="910">
        <v>1911</v>
      </c>
      <c r="N1" s="910">
        <v>1912</v>
      </c>
      <c r="O1" s="910">
        <v>1913</v>
      </c>
      <c r="P1" s="910">
        <v>1914</v>
      </c>
      <c r="Q1" s="910">
        <v>1915</v>
      </c>
      <c r="R1" s="910">
        <v>1916</v>
      </c>
      <c r="S1" s="910">
        <v>1917</v>
      </c>
      <c r="T1" s="910">
        <v>1918</v>
      </c>
      <c r="U1" s="910">
        <v>1919</v>
      </c>
      <c r="V1" s="910">
        <v>1920</v>
      </c>
      <c r="W1" s="910">
        <v>1921</v>
      </c>
      <c r="X1" s="910">
        <v>1922</v>
      </c>
      <c r="Y1" s="910">
        <v>1923</v>
      </c>
      <c r="Z1" s="910">
        <v>1924</v>
      </c>
      <c r="AA1" s="910">
        <v>1925</v>
      </c>
      <c r="AB1" s="910">
        <v>1926</v>
      </c>
      <c r="AC1" s="910">
        <v>1927</v>
      </c>
      <c r="AD1" s="910">
        <v>1928</v>
      </c>
      <c r="AE1" s="910">
        <v>1929</v>
      </c>
      <c r="AF1" s="910">
        <v>1930</v>
      </c>
      <c r="AG1" s="910">
        <v>1931</v>
      </c>
      <c r="AH1" s="910">
        <v>1932</v>
      </c>
      <c r="AI1" s="910">
        <v>1933</v>
      </c>
      <c r="AJ1" s="910">
        <v>1934</v>
      </c>
      <c r="AK1" s="910">
        <v>1935</v>
      </c>
      <c r="AL1" s="910">
        <v>1936</v>
      </c>
      <c r="AM1" s="910">
        <v>1937</v>
      </c>
      <c r="AN1" s="910">
        <v>1938</v>
      </c>
      <c r="AO1" s="910">
        <v>1939</v>
      </c>
      <c r="AP1" s="910">
        <v>1940</v>
      </c>
      <c r="AQ1" s="910">
        <v>1941</v>
      </c>
      <c r="AR1" s="910">
        <v>1942</v>
      </c>
      <c r="AS1" s="910">
        <v>1943</v>
      </c>
      <c r="AT1" s="910">
        <v>1944</v>
      </c>
      <c r="AU1" s="910">
        <v>1945</v>
      </c>
      <c r="AV1" s="910">
        <v>1946</v>
      </c>
      <c r="AW1" s="910">
        <v>1947</v>
      </c>
      <c r="AX1" s="910">
        <v>1948</v>
      </c>
      <c r="AY1" s="910">
        <v>1949</v>
      </c>
      <c r="AZ1" s="910">
        <v>1950</v>
      </c>
      <c r="BA1" s="910">
        <v>1951</v>
      </c>
      <c r="BB1" s="910">
        <v>1952</v>
      </c>
      <c r="BC1" s="910">
        <v>1953</v>
      </c>
      <c r="BD1" s="910">
        <v>1954</v>
      </c>
      <c r="BE1" s="910">
        <v>1955</v>
      </c>
      <c r="BF1" s="910">
        <v>1956</v>
      </c>
      <c r="BG1" s="910">
        <v>1957</v>
      </c>
      <c r="BH1" s="910">
        <v>1958</v>
      </c>
      <c r="BI1" s="910">
        <v>1959</v>
      </c>
      <c r="BJ1" s="910">
        <v>1960</v>
      </c>
      <c r="BK1" s="910">
        <v>1961</v>
      </c>
      <c r="BL1" s="910">
        <v>1962</v>
      </c>
      <c r="BM1" s="910">
        <v>1963</v>
      </c>
      <c r="BN1" s="910">
        <v>1964</v>
      </c>
      <c r="BO1" s="910">
        <v>1965</v>
      </c>
      <c r="BP1" s="910">
        <v>1966</v>
      </c>
      <c r="BQ1" s="910">
        <v>1967</v>
      </c>
      <c r="BR1" s="910">
        <v>1968</v>
      </c>
      <c r="BS1" s="910">
        <v>1969</v>
      </c>
      <c r="BT1" s="910">
        <v>1970</v>
      </c>
      <c r="BU1" s="910">
        <v>1971</v>
      </c>
      <c r="BV1" s="910">
        <v>1972</v>
      </c>
      <c r="BW1" s="910">
        <v>1973</v>
      </c>
      <c r="BX1" s="910">
        <v>1974</v>
      </c>
      <c r="BY1" s="910">
        <v>1975</v>
      </c>
      <c r="BZ1" s="910">
        <v>1976</v>
      </c>
      <c r="CA1" s="910">
        <v>1977</v>
      </c>
      <c r="CB1" s="910">
        <v>1978</v>
      </c>
      <c r="CC1" s="910">
        <v>1979</v>
      </c>
      <c r="CD1" s="910">
        <v>1980</v>
      </c>
      <c r="CE1" s="910">
        <v>1981</v>
      </c>
      <c r="CF1" s="910">
        <v>1982</v>
      </c>
      <c r="CG1" s="910">
        <v>1983</v>
      </c>
      <c r="CH1" s="910">
        <v>1984</v>
      </c>
      <c r="CI1" s="910">
        <v>1985</v>
      </c>
      <c r="CJ1" s="910">
        <v>1986</v>
      </c>
      <c r="CK1" s="910">
        <v>1987</v>
      </c>
      <c r="CL1" s="910">
        <v>1988</v>
      </c>
      <c r="CM1" s="910">
        <v>1989</v>
      </c>
      <c r="CN1" s="910">
        <v>1990</v>
      </c>
      <c r="CO1" s="910">
        <v>1991</v>
      </c>
      <c r="CP1" s="910">
        <v>1992</v>
      </c>
      <c r="CQ1" s="910">
        <v>1993</v>
      </c>
      <c r="CR1" s="910">
        <v>1994</v>
      </c>
      <c r="CS1" s="910">
        <v>1995</v>
      </c>
      <c r="CT1" s="910">
        <v>1996</v>
      </c>
      <c r="CU1" s="910">
        <v>1997</v>
      </c>
      <c r="CV1" s="910">
        <v>1998</v>
      </c>
      <c r="CW1" s="910">
        <v>1999</v>
      </c>
      <c r="CX1" s="910">
        <v>2000</v>
      </c>
      <c r="CY1" s="910">
        <v>2001</v>
      </c>
      <c r="CZ1" s="910">
        <v>2002</v>
      </c>
      <c r="DA1" s="910">
        <v>2003</v>
      </c>
      <c r="DB1" s="910">
        <v>2004</v>
      </c>
      <c r="DC1" s="910">
        <v>2005</v>
      </c>
      <c r="DD1" s="910">
        <v>2006</v>
      </c>
      <c r="DE1" s="910">
        <v>2007</v>
      </c>
      <c r="DF1" s="910">
        <v>2008</v>
      </c>
      <c r="DG1" s="910">
        <v>2009</v>
      </c>
      <c r="DH1" s="910">
        <v>2010</v>
      </c>
      <c r="DI1" s="910">
        <v>2011</v>
      </c>
      <c r="DJ1" s="910">
        <v>2012</v>
      </c>
      <c r="DK1" s="910">
        <v>2013</v>
      </c>
      <c r="DL1" s="910">
        <v>2014</v>
      </c>
      <c r="DM1" s="910">
        <v>2015</v>
      </c>
      <c r="DN1" s="910">
        <v>2016</v>
      </c>
      <c r="DO1" s="910">
        <v>2017</v>
      </c>
      <c r="DP1" s="910">
        <v>2018</v>
      </c>
      <c r="DQ1" s="910">
        <v>2019</v>
      </c>
      <c r="DR1" s="910">
        <v>2020</v>
      </c>
    </row>
    <row r="2" spans="1:122" s="127" customFormat="1" ht="12.75">
      <c r="A2" s="911">
        <v>0</v>
      </c>
      <c r="B2" s="907">
        <v>49.311019164994661</v>
      </c>
      <c r="C2" s="907">
        <v>49.77597133154724</v>
      </c>
      <c r="D2" s="907">
        <v>50.335085689157353</v>
      </c>
      <c r="E2" s="907">
        <v>50.909211220097291</v>
      </c>
      <c r="F2" s="907">
        <v>51.526743376337699</v>
      </c>
      <c r="G2" s="907">
        <v>52.118932721094943</v>
      </c>
      <c r="H2" s="907">
        <v>52.706720457161822</v>
      </c>
      <c r="I2" s="907">
        <v>53.446888217905673</v>
      </c>
      <c r="J2" s="907">
        <v>54.107982372963292</v>
      </c>
      <c r="K2" s="907">
        <v>54.755623733405372</v>
      </c>
      <c r="L2" s="907">
        <v>55.294539913927053</v>
      </c>
      <c r="M2" s="907">
        <v>55.56731941088313</v>
      </c>
      <c r="N2" s="907">
        <v>57.218935596426618</v>
      </c>
      <c r="O2" s="907">
        <v>56.953838727549183</v>
      </c>
      <c r="P2" s="907">
        <v>56.694231204523447</v>
      </c>
      <c r="Q2" s="907">
        <v>57.753079889365495</v>
      </c>
      <c r="R2" s="907">
        <v>58.373436212030008</v>
      </c>
      <c r="S2" s="907">
        <v>58.289426274468013</v>
      </c>
      <c r="T2" s="907">
        <v>58.250094047402769</v>
      </c>
      <c r="U2" s="907">
        <v>59.741850035807737</v>
      </c>
      <c r="V2" s="907">
        <v>61.120000000000005</v>
      </c>
      <c r="W2" s="907">
        <v>61.56</v>
      </c>
      <c r="X2" s="907">
        <v>62.325000000000003</v>
      </c>
      <c r="Y2" s="907">
        <v>62.504999999999995</v>
      </c>
      <c r="Z2" s="907">
        <v>64.36</v>
      </c>
      <c r="AA2" s="907">
        <v>64.789999999999992</v>
      </c>
      <c r="AB2" s="907">
        <v>65.414999999999992</v>
      </c>
      <c r="AC2" s="907">
        <v>66.150000000000006</v>
      </c>
      <c r="AD2" s="907">
        <v>66.89</v>
      </c>
      <c r="AE2" s="907">
        <v>66.95</v>
      </c>
      <c r="AF2" s="907">
        <v>68.06</v>
      </c>
      <c r="AG2" s="907">
        <v>68.58</v>
      </c>
      <c r="AH2" s="907">
        <v>69.009999999999991</v>
      </c>
      <c r="AI2" s="907">
        <v>69.454999999999998</v>
      </c>
      <c r="AJ2" s="907">
        <v>70.66</v>
      </c>
      <c r="AK2" s="907">
        <v>70.86</v>
      </c>
      <c r="AL2" s="907">
        <v>71.384999999999991</v>
      </c>
      <c r="AM2" s="907">
        <v>71.86</v>
      </c>
      <c r="AN2" s="907">
        <v>72.42</v>
      </c>
      <c r="AO2" s="907">
        <v>72.539999999999992</v>
      </c>
      <c r="AP2" s="907">
        <v>72.77</v>
      </c>
      <c r="AQ2" s="907">
        <v>72.935000000000002</v>
      </c>
      <c r="AR2" s="907">
        <v>73.114999999999995</v>
      </c>
      <c r="AS2" s="907">
        <v>72.699999999999989</v>
      </c>
      <c r="AT2" s="907">
        <v>72.14</v>
      </c>
      <c r="AU2" s="907">
        <v>71.19</v>
      </c>
      <c r="AV2" s="907">
        <v>71.555000000000007</v>
      </c>
      <c r="AW2" s="907">
        <v>72.064999999999998</v>
      </c>
      <c r="AX2" s="907">
        <v>73.914999999999992</v>
      </c>
      <c r="AY2" s="907">
        <v>75.484999999999999</v>
      </c>
      <c r="AZ2" s="907">
        <v>75.61</v>
      </c>
      <c r="BA2" s="907">
        <v>75.75</v>
      </c>
      <c r="BB2" s="907">
        <v>76.415000000000006</v>
      </c>
      <c r="BC2" s="907">
        <v>76.724999999999994</v>
      </c>
      <c r="BD2" s="907">
        <v>77.180000000000007</v>
      </c>
      <c r="BE2" s="907">
        <v>77.39500000000001</v>
      </c>
      <c r="BF2" s="907">
        <v>77.864999999999995</v>
      </c>
      <c r="BG2" s="907">
        <v>78.099999999999994</v>
      </c>
      <c r="BH2" s="907">
        <v>78.539999999999992</v>
      </c>
      <c r="BI2" s="907">
        <v>78.84</v>
      </c>
      <c r="BJ2" s="907">
        <v>79.175000000000011</v>
      </c>
      <c r="BK2" s="907">
        <v>79.599999999999994</v>
      </c>
      <c r="BL2" s="907">
        <v>80.064999999999998</v>
      </c>
      <c r="BM2" s="907">
        <v>80.495000000000005</v>
      </c>
      <c r="BN2" s="907">
        <v>80.89500000000001</v>
      </c>
      <c r="BO2" s="907">
        <v>81.245000000000005</v>
      </c>
      <c r="BP2" s="907">
        <v>81.534999999999997</v>
      </c>
      <c r="BQ2" s="907">
        <v>81.784999999999997</v>
      </c>
      <c r="BR2" s="907">
        <v>82.034999999999997</v>
      </c>
      <c r="BS2" s="907">
        <v>82.19</v>
      </c>
      <c r="BT2" s="908">
        <v>82.425000000000011</v>
      </c>
      <c r="BU2" s="907">
        <v>82.625</v>
      </c>
      <c r="BV2" s="907">
        <v>82.875</v>
      </c>
      <c r="BW2" s="907">
        <v>83.09</v>
      </c>
      <c r="BX2" s="907">
        <v>83.355000000000004</v>
      </c>
      <c r="BY2" s="907">
        <v>83.625</v>
      </c>
      <c r="BZ2" s="907">
        <v>84</v>
      </c>
      <c r="CA2" s="907">
        <v>84.3</v>
      </c>
      <c r="CB2" s="907">
        <v>84.52000000000001</v>
      </c>
      <c r="CC2" s="907">
        <v>84.784999999999997</v>
      </c>
      <c r="CD2" s="907">
        <v>85.025000000000006</v>
      </c>
      <c r="CE2" s="907">
        <v>85.245000000000005</v>
      </c>
      <c r="CF2" s="907">
        <v>85.504999999999995</v>
      </c>
      <c r="CG2" s="907">
        <v>85.740000000000009</v>
      </c>
      <c r="CH2" s="907">
        <v>85.954999999999998</v>
      </c>
      <c r="CI2" s="907">
        <v>86.205000000000013</v>
      </c>
      <c r="CJ2" s="907">
        <v>86.385000000000005</v>
      </c>
      <c r="CK2" s="907">
        <v>86.58</v>
      </c>
      <c r="CL2" s="907">
        <v>86.825000000000003</v>
      </c>
      <c r="CM2" s="907">
        <v>87</v>
      </c>
      <c r="CN2" s="907">
        <v>87.210000000000008</v>
      </c>
      <c r="CO2" s="907">
        <v>87.41</v>
      </c>
      <c r="CP2" s="907">
        <v>87.60499999999999</v>
      </c>
      <c r="CQ2" s="907">
        <v>87.795000000000002</v>
      </c>
      <c r="CR2" s="907">
        <v>87.960000000000008</v>
      </c>
      <c r="CS2" s="907">
        <v>88.144999999999996</v>
      </c>
      <c r="CT2" s="907">
        <v>88.31</v>
      </c>
      <c r="CU2" s="907">
        <v>88.47</v>
      </c>
      <c r="CV2" s="907">
        <v>88.615000000000009</v>
      </c>
      <c r="CW2" s="907">
        <v>88.77000000000001</v>
      </c>
      <c r="CX2" s="907">
        <v>88.944999999999993</v>
      </c>
      <c r="CY2" s="907">
        <v>89.085000000000008</v>
      </c>
      <c r="CZ2" s="907">
        <v>89.224999999999994</v>
      </c>
      <c r="DA2" s="907">
        <v>89.36</v>
      </c>
      <c r="DB2" s="907">
        <v>89.515000000000001</v>
      </c>
      <c r="DC2" s="907">
        <v>89.664999999999992</v>
      </c>
      <c r="DD2" s="907">
        <v>89.8</v>
      </c>
      <c r="DE2" s="907">
        <v>89.935000000000002</v>
      </c>
      <c r="DF2" s="907">
        <v>90.1</v>
      </c>
      <c r="DG2" s="907">
        <v>90.22</v>
      </c>
      <c r="DH2" s="907">
        <v>90.36</v>
      </c>
      <c r="DI2" s="907">
        <v>90.474999999999994</v>
      </c>
      <c r="DJ2" s="907">
        <v>90.63</v>
      </c>
      <c r="DK2" s="907">
        <v>90.759999999999991</v>
      </c>
      <c r="DL2" s="907">
        <v>90.88</v>
      </c>
      <c r="DM2" s="907">
        <v>90.995000000000005</v>
      </c>
      <c r="DN2" s="907">
        <v>91.11</v>
      </c>
      <c r="DO2" s="907">
        <v>91.24</v>
      </c>
      <c r="DP2" s="907">
        <v>91.37</v>
      </c>
      <c r="DQ2" s="907">
        <v>91.504999999999995</v>
      </c>
      <c r="DR2" s="907">
        <v>91.635000000000005</v>
      </c>
    </row>
    <row r="3" spans="1:122" s="127" customFormat="1" ht="12.75">
      <c r="A3" s="911">
        <v>1</v>
      </c>
      <c r="B3" s="907">
        <v>60.841018057907235</v>
      </c>
      <c r="C3" s="907">
        <v>61.193082494465351</v>
      </c>
      <c r="D3" s="907">
        <v>61.660510779131606</v>
      </c>
      <c r="E3" s="907">
        <v>62.143027895449613</v>
      </c>
      <c r="F3" s="907">
        <v>62.675965476552612</v>
      </c>
      <c r="G3" s="907">
        <v>63.172948102677935</v>
      </c>
      <c r="H3" s="907">
        <v>63.660398852700077</v>
      </c>
      <c r="I3" s="907">
        <v>64.189361580518835</v>
      </c>
      <c r="J3" s="907">
        <v>64.615665413658405</v>
      </c>
      <c r="K3" s="907">
        <v>65.021670980704599</v>
      </c>
      <c r="L3" s="907">
        <v>65.292810159798577</v>
      </c>
      <c r="M3" s="907">
        <v>65.62070112328442</v>
      </c>
      <c r="N3" s="907">
        <v>65.986259689198178</v>
      </c>
      <c r="O3" s="907">
        <v>65.888865193654198</v>
      </c>
      <c r="P3" s="907">
        <v>66.54161458035577</v>
      </c>
      <c r="Q3" s="907">
        <v>66.712097300417724</v>
      </c>
      <c r="R3" s="907">
        <v>66.751961518520503</v>
      </c>
      <c r="S3" s="907">
        <v>67.331256199332444</v>
      </c>
      <c r="T3" s="907">
        <v>67.980247285998857</v>
      </c>
      <c r="U3" s="907">
        <v>68.667502831344564</v>
      </c>
      <c r="V3" s="907">
        <v>69.295000000000002</v>
      </c>
      <c r="W3" s="907">
        <v>69.935000000000002</v>
      </c>
      <c r="X3" s="907">
        <v>70.465000000000003</v>
      </c>
      <c r="Y3" s="907">
        <v>70.884999999999991</v>
      </c>
      <c r="Z3" s="907">
        <v>71.12</v>
      </c>
      <c r="AA3" s="907">
        <v>71.324999999999989</v>
      </c>
      <c r="AB3" s="907">
        <v>71.734999999999999</v>
      </c>
      <c r="AC3" s="907">
        <v>72.14500000000001</v>
      </c>
      <c r="AD3" s="907">
        <v>72.365000000000009</v>
      </c>
      <c r="AE3" s="907">
        <v>72.905000000000001</v>
      </c>
      <c r="AF3" s="907">
        <v>73.254999999999995</v>
      </c>
      <c r="AG3" s="907">
        <v>73.575000000000003</v>
      </c>
      <c r="AH3" s="907">
        <v>73.875</v>
      </c>
      <c r="AI3" s="907">
        <v>74.155000000000001</v>
      </c>
      <c r="AJ3" s="907">
        <v>74.61</v>
      </c>
      <c r="AK3" s="907">
        <v>74.990000000000009</v>
      </c>
      <c r="AL3" s="907">
        <v>75.385000000000005</v>
      </c>
      <c r="AM3" s="907">
        <v>75.75</v>
      </c>
      <c r="AN3" s="907">
        <v>76.025000000000006</v>
      </c>
      <c r="AO3" s="907">
        <v>76.259999999999991</v>
      </c>
      <c r="AP3" s="907">
        <v>76.504999999999995</v>
      </c>
      <c r="AQ3" s="907">
        <v>76.680000000000007</v>
      </c>
      <c r="AR3" s="907">
        <v>76.87</v>
      </c>
      <c r="AS3" s="907">
        <v>76.94</v>
      </c>
      <c r="AT3" s="907">
        <v>77.099999999999994</v>
      </c>
      <c r="AU3" s="907">
        <v>77.375</v>
      </c>
      <c r="AV3" s="907">
        <v>77.669999999999987</v>
      </c>
      <c r="AW3" s="907">
        <v>78.234999999999999</v>
      </c>
      <c r="AX3" s="907">
        <v>78.72</v>
      </c>
      <c r="AY3" s="907">
        <v>78.885000000000005</v>
      </c>
      <c r="AZ3" s="907">
        <v>79.015000000000001</v>
      </c>
      <c r="BA3" s="907">
        <v>79.164999999999992</v>
      </c>
      <c r="BB3" s="907">
        <v>79.335000000000008</v>
      </c>
      <c r="BC3" s="907">
        <v>79.5</v>
      </c>
      <c r="BD3" s="907">
        <v>79.66</v>
      </c>
      <c r="BE3" s="907">
        <v>79.84</v>
      </c>
      <c r="BF3" s="907">
        <v>80.06</v>
      </c>
      <c r="BG3" s="907">
        <v>80.259999999999991</v>
      </c>
      <c r="BH3" s="907">
        <v>80.525000000000006</v>
      </c>
      <c r="BI3" s="907">
        <v>80.739999999999995</v>
      </c>
      <c r="BJ3" s="907">
        <v>80.974999999999994</v>
      </c>
      <c r="BK3" s="907">
        <v>81.2</v>
      </c>
      <c r="BL3" s="907">
        <v>81.474999999999994</v>
      </c>
      <c r="BM3" s="907">
        <v>81.754999999999995</v>
      </c>
      <c r="BN3" s="907">
        <v>81.974999999999994</v>
      </c>
      <c r="BO3" s="907">
        <v>82.215000000000003</v>
      </c>
      <c r="BP3" s="907">
        <v>82.444999999999993</v>
      </c>
      <c r="BQ3" s="907">
        <v>82.664999999999992</v>
      </c>
      <c r="BR3" s="907">
        <v>82.85499999999999</v>
      </c>
      <c r="BS3" s="907">
        <v>83.075000000000003</v>
      </c>
      <c r="BT3" s="908">
        <v>83.284999999999997</v>
      </c>
      <c r="BU3" s="907">
        <v>83.454999999999998</v>
      </c>
      <c r="BV3" s="907">
        <v>83.66</v>
      </c>
      <c r="BW3" s="907">
        <v>83.844999999999999</v>
      </c>
      <c r="BX3" s="907">
        <v>84.034999999999997</v>
      </c>
      <c r="BY3" s="907">
        <v>84.215000000000003</v>
      </c>
      <c r="BZ3" s="907">
        <v>84.38</v>
      </c>
      <c r="CA3" s="907">
        <v>84.555000000000007</v>
      </c>
      <c r="CB3" s="907">
        <v>84.72999999999999</v>
      </c>
      <c r="CC3" s="907">
        <v>84.905000000000001</v>
      </c>
      <c r="CD3" s="907">
        <v>85.094999999999999</v>
      </c>
      <c r="CE3" s="907">
        <v>85.26</v>
      </c>
      <c r="CF3" s="907">
        <v>85.44</v>
      </c>
      <c r="CG3" s="907">
        <v>85.625</v>
      </c>
      <c r="CH3" s="907">
        <v>85.789999999999992</v>
      </c>
      <c r="CI3" s="907">
        <v>85.990000000000009</v>
      </c>
      <c r="CJ3" s="907">
        <v>86.135000000000005</v>
      </c>
      <c r="CK3" s="907">
        <v>86.305000000000007</v>
      </c>
      <c r="CL3" s="907">
        <v>86.490000000000009</v>
      </c>
      <c r="CM3" s="907">
        <v>86.65</v>
      </c>
      <c r="CN3" s="907">
        <v>86.824999999999989</v>
      </c>
      <c r="CO3" s="907">
        <v>86.98</v>
      </c>
      <c r="CP3" s="907">
        <v>87.135000000000005</v>
      </c>
      <c r="CQ3" s="907">
        <v>87.289999999999992</v>
      </c>
      <c r="CR3" s="907">
        <v>87.44</v>
      </c>
      <c r="CS3" s="907">
        <v>87.60499999999999</v>
      </c>
      <c r="CT3" s="907">
        <v>87.75</v>
      </c>
      <c r="CU3" s="907">
        <v>87.894999999999996</v>
      </c>
      <c r="CV3" s="907">
        <v>88.025000000000006</v>
      </c>
      <c r="CW3" s="907">
        <v>88.17</v>
      </c>
      <c r="CX3" s="907">
        <v>88.325000000000003</v>
      </c>
      <c r="CY3" s="907">
        <v>88.465000000000003</v>
      </c>
      <c r="CZ3" s="907">
        <v>88.594999999999999</v>
      </c>
      <c r="DA3" s="907">
        <v>88.740000000000009</v>
      </c>
      <c r="DB3" s="907">
        <v>88.88</v>
      </c>
      <c r="DC3" s="907">
        <v>89.004999999999995</v>
      </c>
      <c r="DD3" s="907">
        <v>89.144999999999996</v>
      </c>
      <c r="DE3" s="907">
        <v>89.28</v>
      </c>
      <c r="DF3" s="907">
        <v>89.414999999999992</v>
      </c>
      <c r="DG3" s="907">
        <v>89.539999999999992</v>
      </c>
      <c r="DH3" s="907">
        <v>89.67</v>
      </c>
      <c r="DI3" s="907">
        <v>89.800000000000011</v>
      </c>
      <c r="DJ3" s="907">
        <v>89.924999999999997</v>
      </c>
      <c r="DK3" s="907">
        <v>90.05</v>
      </c>
      <c r="DL3" s="907">
        <v>90.169999999999987</v>
      </c>
      <c r="DM3" s="907">
        <v>90.295000000000002</v>
      </c>
      <c r="DN3" s="907">
        <v>90.42</v>
      </c>
      <c r="DO3" s="907">
        <v>90.534999999999997</v>
      </c>
      <c r="DP3" s="907">
        <v>90.66</v>
      </c>
      <c r="DQ3" s="907">
        <v>90.78</v>
      </c>
      <c r="DR3" s="907">
        <v>90.89500000000001</v>
      </c>
    </row>
    <row r="4" spans="1:122" s="127" customFormat="1" ht="12.75">
      <c r="A4" s="911">
        <v>2</v>
      </c>
      <c r="B4" s="907">
        <v>62.686502021435018</v>
      </c>
      <c r="C4" s="907">
        <v>62.976895097437762</v>
      </c>
      <c r="D4" s="907">
        <v>63.387108419435904</v>
      </c>
      <c r="E4" s="907">
        <v>63.81205216295713</v>
      </c>
      <c r="F4" s="907">
        <v>64.288503357955562</v>
      </c>
      <c r="G4" s="907">
        <v>64.726335605260971</v>
      </c>
      <c r="H4" s="907">
        <v>65.10510753865141</v>
      </c>
      <c r="I4" s="907">
        <v>65.525462220822774</v>
      </c>
      <c r="J4" s="907">
        <v>65.83794233802206</v>
      </c>
      <c r="K4" s="907">
        <v>66.128281004509034</v>
      </c>
      <c r="L4" s="907">
        <v>66.408284325303867</v>
      </c>
      <c r="M4" s="907">
        <v>66.631708530391222</v>
      </c>
      <c r="N4" s="907">
        <v>66.893118002135196</v>
      </c>
      <c r="O4" s="907">
        <v>66.952610951762964</v>
      </c>
      <c r="P4" s="907">
        <v>67.445412636544319</v>
      </c>
      <c r="Q4" s="907">
        <v>67.505651166540829</v>
      </c>
      <c r="R4" s="907">
        <v>67.660431380052728</v>
      </c>
      <c r="S4" s="907">
        <v>68.371660441979415</v>
      </c>
      <c r="T4" s="907">
        <v>68.861990373946128</v>
      </c>
      <c r="U4" s="907">
        <v>69.403675414121636</v>
      </c>
      <c r="V4" s="907">
        <v>69.875</v>
      </c>
      <c r="W4" s="907">
        <v>70.289999999999992</v>
      </c>
      <c r="X4" s="907">
        <v>70.85499999999999</v>
      </c>
      <c r="Y4" s="907">
        <v>70.990000000000009</v>
      </c>
      <c r="Z4" s="907">
        <v>71.234999999999999</v>
      </c>
      <c r="AA4" s="907">
        <v>71.444999999999993</v>
      </c>
      <c r="AB4" s="907">
        <v>71.775000000000006</v>
      </c>
      <c r="AC4" s="907">
        <v>71.989999999999995</v>
      </c>
      <c r="AD4" s="907">
        <v>72.27</v>
      </c>
      <c r="AE4" s="907">
        <v>72.599999999999994</v>
      </c>
      <c r="AF4" s="907">
        <v>72.930000000000007</v>
      </c>
      <c r="AG4" s="907">
        <v>73.215000000000003</v>
      </c>
      <c r="AH4" s="907">
        <v>73.525000000000006</v>
      </c>
      <c r="AI4" s="907">
        <v>73.8</v>
      </c>
      <c r="AJ4" s="907">
        <v>74.185000000000002</v>
      </c>
      <c r="AK4" s="907">
        <v>74.55</v>
      </c>
      <c r="AL4" s="907">
        <v>74.935000000000002</v>
      </c>
      <c r="AM4" s="907">
        <v>75.27</v>
      </c>
      <c r="AN4" s="907">
        <v>75.555000000000007</v>
      </c>
      <c r="AO4" s="907">
        <v>75.789999999999992</v>
      </c>
      <c r="AP4" s="907">
        <v>76.039999999999992</v>
      </c>
      <c r="AQ4" s="907">
        <v>76.215000000000003</v>
      </c>
      <c r="AR4" s="907">
        <v>76.460000000000008</v>
      </c>
      <c r="AS4" s="907">
        <v>76.614999999999995</v>
      </c>
      <c r="AT4" s="907">
        <v>76.91</v>
      </c>
      <c r="AU4" s="907">
        <v>77.14</v>
      </c>
      <c r="AV4" s="907">
        <v>77.444999999999993</v>
      </c>
      <c r="AW4" s="907">
        <v>77.855000000000004</v>
      </c>
      <c r="AX4" s="907">
        <v>78.02</v>
      </c>
      <c r="AY4" s="907">
        <v>78.185000000000002</v>
      </c>
      <c r="AZ4" s="907">
        <v>78.319999999999993</v>
      </c>
      <c r="BA4" s="907">
        <v>78.444999999999993</v>
      </c>
      <c r="BB4" s="907">
        <v>78.599999999999994</v>
      </c>
      <c r="BC4" s="907">
        <v>78.740000000000009</v>
      </c>
      <c r="BD4" s="907">
        <v>78.905000000000001</v>
      </c>
      <c r="BE4" s="907">
        <v>79.069999999999993</v>
      </c>
      <c r="BF4" s="907">
        <v>79.3</v>
      </c>
      <c r="BG4" s="907">
        <v>79.47</v>
      </c>
      <c r="BH4" s="907">
        <v>79.739999999999995</v>
      </c>
      <c r="BI4" s="907">
        <v>79.930000000000007</v>
      </c>
      <c r="BJ4" s="907">
        <v>80.16</v>
      </c>
      <c r="BK4" s="907">
        <v>80.38</v>
      </c>
      <c r="BL4" s="907">
        <v>80.64</v>
      </c>
      <c r="BM4" s="907">
        <v>80.905000000000001</v>
      </c>
      <c r="BN4" s="907">
        <v>81.125</v>
      </c>
      <c r="BO4" s="907">
        <v>81.35499999999999</v>
      </c>
      <c r="BP4" s="907">
        <v>81.585000000000008</v>
      </c>
      <c r="BQ4" s="907">
        <v>81.790000000000006</v>
      </c>
      <c r="BR4" s="907">
        <v>82</v>
      </c>
      <c r="BS4" s="907">
        <v>82.205000000000013</v>
      </c>
      <c r="BT4" s="908">
        <v>82.4</v>
      </c>
      <c r="BU4" s="907">
        <v>82.56</v>
      </c>
      <c r="BV4" s="907">
        <v>82.759999999999991</v>
      </c>
      <c r="BW4" s="907">
        <v>82.95</v>
      </c>
      <c r="BX4" s="907">
        <v>83.13</v>
      </c>
      <c r="BY4" s="907">
        <v>83.300000000000011</v>
      </c>
      <c r="BZ4" s="907">
        <v>83.465000000000003</v>
      </c>
      <c r="CA4" s="907">
        <v>83.64</v>
      </c>
      <c r="CB4" s="907">
        <v>83.814999999999998</v>
      </c>
      <c r="CC4" s="907">
        <v>83.97999999999999</v>
      </c>
      <c r="CD4" s="907">
        <v>84.17</v>
      </c>
      <c r="CE4" s="907">
        <v>84.335000000000008</v>
      </c>
      <c r="CF4" s="907">
        <v>84.515000000000001</v>
      </c>
      <c r="CG4" s="907">
        <v>84.69</v>
      </c>
      <c r="CH4" s="907">
        <v>84.86</v>
      </c>
      <c r="CI4" s="907">
        <v>85.050000000000011</v>
      </c>
      <c r="CJ4" s="907">
        <v>85.194999999999993</v>
      </c>
      <c r="CK4" s="907">
        <v>85.36</v>
      </c>
      <c r="CL4" s="907">
        <v>85.539999999999992</v>
      </c>
      <c r="CM4" s="907">
        <v>85.704999999999998</v>
      </c>
      <c r="CN4" s="907">
        <v>85.875</v>
      </c>
      <c r="CO4" s="907">
        <v>86.03</v>
      </c>
      <c r="CP4" s="907">
        <v>86.185000000000002</v>
      </c>
      <c r="CQ4" s="907">
        <v>86.34</v>
      </c>
      <c r="CR4" s="907">
        <v>86.484999999999999</v>
      </c>
      <c r="CS4" s="907">
        <v>86.64</v>
      </c>
      <c r="CT4" s="907">
        <v>86.789999999999992</v>
      </c>
      <c r="CU4" s="907">
        <v>86.93</v>
      </c>
      <c r="CV4" s="907">
        <v>87.06</v>
      </c>
      <c r="CW4" s="907">
        <v>87.210000000000008</v>
      </c>
      <c r="CX4" s="907">
        <v>87.36</v>
      </c>
      <c r="CY4" s="907">
        <v>87.5</v>
      </c>
      <c r="CZ4" s="907">
        <v>87.634999999999991</v>
      </c>
      <c r="DA4" s="907">
        <v>87.77000000000001</v>
      </c>
      <c r="DB4" s="907">
        <v>87.905000000000001</v>
      </c>
      <c r="DC4" s="907">
        <v>88.039999999999992</v>
      </c>
      <c r="DD4" s="907">
        <v>88.174999999999997</v>
      </c>
      <c r="DE4" s="907">
        <v>88.305000000000007</v>
      </c>
      <c r="DF4" s="907">
        <v>88.44</v>
      </c>
      <c r="DG4" s="907">
        <v>88.57</v>
      </c>
      <c r="DH4" s="907">
        <v>88.694999999999993</v>
      </c>
      <c r="DI4" s="907">
        <v>88.824999999999989</v>
      </c>
      <c r="DJ4" s="907">
        <v>88.944999999999993</v>
      </c>
      <c r="DK4" s="907">
        <v>89.075000000000003</v>
      </c>
      <c r="DL4" s="907">
        <v>89.194999999999993</v>
      </c>
      <c r="DM4" s="907">
        <v>89.314999999999998</v>
      </c>
      <c r="DN4" s="907">
        <v>89.44</v>
      </c>
      <c r="DO4" s="907">
        <v>89.56</v>
      </c>
      <c r="DP4" s="907">
        <v>89.68</v>
      </c>
      <c r="DQ4" s="907">
        <v>89.8</v>
      </c>
      <c r="DR4" s="907">
        <v>89.914999999999992</v>
      </c>
    </row>
    <row r="5" spans="1:122" s="127" customFormat="1" ht="12.75">
      <c r="A5" s="911">
        <v>3</v>
      </c>
      <c r="B5" s="907">
        <v>62.806752168954716</v>
      </c>
      <c r="C5" s="907">
        <v>63.055035770892559</v>
      </c>
      <c r="D5" s="907">
        <v>63.424754761212895</v>
      </c>
      <c r="E5" s="907">
        <v>63.808885683616992</v>
      </c>
      <c r="F5" s="907">
        <v>64.244727937909445</v>
      </c>
      <c r="G5" s="907">
        <v>64.639610089311944</v>
      </c>
      <c r="H5" s="907">
        <v>64.974030953527929</v>
      </c>
      <c r="I5" s="907">
        <v>65.35005993848435</v>
      </c>
      <c r="J5" s="907">
        <v>65.616349629978444</v>
      </c>
      <c r="K5" s="907">
        <v>65.910147119310835</v>
      </c>
      <c r="L5" s="907">
        <v>66.236579205512257</v>
      </c>
      <c r="M5" s="907">
        <v>66.506103580325572</v>
      </c>
      <c r="N5" s="907">
        <v>66.765532265964794</v>
      </c>
      <c r="O5" s="907">
        <v>67.075106298927707</v>
      </c>
      <c r="P5" s="907">
        <v>67.347543734350765</v>
      </c>
      <c r="Q5" s="907">
        <v>67.550341585735623</v>
      </c>
      <c r="R5" s="907">
        <v>68.154094353360776</v>
      </c>
      <c r="S5" s="907">
        <v>68.603520534367675</v>
      </c>
      <c r="T5" s="907">
        <v>68.814007083154166</v>
      </c>
      <c r="U5" s="907">
        <v>69.20937750467246</v>
      </c>
      <c r="V5" s="907">
        <v>69.62</v>
      </c>
      <c r="W5" s="907">
        <v>70.064999999999998</v>
      </c>
      <c r="X5" s="907">
        <v>70.284999999999997</v>
      </c>
      <c r="Y5" s="907">
        <v>70.419999999999987</v>
      </c>
      <c r="Z5" s="907">
        <v>70.66</v>
      </c>
      <c r="AA5" s="907">
        <v>70.900000000000006</v>
      </c>
      <c r="AB5" s="907">
        <v>71.180000000000007</v>
      </c>
      <c r="AC5" s="907">
        <v>71.460000000000008</v>
      </c>
      <c r="AD5" s="907">
        <v>71.650000000000006</v>
      </c>
      <c r="AE5" s="907">
        <v>71.935000000000002</v>
      </c>
      <c r="AF5" s="907">
        <v>72.234999999999999</v>
      </c>
      <c r="AG5" s="907">
        <v>72.525000000000006</v>
      </c>
      <c r="AH5" s="907">
        <v>72.835000000000008</v>
      </c>
      <c r="AI5" s="907">
        <v>73.16</v>
      </c>
      <c r="AJ5" s="907">
        <v>73.569999999999993</v>
      </c>
      <c r="AK5" s="907">
        <v>73.894999999999996</v>
      </c>
      <c r="AL5" s="907">
        <v>74.254999999999995</v>
      </c>
      <c r="AM5" s="907">
        <v>74.614999999999995</v>
      </c>
      <c r="AN5" s="907">
        <v>74.900000000000006</v>
      </c>
      <c r="AO5" s="907">
        <v>75.14</v>
      </c>
      <c r="AP5" s="907">
        <v>75.384999999999991</v>
      </c>
      <c r="AQ5" s="907">
        <v>75.599999999999994</v>
      </c>
      <c r="AR5" s="907">
        <v>75.905000000000001</v>
      </c>
      <c r="AS5" s="907">
        <v>76.144999999999996</v>
      </c>
      <c r="AT5" s="907">
        <v>76.314999999999998</v>
      </c>
      <c r="AU5" s="907">
        <v>76.545000000000002</v>
      </c>
      <c r="AV5" s="907">
        <v>76.704999999999998</v>
      </c>
      <c r="AW5" s="907">
        <v>77.034999999999997</v>
      </c>
      <c r="AX5" s="907">
        <v>77.194999999999993</v>
      </c>
      <c r="AY5" s="907">
        <v>77.365000000000009</v>
      </c>
      <c r="AZ5" s="907">
        <v>77.460000000000008</v>
      </c>
      <c r="BA5" s="907">
        <v>77.58</v>
      </c>
      <c r="BB5" s="907">
        <v>77.724999999999994</v>
      </c>
      <c r="BC5" s="907">
        <v>77.865000000000009</v>
      </c>
      <c r="BD5" s="907">
        <v>78.02000000000001</v>
      </c>
      <c r="BE5" s="907">
        <v>78.19</v>
      </c>
      <c r="BF5" s="907">
        <v>78.405000000000001</v>
      </c>
      <c r="BG5" s="907">
        <v>78.58</v>
      </c>
      <c r="BH5" s="907">
        <v>78.84</v>
      </c>
      <c r="BI5" s="907">
        <v>79.025000000000006</v>
      </c>
      <c r="BJ5" s="907">
        <v>79.259999999999991</v>
      </c>
      <c r="BK5" s="907">
        <v>79.474999999999994</v>
      </c>
      <c r="BL5" s="907">
        <v>79.724999999999994</v>
      </c>
      <c r="BM5" s="907">
        <v>79.984999999999999</v>
      </c>
      <c r="BN5" s="907">
        <v>80.204999999999998</v>
      </c>
      <c r="BO5" s="907">
        <v>80.425000000000011</v>
      </c>
      <c r="BP5" s="907">
        <v>80.66</v>
      </c>
      <c r="BQ5" s="907">
        <v>80.87</v>
      </c>
      <c r="BR5" s="907">
        <v>81.064999999999998</v>
      </c>
      <c r="BS5" s="907">
        <v>81.275000000000006</v>
      </c>
      <c r="BT5" s="908">
        <v>81.465000000000003</v>
      </c>
      <c r="BU5" s="907">
        <v>81.625</v>
      </c>
      <c r="BV5" s="907">
        <v>81.824999999999989</v>
      </c>
      <c r="BW5" s="907">
        <v>82.004999999999995</v>
      </c>
      <c r="BX5" s="907">
        <v>82.19</v>
      </c>
      <c r="BY5" s="907">
        <v>82.355000000000004</v>
      </c>
      <c r="BZ5" s="907">
        <v>82.52</v>
      </c>
      <c r="CA5" s="907">
        <v>82.694999999999993</v>
      </c>
      <c r="CB5" s="907">
        <v>82.86</v>
      </c>
      <c r="CC5" s="907">
        <v>83.03</v>
      </c>
      <c r="CD5" s="907">
        <v>83.215000000000003</v>
      </c>
      <c r="CE5" s="907">
        <v>83.375</v>
      </c>
      <c r="CF5" s="907">
        <v>83.555000000000007</v>
      </c>
      <c r="CG5" s="907">
        <v>83.724999999999994</v>
      </c>
      <c r="CH5" s="907">
        <v>83.894999999999996</v>
      </c>
      <c r="CI5" s="907">
        <v>84.085000000000008</v>
      </c>
      <c r="CJ5" s="907">
        <v>84.234999999999999</v>
      </c>
      <c r="CK5" s="907">
        <v>84.394999999999996</v>
      </c>
      <c r="CL5" s="907">
        <v>84.575000000000003</v>
      </c>
      <c r="CM5" s="907">
        <v>84.740000000000009</v>
      </c>
      <c r="CN5" s="907">
        <v>84.9</v>
      </c>
      <c r="CO5" s="907">
        <v>85.055000000000007</v>
      </c>
      <c r="CP5" s="907">
        <v>85.210000000000008</v>
      </c>
      <c r="CQ5" s="907">
        <v>85.365000000000009</v>
      </c>
      <c r="CR5" s="907">
        <v>85.504999999999995</v>
      </c>
      <c r="CS5" s="907">
        <v>85.664999999999992</v>
      </c>
      <c r="CT5" s="907">
        <v>85.814999999999998</v>
      </c>
      <c r="CU5" s="907">
        <v>85.949999999999989</v>
      </c>
      <c r="CV5" s="907">
        <v>86.080000000000013</v>
      </c>
      <c r="CW5" s="907">
        <v>86.224999999999994</v>
      </c>
      <c r="CX5" s="907">
        <v>86.375</v>
      </c>
      <c r="CY5" s="907">
        <v>86.52</v>
      </c>
      <c r="CZ5" s="907">
        <v>86.65</v>
      </c>
      <c r="DA5" s="907">
        <v>86.784999999999997</v>
      </c>
      <c r="DB5" s="907">
        <v>86.92</v>
      </c>
      <c r="DC5" s="907">
        <v>87.05</v>
      </c>
      <c r="DD5" s="907">
        <v>87.19</v>
      </c>
      <c r="DE5" s="907">
        <v>87.32</v>
      </c>
      <c r="DF5" s="907">
        <v>87.454999999999998</v>
      </c>
      <c r="DG5" s="907">
        <v>87.580000000000013</v>
      </c>
      <c r="DH5" s="907">
        <v>87.704999999999998</v>
      </c>
      <c r="DI5" s="907">
        <v>87.83</v>
      </c>
      <c r="DJ5" s="907">
        <v>87.954999999999998</v>
      </c>
      <c r="DK5" s="907">
        <v>88.09</v>
      </c>
      <c r="DL5" s="907">
        <v>88.210000000000008</v>
      </c>
      <c r="DM5" s="907">
        <v>88.335000000000008</v>
      </c>
      <c r="DN5" s="907">
        <v>88.45</v>
      </c>
      <c r="DO5" s="907">
        <v>88.575000000000003</v>
      </c>
      <c r="DP5" s="907">
        <v>88.694999999999993</v>
      </c>
      <c r="DQ5" s="907">
        <v>88.81</v>
      </c>
      <c r="DR5" s="907">
        <v>88.93</v>
      </c>
    </row>
    <row r="6" spans="1:122" s="127" customFormat="1" ht="12.75">
      <c r="A6" s="911">
        <v>4</v>
      </c>
      <c r="B6" s="907">
        <v>62.49592787128018</v>
      </c>
      <c r="C6" s="907">
        <v>62.71319822953248</v>
      </c>
      <c r="D6" s="907">
        <v>63.052888689487432</v>
      </c>
      <c r="E6" s="907">
        <v>63.406764397821846</v>
      </c>
      <c r="F6" s="907">
        <v>63.816554211380577</v>
      </c>
      <c r="G6" s="907">
        <v>64.184647817506544</v>
      </c>
      <c r="H6" s="907">
        <v>64.491448212431123</v>
      </c>
      <c r="I6" s="907">
        <v>64.839887426421143</v>
      </c>
      <c r="J6" s="907">
        <v>65.10818460515884</v>
      </c>
      <c r="K6" s="907">
        <v>65.431177142440134</v>
      </c>
      <c r="L6" s="907">
        <v>65.787344626389611</v>
      </c>
      <c r="M6" s="907">
        <v>66.055710258984732</v>
      </c>
      <c r="N6" s="907">
        <v>66.473862063279526</v>
      </c>
      <c r="O6" s="907">
        <v>66.644703902153566</v>
      </c>
      <c r="P6" s="907">
        <v>67.00748438586146</v>
      </c>
      <c r="Q6" s="907">
        <v>67.492731458066999</v>
      </c>
      <c r="R6" s="907">
        <v>67.930927069048707</v>
      </c>
      <c r="S6" s="907">
        <v>68.204325207698929</v>
      </c>
      <c r="T6" s="907">
        <v>68.318897885178885</v>
      </c>
      <c r="U6" s="907">
        <v>68.672295819649094</v>
      </c>
      <c r="V6" s="907">
        <v>69.105000000000004</v>
      </c>
      <c r="W6" s="907">
        <v>69.33</v>
      </c>
      <c r="X6" s="907">
        <v>69.550000000000011</v>
      </c>
      <c r="Y6" s="907">
        <v>69.69</v>
      </c>
      <c r="Z6" s="907">
        <v>69.949999999999989</v>
      </c>
      <c r="AA6" s="907">
        <v>70.180000000000007</v>
      </c>
      <c r="AB6" s="907">
        <v>70.490000000000009</v>
      </c>
      <c r="AC6" s="907">
        <v>70.740000000000009</v>
      </c>
      <c r="AD6" s="907">
        <v>70.89500000000001</v>
      </c>
      <c r="AE6" s="907">
        <v>71.16</v>
      </c>
      <c r="AF6" s="907">
        <v>71.460000000000008</v>
      </c>
      <c r="AG6" s="907">
        <v>71.754999999999995</v>
      </c>
      <c r="AH6" s="907">
        <v>72.099999999999994</v>
      </c>
      <c r="AI6" s="907">
        <v>72.444999999999993</v>
      </c>
      <c r="AJ6" s="907">
        <v>72.824999999999989</v>
      </c>
      <c r="AK6" s="907">
        <v>73.13</v>
      </c>
      <c r="AL6" s="907">
        <v>73.510000000000005</v>
      </c>
      <c r="AM6" s="907">
        <v>73.875</v>
      </c>
      <c r="AN6" s="907">
        <v>74.16</v>
      </c>
      <c r="AO6" s="907">
        <v>74.400000000000006</v>
      </c>
      <c r="AP6" s="907">
        <v>74.674999999999997</v>
      </c>
      <c r="AQ6" s="907">
        <v>74.924999999999997</v>
      </c>
      <c r="AR6" s="907">
        <v>75.295000000000002</v>
      </c>
      <c r="AS6" s="907">
        <v>75.435000000000002</v>
      </c>
      <c r="AT6" s="907">
        <v>75.61</v>
      </c>
      <c r="AU6" s="907">
        <v>75.740000000000009</v>
      </c>
      <c r="AV6" s="907">
        <v>75.844999999999999</v>
      </c>
      <c r="AW6" s="907">
        <v>76.175000000000011</v>
      </c>
      <c r="AX6" s="907">
        <v>76.335000000000008</v>
      </c>
      <c r="AY6" s="907">
        <v>76.460000000000008</v>
      </c>
      <c r="AZ6" s="907">
        <v>76.555000000000007</v>
      </c>
      <c r="BA6" s="907">
        <v>76.67</v>
      </c>
      <c r="BB6" s="907">
        <v>76.814999999999998</v>
      </c>
      <c r="BC6" s="907">
        <v>76.955000000000013</v>
      </c>
      <c r="BD6" s="907">
        <v>77.10499999999999</v>
      </c>
      <c r="BE6" s="907">
        <v>77.265000000000001</v>
      </c>
      <c r="BF6" s="907">
        <v>77.48</v>
      </c>
      <c r="BG6" s="907">
        <v>77.655000000000001</v>
      </c>
      <c r="BH6" s="907">
        <v>77.915000000000006</v>
      </c>
      <c r="BI6" s="907">
        <v>78.094999999999999</v>
      </c>
      <c r="BJ6" s="907">
        <v>78.325000000000003</v>
      </c>
      <c r="BK6" s="907">
        <v>78.534999999999997</v>
      </c>
      <c r="BL6" s="907">
        <v>78.784999999999997</v>
      </c>
      <c r="BM6" s="907">
        <v>79.050000000000011</v>
      </c>
      <c r="BN6" s="907">
        <v>79.265000000000001</v>
      </c>
      <c r="BO6" s="907">
        <v>79.490000000000009</v>
      </c>
      <c r="BP6" s="907">
        <v>79.715000000000003</v>
      </c>
      <c r="BQ6" s="907">
        <v>79.930000000000007</v>
      </c>
      <c r="BR6" s="907">
        <v>80.125</v>
      </c>
      <c r="BS6" s="907">
        <v>80.330000000000013</v>
      </c>
      <c r="BT6" s="908">
        <v>80.52000000000001</v>
      </c>
      <c r="BU6" s="907">
        <v>80.675000000000011</v>
      </c>
      <c r="BV6" s="907">
        <v>80.87</v>
      </c>
      <c r="BW6" s="907">
        <v>81.05</v>
      </c>
      <c r="BX6" s="907">
        <v>81.235000000000014</v>
      </c>
      <c r="BY6" s="907">
        <v>81.400000000000006</v>
      </c>
      <c r="BZ6" s="907">
        <v>81.564999999999998</v>
      </c>
      <c r="CA6" s="907">
        <v>81.72999999999999</v>
      </c>
      <c r="CB6" s="907">
        <v>81.89500000000001</v>
      </c>
      <c r="CC6" s="907">
        <v>82.07</v>
      </c>
      <c r="CD6" s="907">
        <v>82.245000000000005</v>
      </c>
      <c r="CE6" s="907">
        <v>82.405000000000001</v>
      </c>
      <c r="CF6" s="907">
        <v>82.584999999999994</v>
      </c>
      <c r="CG6" s="907">
        <v>82.754999999999995</v>
      </c>
      <c r="CH6" s="907">
        <v>82.924999999999997</v>
      </c>
      <c r="CI6" s="907">
        <v>83.115000000000009</v>
      </c>
      <c r="CJ6" s="907">
        <v>83.26</v>
      </c>
      <c r="CK6" s="907">
        <v>83.424999999999997</v>
      </c>
      <c r="CL6" s="907">
        <v>83.6</v>
      </c>
      <c r="CM6" s="907">
        <v>83.759999999999991</v>
      </c>
      <c r="CN6" s="907">
        <v>83.924999999999997</v>
      </c>
      <c r="CO6" s="907">
        <v>84.074999999999989</v>
      </c>
      <c r="CP6" s="907">
        <v>84.234999999999999</v>
      </c>
      <c r="CQ6" s="907">
        <v>84.38</v>
      </c>
      <c r="CR6" s="907">
        <v>84.52000000000001</v>
      </c>
      <c r="CS6" s="907">
        <v>84.68</v>
      </c>
      <c r="CT6" s="907">
        <v>84.83</v>
      </c>
      <c r="CU6" s="907">
        <v>84.97</v>
      </c>
      <c r="CV6" s="907">
        <v>85.094999999999999</v>
      </c>
      <c r="CW6" s="907">
        <v>85.245000000000005</v>
      </c>
      <c r="CX6" s="907">
        <v>85.39</v>
      </c>
      <c r="CY6" s="907">
        <v>85.534999999999997</v>
      </c>
      <c r="CZ6" s="907">
        <v>85.66</v>
      </c>
      <c r="DA6" s="907">
        <v>85.800000000000011</v>
      </c>
      <c r="DB6" s="907">
        <v>85.935000000000002</v>
      </c>
      <c r="DC6" s="907">
        <v>86.07</v>
      </c>
      <c r="DD6" s="907">
        <v>86.2</v>
      </c>
      <c r="DE6" s="907">
        <v>86.330000000000013</v>
      </c>
      <c r="DF6" s="907">
        <v>86.465000000000003</v>
      </c>
      <c r="DG6" s="907">
        <v>86.59</v>
      </c>
      <c r="DH6" s="907">
        <v>86.715000000000003</v>
      </c>
      <c r="DI6" s="907">
        <v>86.844999999999999</v>
      </c>
      <c r="DJ6" s="907">
        <v>86.965000000000003</v>
      </c>
      <c r="DK6" s="907">
        <v>87.1</v>
      </c>
      <c r="DL6" s="907">
        <v>87.22</v>
      </c>
      <c r="DM6" s="907">
        <v>87.344999999999999</v>
      </c>
      <c r="DN6" s="907">
        <v>87.465000000000003</v>
      </c>
      <c r="DO6" s="907">
        <v>87.584999999999994</v>
      </c>
      <c r="DP6" s="907">
        <v>87.704999999999998</v>
      </c>
      <c r="DQ6" s="907">
        <v>87.82</v>
      </c>
      <c r="DR6" s="907">
        <v>87.94</v>
      </c>
    </row>
    <row r="7" spans="1:122" s="127" customFormat="1" ht="12.75">
      <c r="A7" s="911">
        <v>5</v>
      </c>
      <c r="B7" s="907">
        <v>61.973195515609973</v>
      </c>
      <c r="C7" s="907">
        <v>62.167950843276621</v>
      </c>
      <c r="D7" s="907">
        <v>62.485824468834679</v>
      </c>
      <c r="E7" s="907">
        <v>62.822808494503107</v>
      </c>
      <c r="F7" s="907">
        <v>63.215854558283198</v>
      </c>
      <c r="G7" s="907">
        <v>63.566711120925419</v>
      </c>
      <c r="H7" s="907">
        <v>63.855707419460273</v>
      </c>
      <c r="I7" s="907">
        <v>64.206128039550222</v>
      </c>
      <c r="J7" s="907">
        <v>64.495993908668495</v>
      </c>
      <c r="K7" s="907">
        <v>64.841085064236111</v>
      </c>
      <c r="L7" s="907">
        <v>65.196968398480109</v>
      </c>
      <c r="M7" s="907">
        <v>65.5834232195608</v>
      </c>
      <c r="N7" s="907">
        <v>65.898561638200206</v>
      </c>
      <c r="O7" s="907">
        <v>66.136511402672852</v>
      </c>
      <c r="P7" s="907">
        <v>66.710567360152538</v>
      </c>
      <c r="Q7" s="907">
        <v>67.071845591419105</v>
      </c>
      <c r="R7" s="907">
        <v>67.379128125385819</v>
      </c>
      <c r="S7" s="907">
        <v>67.589303744892362</v>
      </c>
      <c r="T7" s="907">
        <v>67.677567991877595</v>
      </c>
      <c r="U7" s="907">
        <v>68.046560378873238</v>
      </c>
      <c r="V7" s="907">
        <v>68.31</v>
      </c>
      <c r="W7" s="907">
        <v>68.539999999999992</v>
      </c>
      <c r="X7" s="907">
        <v>68.759999999999991</v>
      </c>
      <c r="Y7" s="907">
        <v>68.91</v>
      </c>
      <c r="Z7" s="907">
        <v>69.164999999999992</v>
      </c>
      <c r="AA7" s="907">
        <v>69.425000000000011</v>
      </c>
      <c r="AB7" s="907">
        <v>69.72</v>
      </c>
      <c r="AC7" s="907">
        <v>69.935000000000002</v>
      </c>
      <c r="AD7" s="907">
        <v>70.075000000000003</v>
      </c>
      <c r="AE7" s="907">
        <v>70.344999999999999</v>
      </c>
      <c r="AF7" s="907">
        <v>70.650000000000006</v>
      </c>
      <c r="AG7" s="907">
        <v>70.97</v>
      </c>
      <c r="AH7" s="907">
        <v>71.325000000000003</v>
      </c>
      <c r="AI7" s="907">
        <v>71.650000000000006</v>
      </c>
      <c r="AJ7" s="907">
        <v>72.015000000000001</v>
      </c>
      <c r="AK7" s="907">
        <v>72.335000000000008</v>
      </c>
      <c r="AL7" s="907">
        <v>72.72</v>
      </c>
      <c r="AM7" s="907">
        <v>73.085000000000008</v>
      </c>
      <c r="AN7" s="907">
        <v>73.37</v>
      </c>
      <c r="AO7" s="907">
        <v>73.63</v>
      </c>
      <c r="AP7" s="907">
        <v>73.94</v>
      </c>
      <c r="AQ7" s="907">
        <v>74.245000000000005</v>
      </c>
      <c r="AR7" s="907">
        <v>74.495000000000005</v>
      </c>
      <c r="AS7" s="907">
        <v>74.634999999999991</v>
      </c>
      <c r="AT7" s="907">
        <v>74.739999999999995</v>
      </c>
      <c r="AU7" s="907">
        <v>74.844999999999999</v>
      </c>
      <c r="AV7" s="907">
        <v>74.95</v>
      </c>
      <c r="AW7" s="907">
        <v>75.28</v>
      </c>
      <c r="AX7" s="907">
        <v>75.414999999999992</v>
      </c>
      <c r="AY7" s="907">
        <v>75.539999999999992</v>
      </c>
      <c r="AZ7" s="907">
        <v>75.625</v>
      </c>
      <c r="BA7" s="907">
        <v>75.72999999999999</v>
      </c>
      <c r="BB7" s="907">
        <v>75.88</v>
      </c>
      <c r="BC7" s="907">
        <v>76.015000000000001</v>
      </c>
      <c r="BD7" s="907">
        <v>76.175000000000011</v>
      </c>
      <c r="BE7" s="907">
        <v>76.319999999999993</v>
      </c>
      <c r="BF7" s="907">
        <v>76.545000000000002</v>
      </c>
      <c r="BG7" s="907">
        <v>76.715000000000003</v>
      </c>
      <c r="BH7" s="907">
        <v>76.965000000000003</v>
      </c>
      <c r="BI7" s="907">
        <v>77.150000000000006</v>
      </c>
      <c r="BJ7" s="907">
        <v>77.375</v>
      </c>
      <c r="BK7" s="907">
        <v>77.59</v>
      </c>
      <c r="BL7" s="907">
        <v>77.84</v>
      </c>
      <c r="BM7" s="907">
        <v>78.10499999999999</v>
      </c>
      <c r="BN7" s="907">
        <v>78.319999999999993</v>
      </c>
      <c r="BO7" s="907">
        <v>78.539999999999992</v>
      </c>
      <c r="BP7" s="907">
        <v>78.765000000000001</v>
      </c>
      <c r="BQ7" s="907">
        <v>78.974999999999994</v>
      </c>
      <c r="BR7" s="907">
        <v>79.174999999999997</v>
      </c>
      <c r="BS7" s="907">
        <v>79.37</v>
      </c>
      <c r="BT7" s="908">
        <v>79.56</v>
      </c>
      <c r="BU7" s="907">
        <v>79.72</v>
      </c>
      <c r="BV7" s="907">
        <v>79.914999999999992</v>
      </c>
      <c r="BW7" s="907">
        <v>80.094999999999999</v>
      </c>
      <c r="BX7" s="907">
        <v>80.27</v>
      </c>
      <c r="BY7" s="907">
        <v>80.435000000000002</v>
      </c>
      <c r="BZ7" s="907">
        <v>80.594999999999999</v>
      </c>
      <c r="CA7" s="907">
        <v>80.759999999999991</v>
      </c>
      <c r="CB7" s="907">
        <v>80.925000000000011</v>
      </c>
      <c r="CC7" s="907">
        <v>81.094999999999999</v>
      </c>
      <c r="CD7" s="907">
        <v>81.27000000000001</v>
      </c>
      <c r="CE7" s="907">
        <v>81.430000000000007</v>
      </c>
      <c r="CF7" s="907">
        <v>81.605000000000004</v>
      </c>
      <c r="CG7" s="907">
        <v>81.78</v>
      </c>
      <c r="CH7" s="907">
        <v>81.944999999999993</v>
      </c>
      <c r="CI7" s="907">
        <v>82.134999999999991</v>
      </c>
      <c r="CJ7" s="907">
        <v>82.28</v>
      </c>
      <c r="CK7" s="907">
        <v>82.444999999999993</v>
      </c>
      <c r="CL7" s="907">
        <v>82.62</v>
      </c>
      <c r="CM7" s="907">
        <v>82.78</v>
      </c>
      <c r="CN7" s="907">
        <v>82.94</v>
      </c>
      <c r="CO7" s="907">
        <v>83.094999999999999</v>
      </c>
      <c r="CP7" s="907">
        <v>83.245000000000005</v>
      </c>
      <c r="CQ7" s="907">
        <v>83.39500000000001</v>
      </c>
      <c r="CR7" s="907">
        <v>83.534999999999997</v>
      </c>
      <c r="CS7" s="907">
        <v>83.694999999999993</v>
      </c>
      <c r="CT7" s="907">
        <v>83.84</v>
      </c>
      <c r="CU7" s="907">
        <v>83.97999999999999</v>
      </c>
      <c r="CV7" s="907">
        <v>84.11</v>
      </c>
      <c r="CW7" s="907">
        <v>84.254999999999995</v>
      </c>
      <c r="CX7" s="907">
        <v>84.4</v>
      </c>
      <c r="CY7" s="907">
        <v>84.545000000000002</v>
      </c>
      <c r="CZ7" s="907">
        <v>84.67</v>
      </c>
      <c r="DA7" s="907">
        <v>84.814999999999998</v>
      </c>
      <c r="DB7" s="907">
        <v>84.944999999999993</v>
      </c>
      <c r="DC7" s="907">
        <v>85.08</v>
      </c>
      <c r="DD7" s="907">
        <v>85.210000000000008</v>
      </c>
      <c r="DE7" s="907">
        <v>85.34</v>
      </c>
      <c r="DF7" s="907">
        <v>85.47</v>
      </c>
      <c r="DG7" s="907">
        <v>85.6</v>
      </c>
      <c r="DH7" s="907">
        <v>85.724999999999994</v>
      </c>
      <c r="DI7" s="907">
        <v>85.85499999999999</v>
      </c>
      <c r="DJ7" s="907">
        <v>85.974999999999994</v>
      </c>
      <c r="DK7" s="907">
        <v>86.105000000000004</v>
      </c>
      <c r="DL7" s="907">
        <v>86.23</v>
      </c>
      <c r="DM7" s="907">
        <v>86.355000000000004</v>
      </c>
      <c r="DN7" s="907">
        <v>86.47</v>
      </c>
      <c r="DO7" s="907">
        <v>86.59</v>
      </c>
      <c r="DP7" s="907">
        <v>86.715000000000003</v>
      </c>
      <c r="DQ7" s="907">
        <v>86.83</v>
      </c>
      <c r="DR7" s="907">
        <v>86.944999999999993</v>
      </c>
    </row>
    <row r="8" spans="1:122" s="127" customFormat="1" ht="12.75">
      <c r="A8" s="911">
        <v>6</v>
      </c>
      <c r="B8" s="907">
        <v>61.317468793868287</v>
      </c>
      <c r="C8" s="907">
        <v>61.496260424766767</v>
      </c>
      <c r="D8" s="907">
        <v>61.80123103927626</v>
      </c>
      <c r="E8" s="907">
        <v>62.125262013375242</v>
      </c>
      <c r="F8" s="907">
        <v>62.505462511432391</v>
      </c>
      <c r="G8" s="907">
        <v>62.843109588754487</v>
      </c>
      <c r="H8" s="907">
        <v>63.133370602938882</v>
      </c>
      <c r="I8" s="907">
        <v>63.500518836080332</v>
      </c>
      <c r="J8" s="907">
        <v>63.80699050685601</v>
      </c>
      <c r="K8" s="907">
        <v>64.151830780248957</v>
      </c>
      <c r="L8" s="907">
        <v>64.597703401935078</v>
      </c>
      <c r="M8" s="907">
        <v>64.90654302429239</v>
      </c>
      <c r="N8" s="907">
        <v>65.272824942128835</v>
      </c>
      <c r="O8" s="907">
        <v>65.67041635617629</v>
      </c>
      <c r="P8" s="907">
        <v>66.150983577852628</v>
      </c>
      <c r="Q8" s="907">
        <v>66.412425210842102</v>
      </c>
      <c r="R8" s="907">
        <v>66.67089691483153</v>
      </c>
      <c r="S8" s="907">
        <v>66.86066970867202</v>
      </c>
      <c r="T8" s="907">
        <v>66.95962421948586</v>
      </c>
      <c r="U8" s="907">
        <v>67.202254176731415</v>
      </c>
      <c r="V8" s="907">
        <v>67.465000000000003</v>
      </c>
      <c r="W8" s="907">
        <v>67.699999999999989</v>
      </c>
      <c r="X8" s="907">
        <v>67.930000000000007</v>
      </c>
      <c r="Y8" s="907">
        <v>68.085000000000008</v>
      </c>
      <c r="Z8" s="907">
        <v>68.365000000000009</v>
      </c>
      <c r="AA8" s="907">
        <v>68.62</v>
      </c>
      <c r="AB8" s="907">
        <v>68.89</v>
      </c>
      <c r="AC8" s="907">
        <v>69.09</v>
      </c>
      <c r="AD8" s="907">
        <v>69.234999999999999</v>
      </c>
      <c r="AE8" s="907">
        <v>69.5</v>
      </c>
      <c r="AF8" s="907">
        <v>69.83</v>
      </c>
      <c r="AG8" s="907">
        <v>70.16</v>
      </c>
      <c r="AH8" s="907">
        <v>70.504999999999995</v>
      </c>
      <c r="AI8" s="907">
        <v>70.81</v>
      </c>
      <c r="AJ8" s="907">
        <v>71.19</v>
      </c>
      <c r="AK8" s="907">
        <v>71.509999999999991</v>
      </c>
      <c r="AL8" s="907">
        <v>71.900000000000006</v>
      </c>
      <c r="AM8" s="907">
        <v>72.259999999999991</v>
      </c>
      <c r="AN8" s="907">
        <v>72.564999999999998</v>
      </c>
      <c r="AO8" s="907">
        <v>72.85499999999999</v>
      </c>
      <c r="AP8" s="907">
        <v>73.204999999999998</v>
      </c>
      <c r="AQ8" s="907">
        <v>73.39</v>
      </c>
      <c r="AR8" s="907">
        <v>73.64500000000001</v>
      </c>
      <c r="AS8" s="907">
        <v>73.740000000000009</v>
      </c>
      <c r="AT8" s="907">
        <v>73.819999999999993</v>
      </c>
      <c r="AU8" s="907">
        <v>73.930000000000007</v>
      </c>
      <c r="AV8" s="907">
        <v>74.03</v>
      </c>
      <c r="AW8" s="907">
        <v>74.344999999999999</v>
      </c>
      <c r="AX8" s="907">
        <v>74.47</v>
      </c>
      <c r="AY8" s="907">
        <v>74.60499999999999</v>
      </c>
      <c r="AZ8" s="907">
        <v>74.685000000000002</v>
      </c>
      <c r="BA8" s="907">
        <v>74.784999999999997</v>
      </c>
      <c r="BB8" s="907">
        <v>74.935000000000002</v>
      </c>
      <c r="BC8" s="907">
        <v>75.069999999999993</v>
      </c>
      <c r="BD8" s="907">
        <v>75.22</v>
      </c>
      <c r="BE8" s="907">
        <v>75.375</v>
      </c>
      <c r="BF8" s="907">
        <v>75.59</v>
      </c>
      <c r="BG8" s="907">
        <v>75.759999999999991</v>
      </c>
      <c r="BH8" s="907">
        <v>76.010000000000005</v>
      </c>
      <c r="BI8" s="907">
        <v>76.19</v>
      </c>
      <c r="BJ8" s="907">
        <v>76.42</v>
      </c>
      <c r="BK8" s="907">
        <v>76.635000000000005</v>
      </c>
      <c r="BL8" s="907">
        <v>76.889999999999986</v>
      </c>
      <c r="BM8" s="907">
        <v>77.14500000000001</v>
      </c>
      <c r="BN8" s="907">
        <v>77.37</v>
      </c>
      <c r="BO8" s="907">
        <v>77.585000000000008</v>
      </c>
      <c r="BP8" s="907">
        <v>77.814999999999998</v>
      </c>
      <c r="BQ8" s="907">
        <v>78.02000000000001</v>
      </c>
      <c r="BR8" s="907">
        <v>78.215000000000003</v>
      </c>
      <c r="BS8" s="907">
        <v>78.414999999999992</v>
      </c>
      <c r="BT8" s="908">
        <v>78.594999999999999</v>
      </c>
      <c r="BU8" s="907">
        <v>78.754999999999995</v>
      </c>
      <c r="BV8" s="907">
        <v>78.94</v>
      </c>
      <c r="BW8" s="907">
        <v>79.125</v>
      </c>
      <c r="BX8" s="907">
        <v>79.300000000000011</v>
      </c>
      <c r="BY8" s="907">
        <v>79.465000000000003</v>
      </c>
      <c r="BZ8" s="907">
        <v>79.625</v>
      </c>
      <c r="CA8" s="907">
        <v>79.790000000000006</v>
      </c>
      <c r="CB8" s="907">
        <v>79.95</v>
      </c>
      <c r="CC8" s="907">
        <v>80.12</v>
      </c>
      <c r="CD8" s="907">
        <v>80.289999999999992</v>
      </c>
      <c r="CE8" s="907">
        <v>80.449999999999989</v>
      </c>
      <c r="CF8" s="907">
        <v>80.625</v>
      </c>
      <c r="CG8" s="907">
        <v>80.795000000000002</v>
      </c>
      <c r="CH8" s="907">
        <v>80.965000000000003</v>
      </c>
      <c r="CI8" s="907">
        <v>81.155000000000001</v>
      </c>
      <c r="CJ8" s="907">
        <v>81.305000000000007</v>
      </c>
      <c r="CK8" s="907">
        <v>81.465000000000003</v>
      </c>
      <c r="CL8" s="907">
        <v>81.63</v>
      </c>
      <c r="CM8" s="907">
        <v>81.795000000000002</v>
      </c>
      <c r="CN8" s="907">
        <v>81.954999999999998</v>
      </c>
      <c r="CO8" s="907">
        <v>82.10499999999999</v>
      </c>
      <c r="CP8" s="907">
        <v>82.26</v>
      </c>
      <c r="CQ8" s="907">
        <v>82.405000000000001</v>
      </c>
      <c r="CR8" s="907">
        <v>82.545000000000002</v>
      </c>
      <c r="CS8" s="907">
        <v>82.7</v>
      </c>
      <c r="CT8" s="907">
        <v>82.85</v>
      </c>
      <c r="CU8" s="907">
        <v>82.990000000000009</v>
      </c>
      <c r="CV8" s="907">
        <v>83.12</v>
      </c>
      <c r="CW8" s="907">
        <v>83.27</v>
      </c>
      <c r="CX8" s="907">
        <v>83.41</v>
      </c>
      <c r="CY8" s="907">
        <v>83.550000000000011</v>
      </c>
      <c r="CZ8" s="907">
        <v>83.68</v>
      </c>
      <c r="DA8" s="907">
        <v>83.814999999999998</v>
      </c>
      <c r="DB8" s="907">
        <v>83.954999999999998</v>
      </c>
      <c r="DC8" s="907">
        <v>84.09</v>
      </c>
      <c r="DD8" s="907">
        <v>84.22</v>
      </c>
      <c r="DE8" s="907">
        <v>84.35</v>
      </c>
      <c r="DF8" s="907">
        <v>84.48</v>
      </c>
      <c r="DG8" s="907">
        <v>84.61</v>
      </c>
      <c r="DH8" s="907">
        <v>84.72999999999999</v>
      </c>
      <c r="DI8" s="907">
        <v>84.86</v>
      </c>
      <c r="DJ8" s="907">
        <v>84.984999999999999</v>
      </c>
      <c r="DK8" s="907">
        <v>85.11</v>
      </c>
      <c r="DL8" s="907">
        <v>85.234999999999999</v>
      </c>
      <c r="DM8" s="907">
        <v>85.355000000000004</v>
      </c>
      <c r="DN8" s="907">
        <v>85.48</v>
      </c>
      <c r="DO8" s="907">
        <v>85.6</v>
      </c>
      <c r="DP8" s="907">
        <v>85.715000000000003</v>
      </c>
      <c r="DQ8" s="907">
        <v>85.835000000000008</v>
      </c>
      <c r="DR8" s="907">
        <v>85.949999999999989</v>
      </c>
    </row>
    <row r="9" spans="1:122" s="127" customFormat="1" ht="12.75">
      <c r="A9" s="911">
        <v>7</v>
      </c>
      <c r="B9" s="907">
        <v>60.581203399802796</v>
      </c>
      <c r="C9" s="907">
        <v>60.749492715854053</v>
      </c>
      <c r="D9" s="907">
        <v>61.044397592707796</v>
      </c>
      <c r="E9" s="907">
        <v>61.358326558665375</v>
      </c>
      <c r="F9" s="907">
        <v>61.728511823437593</v>
      </c>
      <c r="G9" s="907">
        <v>62.067373116447648</v>
      </c>
      <c r="H9" s="907">
        <v>62.370925691001503</v>
      </c>
      <c r="I9" s="907">
        <v>62.751790777169674</v>
      </c>
      <c r="J9" s="907">
        <v>63.057925897051462</v>
      </c>
      <c r="K9" s="907">
        <v>63.475328267601867</v>
      </c>
      <c r="L9" s="907">
        <v>63.859052039270793</v>
      </c>
      <c r="M9" s="907">
        <v>64.209014286441899</v>
      </c>
      <c r="N9" s="907">
        <v>64.705073769056142</v>
      </c>
      <c r="O9" s="907">
        <v>65.026099641681441</v>
      </c>
      <c r="P9" s="907">
        <v>65.426618355401928</v>
      </c>
      <c r="Q9" s="907">
        <v>65.648530185032882</v>
      </c>
      <c r="R9" s="907">
        <v>65.890777136458539</v>
      </c>
      <c r="S9" s="907">
        <v>66.089557711945247</v>
      </c>
      <c r="T9" s="907">
        <v>66.085509174880414</v>
      </c>
      <c r="U9" s="907">
        <v>66.328597100985093</v>
      </c>
      <c r="V9" s="907">
        <v>66.59</v>
      </c>
      <c r="W9" s="907">
        <v>66.83</v>
      </c>
      <c r="X9" s="907">
        <v>67.08</v>
      </c>
      <c r="Y9" s="907">
        <v>67.254999999999995</v>
      </c>
      <c r="Z9" s="907">
        <v>67.545000000000002</v>
      </c>
      <c r="AA9" s="907">
        <v>67.77000000000001</v>
      </c>
      <c r="AB9" s="907">
        <v>68.03</v>
      </c>
      <c r="AC9" s="907">
        <v>68.22999999999999</v>
      </c>
      <c r="AD9" s="907">
        <v>68.375</v>
      </c>
      <c r="AE9" s="907">
        <v>68.664999999999992</v>
      </c>
      <c r="AF9" s="907">
        <v>69.004999999999995</v>
      </c>
      <c r="AG9" s="907">
        <v>69.314999999999998</v>
      </c>
      <c r="AH9" s="907">
        <v>69.650000000000006</v>
      </c>
      <c r="AI9" s="907">
        <v>69.97</v>
      </c>
      <c r="AJ9" s="907">
        <v>70.344999999999999</v>
      </c>
      <c r="AK9" s="907">
        <v>70.674999999999997</v>
      </c>
      <c r="AL9" s="907">
        <v>71.055000000000007</v>
      </c>
      <c r="AM9" s="907">
        <v>71.435000000000002</v>
      </c>
      <c r="AN9" s="907">
        <v>71.764999999999986</v>
      </c>
      <c r="AO9" s="907">
        <v>72.094999999999999</v>
      </c>
      <c r="AP9" s="907">
        <v>72.325000000000003</v>
      </c>
      <c r="AQ9" s="907">
        <v>72.510000000000005</v>
      </c>
      <c r="AR9" s="907">
        <v>72.724999999999994</v>
      </c>
      <c r="AS9" s="907">
        <v>72.805000000000007</v>
      </c>
      <c r="AT9" s="907">
        <v>72.89</v>
      </c>
      <c r="AU9" s="907">
        <v>72.995000000000005</v>
      </c>
      <c r="AV9" s="907">
        <v>73.085000000000008</v>
      </c>
      <c r="AW9" s="907">
        <v>73.39</v>
      </c>
      <c r="AX9" s="907">
        <v>73.525000000000006</v>
      </c>
      <c r="AY9" s="907">
        <v>73.655000000000001</v>
      </c>
      <c r="AZ9" s="907">
        <v>73.734999999999999</v>
      </c>
      <c r="BA9" s="907">
        <v>73.835000000000008</v>
      </c>
      <c r="BB9" s="907">
        <v>73.97999999999999</v>
      </c>
      <c r="BC9" s="907">
        <v>74.105000000000004</v>
      </c>
      <c r="BD9" s="907">
        <v>74.265000000000001</v>
      </c>
      <c r="BE9" s="907">
        <v>74.414999999999992</v>
      </c>
      <c r="BF9" s="907">
        <v>74.63</v>
      </c>
      <c r="BG9" s="907">
        <v>74.800000000000011</v>
      </c>
      <c r="BH9" s="907">
        <v>75.055000000000007</v>
      </c>
      <c r="BI9" s="907">
        <v>75.22999999999999</v>
      </c>
      <c r="BJ9" s="907">
        <v>75.465000000000003</v>
      </c>
      <c r="BK9" s="907">
        <v>75.680000000000007</v>
      </c>
      <c r="BL9" s="907">
        <v>75.930000000000007</v>
      </c>
      <c r="BM9" s="907">
        <v>76.19</v>
      </c>
      <c r="BN9" s="907">
        <v>76.41</v>
      </c>
      <c r="BO9" s="907">
        <v>76.63</v>
      </c>
      <c r="BP9" s="907">
        <v>76.849999999999994</v>
      </c>
      <c r="BQ9" s="907">
        <v>77.055000000000007</v>
      </c>
      <c r="BR9" s="907">
        <v>77.25</v>
      </c>
      <c r="BS9" s="907">
        <v>77.45</v>
      </c>
      <c r="BT9" s="908">
        <v>77.63</v>
      </c>
      <c r="BU9" s="907">
        <v>77.784999999999997</v>
      </c>
      <c r="BV9" s="907">
        <v>77.974999999999994</v>
      </c>
      <c r="BW9" s="907">
        <v>78.155000000000001</v>
      </c>
      <c r="BX9" s="907">
        <v>78.325000000000003</v>
      </c>
      <c r="BY9" s="907">
        <v>78.495000000000005</v>
      </c>
      <c r="BZ9" s="907">
        <v>78.650000000000006</v>
      </c>
      <c r="CA9" s="907">
        <v>78.805000000000007</v>
      </c>
      <c r="CB9" s="907">
        <v>78.97</v>
      </c>
      <c r="CC9" s="907">
        <v>79.139999999999986</v>
      </c>
      <c r="CD9" s="907">
        <v>79.305000000000007</v>
      </c>
      <c r="CE9" s="907">
        <v>79.47</v>
      </c>
      <c r="CF9" s="907">
        <v>79.64500000000001</v>
      </c>
      <c r="CG9" s="907">
        <v>79.81</v>
      </c>
      <c r="CH9" s="907">
        <v>79.984999999999999</v>
      </c>
      <c r="CI9" s="907">
        <v>80.17</v>
      </c>
      <c r="CJ9" s="907">
        <v>80.314999999999998</v>
      </c>
      <c r="CK9" s="907">
        <v>80.474999999999994</v>
      </c>
      <c r="CL9" s="907">
        <v>80.644999999999996</v>
      </c>
      <c r="CM9" s="907">
        <v>80.81</v>
      </c>
      <c r="CN9" s="907">
        <v>80.965000000000003</v>
      </c>
      <c r="CO9" s="907">
        <v>81.115000000000009</v>
      </c>
      <c r="CP9" s="907">
        <v>81.27</v>
      </c>
      <c r="CQ9" s="907">
        <v>81.414999999999992</v>
      </c>
      <c r="CR9" s="907">
        <v>81.56</v>
      </c>
      <c r="CS9" s="907">
        <v>81.710000000000008</v>
      </c>
      <c r="CT9" s="907">
        <v>81.865000000000009</v>
      </c>
      <c r="CU9" s="907">
        <v>82</v>
      </c>
      <c r="CV9" s="907">
        <v>82.13</v>
      </c>
      <c r="CW9" s="907">
        <v>82.275000000000006</v>
      </c>
      <c r="CX9" s="907">
        <v>82.414999999999992</v>
      </c>
      <c r="CY9" s="907">
        <v>82.56</v>
      </c>
      <c r="CZ9" s="907">
        <v>82.69</v>
      </c>
      <c r="DA9" s="907">
        <v>82.824999999999989</v>
      </c>
      <c r="DB9" s="907">
        <v>82.960000000000008</v>
      </c>
      <c r="DC9" s="907">
        <v>83.09</v>
      </c>
      <c r="DD9" s="907">
        <v>83.23</v>
      </c>
      <c r="DE9" s="907">
        <v>83.360000000000014</v>
      </c>
      <c r="DF9" s="907">
        <v>83.484999999999999</v>
      </c>
      <c r="DG9" s="907">
        <v>83.615000000000009</v>
      </c>
      <c r="DH9" s="907">
        <v>83.740000000000009</v>
      </c>
      <c r="DI9" s="907">
        <v>83.865000000000009</v>
      </c>
      <c r="DJ9" s="907">
        <v>83.995000000000005</v>
      </c>
      <c r="DK9" s="907">
        <v>84.12</v>
      </c>
      <c r="DL9" s="907">
        <v>84.240000000000009</v>
      </c>
      <c r="DM9" s="907">
        <v>84.364999999999995</v>
      </c>
      <c r="DN9" s="907">
        <v>84.484999999999999</v>
      </c>
      <c r="DO9" s="907">
        <v>84.6</v>
      </c>
      <c r="DP9" s="907">
        <v>84.724999999999994</v>
      </c>
      <c r="DQ9" s="907">
        <v>84.84</v>
      </c>
      <c r="DR9" s="907">
        <v>84.960000000000008</v>
      </c>
    </row>
    <row r="10" spans="1:122" s="127" customFormat="1" ht="12.75">
      <c r="A10" s="911">
        <v>8</v>
      </c>
      <c r="B10" s="907">
        <v>59.791995699168353</v>
      </c>
      <c r="C10" s="907">
        <v>59.951625139200104</v>
      </c>
      <c r="D10" s="907">
        <v>60.238225134020809</v>
      </c>
      <c r="E10" s="907">
        <v>60.543819782698193</v>
      </c>
      <c r="F10" s="907">
        <v>60.915133836630147</v>
      </c>
      <c r="G10" s="907">
        <v>61.252213697402439</v>
      </c>
      <c r="H10" s="907">
        <v>61.553853302774669</v>
      </c>
      <c r="I10" s="907">
        <v>61.941829499037119</v>
      </c>
      <c r="J10" s="907">
        <v>62.320158664455278</v>
      </c>
      <c r="K10" s="907">
        <v>62.717502990412001</v>
      </c>
      <c r="L10" s="907">
        <v>63.134571044801049</v>
      </c>
      <c r="M10" s="907">
        <v>63.580985839484242</v>
      </c>
      <c r="N10" s="907">
        <v>63.952890333635452</v>
      </c>
      <c r="O10" s="907">
        <v>64.232914063609911</v>
      </c>
      <c r="P10" s="907">
        <v>64.588835184569547</v>
      </c>
      <c r="Q10" s="907">
        <v>64.782070217644346</v>
      </c>
      <c r="R10" s="907">
        <v>65.034489288865387</v>
      </c>
      <c r="S10" s="907">
        <v>65.195706469763024</v>
      </c>
      <c r="T10" s="907">
        <v>65.191650649009375</v>
      </c>
      <c r="U10" s="907">
        <v>65.435130468710469</v>
      </c>
      <c r="V10" s="907">
        <v>65.715000000000003</v>
      </c>
      <c r="W10" s="907">
        <v>65.960000000000008</v>
      </c>
      <c r="X10" s="907">
        <v>66.215000000000003</v>
      </c>
      <c r="Y10" s="907">
        <v>66.39</v>
      </c>
      <c r="Z10" s="907">
        <v>66.655000000000001</v>
      </c>
      <c r="AA10" s="907">
        <v>66.89500000000001</v>
      </c>
      <c r="AB10" s="907">
        <v>67.155000000000001</v>
      </c>
      <c r="AC10" s="907">
        <v>67.355000000000004</v>
      </c>
      <c r="AD10" s="907">
        <v>67.52</v>
      </c>
      <c r="AE10" s="907">
        <v>67.81</v>
      </c>
      <c r="AF10" s="907">
        <v>68.134999999999991</v>
      </c>
      <c r="AG10" s="907">
        <v>68.444999999999993</v>
      </c>
      <c r="AH10" s="907">
        <v>68.78</v>
      </c>
      <c r="AI10" s="907">
        <v>69.10499999999999</v>
      </c>
      <c r="AJ10" s="907">
        <v>69.47999999999999</v>
      </c>
      <c r="AK10" s="907">
        <v>69.81</v>
      </c>
      <c r="AL10" s="907">
        <v>70.204999999999998</v>
      </c>
      <c r="AM10" s="907">
        <v>70.61</v>
      </c>
      <c r="AN10" s="907">
        <v>70.974999999999994</v>
      </c>
      <c r="AO10" s="907">
        <v>71.194999999999993</v>
      </c>
      <c r="AP10" s="907">
        <v>71.424999999999997</v>
      </c>
      <c r="AQ10" s="907">
        <v>71.59</v>
      </c>
      <c r="AR10" s="907">
        <v>71.78</v>
      </c>
      <c r="AS10" s="907">
        <v>71.86</v>
      </c>
      <c r="AT10" s="907">
        <v>71.944999999999993</v>
      </c>
      <c r="AU10" s="907">
        <v>72.039999999999992</v>
      </c>
      <c r="AV10" s="907">
        <v>72.13</v>
      </c>
      <c r="AW10" s="907">
        <v>72.430000000000007</v>
      </c>
      <c r="AX10" s="907">
        <v>72.564999999999998</v>
      </c>
      <c r="AY10" s="907">
        <v>72.694999999999993</v>
      </c>
      <c r="AZ10" s="907">
        <v>72.775000000000006</v>
      </c>
      <c r="BA10" s="907">
        <v>72.87</v>
      </c>
      <c r="BB10" s="907">
        <v>73.02</v>
      </c>
      <c r="BC10" s="907">
        <v>73.14</v>
      </c>
      <c r="BD10" s="907">
        <v>73.305000000000007</v>
      </c>
      <c r="BE10" s="907">
        <v>73.454999999999998</v>
      </c>
      <c r="BF10" s="907">
        <v>73.67</v>
      </c>
      <c r="BG10" s="907">
        <v>73.835000000000008</v>
      </c>
      <c r="BH10" s="907">
        <v>74.09</v>
      </c>
      <c r="BI10" s="907">
        <v>74.265000000000001</v>
      </c>
      <c r="BJ10" s="907">
        <v>74.504999999999995</v>
      </c>
      <c r="BK10" s="907">
        <v>74.715000000000003</v>
      </c>
      <c r="BL10" s="907">
        <v>74.965000000000003</v>
      </c>
      <c r="BM10" s="907">
        <v>75.224999999999994</v>
      </c>
      <c r="BN10" s="907">
        <v>75.444999999999993</v>
      </c>
      <c r="BO10" s="907">
        <v>75.67</v>
      </c>
      <c r="BP10" s="907">
        <v>75.884999999999991</v>
      </c>
      <c r="BQ10" s="907">
        <v>76.09</v>
      </c>
      <c r="BR10" s="907">
        <v>76.28</v>
      </c>
      <c r="BS10" s="907">
        <v>76.474999999999994</v>
      </c>
      <c r="BT10" s="908">
        <v>76.66</v>
      </c>
      <c r="BU10" s="907">
        <v>76.814999999999998</v>
      </c>
      <c r="BV10" s="907">
        <v>77</v>
      </c>
      <c r="BW10" s="907">
        <v>77.180000000000007</v>
      </c>
      <c r="BX10" s="907">
        <v>77.349999999999994</v>
      </c>
      <c r="BY10" s="907">
        <v>77.515000000000001</v>
      </c>
      <c r="BZ10" s="907">
        <v>77.67</v>
      </c>
      <c r="CA10" s="907">
        <v>77.825000000000003</v>
      </c>
      <c r="CB10" s="907">
        <v>77.990000000000009</v>
      </c>
      <c r="CC10" s="907">
        <v>78.155000000000001</v>
      </c>
      <c r="CD10" s="907">
        <v>78.325000000000003</v>
      </c>
      <c r="CE10" s="907">
        <v>78.489999999999995</v>
      </c>
      <c r="CF10" s="907">
        <v>78.664999999999992</v>
      </c>
      <c r="CG10" s="907">
        <v>78.830000000000013</v>
      </c>
      <c r="CH10" s="907">
        <v>78.995000000000005</v>
      </c>
      <c r="CI10" s="907">
        <v>79.185000000000002</v>
      </c>
      <c r="CJ10" s="907">
        <v>79.335000000000008</v>
      </c>
      <c r="CK10" s="907">
        <v>79.490000000000009</v>
      </c>
      <c r="CL10" s="907">
        <v>79.66</v>
      </c>
      <c r="CM10" s="907">
        <v>79.814999999999998</v>
      </c>
      <c r="CN10" s="907">
        <v>79.97999999999999</v>
      </c>
      <c r="CO10" s="907">
        <v>80.12</v>
      </c>
      <c r="CP10" s="907">
        <v>80.28</v>
      </c>
      <c r="CQ10" s="907">
        <v>80.42</v>
      </c>
      <c r="CR10" s="907">
        <v>80.564999999999998</v>
      </c>
      <c r="CS10" s="907">
        <v>80.72</v>
      </c>
      <c r="CT10" s="907">
        <v>80.875</v>
      </c>
      <c r="CU10" s="907">
        <v>81</v>
      </c>
      <c r="CV10" s="907">
        <v>81.14</v>
      </c>
      <c r="CW10" s="907">
        <v>81.28</v>
      </c>
      <c r="CX10" s="907">
        <v>81.42</v>
      </c>
      <c r="CY10" s="907">
        <v>81.564999999999998</v>
      </c>
      <c r="CZ10" s="907">
        <v>81.7</v>
      </c>
      <c r="DA10" s="907">
        <v>81.835000000000008</v>
      </c>
      <c r="DB10" s="907">
        <v>81.97</v>
      </c>
      <c r="DC10" s="907">
        <v>82.1</v>
      </c>
      <c r="DD10" s="907">
        <v>82.23</v>
      </c>
      <c r="DE10" s="907">
        <v>82.360000000000014</v>
      </c>
      <c r="DF10" s="907">
        <v>82.49</v>
      </c>
      <c r="DG10" s="907">
        <v>82.62</v>
      </c>
      <c r="DH10" s="907">
        <v>82.75</v>
      </c>
      <c r="DI10" s="907">
        <v>82.875</v>
      </c>
      <c r="DJ10" s="907">
        <v>83</v>
      </c>
      <c r="DK10" s="907">
        <v>83.125</v>
      </c>
      <c r="DL10" s="907">
        <v>83.25</v>
      </c>
      <c r="DM10" s="907">
        <v>83.37</v>
      </c>
      <c r="DN10" s="907">
        <v>83.49</v>
      </c>
      <c r="DO10" s="907">
        <v>83.61</v>
      </c>
      <c r="DP10" s="907">
        <v>83.724999999999994</v>
      </c>
      <c r="DQ10" s="907">
        <v>83.844999999999999</v>
      </c>
      <c r="DR10" s="907">
        <v>83.960000000000008</v>
      </c>
    </row>
    <row r="11" spans="1:122" s="127" customFormat="1" ht="12.75">
      <c r="A11" s="911">
        <v>9</v>
      </c>
      <c r="B11" s="907">
        <v>58.961993666551223</v>
      </c>
      <c r="C11" s="907">
        <v>59.114470414330349</v>
      </c>
      <c r="D11" s="907">
        <v>59.394209623807861</v>
      </c>
      <c r="E11" s="907">
        <v>59.700602266673471</v>
      </c>
      <c r="F11" s="907">
        <v>60.070530993983738</v>
      </c>
      <c r="G11" s="907">
        <v>60.40611141820365</v>
      </c>
      <c r="H11" s="907">
        <v>60.713519662278046</v>
      </c>
      <c r="I11" s="907">
        <v>61.162451823829684</v>
      </c>
      <c r="J11" s="907">
        <v>61.523825744385356</v>
      </c>
      <c r="K11" s="907">
        <v>61.949243041841918</v>
      </c>
      <c r="L11" s="907">
        <v>62.447827676434414</v>
      </c>
      <c r="M11" s="907">
        <v>62.789569538677213</v>
      </c>
      <c r="N11" s="907">
        <v>63.127124906309767</v>
      </c>
      <c r="O11" s="907">
        <v>63.373054381337397</v>
      </c>
      <c r="P11" s="907">
        <v>63.707521530562886</v>
      </c>
      <c r="Q11" s="907">
        <v>63.909731499572594</v>
      </c>
      <c r="R11" s="907">
        <v>64.128880389680859</v>
      </c>
      <c r="S11" s="907">
        <v>64.290330711842302</v>
      </c>
      <c r="T11" s="907">
        <v>64.286268185461509</v>
      </c>
      <c r="U11" s="907">
        <v>64.543400864759533</v>
      </c>
      <c r="V11" s="907">
        <v>64.825000000000003</v>
      </c>
      <c r="W11" s="907">
        <v>65.075000000000003</v>
      </c>
      <c r="X11" s="907">
        <v>65.33</v>
      </c>
      <c r="Y11" s="907">
        <v>65.484999999999999</v>
      </c>
      <c r="Z11" s="907">
        <v>65.759999999999991</v>
      </c>
      <c r="AA11" s="907">
        <v>66</v>
      </c>
      <c r="AB11" s="907">
        <v>66.265000000000001</v>
      </c>
      <c r="AC11" s="907">
        <v>66.484999999999999</v>
      </c>
      <c r="AD11" s="907">
        <v>66.64500000000001</v>
      </c>
      <c r="AE11" s="907">
        <v>66.92</v>
      </c>
      <c r="AF11" s="907">
        <v>67.239999999999995</v>
      </c>
      <c r="AG11" s="907">
        <v>67.56</v>
      </c>
      <c r="AH11" s="907">
        <v>67.89500000000001</v>
      </c>
      <c r="AI11" s="907">
        <v>68.22</v>
      </c>
      <c r="AJ11" s="907">
        <v>68.599999999999994</v>
      </c>
      <c r="AK11" s="907">
        <v>68.935000000000002</v>
      </c>
      <c r="AL11" s="907">
        <v>69.35499999999999</v>
      </c>
      <c r="AM11" s="907">
        <v>69.784999999999997</v>
      </c>
      <c r="AN11" s="907">
        <v>70.06</v>
      </c>
      <c r="AO11" s="907">
        <v>70.284999999999997</v>
      </c>
      <c r="AP11" s="907">
        <v>70.495000000000005</v>
      </c>
      <c r="AQ11" s="907">
        <v>70.635000000000005</v>
      </c>
      <c r="AR11" s="907">
        <v>70.83</v>
      </c>
      <c r="AS11" s="907">
        <v>70.91</v>
      </c>
      <c r="AT11" s="907">
        <v>70.984999999999999</v>
      </c>
      <c r="AU11" s="907">
        <v>71.080000000000013</v>
      </c>
      <c r="AV11" s="907">
        <v>71.164999999999992</v>
      </c>
      <c r="AW11" s="907">
        <v>71.465000000000003</v>
      </c>
      <c r="AX11" s="907">
        <v>71.599999999999994</v>
      </c>
      <c r="AY11" s="907">
        <v>71.724999999999994</v>
      </c>
      <c r="AZ11" s="907">
        <v>71.81</v>
      </c>
      <c r="BA11" s="907">
        <v>71.905000000000001</v>
      </c>
      <c r="BB11" s="907">
        <v>72.055000000000007</v>
      </c>
      <c r="BC11" s="907">
        <v>72.180000000000007</v>
      </c>
      <c r="BD11" s="907">
        <v>72.34</v>
      </c>
      <c r="BE11" s="907">
        <v>72.484999999999999</v>
      </c>
      <c r="BF11" s="907">
        <v>72.699999999999989</v>
      </c>
      <c r="BG11" s="907">
        <v>72.87</v>
      </c>
      <c r="BH11" s="907">
        <v>73.125</v>
      </c>
      <c r="BI11" s="907">
        <v>73.305000000000007</v>
      </c>
      <c r="BJ11" s="907">
        <v>73.534999999999997</v>
      </c>
      <c r="BK11" s="907">
        <v>73.745000000000005</v>
      </c>
      <c r="BL11" s="907">
        <v>74</v>
      </c>
      <c r="BM11" s="907">
        <v>74.259999999999991</v>
      </c>
      <c r="BN11" s="907">
        <v>74.47999999999999</v>
      </c>
      <c r="BO11" s="907">
        <v>74.694999999999993</v>
      </c>
      <c r="BP11" s="907">
        <v>74.91</v>
      </c>
      <c r="BQ11" s="907">
        <v>75.115000000000009</v>
      </c>
      <c r="BR11" s="907">
        <v>75.305000000000007</v>
      </c>
      <c r="BS11" s="907">
        <v>75.5</v>
      </c>
      <c r="BT11" s="908">
        <v>75.685000000000002</v>
      </c>
      <c r="BU11" s="907">
        <v>75.835000000000008</v>
      </c>
      <c r="BV11" s="907">
        <v>76.025000000000006</v>
      </c>
      <c r="BW11" s="907">
        <v>76.2</v>
      </c>
      <c r="BX11" s="907">
        <v>76.37</v>
      </c>
      <c r="BY11" s="907">
        <v>76.53</v>
      </c>
      <c r="BZ11" s="907">
        <v>76.685000000000002</v>
      </c>
      <c r="CA11" s="907">
        <v>76.844999999999999</v>
      </c>
      <c r="CB11" s="907">
        <v>77.009999999999991</v>
      </c>
      <c r="CC11" s="907">
        <v>77.169999999999987</v>
      </c>
      <c r="CD11" s="907">
        <v>77.34</v>
      </c>
      <c r="CE11" s="907">
        <v>77.510000000000005</v>
      </c>
      <c r="CF11" s="907">
        <v>77.680000000000007</v>
      </c>
      <c r="CG11" s="907">
        <v>77.844999999999999</v>
      </c>
      <c r="CH11" s="907">
        <v>78.004999999999995</v>
      </c>
      <c r="CI11" s="907">
        <v>78.194999999999993</v>
      </c>
      <c r="CJ11" s="907">
        <v>78.344999999999999</v>
      </c>
      <c r="CK11" s="907">
        <v>78.5</v>
      </c>
      <c r="CL11" s="907">
        <v>78.664999999999992</v>
      </c>
      <c r="CM11" s="907">
        <v>78.83</v>
      </c>
      <c r="CN11" s="907">
        <v>78.984999999999999</v>
      </c>
      <c r="CO11" s="907">
        <v>79.135000000000005</v>
      </c>
      <c r="CP11" s="907">
        <v>79.284999999999997</v>
      </c>
      <c r="CQ11" s="907">
        <v>79.430000000000007</v>
      </c>
      <c r="CR11" s="907">
        <v>79.575000000000003</v>
      </c>
      <c r="CS11" s="907">
        <v>79.734999999999999</v>
      </c>
      <c r="CT11" s="907">
        <v>79.875</v>
      </c>
      <c r="CU11" s="907">
        <v>80.009999999999991</v>
      </c>
      <c r="CV11" s="907">
        <v>80.144999999999996</v>
      </c>
      <c r="CW11" s="907">
        <v>80.289999999999992</v>
      </c>
      <c r="CX11" s="907">
        <v>80.430000000000007</v>
      </c>
      <c r="CY11" s="907">
        <v>80.569999999999993</v>
      </c>
      <c r="CZ11" s="907">
        <v>80.710000000000008</v>
      </c>
      <c r="DA11" s="907">
        <v>80.835000000000008</v>
      </c>
      <c r="DB11" s="907">
        <v>80.974999999999994</v>
      </c>
      <c r="DC11" s="907">
        <v>81.10499999999999</v>
      </c>
      <c r="DD11" s="907">
        <v>81.240000000000009</v>
      </c>
      <c r="DE11" s="907">
        <v>81.37</v>
      </c>
      <c r="DF11" s="907">
        <v>81.495000000000005</v>
      </c>
      <c r="DG11" s="907">
        <v>81.625</v>
      </c>
      <c r="DH11" s="907">
        <v>81.75</v>
      </c>
      <c r="DI11" s="907">
        <v>81.88</v>
      </c>
      <c r="DJ11" s="907">
        <v>82.004999999999995</v>
      </c>
      <c r="DK11" s="907">
        <v>82.13</v>
      </c>
      <c r="DL11" s="907">
        <v>82.25</v>
      </c>
      <c r="DM11" s="907">
        <v>82.375</v>
      </c>
      <c r="DN11" s="907">
        <v>82.495000000000005</v>
      </c>
      <c r="DO11" s="907">
        <v>82.61</v>
      </c>
      <c r="DP11" s="907">
        <v>82.72999999999999</v>
      </c>
      <c r="DQ11" s="907">
        <v>82.85</v>
      </c>
      <c r="DR11" s="907">
        <v>82.965000000000003</v>
      </c>
    </row>
    <row r="12" spans="1:122" s="127" customFormat="1" ht="12.75">
      <c r="A12" s="911">
        <v>10</v>
      </c>
      <c r="B12" s="907">
        <v>58.104748886662101</v>
      </c>
      <c r="C12" s="907">
        <v>58.25166888105899</v>
      </c>
      <c r="D12" s="907">
        <v>58.5320628319093</v>
      </c>
      <c r="E12" s="907">
        <v>58.837120520234897</v>
      </c>
      <c r="F12" s="907">
        <v>59.205836676335416</v>
      </c>
      <c r="G12" s="907">
        <v>59.546543606403404</v>
      </c>
      <c r="H12" s="907">
        <v>59.907343267245132</v>
      </c>
      <c r="I12" s="907">
        <v>60.341633324421707</v>
      </c>
      <c r="J12" s="907">
        <v>60.727558917970171</v>
      </c>
      <c r="K12" s="907">
        <v>61.224818113811011</v>
      </c>
      <c r="L12" s="907">
        <v>61.631475570458711</v>
      </c>
      <c r="M12" s="907">
        <v>61.942908474548631</v>
      </c>
      <c r="N12" s="907">
        <v>62.25335979254757</v>
      </c>
      <c r="O12" s="907">
        <v>62.482157382749278</v>
      </c>
      <c r="P12" s="907">
        <v>62.825189095492178</v>
      </c>
      <c r="Q12" s="907">
        <v>62.996691690955991</v>
      </c>
      <c r="R12" s="907">
        <v>63.216139135510481</v>
      </c>
      <c r="S12" s="907">
        <v>63.377807652619389</v>
      </c>
      <c r="T12" s="907">
        <v>63.386032595750201</v>
      </c>
      <c r="U12" s="907">
        <v>63.640917319015927</v>
      </c>
      <c r="V12" s="907">
        <v>63.930000000000007</v>
      </c>
      <c r="W12" s="907">
        <v>64.174999999999997</v>
      </c>
      <c r="X12" s="907">
        <v>64.415000000000006</v>
      </c>
      <c r="Y12" s="907">
        <v>64.575000000000003</v>
      </c>
      <c r="Z12" s="907">
        <v>64.849999999999994</v>
      </c>
      <c r="AA12" s="907">
        <v>65.09</v>
      </c>
      <c r="AB12" s="907">
        <v>65.37</v>
      </c>
      <c r="AC12" s="907">
        <v>65.59</v>
      </c>
      <c r="AD12" s="907">
        <v>65.734999999999999</v>
      </c>
      <c r="AE12" s="907">
        <v>66.009999999999991</v>
      </c>
      <c r="AF12" s="907">
        <v>66.344999999999999</v>
      </c>
      <c r="AG12" s="907">
        <v>66.655000000000001</v>
      </c>
      <c r="AH12" s="907">
        <v>67</v>
      </c>
      <c r="AI12" s="907">
        <v>67.319999999999993</v>
      </c>
      <c r="AJ12" s="907">
        <v>67.710000000000008</v>
      </c>
      <c r="AK12" s="907">
        <v>68.06</v>
      </c>
      <c r="AL12" s="907">
        <v>68.504999999999995</v>
      </c>
      <c r="AM12" s="907">
        <v>68.87</v>
      </c>
      <c r="AN12" s="907">
        <v>69.150000000000006</v>
      </c>
      <c r="AO12" s="907">
        <v>69.349999999999994</v>
      </c>
      <c r="AP12" s="907">
        <v>69.540000000000006</v>
      </c>
      <c r="AQ12" s="907">
        <v>69.680000000000007</v>
      </c>
      <c r="AR12" s="907">
        <v>69.875</v>
      </c>
      <c r="AS12" s="907">
        <v>69.944999999999993</v>
      </c>
      <c r="AT12" s="907">
        <v>70.02</v>
      </c>
      <c r="AU12" s="907">
        <v>70.11</v>
      </c>
      <c r="AV12" s="907">
        <v>70.194999999999993</v>
      </c>
      <c r="AW12" s="907">
        <v>70.5</v>
      </c>
      <c r="AX12" s="907">
        <v>70.634999999999991</v>
      </c>
      <c r="AY12" s="907">
        <v>70.759999999999991</v>
      </c>
      <c r="AZ12" s="907">
        <v>70.84</v>
      </c>
      <c r="BA12" s="907">
        <v>70.94</v>
      </c>
      <c r="BB12" s="907">
        <v>71.08</v>
      </c>
      <c r="BC12" s="907">
        <v>71.204999999999998</v>
      </c>
      <c r="BD12" s="907">
        <v>71.365000000000009</v>
      </c>
      <c r="BE12" s="907">
        <v>71.52</v>
      </c>
      <c r="BF12" s="907">
        <v>71.724999999999994</v>
      </c>
      <c r="BG12" s="907">
        <v>71.894999999999996</v>
      </c>
      <c r="BH12" s="907">
        <v>72.155000000000001</v>
      </c>
      <c r="BI12" s="907">
        <v>72.335000000000008</v>
      </c>
      <c r="BJ12" s="907">
        <v>72.564999999999998</v>
      </c>
      <c r="BK12" s="907">
        <v>72.775000000000006</v>
      </c>
      <c r="BL12" s="907">
        <v>73.03</v>
      </c>
      <c r="BM12" s="907">
        <v>73.284999999999997</v>
      </c>
      <c r="BN12" s="907">
        <v>73.504999999999995</v>
      </c>
      <c r="BO12" s="907">
        <v>73.715000000000003</v>
      </c>
      <c r="BP12" s="907">
        <v>73.94</v>
      </c>
      <c r="BQ12" s="907">
        <v>74.135000000000005</v>
      </c>
      <c r="BR12" s="907">
        <v>74.33</v>
      </c>
      <c r="BS12" s="907">
        <v>74.52000000000001</v>
      </c>
      <c r="BT12" s="908">
        <v>74.704999999999998</v>
      </c>
      <c r="BU12" s="907">
        <v>74.86</v>
      </c>
      <c r="BV12" s="907">
        <v>75.039999999999992</v>
      </c>
      <c r="BW12" s="907">
        <v>75.22</v>
      </c>
      <c r="BX12" s="907">
        <v>75.39</v>
      </c>
      <c r="BY12" s="907">
        <v>75.550000000000011</v>
      </c>
      <c r="BZ12" s="907">
        <v>75.699999999999989</v>
      </c>
      <c r="CA12" s="907">
        <v>75.86</v>
      </c>
      <c r="CB12" s="907">
        <v>76.02000000000001</v>
      </c>
      <c r="CC12" s="907">
        <v>76.185000000000002</v>
      </c>
      <c r="CD12" s="907">
        <v>76.349999999999994</v>
      </c>
      <c r="CE12" s="907">
        <v>76.52</v>
      </c>
      <c r="CF12" s="907">
        <v>76.69</v>
      </c>
      <c r="CG12" s="907">
        <v>76.855000000000004</v>
      </c>
      <c r="CH12" s="907">
        <v>77.02</v>
      </c>
      <c r="CI12" s="907">
        <v>77.204999999999998</v>
      </c>
      <c r="CJ12" s="907">
        <v>77.349999999999994</v>
      </c>
      <c r="CK12" s="907">
        <v>77.504999999999995</v>
      </c>
      <c r="CL12" s="907">
        <v>77.675000000000011</v>
      </c>
      <c r="CM12" s="907">
        <v>77.835000000000008</v>
      </c>
      <c r="CN12" s="907">
        <v>77.995000000000005</v>
      </c>
      <c r="CO12" s="907">
        <v>78.144999999999996</v>
      </c>
      <c r="CP12" s="907">
        <v>78.289999999999992</v>
      </c>
      <c r="CQ12" s="907">
        <v>78.44</v>
      </c>
      <c r="CR12" s="907">
        <v>78.58</v>
      </c>
      <c r="CS12" s="907">
        <v>78.740000000000009</v>
      </c>
      <c r="CT12" s="907">
        <v>78.884999999999991</v>
      </c>
      <c r="CU12" s="907">
        <v>79.02000000000001</v>
      </c>
      <c r="CV12" s="907">
        <v>79.155000000000001</v>
      </c>
      <c r="CW12" s="907">
        <v>79.295000000000002</v>
      </c>
      <c r="CX12" s="907">
        <v>79.435000000000002</v>
      </c>
      <c r="CY12" s="907">
        <v>79.580000000000013</v>
      </c>
      <c r="CZ12" s="907">
        <v>79.710000000000008</v>
      </c>
      <c r="DA12" s="907">
        <v>79.844999999999999</v>
      </c>
      <c r="DB12" s="907">
        <v>79.97999999999999</v>
      </c>
      <c r="DC12" s="907">
        <v>80.115000000000009</v>
      </c>
      <c r="DD12" s="907">
        <v>80.240000000000009</v>
      </c>
      <c r="DE12" s="907">
        <v>80.37</v>
      </c>
      <c r="DF12" s="907">
        <v>80.504999999999995</v>
      </c>
      <c r="DG12" s="907">
        <v>80.634999999999991</v>
      </c>
      <c r="DH12" s="907">
        <v>80.759999999999991</v>
      </c>
      <c r="DI12" s="907">
        <v>80.884999999999991</v>
      </c>
      <c r="DJ12" s="907">
        <v>81.009999999999991</v>
      </c>
      <c r="DK12" s="907">
        <v>81.134999999999991</v>
      </c>
      <c r="DL12" s="907">
        <v>81.259999999999991</v>
      </c>
      <c r="DM12" s="907">
        <v>81.38</v>
      </c>
      <c r="DN12" s="907">
        <v>81.495000000000005</v>
      </c>
      <c r="DO12" s="907">
        <v>81.62</v>
      </c>
      <c r="DP12" s="907">
        <v>81.734999999999999</v>
      </c>
      <c r="DQ12" s="907">
        <v>81.85499999999999</v>
      </c>
      <c r="DR12" s="907">
        <v>81.97</v>
      </c>
    </row>
    <row r="13" spans="1:122" s="127" customFormat="1" ht="12.75">
      <c r="A13" s="911">
        <v>11</v>
      </c>
      <c r="B13" s="907">
        <v>57.231206621019339</v>
      </c>
      <c r="C13" s="907">
        <v>57.37844938927396</v>
      </c>
      <c r="D13" s="907">
        <v>57.657577850662442</v>
      </c>
      <c r="E13" s="907">
        <v>57.961404605120904</v>
      </c>
      <c r="F13" s="907">
        <v>58.334902555320141</v>
      </c>
      <c r="G13" s="907">
        <v>58.724798241591714</v>
      </c>
      <c r="H13" s="907">
        <v>59.071923085452255</v>
      </c>
      <c r="I13" s="907">
        <v>59.528996138704215</v>
      </c>
      <c r="J13" s="907">
        <v>59.980892900360104</v>
      </c>
      <c r="K13" s="907">
        <v>60.393661935958718</v>
      </c>
      <c r="L13" s="907">
        <v>60.772618223524802</v>
      </c>
      <c r="M13" s="907">
        <v>61.059966768357683</v>
      </c>
      <c r="N13" s="907">
        <v>61.355438611708976</v>
      </c>
      <c r="O13" s="907">
        <v>61.592070528543346</v>
      </c>
      <c r="P13" s="907">
        <v>61.9066094374163</v>
      </c>
      <c r="Q13" s="907">
        <v>62.078336994575317</v>
      </c>
      <c r="R13" s="907">
        <v>62.298069239758647</v>
      </c>
      <c r="S13" s="907">
        <v>62.471489078015196</v>
      </c>
      <c r="T13" s="907">
        <v>62.474031274690546</v>
      </c>
      <c r="U13" s="907">
        <v>62.736190384588255</v>
      </c>
      <c r="V13" s="907">
        <v>63.010000000000005</v>
      </c>
      <c r="W13" s="907">
        <v>63.245000000000005</v>
      </c>
      <c r="X13" s="907">
        <v>63.489999999999995</v>
      </c>
      <c r="Y13" s="907">
        <v>63.655000000000001</v>
      </c>
      <c r="Z13" s="907">
        <v>63.93</v>
      </c>
      <c r="AA13" s="907">
        <v>64.19</v>
      </c>
      <c r="AB13" s="907">
        <v>64.459999999999994</v>
      </c>
      <c r="AC13" s="907">
        <v>64.675000000000011</v>
      </c>
      <c r="AD13" s="907">
        <v>64.819999999999993</v>
      </c>
      <c r="AE13" s="907">
        <v>65.099999999999994</v>
      </c>
      <c r="AF13" s="907">
        <v>65.424999999999997</v>
      </c>
      <c r="AG13" s="907">
        <v>65.745000000000005</v>
      </c>
      <c r="AH13" s="907">
        <v>66.085000000000008</v>
      </c>
      <c r="AI13" s="907">
        <v>66.42</v>
      </c>
      <c r="AJ13" s="907">
        <v>66.820000000000007</v>
      </c>
      <c r="AK13" s="907">
        <v>67.194999999999993</v>
      </c>
      <c r="AL13" s="907">
        <v>67.585000000000008</v>
      </c>
      <c r="AM13" s="907">
        <v>67.95</v>
      </c>
      <c r="AN13" s="907">
        <v>68.210000000000008</v>
      </c>
      <c r="AO13" s="907">
        <v>68.389999999999986</v>
      </c>
      <c r="AP13" s="907">
        <v>68.58</v>
      </c>
      <c r="AQ13" s="907">
        <v>68.72</v>
      </c>
      <c r="AR13" s="907">
        <v>68.905000000000001</v>
      </c>
      <c r="AS13" s="907">
        <v>68.974999999999994</v>
      </c>
      <c r="AT13" s="907">
        <v>69.050000000000011</v>
      </c>
      <c r="AU13" s="907">
        <v>69.134999999999991</v>
      </c>
      <c r="AV13" s="907">
        <v>69.22999999999999</v>
      </c>
      <c r="AW13" s="907">
        <v>69.534999999999997</v>
      </c>
      <c r="AX13" s="907">
        <v>69.66</v>
      </c>
      <c r="AY13" s="907">
        <v>69.789999999999992</v>
      </c>
      <c r="AZ13" s="907">
        <v>69.864999999999995</v>
      </c>
      <c r="BA13" s="907">
        <v>69.965000000000003</v>
      </c>
      <c r="BB13" s="907">
        <v>70.11</v>
      </c>
      <c r="BC13" s="907">
        <v>70.22999999999999</v>
      </c>
      <c r="BD13" s="907">
        <v>70.394999999999996</v>
      </c>
      <c r="BE13" s="907">
        <v>70.544999999999987</v>
      </c>
      <c r="BF13" s="907">
        <v>70.75</v>
      </c>
      <c r="BG13" s="907">
        <v>70.919999999999987</v>
      </c>
      <c r="BH13" s="907">
        <v>71.180000000000007</v>
      </c>
      <c r="BI13" s="907">
        <v>71.365000000000009</v>
      </c>
      <c r="BJ13" s="907">
        <v>71.59</v>
      </c>
      <c r="BK13" s="907">
        <v>71.800000000000011</v>
      </c>
      <c r="BL13" s="907">
        <v>72.055000000000007</v>
      </c>
      <c r="BM13" s="907">
        <v>72.31</v>
      </c>
      <c r="BN13" s="907">
        <v>72.52</v>
      </c>
      <c r="BO13" s="907">
        <v>72.740000000000009</v>
      </c>
      <c r="BP13" s="907">
        <v>72.954999999999998</v>
      </c>
      <c r="BQ13" s="907">
        <v>73.155000000000001</v>
      </c>
      <c r="BR13" s="907">
        <v>73.349999999999994</v>
      </c>
      <c r="BS13" s="907">
        <v>73.545000000000002</v>
      </c>
      <c r="BT13" s="908">
        <v>73.72999999999999</v>
      </c>
      <c r="BU13" s="907">
        <v>73.87</v>
      </c>
      <c r="BV13" s="907">
        <v>74.055000000000007</v>
      </c>
      <c r="BW13" s="907">
        <v>74.235000000000014</v>
      </c>
      <c r="BX13" s="907">
        <v>74.400000000000006</v>
      </c>
      <c r="BY13" s="907">
        <v>74.56</v>
      </c>
      <c r="BZ13" s="907">
        <v>74.715000000000003</v>
      </c>
      <c r="CA13" s="907">
        <v>74.87</v>
      </c>
      <c r="CB13" s="907">
        <v>75.034999999999997</v>
      </c>
      <c r="CC13" s="907">
        <v>75.2</v>
      </c>
      <c r="CD13" s="907">
        <v>75.365000000000009</v>
      </c>
      <c r="CE13" s="907">
        <v>75.534999999999997</v>
      </c>
      <c r="CF13" s="907">
        <v>75.7</v>
      </c>
      <c r="CG13" s="907">
        <v>75.87</v>
      </c>
      <c r="CH13" s="907">
        <v>76.025000000000006</v>
      </c>
      <c r="CI13" s="907">
        <v>76.215000000000003</v>
      </c>
      <c r="CJ13" s="907">
        <v>76.36</v>
      </c>
      <c r="CK13" s="907">
        <v>76.515000000000001</v>
      </c>
      <c r="CL13" s="907">
        <v>76.685000000000002</v>
      </c>
      <c r="CM13" s="907">
        <v>76.844999999999999</v>
      </c>
      <c r="CN13" s="907">
        <v>77</v>
      </c>
      <c r="CO13" s="907">
        <v>77.150000000000006</v>
      </c>
      <c r="CP13" s="907">
        <v>77.3</v>
      </c>
      <c r="CQ13" s="907">
        <v>77.44</v>
      </c>
      <c r="CR13" s="907">
        <v>77.585000000000008</v>
      </c>
      <c r="CS13" s="907">
        <v>77.745000000000005</v>
      </c>
      <c r="CT13" s="907">
        <v>77.89</v>
      </c>
      <c r="CU13" s="907">
        <v>78.025000000000006</v>
      </c>
      <c r="CV13" s="907">
        <v>78.155000000000001</v>
      </c>
      <c r="CW13" s="907">
        <v>78.305000000000007</v>
      </c>
      <c r="CX13" s="907">
        <v>78.44</v>
      </c>
      <c r="CY13" s="907">
        <v>78.585000000000008</v>
      </c>
      <c r="CZ13" s="907">
        <v>78.72</v>
      </c>
      <c r="DA13" s="907">
        <v>78.849999999999994</v>
      </c>
      <c r="DB13" s="907">
        <v>78.990000000000009</v>
      </c>
      <c r="DC13" s="907">
        <v>79.115000000000009</v>
      </c>
      <c r="DD13" s="907">
        <v>79.25</v>
      </c>
      <c r="DE13" s="907">
        <v>79.38</v>
      </c>
      <c r="DF13" s="907">
        <v>79.509999999999991</v>
      </c>
      <c r="DG13" s="907">
        <v>79.634999999999991</v>
      </c>
      <c r="DH13" s="907">
        <v>79.765000000000001</v>
      </c>
      <c r="DI13" s="907">
        <v>79.89</v>
      </c>
      <c r="DJ13" s="907">
        <v>80.015000000000001</v>
      </c>
      <c r="DK13" s="907">
        <v>80.134999999999991</v>
      </c>
      <c r="DL13" s="907">
        <v>80.259999999999991</v>
      </c>
      <c r="DM13" s="907">
        <v>80.38</v>
      </c>
      <c r="DN13" s="907">
        <v>80.504999999999995</v>
      </c>
      <c r="DO13" s="907">
        <v>80.62</v>
      </c>
      <c r="DP13" s="907">
        <v>80.740000000000009</v>
      </c>
      <c r="DQ13" s="907">
        <v>80.85499999999999</v>
      </c>
      <c r="DR13" s="907">
        <v>80.97</v>
      </c>
    </row>
    <row r="14" spans="1:122" s="127" customFormat="1" ht="12.75">
      <c r="A14" s="911">
        <v>12</v>
      </c>
      <c r="B14" s="907">
        <v>56.350102728389082</v>
      </c>
      <c r="C14" s="907">
        <v>56.49591166988256</v>
      </c>
      <c r="D14" s="907">
        <v>56.77386445178319</v>
      </c>
      <c r="E14" s="907">
        <v>57.082001268694626</v>
      </c>
      <c r="F14" s="907">
        <v>57.501604348092535</v>
      </c>
      <c r="G14" s="907">
        <v>57.878828311482607</v>
      </c>
      <c r="H14" s="907">
        <v>58.2469953499645</v>
      </c>
      <c r="I14" s="907">
        <v>58.766157785745492</v>
      </c>
      <c r="J14" s="907">
        <v>59.138821758373965</v>
      </c>
      <c r="K14" s="907">
        <v>59.525696013491391</v>
      </c>
      <c r="L14" s="907">
        <v>59.882755021550736</v>
      </c>
      <c r="M14" s="907">
        <v>60.156465273654661</v>
      </c>
      <c r="N14" s="907">
        <v>60.459398005065317</v>
      </c>
      <c r="O14" s="907">
        <v>60.668932221502125</v>
      </c>
      <c r="P14" s="907">
        <v>60.983867671442361</v>
      </c>
      <c r="Q14" s="907">
        <v>61.155811878250518</v>
      </c>
      <c r="R14" s="907">
        <v>61.386679757042771</v>
      </c>
      <c r="S14" s="907">
        <v>61.552924270664406</v>
      </c>
      <c r="T14" s="907">
        <v>61.561821323137281</v>
      </c>
      <c r="U14" s="907">
        <v>61.812606314241101</v>
      </c>
      <c r="V14" s="907">
        <v>62.08</v>
      </c>
      <c r="W14" s="907">
        <v>62.32</v>
      </c>
      <c r="X14" s="907">
        <v>62.56</v>
      </c>
      <c r="Y14" s="907">
        <v>62.725000000000001</v>
      </c>
      <c r="Z14" s="907">
        <v>63.015000000000001</v>
      </c>
      <c r="AA14" s="907">
        <v>63.269999999999996</v>
      </c>
      <c r="AB14" s="907">
        <v>63.535000000000004</v>
      </c>
      <c r="AC14" s="907">
        <v>63.745000000000005</v>
      </c>
      <c r="AD14" s="907">
        <v>63.900000000000006</v>
      </c>
      <c r="AE14" s="907">
        <v>64.174999999999997</v>
      </c>
      <c r="AF14" s="907">
        <v>64.504999999999995</v>
      </c>
      <c r="AG14" s="907">
        <v>64.819999999999993</v>
      </c>
      <c r="AH14" s="907">
        <v>65.17</v>
      </c>
      <c r="AI14" s="907">
        <v>65.515000000000001</v>
      </c>
      <c r="AJ14" s="907">
        <v>65.94</v>
      </c>
      <c r="AK14" s="907">
        <v>66.27</v>
      </c>
      <c r="AL14" s="907">
        <v>66.66</v>
      </c>
      <c r="AM14" s="907">
        <v>67.009999999999991</v>
      </c>
      <c r="AN14" s="907">
        <v>67.245000000000005</v>
      </c>
      <c r="AO14" s="907">
        <v>67.430000000000007</v>
      </c>
      <c r="AP14" s="907">
        <v>67.62</v>
      </c>
      <c r="AQ14" s="907">
        <v>67.754999999999995</v>
      </c>
      <c r="AR14" s="907">
        <v>67.935000000000002</v>
      </c>
      <c r="AS14" s="907">
        <v>68.004999999999995</v>
      </c>
      <c r="AT14" s="907">
        <v>68.075000000000003</v>
      </c>
      <c r="AU14" s="907">
        <v>68.17</v>
      </c>
      <c r="AV14" s="907">
        <v>68.254999999999995</v>
      </c>
      <c r="AW14" s="907">
        <v>68.56</v>
      </c>
      <c r="AX14" s="907">
        <v>68.685000000000002</v>
      </c>
      <c r="AY14" s="907">
        <v>68.814999999999998</v>
      </c>
      <c r="AZ14" s="907">
        <v>68.89</v>
      </c>
      <c r="BA14" s="907">
        <v>68.984999999999999</v>
      </c>
      <c r="BB14" s="907">
        <v>69.13</v>
      </c>
      <c r="BC14" s="907">
        <v>69.254999999999995</v>
      </c>
      <c r="BD14" s="907">
        <v>69.42</v>
      </c>
      <c r="BE14" s="907">
        <v>69.569999999999993</v>
      </c>
      <c r="BF14" s="907">
        <v>69.78</v>
      </c>
      <c r="BG14" s="907">
        <v>69.944999999999993</v>
      </c>
      <c r="BH14" s="907">
        <v>70.204999999999998</v>
      </c>
      <c r="BI14" s="907">
        <v>70.384999999999991</v>
      </c>
      <c r="BJ14" s="907">
        <v>70.614999999999995</v>
      </c>
      <c r="BK14" s="907">
        <v>70.825000000000003</v>
      </c>
      <c r="BL14" s="907">
        <v>71.075000000000003</v>
      </c>
      <c r="BM14" s="907">
        <v>71.33</v>
      </c>
      <c r="BN14" s="907">
        <v>71.544999999999987</v>
      </c>
      <c r="BO14" s="907">
        <v>71.759999999999991</v>
      </c>
      <c r="BP14" s="907">
        <v>71.97999999999999</v>
      </c>
      <c r="BQ14" s="907">
        <v>72.17</v>
      </c>
      <c r="BR14" s="907">
        <v>72.364999999999995</v>
      </c>
      <c r="BS14" s="907">
        <v>72.56</v>
      </c>
      <c r="BT14" s="908">
        <v>72.745000000000005</v>
      </c>
      <c r="BU14" s="907">
        <v>72.884999999999991</v>
      </c>
      <c r="BV14" s="907">
        <v>73.075000000000003</v>
      </c>
      <c r="BW14" s="907">
        <v>73.245000000000005</v>
      </c>
      <c r="BX14" s="907">
        <v>73.42</v>
      </c>
      <c r="BY14" s="907">
        <v>73.575000000000003</v>
      </c>
      <c r="BZ14" s="907">
        <v>73.72999999999999</v>
      </c>
      <c r="CA14" s="907">
        <v>73.885000000000005</v>
      </c>
      <c r="CB14" s="907">
        <v>74.045000000000002</v>
      </c>
      <c r="CC14" s="907">
        <v>74.215000000000003</v>
      </c>
      <c r="CD14" s="907">
        <v>74.375</v>
      </c>
      <c r="CE14" s="907">
        <v>74.545000000000002</v>
      </c>
      <c r="CF14" s="907">
        <v>74.715000000000003</v>
      </c>
      <c r="CG14" s="907">
        <v>74.88</v>
      </c>
      <c r="CH14" s="907">
        <v>75.034999999999997</v>
      </c>
      <c r="CI14" s="907">
        <v>75.224999999999994</v>
      </c>
      <c r="CJ14" s="907">
        <v>75.37</v>
      </c>
      <c r="CK14" s="907">
        <v>75.525000000000006</v>
      </c>
      <c r="CL14" s="907">
        <v>75.694999999999993</v>
      </c>
      <c r="CM14" s="907">
        <v>75.849999999999994</v>
      </c>
      <c r="CN14" s="907">
        <v>76.015000000000001</v>
      </c>
      <c r="CO14" s="907">
        <v>76.155000000000001</v>
      </c>
      <c r="CP14" s="907">
        <v>76.31</v>
      </c>
      <c r="CQ14" s="907">
        <v>76.45</v>
      </c>
      <c r="CR14" s="907">
        <v>76.594999999999999</v>
      </c>
      <c r="CS14" s="907">
        <v>76.754999999999995</v>
      </c>
      <c r="CT14" s="907">
        <v>76.900000000000006</v>
      </c>
      <c r="CU14" s="907">
        <v>77.034999999999997</v>
      </c>
      <c r="CV14" s="907">
        <v>77.164999999999992</v>
      </c>
      <c r="CW14" s="907">
        <v>77.31</v>
      </c>
      <c r="CX14" s="907">
        <v>77.45</v>
      </c>
      <c r="CY14" s="907">
        <v>77.585000000000008</v>
      </c>
      <c r="CZ14" s="907">
        <v>77.72</v>
      </c>
      <c r="DA14" s="907">
        <v>77.86</v>
      </c>
      <c r="DB14" s="907">
        <v>77.995000000000005</v>
      </c>
      <c r="DC14" s="907">
        <v>78.125</v>
      </c>
      <c r="DD14" s="907">
        <v>78.254999999999995</v>
      </c>
      <c r="DE14" s="907">
        <v>78.389999999999986</v>
      </c>
      <c r="DF14" s="907">
        <v>78.515000000000001</v>
      </c>
      <c r="DG14" s="907">
        <v>78.64500000000001</v>
      </c>
      <c r="DH14" s="907">
        <v>78.77000000000001</v>
      </c>
      <c r="DI14" s="907">
        <v>78.900000000000006</v>
      </c>
      <c r="DJ14" s="907">
        <v>79.02000000000001</v>
      </c>
      <c r="DK14" s="907">
        <v>79.144999999999996</v>
      </c>
      <c r="DL14" s="907">
        <v>79.264999999999986</v>
      </c>
      <c r="DM14" s="907">
        <v>79.39</v>
      </c>
      <c r="DN14" s="907">
        <v>79.504999999999995</v>
      </c>
      <c r="DO14" s="907">
        <v>79.625</v>
      </c>
      <c r="DP14" s="907">
        <v>79.745000000000005</v>
      </c>
      <c r="DQ14" s="907">
        <v>79.865000000000009</v>
      </c>
      <c r="DR14" s="907">
        <v>79.97999999999999</v>
      </c>
    </row>
    <row r="15" spans="1:122" s="127" customFormat="1" ht="12.75">
      <c r="A15" s="911">
        <v>13</v>
      </c>
      <c r="B15" s="907">
        <v>55.4610514904779</v>
      </c>
      <c r="C15" s="907">
        <v>55.605344553043452</v>
      </c>
      <c r="D15" s="907">
        <v>55.890947290230457</v>
      </c>
      <c r="E15" s="907">
        <v>56.219256981844623</v>
      </c>
      <c r="F15" s="907">
        <v>56.649469817966498</v>
      </c>
      <c r="G15" s="907">
        <v>57.0532171724942</v>
      </c>
      <c r="H15" s="907">
        <v>57.506341115653974</v>
      </c>
      <c r="I15" s="907">
        <v>57.930108131950618</v>
      </c>
      <c r="J15" s="907">
        <v>58.273846326671773</v>
      </c>
      <c r="K15" s="907">
        <v>58.634846941808149</v>
      </c>
      <c r="L15" s="907">
        <v>58.983791586167285</v>
      </c>
      <c r="M15" s="907">
        <v>59.261105005789233</v>
      </c>
      <c r="N15" s="907">
        <v>59.536469409460175</v>
      </c>
      <c r="O15" s="907">
        <v>59.746273208372912</v>
      </c>
      <c r="P15" s="907">
        <v>60.061613771864288</v>
      </c>
      <c r="Q15" s="907">
        <v>60.234715721190156</v>
      </c>
      <c r="R15" s="907">
        <v>60.465579236310504</v>
      </c>
      <c r="S15" s="907">
        <v>60.635247211264314</v>
      </c>
      <c r="T15" s="907">
        <v>60.638041829678613</v>
      </c>
      <c r="U15" s="907">
        <v>60.883000464882095</v>
      </c>
      <c r="V15" s="907">
        <v>61.144999999999996</v>
      </c>
      <c r="W15" s="907">
        <v>61.384999999999998</v>
      </c>
      <c r="X15" s="907">
        <v>61.629999999999995</v>
      </c>
      <c r="Y15" s="907">
        <v>61.81</v>
      </c>
      <c r="Z15" s="907">
        <v>62.105000000000004</v>
      </c>
      <c r="AA15" s="907">
        <v>62.350000000000009</v>
      </c>
      <c r="AB15" s="907">
        <v>62.61</v>
      </c>
      <c r="AC15" s="907">
        <v>62.83</v>
      </c>
      <c r="AD15" s="907">
        <v>62.980000000000004</v>
      </c>
      <c r="AE15" s="907">
        <v>63.254999999999995</v>
      </c>
      <c r="AF15" s="907">
        <v>63.59</v>
      </c>
      <c r="AG15" s="907">
        <v>63.915000000000006</v>
      </c>
      <c r="AH15" s="907">
        <v>64.275000000000006</v>
      </c>
      <c r="AI15" s="907">
        <v>64.64500000000001</v>
      </c>
      <c r="AJ15" s="907">
        <v>65.009999999999991</v>
      </c>
      <c r="AK15" s="907">
        <v>65.344999999999999</v>
      </c>
      <c r="AL15" s="907">
        <v>65.715000000000003</v>
      </c>
      <c r="AM15" s="907">
        <v>66.05</v>
      </c>
      <c r="AN15" s="907">
        <v>66.284999999999997</v>
      </c>
      <c r="AO15" s="907">
        <v>66.465000000000003</v>
      </c>
      <c r="AP15" s="907">
        <v>66.644999999999996</v>
      </c>
      <c r="AQ15" s="907">
        <v>66.784999999999997</v>
      </c>
      <c r="AR15" s="907">
        <v>66.959999999999994</v>
      </c>
      <c r="AS15" s="907">
        <v>67.03</v>
      </c>
      <c r="AT15" s="907">
        <v>67.105000000000004</v>
      </c>
      <c r="AU15" s="907">
        <v>67.194999999999993</v>
      </c>
      <c r="AV15" s="907">
        <v>67.28</v>
      </c>
      <c r="AW15" s="907">
        <v>67.585000000000008</v>
      </c>
      <c r="AX15" s="907">
        <v>67.704999999999998</v>
      </c>
      <c r="AY15" s="907">
        <v>67.84</v>
      </c>
      <c r="AZ15" s="907">
        <v>67.914999999999992</v>
      </c>
      <c r="BA15" s="907">
        <v>68.015000000000001</v>
      </c>
      <c r="BB15" s="907">
        <v>68.155000000000001</v>
      </c>
      <c r="BC15" s="907">
        <v>68.28</v>
      </c>
      <c r="BD15" s="907">
        <v>68.444999999999993</v>
      </c>
      <c r="BE15" s="907">
        <v>68.594999999999999</v>
      </c>
      <c r="BF15" s="907">
        <v>68.805000000000007</v>
      </c>
      <c r="BG15" s="907">
        <v>68.97</v>
      </c>
      <c r="BH15" s="907">
        <v>69.234999999999999</v>
      </c>
      <c r="BI15" s="907">
        <v>69.41</v>
      </c>
      <c r="BJ15" s="907">
        <v>69.64</v>
      </c>
      <c r="BK15" s="907">
        <v>69.844999999999999</v>
      </c>
      <c r="BL15" s="907">
        <v>70.099999999999994</v>
      </c>
      <c r="BM15" s="907">
        <v>70.349999999999994</v>
      </c>
      <c r="BN15" s="907">
        <v>70.564999999999998</v>
      </c>
      <c r="BO15" s="907">
        <v>70.78</v>
      </c>
      <c r="BP15" s="907">
        <v>70.995000000000005</v>
      </c>
      <c r="BQ15" s="907">
        <v>71.19</v>
      </c>
      <c r="BR15" s="907">
        <v>71.385000000000005</v>
      </c>
      <c r="BS15" s="907">
        <v>71.575000000000003</v>
      </c>
      <c r="BT15" s="908">
        <v>71.765000000000001</v>
      </c>
      <c r="BU15" s="907">
        <v>71.905000000000001</v>
      </c>
      <c r="BV15" s="907">
        <v>72.085000000000008</v>
      </c>
      <c r="BW15" s="907">
        <v>72.259999999999991</v>
      </c>
      <c r="BX15" s="907">
        <v>72.430000000000007</v>
      </c>
      <c r="BY15" s="907">
        <v>72.585000000000008</v>
      </c>
      <c r="BZ15" s="907">
        <v>72.745000000000005</v>
      </c>
      <c r="CA15" s="907">
        <v>72.894999999999996</v>
      </c>
      <c r="CB15" s="907">
        <v>73.06</v>
      </c>
      <c r="CC15" s="907">
        <v>73.23</v>
      </c>
      <c r="CD15" s="907">
        <v>73.384999999999991</v>
      </c>
      <c r="CE15" s="907">
        <v>73.555000000000007</v>
      </c>
      <c r="CF15" s="907">
        <v>73.724999999999994</v>
      </c>
      <c r="CG15" s="907">
        <v>73.889999999999986</v>
      </c>
      <c r="CH15" s="907">
        <v>74.044999999999987</v>
      </c>
      <c r="CI15" s="907">
        <v>74.234999999999999</v>
      </c>
      <c r="CJ15" s="907">
        <v>74.38</v>
      </c>
      <c r="CK15" s="907">
        <v>74.539999999999992</v>
      </c>
      <c r="CL15" s="907">
        <v>74.7</v>
      </c>
      <c r="CM15" s="907">
        <v>74.865000000000009</v>
      </c>
      <c r="CN15" s="907">
        <v>75.02000000000001</v>
      </c>
      <c r="CO15" s="907">
        <v>75.165000000000006</v>
      </c>
      <c r="CP15" s="907">
        <v>75.319999999999993</v>
      </c>
      <c r="CQ15" s="907">
        <v>75.454999999999998</v>
      </c>
      <c r="CR15" s="907">
        <v>75.605000000000004</v>
      </c>
      <c r="CS15" s="907">
        <v>75.754999999999995</v>
      </c>
      <c r="CT15" s="907">
        <v>75.905000000000001</v>
      </c>
      <c r="CU15" s="907">
        <v>76.034999999999997</v>
      </c>
      <c r="CV15" s="907">
        <v>76.174999999999997</v>
      </c>
      <c r="CW15" s="907">
        <v>76.314999999999998</v>
      </c>
      <c r="CX15" s="907">
        <v>76.455000000000013</v>
      </c>
      <c r="CY15" s="907">
        <v>76.594999999999999</v>
      </c>
      <c r="CZ15" s="907">
        <v>76.72999999999999</v>
      </c>
      <c r="DA15" s="907">
        <v>76.86</v>
      </c>
      <c r="DB15" s="907">
        <v>77</v>
      </c>
      <c r="DC15" s="907">
        <v>77.13</v>
      </c>
      <c r="DD15" s="907">
        <v>77.259999999999991</v>
      </c>
      <c r="DE15" s="907">
        <v>77.389999999999986</v>
      </c>
      <c r="DF15" s="907">
        <v>77.52000000000001</v>
      </c>
      <c r="DG15" s="907">
        <v>77.650000000000006</v>
      </c>
      <c r="DH15" s="907">
        <v>77.775000000000006</v>
      </c>
      <c r="DI15" s="907">
        <v>77.900000000000006</v>
      </c>
      <c r="DJ15" s="907">
        <v>78.03</v>
      </c>
      <c r="DK15" s="907">
        <v>78.150000000000006</v>
      </c>
      <c r="DL15" s="907">
        <v>78.275000000000006</v>
      </c>
      <c r="DM15" s="907">
        <v>78.39</v>
      </c>
      <c r="DN15" s="907">
        <v>78.515000000000001</v>
      </c>
      <c r="DO15" s="907">
        <v>78.634999999999991</v>
      </c>
      <c r="DP15" s="907">
        <v>78.75</v>
      </c>
      <c r="DQ15" s="907">
        <v>78.865000000000009</v>
      </c>
      <c r="DR15" s="907">
        <v>78.97999999999999</v>
      </c>
    </row>
    <row r="16" spans="1:122" s="127" customFormat="1" ht="12.75">
      <c r="A16" s="911">
        <v>14</v>
      </c>
      <c r="B16" s="907">
        <v>54.576538248641796</v>
      </c>
      <c r="C16" s="907">
        <v>54.728898481423911</v>
      </c>
      <c r="D16" s="907">
        <v>55.034118098454542</v>
      </c>
      <c r="E16" s="907">
        <v>55.373446119267633</v>
      </c>
      <c r="F16" s="907">
        <v>55.834736884202194</v>
      </c>
      <c r="G16" s="907">
        <v>56.338046192868767</v>
      </c>
      <c r="H16" s="907">
        <v>56.683426268411594</v>
      </c>
      <c r="I16" s="907">
        <v>57.076851151206611</v>
      </c>
      <c r="J16" s="907">
        <v>57.389472546964313</v>
      </c>
      <c r="K16" s="907">
        <v>57.742722293563389</v>
      </c>
      <c r="L16" s="907">
        <v>58.095711913688291</v>
      </c>
      <c r="M16" s="907">
        <v>58.343455895305894</v>
      </c>
      <c r="N16" s="907">
        <v>58.619206078054972</v>
      </c>
      <c r="O16" s="907">
        <v>58.829304007919646</v>
      </c>
      <c r="P16" s="907">
        <v>59.146111237981508</v>
      </c>
      <c r="Q16" s="907">
        <v>59.316688588262593</v>
      </c>
      <c r="R16" s="907">
        <v>59.551249699041676</v>
      </c>
      <c r="S16" s="907">
        <v>59.712485088281348</v>
      </c>
      <c r="T16" s="907">
        <v>59.709084497728568</v>
      </c>
      <c r="U16" s="907">
        <v>59.949563560180906</v>
      </c>
      <c r="V16" s="907">
        <v>60.215000000000003</v>
      </c>
      <c r="W16" s="907">
        <v>60.45</v>
      </c>
      <c r="X16" s="907">
        <v>60.725000000000001</v>
      </c>
      <c r="Y16" s="907">
        <v>60.905000000000001</v>
      </c>
      <c r="Z16" s="907">
        <v>61.185000000000002</v>
      </c>
      <c r="AA16" s="907">
        <v>61.430000000000007</v>
      </c>
      <c r="AB16" s="907">
        <v>61.7</v>
      </c>
      <c r="AC16" s="907">
        <v>61.91</v>
      </c>
      <c r="AD16" s="907">
        <v>62.06</v>
      </c>
      <c r="AE16" s="907">
        <v>62.344999999999999</v>
      </c>
      <c r="AF16" s="907">
        <v>62.68</v>
      </c>
      <c r="AG16" s="907">
        <v>63.019999999999996</v>
      </c>
      <c r="AH16" s="907">
        <v>63.405000000000001</v>
      </c>
      <c r="AI16" s="907">
        <v>63.715000000000003</v>
      </c>
      <c r="AJ16" s="907">
        <v>64.085000000000008</v>
      </c>
      <c r="AK16" s="907">
        <v>64.400000000000006</v>
      </c>
      <c r="AL16" s="907">
        <v>64.759999999999991</v>
      </c>
      <c r="AM16" s="907">
        <v>65.09</v>
      </c>
      <c r="AN16" s="907">
        <v>65.33</v>
      </c>
      <c r="AO16" s="907">
        <v>65.5</v>
      </c>
      <c r="AP16" s="907">
        <v>65.680000000000007</v>
      </c>
      <c r="AQ16" s="907">
        <v>65.814999999999998</v>
      </c>
      <c r="AR16" s="907">
        <v>65.995000000000005</v>
      </c>
      <c r="AS16" s="907">
        <v>66.064999999999998</v>
      </c>
      <c r="AT16" s="907">
        <v>66.135000000000005</v>
      </c>
      <c r="AU16" s="907">
        <v>66.22</v>
      </c>
      <c r="AV16" s="907">
        <v>66.305000000000007</v>
      </c>
      <c r="AW16" s="907">
        <v>66.61</v>
      </c>
      <c r="AX16" s="907">
        <v>66.734999999999999</v>
      </c>
      <c r="AY16" s="907">
        <v>66.865000000000009</v>
      </c>
      <c r="AZ16" s="907">
        <v>66.94</v>
      </c>
      <c r="BA16" s="907">
        <v>67.039999999999992</v>
      </c>
      <c r="BB16" s="907">
        <v>67.185000000000002</v>
      </c>
      <c r="BC16" s="907">
        <v>67.31</v>
      </c>
      <c r="BD16" s="907">
        <v>67.47</v>
      </c>
      <c r="BE16" s="907">
        <v>67.62</v>
      </c>
      <c r="BF16" s="907">
        <v>67.83</v>
      </c>
      <c r="BG16" s="907">
        <v>68</v>
      </c>
      <c r="BH16" s="907">
        <v>68.259999999999991</v>
      </c>
      <c r="BI16" s="907">
        <v>68.435000000000002</v>
      </c>
      <c r="BJ16" s="907">
        <v>68.664999999999992</v>
      </c>
      <c r="BK16" s="907">
        <v>68.865000000000009</v>
      </c>
      <c r="BL16" s="907">
        <v>69.12</v>
      </c>
      <c r="BM16" s="907">
        <v>69.375</v>
      </c>
      <c r="BN16" s="907">
        <v>69.585000000000008</v>
      </c>
      <c r="BO16" s="907">
        <v>69.8</v>
      </c>
      <c r="BP16" s="907">
        <v>70.015000000000001</v>
      </c>
      <c r="BQ16" s="907">
        <v>70.210000000000008</v>
      </c>
      <c r="BR16" s="907">
        <v>70.400000000000006</v>
      </c>
      <c r="BS16" s="907">
        <v>70.594999999999999</v>
      </c>
      <c r="BT16" s="908">
        <v>70.78</v>
      </c>
      <c r="BU16" s="907">
        <v>70.92</v>
      </c>
      <c r="BV16" s="907">
        <v>71.099999999999994</v>
      </c>
      <c r="BW16" s="907">
        <v>71.275000000000006</v>
      </c>
      <c r="BX16" s="907">
        <v>71.444999999999993</v>
      </c>
      <c r="BY16" s="907">
        <v>71.599999999999994</v>
      </c>
      <c r="BZ16" s="907">
        <v>71.754999999999995</v>
      </c>
      <c r="CA16" s="907">
        <v>71.91</v>
      </c>
      <c r="CB16" s="907">
        <v>72.069999999999993</v>
      </c>
      <c r="CC16" s="907">
        <v>72.240000000000009</v>
      </c>
      <c r="CD16" s="907">
        <v>72.405000000000001</v>
      </c>
      <c r="CE16" s="907">
        <v>72.569999999999993</v>
      </c>
      <c r="CF16" s="907">
        <v>72.734999999999999</v>
      </c>
      <c r="CG16" s="907">
        <v>72.894999999999996</v>
      </c>
      <c r="CH16" s="907">
        <v>73.06</v>
      </c>
      <c r="CI16" s="907">
        <v>73.240000000000009</v>
      </c>
      <c r="CJ16" s="907">
        <v>73.39</v>
      </c>
      <c r="CK16" s="907">
        <v>73.545000000000002</v>
      </c>
      <c r="CL16" s="907">
        <v>73.715000000000003</v>
      </c>
      <c r="CM16" s="907">
        <v>73.875</v>
      </c>
      <c r="CN16" s="907">
        <v>74.025000000000006</v>
      </c>
      <c r="CO16" s="907">
        <v>74.17</v>
      </c>
      <c r="CP16" s="907">
        <v>74.330000000000013</v>
      </c>
      <c r="CQ16" s="907">
        <v>74.465000000000003</v>
      </c>
      <c r="CR16" s="907">
        <v>74.610000000000014</v>
      </c>
      <c r="CS16" s="907">
        <v>74.765000000000001</v>
      </c>
      <c r="CT16" s="907">
        <v>74.91</v>
      </c>
      <c r="CU16" s="907">
        <v>75.045000000000002</v>
      </c>
      <c r="CV16" s="907">
        <v>75.185000000000002</v>
      </c>
      <c r="CW16" s="907">
        <v>75.325000000000003</v>
      </c>
      <c r="CX16" s="907">
        <v>75.460000000000008</v>
      </c>
      <c r="CY16" s="907">
        <v>75.599999999999994</v>
      </c>
      <c r="CZ16" s="907">
        <v>75.740000000000009</v>
      </c>
      <c r="DA16" s="907">
        <v>75.87</v>
      </c>
      <c r="DB16" s="907">
        <v>76.004999999999995</v>
      </c>
      <c r="DC16" s="907">
        <v>76.134999999999991</v>
      </c>
      <c r="DD16" s="907">
        <v>76.27</v>
      </c>
      <c r="DE16" s="907">
        <v>76.400000000000006</v>
      </c>
      <c r="DF16" s="907">
        <v>76.53</v>
      </c>
      <c r="DG16" s="907">
        <v>76.655000000000001</v>
      </c>
      <c r="DH16" s="907">
        <v>76.784999999999997</v>
      </c>
      <c r="DI16" s="907">
        <v>76.91</v>
      </c>
      <c r="DJ16" s="907">
        <v>77.03</v>
      </c>
      <c r="DK16" s="907">
        <v>77.155000000000001</v>
      </c>
      <c r="DL16" s="907">
        <v>77.275000000000006</v>
      </c>
      <c r="DM16" s="907">
        <v>77.400000000000006</v>
      </c>
      <c r="DN16" s="907">
        <v>77.52000000000001</v>
      </c>
      <c r="DO16" s="907">
        <v>77.634999999999991</v>
      </c>
      <c r="DP16" s="907">
        <v>77.75</v>
      </c>
      <c r="DQ16" s="907">
        <v>77.87</v>
      </c>
      <c r="DR16" s="907">
        <v>77.984999999999999</v>
      </c>
    </row>
    <row r="17" spans="1:122" s="127" customFormat="1" ht="12.75">
      <c r="A17" s="911">
        <v>15</v>
      </c>
      <c r="B17" s="907">
        <v>53.711800095348593</v>
      </c>
      <c r="C17" s="907">
        <v>53.883709622666998</v>
      </c>
      <c r="D17" s="907">
        <v>54.200875504220235</v>
      </c>
      <c r="E17" s="907">
        <v>54.576534873817089</v>
      </c>
      <c r="F17" s="907">
        <v>55.154563969228718</v>
      </c>
      <c r="G17" s="907">
        <v>55.534742304493108</v>
      </c>
      <c r="H17" s="907">
        <v>55.847315151984645</v>
      </c>
      <c r="I17" s="907">
        <v>56.205664413518726</v>
      </c>
      <c r="J17" s="907">
        <v>56.510051095733509</v>
      </c>
      <c r="K17" s="907">
        <v>56.867810062013746</v>
      </c>
      <c r="L17" s="907">
        <v>57.187922859816041</v>
      </c>
      <c r="M17" s="907">
        <v>57.436063659192008</v>
      </c>
      <c r="N17" s="907">
        <v>57.712254933391911</v>
      </c>
      <c r="O17" s="907">
        <v>57.923816621015902</v>
      </c>
      <c r="P17" s="907">
        <v>58.23671823386276</v>
      </c>
      <c r="Q17" s="907">
        <v>58.411272640719694</v>
      </c>
      <c r="R17" s="907">
        <v>58.635331232407957</v>
      </c>
      <c r="S17" s="907">
        <v>58.790028463536004</v>
      </c>
      <c r="T17" s="907">
        <v>58.781441727269929</v>
      </c>
      <c r="U17" s="907">
        <v>59.022213548780613</v>
      </c>
      <c r="V17" s="907">
        <v>59.284999999999997</v>
      </c>
      <c r="W17" s="907">
        <v>59.55</v>
      </c>
      <c r="X17" s="907">
        <v>59.82</v>
      </c>
      <c r="Y17" s="907">
        <v>59.994999999999997</v>
      </c>
      <c r="Z17" s="907">
        <v>60.269999999999996</v>
      </c>
      <c r="AA17" s="907">
        <v>60.515000000000001</v>
      </c>
      <c r="AB17" s="907">
        <v>60.784999999999997</v>
      </c>
      <c r="AC17" s="907">
        <v>61</v>
      </c>
      <c r="AD17" s="907">
        <v>61.155000000000001</v>
      </c>
      <c r="AE17" s="907">
        <v>61.445000000000007</v>
      </c>
      <c r="AF17" s="907">
        <v>61.795000000000002</v>
      </c>
      <c r="AG17" s="907">
        <v>62.155000000000001</v>
      </c>
      <c r="AH17" s="907">
        <v>62.484999999999999</v>
      </c>
      <c r="AI17" s="907">
        <v>62.795000000000002</v>
      </c>
      <c r="AJ17" s="907">
        <v>63.150000000000006</v>
      </c>
      <c r="AK17" s="907">
        <v>63.45</v>
      </c>
      <c r="AL17" s="907">
        <v>63.805000000000007</v>
      </c>
      <c r="AM17" s="907">
        <v>64.14</v>
      </c>
      <c r="AN17" s="907">
        <v>64.364999999999995</v>
      </c>
      <c r="AO17" s="907">
        <v>64.534999999999997</v>
      </c>
      <c r="AP17" s="907">
        <v>64.715000000000003</v>
      </c>
      <c r="AQ17" s="907">
        <v>64.844999999999999</v>
      </c>
      <c r="AR17" s="907">
        <v>65.025000000000006</v>
      </c>
      <c r="AS17" s="907">
        <v>65.099999999999994</v>
      </c>
      <c r="AT17" s="907">
        <v>65.17</v>
      </c>
      <c r="AU17" s="907">
        <v>65.254999999999995</v>
      </c>
      <c r="AV17" s="907">
        <v>65.335000000000008</v>
      </c>
      <c r="AW17" s="907">
        <v>65.64</v>
      </c>
      <c r="AX17" s="907">
        <v>65.765000000000001</v>
      </c>
      <c r="AY17" s="907">
        <v>65.894999999999996</v>
      </c>
      <c r="AZ17" s="907">
        <v>65.97</v>
      </c>
      <c r="BA17" s="907">
        <v>66.064999999999998</v>
      </c>
      <c r="BB17" s="907">
        <v>66.215000000000003</v>
      </c>
      <c r="BC17" s="907">
        <v>66.34</v>
      </c>
      <c r="BD17" s="907">
        <v>66.5</v>
      </c>
      <c r="BE17" s="907">
        <v>66.655000000000001</v>
      </c>
      <c r="BF17" s="907">
        <v>66.86</v>
      </c>
      <c r="BG17" s="907">
        <v>67.025000000000006</v>
      </c>
      <c r="BH17" s="907">
        <v>67.284999999999997</v>
      </c>
      <c r="BI17" s="907">
        <v>67.460000000000008</v>
      </c>
      <c r="BJ17" s="907">
        <v>67.69</v>
      </c>
      <c r="BK17" s="907">
        <v>67.894999999999996</v>
      </c>
      <c r="BL17" s="907">
        <v>68.14500000000001</v>
      </c>
      <c r="BM17" s="907">
        <v>68.400000000000006</v>
      </c>
      <c r="BN17" s="907">
        <v>68.610000000000014</v>
      </c>
      <c r="BO17" s="907">
        <v>68.824999999999989</v>
      </c>
      <c r="BP17" s="907">
        <v>69.040000000000006</v>
      </c>
      <c r="BQ17" s="907">
        <v>69.23</v>
      </c>
      <c r="BR17" s="907">
        <v>69.424999999999997</v>
      </c>
      <c r="BS17" s="907">
        <v>69.615000000000009</v>
      </c>
      <c r="BT17" s="908">
        <v>69.795000000000002</v>
      </c>
      <c r="BU17" s="907">
        <v>69.94</v>
      </c>
      <c r="BV17" s="907">
        <v>70.114999999999995</v>
      </c>
      <c r="BW17" s="907">
        <v>70.289999999999992</v>
      </c>
      <c r="BX17" s="907">
        <v>70.460000000000008</v>
      </c>
      <c r="BY17" s="907">
        <v>70.615000000000009</v>
      </c>
      <c r="BZ17" s="907">
        <v>70.775000000000006</v>
      </c>
      <c r="CA17" s="907">
        <v>70.92</v>
      </c>
      <c r="CB17" s="907">
        <v>71.085000000000008</v>
      </c>
      <c r="CC17" s="907">
        <v>71.254999999999995</v>
      </c>
      <c r="CD17" s="907">
        <v>71.414999999999992</v>
      </c>
      <c r="CE17" s="907">
        <v>71.58</v>
      </c>
      <c r="CF17" s="907">
        <v>71.75</v>
      </c>
      <c r="CG17" s="907">
        <v>71.91</v>
      </c>
      <c r="CH17" s="907">
        <v>72.069999999999993</v>
      </c>
      <c r="CI17" s="907">
        <v>72.259999999999991</v>
      </c>
      <c r="CJ17" s="907">
        <v>72.400000000000006</v>
      </c>
      <c r="CK17" s="907">
        <v>72.555000000000007</v>
      </c>
      <c r="CL17" s="907">
        <v>72.724999999999994</v>
      </c>
      <c r="CM17" s="907">
        <v>72.884999999999991</v>
      </c>
      <c r="CN17" s="907">
        <v>73.034999999999997</v>
      </c>
      <c r="CO17" s="907">
        <v>73.185000000000002</v>
      </c>
      <c r="CP17" s="907">
        <v>73.34</v>
      </c>
      <c r="CQ17" s="907">
        <v>73.474999999999994</v>
      </c>
      <c r="CR17" s="907">
        <v>73.62</v>
      </c>
      <c r="CS17" s="907">
        <v>73.775000000000006</v>
      </c>
      <c r="CT17" s="907">
        <v>73.92</v>
      </c>
      <c r="CU17" s="907">
        <v>74.05</v>
      </c>
      <c r="CV17" s="907">
        <v>74.19</v>
      </c>
      <c r="CW17" s="907">
        <v>74.33</v>
      </c>
      <c r="CX17" s="907">
        <v>74.47</v>
      </c>
      <c r="CY17" s="907">
        <v>74.60499999999999</v>
      </c>
      <c r="CZ17" s="907">
        <v>74.745000000000005</v>
      </c>
      <c r="DA17" s="907">
        <v>74.88</v>
      </c>
      <c r="DB17" s="907">
        <v>75.015000000000001</v>
      </c>
      <c r="DC17" s="907">
        <v>75.14500000000001</v>
      </c>
      <c r="DD17" s="907">
        <v>75.275000000000006</v>
      </c>
      <c r="DE17" s="907">
        <v>75.405000000000001</v>
      </c>
      <c r="DF17" s="907">
        <v>75.539999999999992</v>
      </c>
      <c r="DG17" s="907">
        <v>75.66</v>
      </c>
      <c r="DH17" s="907">
        <v>75.789999999999992</v>
      </c>
      <c r="DI17" s="907">
        <v>75.914999999999992</v>
      </c>
      <c r="DJ17" s="907">
        <v>76.039999999999992</v>
      </c>
      <c r="DK17" s="907">
        <v>76.16</v>
      </c>
      <c r="DL17" s="907">
        <v>76.284999999999997</v>
      </c>
      <c r="DM17" s="907">
        <v>76.405000000000001</v>
      </c>
      <c r="DN17" s="907">
        <v>76.525000000000006</v>
      </c>
      <c r="DO17" s="907">
        <v>76.64500000000001</v>
      </c>
      <c r="DP17" s="907">
        <v>76.759999999999991</v>
      </c>
      <c r="DQ17" s="907">
        <v>76.875</v>
      </c>
      <c r="DR17" s="907">
        <v>76.990000000000009</v>
      </c>
    </row>
    <row r="18" spans="1:122" s="127" customFormat="1" ht="12.75">
      <c r="A18" s="911">
        <v>16</v>
      </c>
      <c r="B18" s="907">
        <v>52.880565006210034</v>
      </c>
      <c r="C18" s="907">
        <v>53.065099207883947</v>
      </c>
      <c r="D18" s="907">
        <v>53.424379266729076</v>
      </c>
      <c r="E18" s="907">
        <v>53.933865619254824</v>
      </c>
      <c r="F18" s="907">
        <v>54.372704778251673</v>
      </c>
      <c r="G18" s="907">
        <v>54.717734249332153</v>
      </c>
      <c r="H18" s="907">
        <v>54.992321342785246</v>
      </c>
      <c r="I18" s="907">
        <v>55.343919384022783</v>
      </c>
      <c r="J18" s="907">
        <v>55.653309306758693</v>
      </c>
      <c r="K18" s="907">
        <v>55.973504732188445</v>
      </c>
      <c r="L18" s="907">
        <v>56.294217476806089</v>
      </c>
      <c r="M18" s="907">
        <v>56.542823963925059</v>
      </c>
      <c r="N18" s="907">
        <v>56.820795835283803</v>
      </c>
      <c r="O18" s="907">
        <v>57.027719408307384</v>
      </c>
      <c r="P18" s="907">
        <v>57.345374059717685</v>
      </c>
      <c r="Q18" s="907">
        <v>57.507669273845011</v>
      </c>
      <c r="R18" s="907">
        <v>57.724339344142507</v>
      </c>
      <c r="S18" s="907">
        <v>57.873378223875079</v>
      </c>
      <c r="T18" s="907">
        <v>57.864778680838327</v>
      </c>
      <c r="U18" s="907">
        <v>58.105893028293764</v>
      </c>
      <c r="V18" s="907">
        <v>58.384999999999998</v>
      </c>
      <c r="W18" s="907">
        <v>58.65</v>
      </c>
      <c r="X18" s="907">
        <v>58.915000000000006</v>
      </c>
      <c r="Y18" s="907">
        <v>59.09</v>
      </c>
      <c r="Z18" s="907">
        <v>59.365000000000002</v>
      </c>
      <c r="AA18" s="907">
        <v>59.614999999999995</v>
      </c>
      <c r="AB18" s="907">
        <v>59.885000000000005</v>
      </c>
      <c r="AC18" s="907">
        <v>60.1</v>
      </c>
      <c r="AD18" s="907">
        <v>60.265000000000001</v>
      </c>
      <c r="AE18" s="907">
        <v>60.564999999999998</v>
      </c>
      <c r="AF18" s="907">
        <v>60.95</v>
      </c>
      <c r="AG18" s="907">
        <v>61.254999999999995</v>
      </c>
      <c r="AH18" s="907">
        <v>61.58</v>
      </c>
      <c r="AI18" s="907">
        <v>61.87</v>
      </c>
      <c r="AJ18" s="907">
        <v>62.2</v>
      </c>
      <c r="AK18" s="907">
        <v>62.5</v>
      </c>
      <c r="AL18" s="907">
        <v>62.86</v>
      </c>
      <c r="AM18" s="907">
        <v>63.18</v>
      </c>
      <c r="AN18" s="907">
        <v>63.405000000000001</v>
      </c>
      <c r="AO18" s="907">
        <v>63.575000000000003</v>
      </c>
      <c r="AP18" s="907">
        <v>63.754999999999995</v>
      </c>
      <c r="AQ18" s="907">
        <v>63.89</v>
      </c>
      <c r="AR18" s="907">
        <v>64.064999999999998</v>
      </c>
      <c r="AS18" s="907">
        <v>64.135000000000005</v>
      </c>
      <c r="AT18" s="907">
        <v>64.204999999999998</v>
      </c>
      <c r="AU18" s="907">
        <v>64.290000000000006</v>
      </c>
      <c r="AV18" s="907">
        <v>64.37</v>
      </c>
      <c r="AW18" s="907">
        <v>64.680000000000007</v>
      </c>
      <c r="AX18" s="907">
        <v>64.800000000000011</v>
      </c>
      <c r="AY18" s="907">
        <v>64.924999999999997</v>
      </c>
      <c r="AZ18" s="907">
        <v>65.004999999999995</v>
      </c>
      <c r="BA18" s="907">
        <v>65.099999999999994</v>
      </c>
      <c r="BB18" s="907">
        <v>65.25</v>
      </c>
      <c r="BC18" s="907">
        <v>65.375</v>
      </c>
      <c r="BD18" s="907">
        <v>65.539999999999992</v>
      </c>
      <c r="BE18" s="907">
        <v>65.694999999999993</v>
      </c>
      <c r="BF18" s="907">
        <v>65.89500000000001</v>
      </c>
      <c r="BG18" s="907">
        <v>66.064999999999998</v>
      </c>
      <c r="BH18" s="907">
        <v>66.320000000000007</v>
      </c>
      <c r="BI18" s="907">
        <v>66.5</v>
      </c>
      <c r="BJ18" s="907">
        <v>66.724999999999994</v>
      </c>
      <c r="BK18" s="907">
        <v>66.930000000000007</v>
      </c>
      <c r="BL18" s="907">
        <v>67.180000000000007</v>
      </c>
      <c r="BM18" s="907">
        <v>67.430000000000007</v>
      </c>
      <c r="BN18" s="907">
        <v>67.639999999999986</v>
      </c>
      <c r="BO18" s="907">
        <v>67.849999999999994</v>
      </c>
      <c r="BP18" s="907">
        <v>68.069999999999993</v>
      </c>
      <c r="BQ18" s="907">
        <v>68.254999999999995</v>
      </c>
      <c r="BR18" s="907">
        <v>68.45</v>
      </c>
      <c r="BS18" s="907">
        <v>68.634999999999991</v>
      </c>
      <c r="BT18" s="908">
        <v>68.819999999999993</v>
      </c>
      <c r="BU18" s="907">
        <v>68.960000000000008</v>
      </c>
      <c r="BV18" s="907">
        <v>69.14</v>
      </c>
      <c r="BW18" s="907">
        <v>69.314999999999998</v>
      </c>
      <c r="BX18" s="907">
        <v>69.47999999999999</v>
      </c>
      <c r="BY18" s="907">
        <v>69.64</v>
      </c>
      <c r="BZ18" s="907">
        <v>69.8</v>
      </c>
      <c r="CA18" s="907">
        <v>69.94</v>
      </c>
      <c r="CB18" s="907">
        <v>70.11</v>
      </c>
      <c r="CC18" s="907">
        <v>70.275000000000006</v>
      </c>
      <c r="CD18" s="907">
        <v>70.44</v>
      </c>
      <c r="CE18" s="907">
        <v>70.594999999999999</v>
      </c>
      <c r="CF18" s="907">
        <v>70.765000000000001</v>
      </c>
      <c r="CG18" s="907">
        <v>70.930000000000007</v>
      </c>
      <c r="CH18" s="907">
        <v>71.09</v>
      </c>
      <c r="CI18" s="907">
        <v>71.27000000000001</v>
      </c>
      <c r="CJ18" s="907">
        <v>71.414999999999992</v>
      </c>
      <c r="CK18" s="907">
        <v>71.575000000000003</v>
      </c>
      <c r="CL18" s="907">
        <v>71.740000000000009</v>
      </c>
      <c r="CM18" s="907">
        <v>71.89500000000001</v>
      </c>
      <c r="CN18" s="907">
        <v>72.05</v>
      </c>
      <c r="CO18" s="907">
        <v>72.194999999999993</v>
      </c>
      <c r="CP18" s="907">
        <v>72.349999999999994</v>
      </c>
      <c r="CQ18" s="907">
        <v>72.490000000000009</v>
      </c>
      <c r="CR18" s="907">
        <v>72.634999999999991</v>
      </c>
      <c r="CS18" s="907">
        <v>72.784999999999997</v>
      </c>
      <c r="CT18" s="907">
        <v>72.930000000000007</v>
      </c>
      <c r="CU18" s="907">
        <v>73.06</v>
      </c>
      <c r="CV18" s="907">
        <v>73.2</v>
      </c>
      <c r="CW18" s="907">
        <v>73.34</v>
      </c>
      <c r="CX18" s="907">
        <v>73.48</v>
      </c>
      <c r="CY18" s="907">
        <v>73.615000000000009</v>
      </c>
      <c r="CZ18" s="907">
        <v>73.754999999999995</v>
      </c>
      <c r="DA18" s="907">
        <v>73.89</v>
      </c>
      <c r="DB18" s="907">
        <v>74.02000000000001</v>
      </c>
      <c r="DC18" s="907">
        <v>74.155000000000001</v>
      </c>
      <c r="DD18" s="907">
        <v>74.284999999999997</v>
      </c>
      <c r="DE18" s="907">
        <v>74.414999999999992</v>
      </c>
      <c r="DF18" s="907">
        <v>74.545000000000002</v>
      </c>
      <c r="DG18" s="907">
        <v>74.67</v>
      </c>
      <c r="DH18" s="907">
        <v>74.800000000000011</v>
      </c>
      <c r="DI18" s="907">
        <v>74.924999999999997</v>
      </c>
      <c r="DJ18" s="907">
        <v>75.044999999999987</v>
      </c>
      <c r="DK18" s="907">
        <v>75.169999999999987</v>
      </c>
      <c r="DL18" s="907">
        <v>75.294999999999987</v>
      </c>
      <c r="DM18" s="907">
        <v>75.414999999999992</v>
      </c>
      <c r="DN18" s="907">
        <v>75.53</v>
      </c>
      <c r="DO18" s="907">
        <v>75.650000000000006</v>
      </c>
      <c r="DP18" s="907">
        <v>75.765000000000001</v>
      </c>
      <c r="DQ18" s="907">
        <v>75.88</v>
      </c>
      <c r="DR18" s="907">
        <v>75.995000000000005</v>
      </c>
    </row>
    <row r="19" spans="1:122" s="127" customFormat="1" ht="12.75">
      <c r="A19" s="911">
        <v>17</v>
      </c>
      <c r="B19" s="907">
        <v>52.080569647781601</v>
      </c>
      <c r="C19" s="907">
        <v>52.313186945680428</v>
      </c>
      <c r="D19" s="907">
        <v>52.825112759262808</v>
      </c>
      <c r="E19" s="907">
        <v>53.176717116810579</v>
      </c>
      <c r="F19" s="907">
        <v>53.577851026708629</v>
      </c>
      <c r="G19" s="907">
        <v>53.883176400224116</v>
      </c>
      <c r="H19" s="907">
        <v>54.152788669065082</v>
      </c>
      <c r="I19" s="907">
        <v>54.510324214300056</v>
      </c>
      <c r="J19" s="907">
        <v>54.776016743660264</v>
      </c>
      <c r="K19" s="907">
        <v>55.096925466814781</v>
      </c>
      <c r="L19" s="907">
        <v>55.418351351478456</v>
      </c>
      <c r="M19" s="907">
        <v>55.668962388752853</v>
      </c>
      <c r="N19" s="907">
        <v>55.94178391076899</v>
      </c>
      <c r="O19" s="907">
        <v>56.153968522755889</v>
      </c>
      <c r="P19" s="907">
        <v>56.457678147923005</v>
      </c>
      <c r="Q19" s="907">
        <v>56.611265674206933</v>
      </c>
      <c r="R19" s="907">
        <v>56.821509779329197</v>
      </c>
      <c r="S19" s="907">
        <v>56.97079680365615</v>
      </c>
      <c r="T19" s="907">
        <v>56.962181931698765</v>
      </c>
      <c r="U19" s="907">
        <v>57.213483803486284</v>
      </c>
      <c r="V19" s="907">
        <v>57.489999999999995</v>
      </c>
      <c r="W19" s="907">
        <v>57.760000000000005</v>
      </c>
      <c r="X19" s="907">
        <v>58.019999999999996</v>
      </c>
      <c r="Y19" s="907">
        <v>58.194999999999993</v>
      </c>
      <c r="Z19" s="907">
        <v>58.48</v>
      </c>
      <c r="AA19" s="907">
        <v>58.730000000000004</v>
      </c>
      <c r="AB19" s="907">
        <v>58.994999999999997</v>
      </c>
      <c r="AC19" s="907">
        <v>59.225000000000001</v>
      </c>
      <c r="AD19" s="907">
        <v>59.405000000000001</v>
      </c>
      <c r="AE19" s="907">
        <v>59.75</v>
      </c>
      <c r="AF19" s="907">
        <v>60.06</v>
      </c>
      <c r="AG19" s="907">
        <v>60.365000000000002</v>
      </c>
      <c r="AH19" s="907">
        <v>60.67</v>
      </c>
      <c r="AI19" s="907">
        <v>60.930000000000007</v>
      </c>
      <c r="AJ19" s="907">
        <v>61.260000000000005</v>
      </c>
      <c r="AK19" s="907">
        <v>61.56</v>
      </c>
      <c r="AL19" s="907">
        <v>61.914999999999992</v>
      </c>
      <c r="AM19" s="907">
        <v>62.230000000000004</v>
      </c>
      <c r="AN19" s="907">
        <v>62.454999999999998</v>
      </c>
      <c r="AO19" s="907">
        <v>62.614999999999995</v>
      </c>
      <c r="AP19" s="907">
        <v>62.8</v>
      </c>
      <c r="AQ19" s="907">
        <v>62.935000000000002</v>
      </c>
      <c r="AR19" s="907">
        <v>63.11</v>
      </c>
      <c r="AS19" s="907">
        <v>63.185000000000002</v>
      </c>
      <c r="AT19" s="907">
        <v>63.25</v>
      </c>
      <c r="AU19" s="907">
        <v>63.33</v>
      </c>
      <c r="AV19" s="907">
        <v>63.414999999999999</v>
      </c>
      <c r="AW19" s="907">
        <v>63.72</v>
      </c>
      <c r="AX19" s="907">
        <v>63.849999999999994</v>
      </c>
      <c r="AY19" s="907">
        <v>63.97</v>
      </c>
      <c r="AZ19" s="907">
        <v>64.06</v>
      </c>
      <c r="BA19" s="907">
        <v>64.150000000000006</v>
      </c>
      <c r="BB19" s="907">
        <v>64.3</v>
      </c>
      <c r="BC19" s="907">
        <v>64.424999999999997</v>
      </c>
      <c r="BD19" s="907">
        <v>64.59</v>
      </c>
      <c r="BE19" s="907">
        <v>64.75</v>
      </c>
      <c r="BF19" s="907">
        <v>64.95</v>
      </c>
      <c r="BG19" s="907">
        <v>65.12</v>
      </c>
      <c r="BH19" s="907">
        <v>65.375</v>
      </c>
      <c r="BI19" s="907">
        <v>65.55</v>
      </c>
      <c r="BJ19" s="907">
        <v>65.78</v>
      </c>
      <c r="BK19" s="907">
        <v>65.984999999999999</v>
      </c>
      <c r="BL19" s="907">
        <v>66.224999999999994</v>
      </c>
      <c r="BM19" s="907">
        <v>66.48</v>
      </c>
      <c r="BN19" s="907">
        <v>66.685000000000002</v>
      </c>
      <c r="BO19" s="907">
        <v>66.89500000000001</v>
      </c>
      <c r="BP19" s="907">
        <v>67.11</v>
      </c>
      <c r="BQ19" s="907">
        <v>67.294999999999987</v>
      </c>
      <c r="BR19" s="907">
        <v>67.484999999999999</v>
      </c>
      <c r="BS19" s="907">
        <v>67.665000000000006</v>
      </c>
      <c r="BT19" s="908">
        <v>67.849999999999994</v>
      </c>
      <c r="BU19" s="907">
        <v>67.989999999999995</v>
      </c>
      <c r="BV19" s="907">
        <v>68.164999999999992</v>
      </c>
      <c r="BW19" s="907">
        <v>68.34</v>
      </c>
      <c r="BX19" s="907">
        <v>68.510000000000005</v>
      </c>
      <c r="BY19" s="907">
        <v>68.67</v>
      </c>
      <c r="BZ19" s="907">
        <v>68.825000000000003</v>
      </c>
      <c r="CA19" s="907">
        <v>68.97</v>
      </c>
      <c r="CB19" s="907">
        <v>69.134999999999991</v>
      </c>
      <c r="CC19" s="907">
        <v>69.305000000000007</v>
      </c>
      <c r="CD19" s="907">
        <v>69.465000000000003</v>
      </c>
      <c r="CE19" s="907">
        <v>69.62</v>
      </c>
      <c r="CF19" s="907">
        <v>69.784999999999997</v>
      </c>
      <c r="CG19" s="907">
        <v>69.95</v>
      </c>
      <c r="CH19" s="907">
        <v>70.11</v>
      </c>
      <c r="CI19" s="907">
        <v>70.289999999999992</v>
      </c>
      <c r="CJ19" s="907">
        <v>70.44</v>
      </c>
      <c r="CK19" s="907">
        <v>70.59</v>
      </c>
      <c r="CL19" s="907">
        <v>70.754999999999995</v>
      </c>
      <c r="CM19" s="907">
        <v>70.915000000000006</v>
      </c>
      <c r="CN19" s="907">
        <v>71.064999999999998</v>
      </c>
      <c r="CO19" s="907">
        <v>71.215000000000003</v>
      </c>
      <c r="CP19" s="907">
        <v>71.37</v>
      </c>
      <c r="CQ19" s="907">
        <v>71.504999999999995</v>
      </c>
      <c r="CR19" s="907">
        <v>71.650000000000006</v>
      </c>
      <c r="CS19" s="907">
        <v>71.800000000000011</v>
      </c>
      <c r="CT19" s="907">
        <v>71.94</v>
      </c>
      <c r="CU19" s="907">
        <v>72.08</v>
      </c>
      <c r="CV19" s="907">
        <v>72.215000000000003</v>
      </c>
      <c r="CW19" s="907">
        <v>72.355000000000004</v>
      </c>
      <c r="CX19" s="907">
        <v>72.495000000000005</v>
      </c>
      <c r="CY19" s="907">
        <v>72.634999999999991</v>
      </c>
      <c r="CZ19" s="907">
        <v>72.765000000000001</v>
      </c>
      <c r="DA19" s="907">
        <v>72.905000000000001</v>
      </c>
      <c r="DB19" s="907">
        <v>73.034999999999997</v>
      </c>
      <c r="DC19" s="907">
        <v>73.169999999999987</v>
      </c>
      <c r="DD19" s="907">
        <v>73.3</v>
      </c>
      <c r="DE19" s="907">
        <v>73.430000000000007</v>
      </c>
      <c r="DF19" s="907">
        <v>73.555000000000007</v>
      </c>
      <c r="DG19" s="907">
        <v>73.685000000000002</v>
      </c>
      <c r="DH19" s="907">
        <v>73.81</v>
      </c>
      <c r="DI19" s="907">
        <v>73.935000000000002</v>
      </c>
      <c r="DJ19" s="907">
        <v>74.055000000000007</v>
      </c>
      <c r="DK19" s="907">
        <v>74.180000000000007</v>
      </c>
      <c r="DL19" s="907">
        <v>74.3</v>
      </c>
      <c r="DM19" s="907">
        <v>74.424999999999997</v>
      </c>
      <c r="DN19" s="907">
        <v>74.539999999999992</v>
      </c>
      <c r="DO19" s="907">
        <v>74.66</v>
      </c>
      <c r="DP19" s="907">
        <v>74.775000000000006</v>
      </c>
      <c r="DQ19" s="907">
        <v>74.89</v>
      </c>
      <c r="DR19" s="907">
        <v>75.004999999999995</v>
      </c>
    </row>
    <row r="20" spans="1:122" s="127" customFormat="1" ht="12.75">
      <c r="A20" s="911">
        <v>18</v>
      </c>
      <c r="B20" s="907">
        <v>51.340202434290312</v>
      </c>
      <c r="C20" s="907">
        <v>51.758562330243585</v>
      </c>
      <c r="D20" s="907">
        <v>52.101055781217681</v>
      </c>
      <c r="E20" s="907">
        <v>52.423192954106085</v>
      </c>
      <c r="F20" s="907">
        <v>52.76814675171633</v>
      </c>
      <c r="G20" s="907">
        <v>53.066953265602478</v>
      </c>
      <c r="H20" s="907">
        <v>53.340032543016051</v>
      </c>
      <c r="I20" s="907">
        <v>53.653363623783122</v>
      </c>
      <c r="J20" s="907">
        <v>53.919754787380505</v>
      </c>
      <c r="K20" s="907">
        <v>54.2415149603328</v>
      </c>
      <c r="L20" s="907">
        <v>54.549714555055985</v>
      </c>
      <c r="M20" s="907">
        <v>54.800925905943146</v>
      </c>
      <c r="N20" s="907">
        <v>55.074097439454185</v>
      </c>
      <c r="O20" s="907">
        <v>55.275635948510867</v>
      </c>
      <c r="P20" s="907">
        <v>55.577360609841193</v>
      </c>
      <c r="Q20" s="907">
        <v>55.721654866436936</v>
      </c>
      <c r="R20" s="907">
        <v>55.932310918987874</v>
      </c>
      <c r="S20" s="907">
        <v>56.081885920211761</v>
      </c>
      <c r="T20" s="907">
        <v>56.074296080432461</v>
      </c>
      <c r="U20" s="907">
        <v>56.320721487020336</v>
      </c>
      <c r="V20" s="907">
        <v>56.594999999999999</v>
      </c>
      <c r="W20" s="907">
        <v>56.870000000000005</v>
      </c>
      <c r="X20" s="907">
        <v>57.129999999999995</v>
      </c>
      <c r="Y20" s="907">
        <v>57.31</v>
      </c>
      <c r="Z20" s="907">
        <v>57.594999999999999</v>
      </c>
      <c r="AA20" s="907">
        <v>57.84</v>
      </c>
      <c r="AB20" s="907">
        <v>58.12</v>
      </c>
      <c r="AC20" s="907">
        <v>58.364999999999995</v>
      </c>
      <c r="AD20" s="907">
        <v>58.61</v>
      </c>
      <c r="AE20" s="907">
        <v>58.875</v>
      </c>
      <c r="AF20" s="907">
        <v>59.185000000000002</v>
      </c>
      <c r="AG20" s="907">
        <v>59.46</v>
      </c>
      <c r="AH20" s="907">
        <v>59.730000000000004</v>
      </c>
      <c r="AI20" s="907">
        <v>59.995000000000005</v>
      </c>
      <c r="AJ20" s="907">
        <v>60.33</v>
      </c>
      <c r="AK20" s="907">
        <v>60.62</v>
      </c>
      <c r="AL20" s="907">
        <v>60.964999999999996</v>
      </c>
      <c r="AM20" s="907">
        <v>61.28</v>
      </c>
      <c r="AN20" s="907">
        <v>61.504999999999995</v>
      </c>
      <c r="AO20" s="907">
        <v>61.67</v>
      </c>
      <c r="AP20" s="907">
        <v>61.850000000000009</v>
      </c>
      <c r="AQ20" s="907">
        <v>61.984999999999999</v>
      </c>
      <c r="AR20" s="907">
        <v>62.16</v>
      </c>
      <c r="AS20" s="907">
        <v>62.234999999999999</v>
      </c>
      <c r="AT20" s="907">
        <v>62.3</v>
      </c>
      <c r="AU20" s="907">
        <v>62.379999999999995</v>
      </c>
      <c r="AV20" s="907">
        <v>62.47</v>
      </c>
      <c r="AW20" s="907">
        <v>62.77</v>
      </c>
      <c r="AX20" s="907">
        <v>62.9</v>
      </c>
      <c r="AY20" s="907">
        <v>63.024999999999999</v>
      </c>
      <c r="AZ20" s="907">
        <v>63.11</v>
      </c>
      <c r="BA20" s="907">
        <v>63.215000000000003</v>
      </c>
      <c r="BB20" s="907">
        <v>63.354999999999997</v>
      </c>
      <c r="BC20" s="907">
        <v>63.49</v>
      </c>
      <c r="BD20" s="907">
        <v>63.655000000000001</v>
      </c>
      <c r="BE20" s="907">
        <v>63.81</v>
      </c>
      <c r="BF20" s="907">
        <v>64.004999999999995</v>
      </c>
      <c r="BG20" s="907">
        <v>64.174999999999997</v>
      </c>
      <c r="BH20" s="907">
        <v>64.435000000000002</v>
      </c>
      <c r="BI20" s="907">
        <v>64.61</v>
      </c>
      <c r="BJ20" s="907">
        <v>64.84</v>
      </c>
      <c r="BK20" s="907">
        <v>65.039999999999992</v>
      </c>
      <c r="BL20" s="907">
        <v>65.28</v>
      </c>
      <c r="BM20" s="907">
        <v>65.534999999999997</v>
      </c>
      <c r="BN20" s="907">
        <v>65.740000000000009</v>
      </c>
      <c r="BO20" s="907">
        <v>65.94</v>
      </c>
      <c r="BP20" s="907">
        <v>66.155000000000001</v>
      </c>
      <c r="BQ20" s="907">
        <v>66.334999999999994</v>
      </c>
      <c r="BR20" s="907">
        <v>66.525000000000006</v>
      </c>
      <c r="BS20" s="907">
        <v>66.7</v>
      </c>
      <c r="BT20" s="908">
        <v>66.89</v>
      </c>
      <c r="BU20" s="907">
        <v>67.025000000000006</v>
      </c>
      <c r="BV20" s="907">
        <v>67.204999999999998</v>
      </c>
      <c r="BW20" s="907">
        <v>67.375</v>
      </c>
      <c r="BX20" s="907">
        <v>67.545000000000002</v>
      </c>
      <c r="BY20" s="907">
        <v>67.7</v>
      </c>
      <c r="BZ20" s="907">
        <v>67.855000000000004</v>
      </c>
      <c r="CA20" s="907">
        <v>68.004999999999995</v>
      </c>
      <c r="CB20" s="907">
        <v>68.17</v>
      </c>
      <c r="CC20" s="907">
        <v>68.33</v>
      </c>
      <c r="CD20" s="907">
        <v>68.489999999999995</v>
      </c>
      <c r="CE20" s="907">
        <v>68.66</v>
      </c>
      <c r="CF20" s="907">
        <v>68.819999999999993</v>
      </c>
      <c r="CG20" s="907">
        <v>68.974999999999994</v>
      </c>
      <c r="CH20" s="907">
        <v>69.134999999999991</v>
      </c>
      <c r="CI20" s="907">
        <v>69.319999999999993</v>
      </c>
      <c r="CJ20" s="907">
        <v>69.460000000000008</v>
      </c>
      <c r="CK20" s="907">
        <v>69.615000000000009</v>
      </c>
      <c r="CL20" s="907">
        <v>69.78</v>
      </c>
      <c r="CM20" s="907">
        <v>69.930000000000007</v>
      </c>
      <c r="CN20" s="907">
        <v>70.085000000000008</v>
      </c>
      <c r="CO20" s="907">
        <v>70.23</v>
      </c>
      <c r="CP20" s="907">
        <v>70.385000000000005</v>
      </c>
      <c r="CQ20" s="907">
        <v>70.525000000000006</v>
      </c>
      <c r="CR20" s="907">
        <v>70.67</v>
      </c>
      <c r="CS20" s="907">
        <v>70.814999999999998</v>
      </c>
      <c r="CT20" s="907">
        <v>70.960000000000008</v>
      </c>
      <c r="CU20" s="907">
        <v>71.09</v>
      </c>
      <c r="CV20" s="907">
        <v>71.234999999999999</v>
      </c>
      <c r="CW20" s="907">
        <v>71.37</v>
      </c>
      <c r="CX20" s="907">
        <v>71.509999999999991</v>
      </c>
      <c r="CY20" s="907">
        <v>71.650000000000006</v>
      </c>
      <c r="CZ20" s="907">
        <v>71.78</v>
      </c>
      <c r="DA20" s="907">
        <v>71.92</v>
      </c>
      <c r="DB20" s="907">
        <v>72.05</v>
      </c>
      <c r="DC20" s="907">
        <v>72.180000000000007</v>
      </c>
      <c r="DD20" s="907">
        <v>72.31</v>
      </c>
      <c r="DE20" s="907">
        <v>72.44</v>
      </c>
      <c r="DF20" s="907">
        <v>72.569999999999993</v>
      </c>
      <c r="DG20" s="907">
        <v>72.694999999999993</v>
      </c>
      <c r="DH20" s="907">
        <v>72.819999999999993</v>
      </c>
      <c r="DI20" s="907">
        <v>72.94</v>
      </c>
      <c r="DJ20" s="907">
        <v>73.064999999999998</v>
      </c>
      <c r="DK20" s="907">
        <v>73.185000000000002</v>
      </c>
      <c r="DL20" s="907">
        <v>73.31</v>
      </c>
      <c r="DM20" s="907">
        <v>73.430000000000007</v>
      </c>
      <c r="DN20" s="907">
        <v>73.545000000000002</v>
      </c>
      <c r="DO20" s="907">
        <v>73.67</v>
      </c>
      <c r="DP20" s="907">
        <v>73.784999999999997</v>
      </c>
      <c r="DQ20" s="907">
        <v>73.900000000000006</v>
      </c>
      <c r="DR20" s="907">
        <v>74.009999999999991</v>
      </c>
    </row>
    <row r="21" spans="1:122" s="127" customFormat="1" ht="12.75">
      <c r="A21" s="911">
        <v>19</v>
      </c>
      <c r="B21" s="907">
        <v>50.805922530414875</v>
      </c>
      <c r="C21" s="907">
        <v>51.050029468517138</v>
      </c>
      <c r="D21" s="907">
        <v>51.366654122737259</v>
      </c>
      <c r="E21" s="907">
        <v>51.633298031747607</v>
      </c>
      <c r="F21" s="907">
        <v>51.977841290292588</v>
      </c>
      <c r="G21" s="907">
        <v>52.280827331637255</v>
      </c>
      <c r="H21" s="907">
        <v>52.503032470683181</v>
      </c>
      <c r="I21" s="907">
        <v>52.817327552666654</v>
      </c>
      <c r="J21" s="907">
        <v>53.08453203675478</v>
      </c>
      <c r="K21" s="907">
        <v>53.391327758963556</v>
      </c>
      <c r="L21" s="907">
        <v>53.697401843198122</v>
      </c>
      <c r="M21" s="907">
        <v>53.949045024744052</v>
      </c>
      <c r="N21" s="907">
        <v>54.207619542418122</v>
      </c>
      <c r="O21" s="907">
        <v>54.406751180015831</v>
      </c>
      <c r="P21" s="907">
        <v>54.698627062935827</v>
      </c>
      <c r="Q21" s="907">
        <v>54.843241028414461</v>
      </c>
      <c r="R21" s="907">
        <v>55.054359079093253</v>
      </c>
      <c r="S21" s="907">
        <v>55.202849647322402</v>
      </c>
      <c r="T21" s="907">
        <v>55.189857938172821</v>
      </c>
      <c r="U21" s="907">
        <v>55.43554503880722</v>
      </c>
      <c r="V21" s="907">
        <v>55.715000000000003</v>
      </c>
      <c r="W21" s="907">
        <v>55.984999999999999</v>
      </c>
      <c r="X21" s="907">
        <v>56.254999999999995</v>
      </c>
      <c r="Y21" s="907">
        <v>56.435000000000002</v>
      </c>
      <c r="Z21" s="907">
        <v>56.715000000000003</v>
      </c>
      <c r="AA21" s="907">
        <v>56.980000000000004</v>
      </c>
      <c r="AB21" s="907">
        <v>57.28</v>
      </c>
      <c r="AC21" s="907">
        <v>57.59</v>
      </c>
      <c r="AD21" s="907">
        <v>57.75</v>
      </c>
      <c r="AE21" s="907">
        <v>58.015000000000001</v>
      </c>
      <c r="AF21" s="907">
        <v>58.295000000000002</v>
      </c>
      <c r="AG21" s="907">
        <v>58.53</v>
      </c>
      <c r="AH21" s="907">
        <v>58.805</v>
      </c>
      <c r="AI21" s="907">
        <v>59.07</v>
      </c>
      <c r="AJ21" s="907">
        <v>59.39</v>
      </c>
      <c r="AK21" s="907">
        <v>59.68</v>
      </c>
      <c r="AL21" s="907">
        <v>60.03</v>
      </c>
      <c r="AM21" s="907">
        <v>60.34</v>
      </c>
      <c r="AN21" s="907">
        <v>60.564999999999998</v>
      </c>
      <c r="AO21" s="907">
        <v>60.73</v>
      </c>
      <c r="AP21" s="907">
        <v>60.91</v>
      </c>
      <c r="AQ21" s="907">
        <v>61.050000000000004</v>
      </c>
      <c r="AR21" s="907">
        <v>61.22</v>
      </c>
      <c r="AS21" s="907">
        <v>61.3</v>
      </c>
      <c r="AT21" s="907">
        <v>61.364999999999995</v>
      </c>
      <c r="AU21" s="907">
        <v>61.435000000000002</v>
      </c>
      <c r="AV21" s="907">
        <v>61.534999999999997</v>
      </c>
      <c r="AW21" s="907">
        <v>61.835000000000001</v>
      </c>
      <c r="AX21" s="907">
        <v>61.97</v>
      </c>
      <c r="AY21" s="907">
        <v>62.09</v>
      </c>
      <c r="AZ21" s="907">
        <v>62.175000000000004</v>
      </c>
      <c r="BA21" s="907">
        <v>62.29</v>
      </c>
      <c r="BB21" s="907">
        <v>62.434999999999995</v>
      </c>
      <c r="BC21" s="907">
        <v>62.564999999999998</v>
      </c>
      <c r="BD21" s="907">
        <v>62.730000000000004</v>
      </c>
      <c r="BE21" s="907">
        <v>62.879999999999995</v>
      </c>
      <c r="BF21" s="907">
        <v>63.08</v>
      </c>
      <c r="BG21" s="907">
        <v>63.25</v>
      </c>
      <c r="BH21" s="907">
        <v>63.510000000000005</v>
      </c>
      <c r="BI21" s="907">
        <v>63.685000000000002</v>
      </c>
      <c r="BJ21" s="907">
        <v>63.91</v>
      </c>
      <c r="BK21" s="907">
        <v>64.105000000000004</v>
      </c>
      <c r="BL21" s="907">
        <v>64.344999999999999</v>
      </c>
      <c r="BM21" s="907">
        <v>64.594999999999999</v>
      </c>
      <c r="BN21" s="907">
        <v>64.8</v>
      </c>
      <c r="BO21" s="907">
        <v>65</v>
      </c>
      <c r="BP21" s="907">
        <v>65.204999999999998</v>
      </c>
      <c r="BQ21" s="907">
        <v>65.384999999999991</v>
      </c>
      <c r="BR21" s="907">
        <v>65.564999999999998</v>
      </c>
      <c r="BS21" s="907">
        <v>65.75</v>
      </c>
      <c r="BT21" s="908">
        <v>65.929999999999993</v>
      </c>
      <c r="BU21" s="907">
        <v>66.070000000000007</v>
      </c>
      <c r="BV21" s="907">
        <v>66.254999999999995</v>
      </c>
      <c r="BW21" s="907">
        <v>66.425000000000011</v>
      </c>
      <c r="BX21" s="907">
        <v>66.59</v>
      </c>
      <c r="BY21" s="907">
        <v>66.75</v>
      </c>
      <c r="BZ21" s="907">
        <v>66.905000000000001</v>
      </c>
      <c r="CA21" s="907">
        <v>67.050000000000011</v>
      </c>
      <c r="CB21" s="907">
        <v>67.22</v>
      </c>
      <c r="CC21" s="907">
        <v>67.38</v>
      </c>
      <c r="CD21" s="907">
        <v>67.539999999999992</v>
      </c>
      <c r="CE21" s="907">
        <v>67.7</v>
      </c>
      <c r="CF21" s="907">
        <v>67.860000000000014</v>
      </c>
      <c r="CG21" s="907">
        <v>68.02</v>
      </c>
      <c r="CH21" s="907">
        <v>68.174999999999997</v>
      </c>
      <c r="CI21" s="907">
        <v>68.355000000000004</v>
      </c>
      <c r="CJ21" s="907">
        <v>68.495000000000005</v>
      </c>
      <c r="CK21" s="907">
        <v>68.644999999999996</v>
      </c>
      <c r="CL21" s="907">
        <v>68.805000000000007</v>
      </c>
      <c r="CM21" s="907">
        <v>68.959999999999994</v>
      </c>
      <c r="CN21" s="907">
        <v>69.11</v>
      </c>
      <c r="CO21" s="907">
        <v>69.254999999999995</v>
      </c>
      <c r="CP21" s="907">
        <v>69.41</v>
      </c>
      <c r="CQ21" s="907">
        <v>69.544999999999987</v>
      </c>
      <c r="CR21" s="907">
        <v>69.694999999999993</v>
      </c>
      <c r="CS21" s="907">
        <v>69.835000000000008</v>
      </c>
      <c r="CT21" s="907">
        <v>69.974999999999994</v>
      </c>
      <c r="CU21" s="907">
        <v>70.114999999999995</v>
      </c>
      <c r="CV21" s="907">
        <v>70.25</v>
      </c>
      <c r="CW21" s="907">
        <v>70.39</v>
      </c>
      <c r="CX21" s="907">
        <v>70.53</v>
      </c>
      <c r="CY21" s="907">
        <v>70.664999999999992</v>
      </c>
      <c r="CZ21" s="907">
        <v>70.795000000000002</v>
      </c>
      <c r="DA21" s="907">
        <v>70.935000000000002</v>
      </c>
      <c r="DB21" s="907">
        <v>71.064999999999998</v>
      </c>
      <c r="DC21" s="907">
        <v>71.194999999999993</v>
      </c>
      <c r="DD21" s="907">
        <v>71.325000000000003</v>
      </c>
      <c r="DE21" s="907">
        <v>71.455000000000013</v>
      </c>
      <c r="DF21" s="907">
        <v>71.580000000000013</v>
      </c>
      <c r="DG21" s="907">
        <v>71.710000000000008</v>
      </c>
      <c r="DH21" s="907">
        <v>71.83</v>
      </c>
      <c r="DI21" s="907">
        <v>71.954999999999998</v>
      </c>
      <c r="DJ21" s="907">
        <v>72.08</v>
      </c>
      <c r="DK21" s="907">
        <v>72.2</v>
      </c>
      <c r="DL21" s="907">
        <v>72.325000000000003</v>
      </c>
      <c r="DM21" s="907">
        <v>72.44</v>
      </c>
      <c r="DN21" s="907">
        <v>72.56</v>
      </c>
      <c r="DO21" s="907">
        <v>72.675000000000011</v>
      </c>
      <c r="DP21" s="907">
        <v>72.789999999999992</v>
      </c>
      <c r="DQ21" s="907">
        <v>72.905000000000001</v>
      </c>
      <c r="DR21" s="907">
        <v>73.02</v>
      </c>
    </row>
    <row r="22" spans="1:122" s="127" customFormat="1" ht="12.75">
      <c r="A22" s="911">
        <v>20</v>
      </c>
      <c r="B22" s="907">
        <v>50.111681649880659</v>
      </c>
      <c r="C22" s="907">
        <v>50.332858773588654</v>
      </c>
      <c r="D22" s="907">
        <v>50.594284683868423</v>
      </c>
      <c r="E22" s="907">
        <v>50.864868122364307</v>
      </c>
      <c r="F22" s="907">
        <v>51.214352394648856</v>
      </c>
      <c r="G22" s="907">
        <v>51.461070259154397</v>
      </c>
      <c r="H22" s="907">
        <v>51.684032905865124</v>
      </c>
      <c r="I22" s="907">
        <v>51.999418337353859</v>
      </c>
      <c r="J22" s="907">
        <v>52.25000568559652</v>
      </c>
      <c r="K22" s="907">
        <v>52.551009828259545</v>
      </c>
      <c r="L22" s="907">
        <v>52.857824332075126</v>
      </c>
      <c r="M22" s="907">
        <v>53.090464114231608</v>
      </c>
      <c r="N22" s="907">
        <v>53.34663226634504</v>
      </c>
      <c r="O22" s="907">
        <v>53.535085955738197</v>
      </c>
      <c r="P22" s="907">
        <v>53.827659364678127</v>
      </c>
      <c r="Q22" s="907">
        <v>53.972619922807112</v>
      </c>
      <c r="R22" s="907">
        <v>54.183499169396129</v>
      </c>
      <c r="S22" s="907">
        <v>54.326912734146923</v>
      </c>
      <c r="T22" s="907">
        <v>54.31151449184425</v>
      </c>
      <c r="U22" s="907">
        <v>54.560903251493478</v>
      </c>
      <c r="V22" s="907">
        <v>54.844999999999999</v>
      </c>
      <c r="W22" s="907">
        <v>55.120000000000005</v>
      </c>
      <c r="X22" s="907">
        <v>55.384999999999998</v>
      </c>
      <c r="Y22" s="907">
        <v>55.56</v>
      </c>
      <c r="Z22" s="907">
        <v>55.86</v>
      </c>
      <c r="AA22" s="907">
        <v>56.14</v>
      </c>
      <c r="AB22" s="907">
        <v>56.515000000000001</v>
      </c>
      <c r="AC22" s="907">
        <v>56.754999999999995</v>
      </c>
      <c r="AD22" s="907">
        <v>56.92</v>
      </c>
      <c r="AE22" s="907">
        <v>57.14</v>
      </c>
      <c r="AF22" s="907">
        <v>57.375</v>
      </c>
      <c r="AG22" s="907">
        <v>57.615000000000002</v>
      </c>
      <c r="AH22" s="907">
        <v>57.885000000000005</v>
      </c>
      <c r="AI22" s="907">
        <v>58.144999999999996</v>
      </c>
      <c r="AJ22" s="907">
        <v>58.46</v>
      </c>
      <c r="AK22" s="907">
        <v>58.745000000000005</v>
      </c>
      <c r="AL22" s="907">
        <v>59.094999999999999</v>
      </c>
      <c r="AM22" s="907">
        <v>59.41</v>
      </c>
      <c r="AN22" s="907">
        <v>59.64</v>
      </c>
      <c r="AO22" s="907">
        <v>59.8</v>
      </c>
      <c r="AP22" s="907">
        <v>59.980000000000004</v>
      </c>
      <c r="AQ22" s="907">
        <v>60.125</v>
      </c>
      <c r="AR22" s="907">
        <v>60.29</v>
      </c>
      <c r="AS22" s="907">
        <v>60.365000000000002</v>
      </c>
      <c r="AT22" s="907">
        <v>60.435000000000002</v>
      </c>
      <c r="AU22" s="907">
        <v>60.510000000000005</v>
      </c>
      <c r="AV22" s="907">
        <v>60.61</v>
      </c>
      <c r="AW22" s="907">
        <v>60.9</v>
      </c>
      <c r="AX22" s="907">
        <v>61.034999999999997</v>
      </c>
      <c r="AY22" s="907">
        <v>61.16</v>
      </c>
      <c r="AZ22" s="907">
        <v>61.25</v>
      </c>
      <c r="BA22" s="907">
        <v>61.365000000000002</v>
      </c>
      <c r="BB22" s="907">
        <v>61.510000000000005</v>
      </c>
      <c r="BC22" s="907">
        <v>61.645000000000003</v>
      </c>
      <c r="BD22" s="907">
        <v>61.795000000000002</v>
      </c>
      <c r="BE22" s="907">
        <v>61.954999999999998</v>
      </c>
      <c r="BF22" s="907">
        <v>62.155000000000001</v>
      </c>
      <c r="BG22" s="907">
        <v>62.325000000000003</v>
      </c>
      <c r="BH22" s="907">
        <v>62.584999999999994</v>
      </c>
      <c r="BI22" s="907">
        <v>62.760000000000005</v>
      </c>
      <c r="BJ22" s="907">
        <v>62.980000000000004</v>
      </c>
      <c r="BK22" s="907">
        <v>63.175000000000004</v>
      </c>
      <c r="BL22" s="907">
        <v>63.415000000000006</v>
      </c>
      <c r="BM22" s="907">
        <v>63.655000000000001</v>
      </c>
      <c r="BN22" s="907">
        <v>63.864999999999995</v>
      </c>
      <c r="BO22" s="907">
        <v>64.055000000000007</v>
      </c>
      <c r="BP22" s="907">
        <v>64.25</v>
      </c>
      <c r="BQ22" s="907">
        <v>64.435000000000002</v>
      </c>
      <c r="BR22" s="907">
        <v>64.614999999999995</v>
      </c>
      <c r="BS22" s="907">
        <v>64.789999999999992</v>
      </c>
      <c r="BT22" s="908">
        <v>64.97999999999999</v>
      </c>
      <c r="BU22" s="907">
        <v>65.125</v>
      </c>
      <c r="BV22" s="907">
        <v>65.305000000000007</v>
      </c>
      <c r="BW22" s="907">
        <v>65.47</v>
      </c>
      <c r="BX22" s="907">
        <v>65.64</v>
      </c>
      <c r="BY22" s="907">
        <v>65.795000000000002</v>
      </c>
      <c r="BZ22" s="907">
        <v>65.95</v>
      </c>
      <c r="CA22" s="907">
        <v>66.105000000000004</v>
      </c>
      <c r="CB22" s="907">
        <v>66.265000000000001</v>
      </c>
      <c r="CC22" s="907">
        <v>66.425000000000011</v>
      </c>
      <c r="CD22" s="907">
        <v>66.580000000000013</v>
      </c>
      <c r="CE22" s="907">
        <v>66.745000000000005</v>
      </c>
      <c r="CF22" s="907">
        <v>66.900000000000006</v>
      </c>
      <c r="CG22" s="907">
        <v>67.055000000000007</v>
      </c>
      <c r="CH22" s="907">
        <v>67.209999999999994</v>
      </c>
      <c r="CI22" s="907">
        <v>67.38</v>
      </c>
      <c r="CJ22" s="907">
        <v>67.52</v>
      </c>
      <c r="CK22" s="907">
        <v>67.674999999999997</v>
      </c>
      <c r="CL22" s="907">
        <v>67.834999999999994</v>
      </c>
      <c r="CM22" s="907">
        <v>67.97999999999999</v>
      </c>
      <c r="CN22" s="907">
        <v>68.134999999999991</v>
      </c>
      <c r="CO22" s="907">
        <v>68.28</v>
      </c>
      <c r="CP22" s="907">
        <v>68.435000000000002</v>
      </c>
      <c r="CQ22" s="907">
        <v>68.569999999999993</v>
      </c>
      <c r="CR22" s="907">
        <v>68.710000000000008</v>
      </c>
      <c r="CS22" s="907">
        <v>68.855000000000004</v>
      </c>
      <c r="CT22" s="907">
        <v>68.995000000000005</v>
      </c>
      <c r="CU22" s="907">
        <v>69.13</v>
      </c>
      <c r="CV22" s="907">
        <v>69.27000000000001</v>
      </c>
      <c r="CW22" s="907">
        <v>69.41</v>
      </c>
      <c r="CX22" s="907">
        <v>69.545000000000002</v>
      </c>
      <c r="CY22" s="907">
        <v>69.685000000000002</v>
      </c>
      <c r="CZ22" s="907">
        <v>69.814999999999998</v>
      </c>
      <c r="DA22" s="907">
        <v>69.95</v>
      </c>
      <c r="DB22" s="907">
        <v>70.080000000000013</v>
      </c>
      <c r="DC22" s="907">
        <v>70.210000000000008</v>
      </c>
      <c r="DD22" s="907">
        <v>70.34</v>
      </c>
      <c r="DE22" s="907">
        <v>70.47</v>
      </c>
      <c r="DF22" s="907">
        <v>70.594999999999999</v>
      </c>
      <c r="DG22" s="907">
        <v>70.724999999999994</v>
      </c>
      <c r="DH22" s="907">
        <v>70.844999999999999</v>
      </c>
      <c r="DI22" s="907">
        <v>70.97</v>
      </c>
      <c r="DJ22" s="907">
        <v>71.094999999999999</v>
      </c>
      <c r="DK22" s="907">
        <v>71.215000000000003</v>
      </c>
      <c r="DL22" s="907">
        <v>71.330000000000013</v>
      </c>
      <c r="DM22" s="907">
        <v>71.455000000000013</v>
      </c>
      <c r="DN22" s="907">
        <v>71.569999999999993</v>
      </c>
      <c r="DO22" s="907">
        <v>71.685000000000002</v>
      </c>
      <c r="DP22" s="907">
        <v>71.805000000000007</v>
      </c>
      <c r="DQ22" s="907">
        <v>71.919999999999987</v>
      </c>
      <c r="DR22" s="907">
        <v>72.034999999999997</v>
      </c>
    </row>
    <row r="23" spans="1:122" s="127" customFormat="1" ht="12.75">
      <c r="A23" s="911">
        <v>21</v>
      </c>
      <c r="B23" s="907">
        <v>49.40399859360835</v>
      </c>
      <c r="C23" s="907">
        <v>49.56985331398144</v>
      </c>
      <c r="D23" s="907">
        <v>49.840928799974805</v>
      </c>
      <c r="E23" s="907">
        <v>50.11648026070953</v>
      </c>
      <c r="F23" s="907">
        <v>50.406226236817133</v>
      </c>
      <c r="G23" s="907">
        <v>50.653864436458875</v>
      </c>
      <c r="H23" s="907">
        <v>50.877651180135324</v>
      </c>
      <c r="I23" s="907">
        <v>51.175609786019166</v>
      </c>
      <c r="J23" s="907">
        <v>51.418271780957006</v>
      </c>
      <c r="K23" s="907">
        <v>51.720098831487796</v>
      </c>
      <c r="L23" s="907">
        <v>52.005653392169904</v>
      </c>
      <c r="M23" s="907">
        <v>52.235734337427786</v>
      </c>
      <c r="N23" s="907">
        <v>52.48089731993548</v>
      </c>
      <c r="O23" s="907">
        <v>52.669832015887124</v>
      </c>
      <c r="P23" s="907">
        <v>52.963151620005689</v>
      </c>
      <c r="Q23" s="907">
        <v>53.109404726495548</v>
      </c>
      <c r="R23" s="907">
        <v>53.315379529103801</v>
      </c>
      <c r="S23" s="907">
        <v>53.454683885631582</v>
      </c>
      <c r="T23" s="907">
        <v>53.442540028603673</v>
      </c>
      <c r="U23" s="907">
        <v>53.695839382587224</v>
      </c>
      <c r="V23" s="907">
        <v>53.980000000000004</v>
      </c>
      <c r="W23" s="907">
        <v>54.254999999999995</v>
      </c>
      <c r="X23" s="907">
        <v>54.519999999999996</v>
      </c>
      <c r="Y23" s="907">
        <v>54.71</v>
      </c>
      <c r="Z23" s="907">
        <v>55.03</v>
      </c>
      <c r="AA23" s="907">
        <v>55.39</v>
      </c>
      <c r="AB23" s="907">
        <v>55.704999999999998</v>
      </c>
      <c r="AC23" s="907">
        <v>55.945</v>
      </c>
      <c r="AD23" s="907">
        <v>56.06</v>
      </c>
      <c r="AE23" s="907">
        <v>56.224999999999994</v>
      </c>
      <c r="AF23" s="907">
        <v>56.46</v>
      </c>
      <c r="AG23" s="907">
        <v>56.7</v>
      </c>
      <c r="AH23" s="907">
        <v>56.959999999999994</v>
      </c>
      <c r="AI23" s="907">
        <v>57.215000000000003</v>
      </c>
      <c r="AJ23" s="907">
        <v>57.534999999999997</v>
      </c>
      <c r="AK23" s="907">
        <v>57.814999999999998</v>
      </c>
      <c r="AL23" s="907">
        <v>58.174999999999997</v>
      </c>
      <c r="AM23" s="907">
        <v>58.489999999999995</v>
      </c>
      <c r="AN23" s="907">
        <v>58.715000000000003</v>
      </c>
      <c r="AO23" s="907">
        <v>58.870000000000005</v>
      </c>
      <c r="AP23" s="907">
        <v>59.05</v>
      </c>
      <c r="AQ23" s="907">
        <v>59.195</v>
      </c>
      <c r="AR23" s="907">
        <v>59.36</v>
      </c>
      <c r="AS23" s="907">
        <v>59.43</v>
      </c>
      <c r="AT23" s="907">
        <v>59.494999999999997</v>
      </c>
      <c r="AU23" s="907">
        <v>59.58</v>
      </c>
      <c r="AV23" s="907">
        <v>59.68</v>
      </c>
      <c r="AW23" s="907">
        <v>59.965000000000003</v>
      </c>
      <c r="AX23" s="907">
        <v>60.094999999999999</v>
      </c>
      <c r="AY23" s="907">
        <v>60.230000000000004</v>
      </c>
      <c r="AZ23" s="907">
        <v>60.32</v>
      </c>
      <c r="BA23" s="907">
        <v>60.444999999999993</v>
      </c>
      <c r="BB23" s="907">
        <v>60.585000000000001</v>
      </c>
      <c r="BC23" s="907">
        <v>60.709999999999994</v>
      </c>
      <c r="BD23" s="907">
        <v>60.864999999999995</v>
      </c>
      <c r="BE23" s="907">
        <v>61.024999999999999</v>
      </c>
      <c r="BF23" s="907">
        <v>61.230000000000004</v>
      </c>
      <c r="BG23" s="907">
        <v>61.400000000000006</v>
      </c>
      <c r="BH23" s="907">
        <v>61.655000000000001</v>
      </c>
      <c r="BI23" s="907">
        <v>61.82</v>
      </c>
      <c r="BJ23" s="907">
        <v>62.040000000000006</v>
      </c>
      <c r="BK23" s="907">
        <v>62.234999999999999</v>
      </c>
      <c r="BL23" s="907">
        <v>62.475000000000001</v>
      </c>
      <c r="BM23" s="907">
        <v>62.709999999999994</v>
      </c>
      <c r="BN23" s="907">
        <v>62.914999999999999</v>
      </c>
      <c r="BO23" s="907">
        <v>63.099999999999994</v>
      </c>
      <c r="BP23" s="907">
        <v>63.3</v>
      </c>
      <c r="BQ23" s="907">
        <v>63.484999999999999</v>
      </c>
      <c r="BR23" s="907">
        <v>63.66</v>
      </c>
      <c r="BS23" s="907">
        <v>63.84</v>
      </c>
      <c r="BT23" s="908">
        <v>64.025000000000006</v>
      </c>
      <c r="BU23" s="907">
        <v>64.17</v>
      </c>
      <c r="BV23" s="907">
        <v>64.349999999999994</v>
      </c>
      <c r="BW23" s="907">
        <v>64.52</v>
      </c>
      <c r="BX23" s="907">
        <v>64.685000000000002</v>
      </c>
      <c r="BY23" s="907">
        <v>64.844999999999999</v>
      </c>
      <c r="BZ23" s="907">
        <v>65</v>
      </c>
      <c r="CA23" s="907">
        <v>65.150000000000006</v>
      </c>
      <c r="CB23" s="907">
        <v>65.305000000000007</v>
      </c>
      <c r="CC23" s="907">
        <v>65.465000000000003</v>
      </c>
      <c r="CD23" s="907">
        <v>65.625</v>
      </c>
      <c r="CE23" s="907">
        <v>65.784999999999997</v>
      </c>
      <c r="CF23" s="907">
        <v>65.935000000000002</v>
      </c>
      <c r="CG23" s="907">
        <v>66.09</v>
      </c>
      <c r="CH23" s="907">
        <v>66.240000000000009</v>
      </c>
      <c r="CI23" s="907">
        <v>66.41</v>
      </c>
      <c r="CJ23" s="907">
        <v>66.550000000000011</v>
      </c>
      <c r="CK23" s="907">
        <v>66.705000000000013</v>
      </c>
      <c r="CL23" s="907">
        <v>66.85499999999999</v>
      </c>
      <c r="CM23" s="907">
        <v>67</v>
      </c>
      <c r="CN23" s="907">
        <v>67.155000000000001</v>
      </c>
      <c r="CO23" s="907">
        <v>67.31</v>
      </c>
      <c r="CP23" s="907">
        <v>67.454999999999998</v>
      </c>
      <c r="CQ23" s="907">
        <v>67.59</v>
      </c>
      <c r="CR23" s="907">
        <v>67.734999999999999</v>
      </c>
      <c r="CS23" s="907">
        <v>67.88</v>
      </c>
      <c r="CT23" s="907">
        <v>68.02000000000001</v>
      </c>
      <c r="CU23" s="907">
        <v>68.155000000000001</v>
      </c>
      <c r="CV23" s="907">
        <v>68.295000000000002</v>
      </c>
      <c r="CW23" s="907">
        <v>68.424999999999997</v>
      </c>
      <c r="CX23" s="907">
        <v>68.564999999999998</v>
      </c>
      <c r="CY23" s="907">
        <v>68.699999999999989</v>
      </c>
      <c r="CZ23" s="907">
        <v>68.83</v>
      </c>
      <c r="DA23" s="907">
        <v>68.965000000000003</v>
      </c>
      <c r="DB23" s="907">
        <v>69.094999999999999</v>
      </c>
      <c r="DC23" s="907">
        <v>69.224999999999994</v>
      </c>
      <c r="DD23" s="907">
        <v>69.36</v>
      </c>
      <c r="DE23" s="907">
        <v>69.484999999999999</v>
      </c>
      <c r="DF23" s="907">
        <v>69.61</v>
      </c>
      <c r="DG23" s="907">
        <v>69.734999999999999</v>
      </c>
      <c r="DH23" s="907">
        <v>69.86</v>
      </c>
      <c r="DI23" s="907">
        <v>69.984999999999999</v>
      </c>
      <c r="DJ23" s="907">
        <v>70.105000000000004</v>
      </c>
      <c r="DK23" s="907">
        <v>70.224999999999994</v>
      </c>
      <c r="DL23" s="907">
        <v>70.344999999999999</v>
      </c>
      <c r="DM23" s="907">
        <v>70.460000000000008</v>
      </c>
      <c r="DN23" s="907">
        <v>70.585000000000008</v>
      </c>
      <c r="DO23" s="907">
        <v>70.699999999999989</v>
      </c>
      <c r="DP23" s="907">
        <v>70.814999999999998</v>
      </c>
      <c r="DQ23" s="907">
        <v>70.930000000000007</v>
      </c>
      <c r="DR23" s="907">
        <v>71.039999999999992</v>
      </c>
    </row>
    <row r="24" spans="1:122" s="127" customFormat="1" ht="12.75">
      <c r="A24" s="911">
        <v>22</v>
      </c>
      <c r="B24" s="907">
        <v>48.645538414633393</v>
      </c>
      <c r="C24" s="907">
        <v>48.82386888773118</v>
      </c>
      <c r="D24" s="907">
        <v>49.100115087852075</v>
      </c>
      <c r="E24" s="907">
        <v>49.313820782873975</v>
      </c>
      <c r="F24" s="907">
        <v>49.604711979537392</v>
      </c>
      <c r="G24" s="907">
        <v>49.853320815987189</v>
      </c>
      <c r="H24" s="907">
        <v>50.058850098083447</v>
      </c>
      <c r="I24" s="907">
        <v>50.348527983293664</v>
      </c>
      <c r="J24" s="907">
        <v>50.591821708422358</v>
      </c>
      <c r="K24" s="907">
        <v>50.871566063990684</v>
      </c>
      <c r="L24" s="907">
        <v>51.154691741262376</v>
      </c>
      <c r="M24" s="907">
        <v>51.373437138313705</v>
      </c>
      <c r="N24" s="907">
        <v>51.619251001951753</v>
      </c>
      <c r="O24" s="907">
        <v>51.808690764742366</v>
      </c>
      <c r="P24" s="907">
        <v>52.107366946973869</v>
      </c>
      <c r="Q24" s="907">
        <v>52.248569799607324</v>
      </c>
      <c r="R24" s="907">
        <v>52.446692851756623</v>
      </c>
      <c r="S24" s="907">
        <v>52.589698726647867</v>
      </c>
      <c r="T24" s="907">
        <v>52.580887793701606</v>
      </c>
      <c r="U24" s="907">
        <v>52.834847512332992</v>
      </c>
      <c r="V24" s="907">
        <v>53.120000000000005</v>
      </c>
      <c r="W24" s="907">
        <v>53.395000000000003</v>
      </c>
      <c r="X24" s="907">
        <v>53.68</v>
      </c>
      <c r="Y24" s="907">
        <v>53.89</v>
      </c>
      <c r="Z24" s="907">
        <v>54.29</v>
      </c>
      <c r="AA24" s="907">
        <v>54.585000000000001</v>
      </c>
      <c r="AB24" s="907">
        <v>54.9</v>
      </c>
      <c r="AC24" s="907">
        <v>55.09</v>
      </c>
      <c r="AD24" s="907">
        <v>55.150000000000006</v>
      </c>
      <c r="AE24" s="907">
        <v>55.314999999999998</v>
      </c>
      <c r="AF24" s="907">
        <v>55.55</v>
      </c>
      <c r="AG24" s="907">
        <v>55.775000000000006</v>
      </c>
      <c r="AH24" s="907">
        <v>56.034999999999997</v>
      </c>
      <c r="AI24" s="907">
        <v>56.29</v>
      </c>
      <c r="AJ24" s="907">
        <v>56.605000000000004</v>
      </c>
      <c r="AK24" s="907">
        <v>56.895000000000003</v>
      </c>
      <c r="AL24" s="907">
        <v>57.245000000000005</v>
      </c>
      <c r="AM24" s="907">
        <v>57.56</v>
      </c>
      <c r="AN24" s="907">
        <v>57.774999999999999</v>
      </c>
      <c r="AO24" s="907">
        <v>57.94</v>
      </c>
      <c r="AP24" s="907">
        <v>58.125</v>
      </c>
      <c r="AQ24" s="907">
        <v>58.26</v>
      </c>
      <c r="AR24" s="907">
        <v>58.424999999999997</v>
      </c>
      <c r="AS24" s="907">
        <v>58.5</v>
      </c>
      <c r="AT24" s="907">
        <v>58.56</v>
      </c>
      <c r="AU24" s="907">
        <v>58.64</v>
      </c>
      <c r="AV24" s="907">
        <v>58.74</v>
      </c>
      <c r="AW24" s="907">
        <v>59.024999999999999</v>
      </c>
      <c r="AX24" s="907">
        <v>59.16</v>
      </c>
      <c r="AY24" s="907">
        <v>59.295000000000002</v>
      </c>
      <c r="AZ24" s="907">
        <v>59.394999999999996</v>
      </c>
      <c r="BA24" s="907">
        <v>59.515000000000001</v>
      </c>
      <c r="BB24" s="907">
        <v>59.65</v>
      </c>
      <c r="BC24" s="907">
        <v>59.78</v>
      </c>
      <c r="BD24" s="907">
        <v>59.93</v>
      </c>
      <c r="BE24" s="907">
        <v>60.094999999999999</v>
      </c>
      <c r="BF24" s="907">
        <v>60.29</v>
      </c>
      <c r="BG24" s="907">
        <v>60.465000000000003</v>
      </c>
      <c r="BH24" s="907">
        <v>60.715000000000003</v>
      </c>
      <c r="BI24" s="907">
        <v>60.879999999999995</v>
      </c>
      <c r="BJ24" s="907">
        <v>61.099999999999994</v>
      </c>
      <c r="BK24" s="907">
        <v>61.290000000000006</v>
      </c>
      <c r="BL24" s="907">
        <v>61.53</v>
      </c>
      <c r="BM24" s="907">
        <v>61.755000000000003</v>
      </c>
      <c r="BN24" s="907">
        <v>61.96</v>
      </c>
      <c r="BO24" s="907">
        <v>62.14</v>
      </c>
      <c r="BP24" s="907">
        <v>62.344999999999999</v>
      </c>
      <c r="BQ24" s="907">
        <v>62.525000000000006</v>
      </c>
      <c r="BR24" s="907">
        <v>62.704999999999998</v>
      </c>
      <c r="BS24" s="907">
        <v>62.89</v>
      </c>
      <c r="BT24" s="908">
        <v>63.074999999999996</v>
      </c>
      <c r="BU24" s="907">
        <v>63.22</v>
      </c>
      <c r="BV24" s="907">
        <v>63.395000000000003</v>
      </c>
      <c r="BW24" s="907">
        <v>63.56</v>
      </c>
      <c r="BX24" s="907">
        <v>63.73</v>
      </c>
      <c r="BY24" s="907">
        <v>63.879999999999995</v>
      </c>
      <c r="BZ24" s="907">
        <v>64.039999999999992</v>
      </c>
      <c r="CA24" s="907">
        <v>64.19</v>
      </c>
      <c r="CB24" s="907">
        <v>64.349999999999994</v>
      </c>
      <c r="CC24" s="907">
        <v>64.504999999999995</v>
      </c>
      <c r="CD24" s="907">
        <v>64.66</v>
      </c>
      <c r="CE24" s="907">
        <v>64.814999999999998</v>
      </c>
      <c r="CF24" s="907">
        <v>64.97</v>
      </c>
      <c r="CG24" s="907">
        <v>65.12</v>
      </c>
      <c r="CH24" s="907">
        <v>65.27</v>
      </c>
      <c r="CI24" s="907">
        <v>65.435000000000002</v>
      </c>
      <c r="CJ24" s="907">
        <v>65.58</v>
      </c>
      <c r="CK24" s="907">
        <v>65.724999999999994</v>
      </c>
      <c r="CL24" s="907">
        <v>65.88</v>
      </c>
      <c r="CM24" s="907">
        <v>66.03</v>
      </c>
      <c r="CN24" s="907">
        <v>66.180000000000007</v>
      </c>
      <c r="CO24" s="907">
        <v>66.325000000000003</v>
      </c>
      <c r="CP24" s="907">
        <v>66.474999999999994</v>
      </c>
      <c r="CQ24" s="907">
        <v>66.61</v>
      </c>
      <c r="CR24" s="907">
        <v>66.75</v>
      </c>
      <c r="CS24" s="907">
        <v>66.900000000000006</v>
      </c>
      <c r="CT24" s="907">
        <v>67.039999999999992</v>
      </c>
      <c r="CU24" s="907">
        <v>67.174999999999997</v>
      </c>
      <c r="CV24" s="907">
        <v>67.314999999999998</v>
      </c>
      <c r="CW24" s="907">
        <v>67.449999999999989</v>
      </c>
      <c r="CX24" s="907">
        <v>67.58</v>
      </c>
      <c r="CY24" s="907">
        <v>67.72</v>
      </c>
      <c r="CZ24" s="907">
        <v>67.849999999999994</v>
      </c>
      <c r="DA24" s="907">
        <v>67.984999999999999</v>
      </c>
      <c r="DB24" s="907">
        <v>68.115000000000009</v>
      </c>
      <c r="DC24" s="907">
        <v>68.240000000000009</v>
      </c>
      <c r="DD24" s="907">
        <v>68.37</v>
      </c>
      <c r="DE24" s="907">
        <v>68.495000000000005</v>
      </c>
      <c r="DF24" s="907">
        <v>68.62</v>
      </c>
      <c r="DG24" s="907">
        <v>68.75</v>
      </c>
      <c r="DH24" s="907">
        <v>68.875</v>
      </c>
      <c r="DI24" s="907">
        <v>69</v>
      </c>
      <c r="DJ24" s="907">
        <v>69.115000000000009</v>
      </c>
      <c r="DK24" s="907">
        <v>69.240000000000009</v>
      </c>
      <c r="DL24" s="907">
        <v>69.36</v>
      </c>
      <c r="DM24" s="907">
        <v>69.474999999999994</v>
      </c>
      <c r="DN24" s="907">
        <v>69.59</v>
      </c>
      <c r="DO24" s="907">
        <v>69.710000000000008</v>
      </c>
      <c r="DP24" s="907">
        <v>69.825000000000003</v>
      </c>
      <c r="DQ24" s="907">
        <v>69.94</v>
      </c>
      <c r="DR24" s="907">
        <v>70.055000000000007</v>
      </c>
    </row>
    <row r="25" spans="1:122" s="127" customFormat="1" ht="12.75">
      <c r="A25" s="911">
        <v>23</v>
      </c>
      <c r="B25" s="907">
        <v>47.892669785202763</v>
      </c>
      <c r="C25" s="907">
        <v>48.073940642602309</v>
      </c>
      <c r="D25" s="907">
        <v>48.298157533575676</v>
      </c>
      <c r="E25" s="907">
        <v>48.512722638468944</v>
      </c>
      <c r="F25" s="907">
        <v>48.804792554268644</v>
      </c>
      <c r="G25" s="907">
        <v>49.032811021819043</v>
      </c>
      <c r="H25" s="907">
        <v>49.23616210996525</v>
      </c>
      <c r="I25" s="907">
        <v>49.529513649887988</v>
      </c>
      <c r="J25" s="907">
        <v>49.751205308887734</v>
      </c>
      <c r="K25" s="907">
        <v>50.019649483364944</v>
      </c>
      <c r="L25" s="907">
        <v>50.292678364122487</v>
      </c>
      <c r="M25" s="907">
        <v>50.512019929821847</v>
      </c>
      <c r="N25" s="907">
        <v>50.758502054364151</v>
      </c>
      <c r="O25" s="907">
        <v>50.959528602649115</v>
      </c>
      <c r="P25" s="907">
        <v>51.253611430701781</v>
      </c>
      <c r="Q25" s="907">
        <v>51.394921040402707</v>
      </c>
      <c r="R25" s="907">
        <v>51.590848070387267</v>
      </c>
      <c r="S25" s="907">
        <v>51.724096993109619</v>
      </c>
      <c r="T25" s="907">
        <v>51.71526625864221</v>
      </c>
      <c r="U25" s="907">
        <v>51.969879981505045</v>
      </c>
      <c r="V25" s="907">
        <v>52.254999999999995</v>
      </c>
      <c r="W25" s="907">
        <v>52.545000000000002</v>
      </c>
      <c r="X25" s="907">
        <v>52.844999999999999</v>
      </c>
      <c r="Y25" s="907">
        <v>53.14</v>
      </c>
      <c r="Z25" s="907">
        <v>53.484999999999999</v>
      </c>
      <c r="AA25" s="907">
        <v>53.79</v>
      </c>
      <c r="AB25" s="907">
        <v>54.04</v>
      </c>
      <c r="AC25" s="907">
        <v>54.18</v>
      </c>
      <c r="AD25" s="907">
        <v>54.24</v>
      </c>
      <c r="AE25" s="907">
        <v>54.405000000000001</v>
      </c>
      <c r="AF25" s="907">
        <v>54.629999999999995</v>
      </c>
      <c r="AG25" s="907">
        <v>54.855000000000004</v>
      </c>
      <c r="AH25" s="907">
        <v>55.11</v>
      </c>
      <c r="AI25" s="907">
        <v>55.36</v>
      </c>
      <c r="AJ25" s="907">
        <v>55.674999999999997</v>
      </c>
      <c r="AK25" s="907">
        <v>55.965000000000003</v>
      </c>
      <c r="AL25" s="907">
        <v>56.314999999999998</v>
      </c>
      <c r="AM25" s="907">
        <v>56.63</v>
      </c>
      <c r="AN25" s="907">
        <v>56.844999999999999</v>
      </c>
      <c r="AO25" s="907">
        <v>57.004999999999995</v>
      </c>
      <c r="AP25" s="907">
        <v>57.19</v>
      </c>
      <c r="AQ25" s="907">
        <v>57.32</v>
      </c>
      <c r="AR25" s="907">
        <v>57.489999999999995</v>
      </c>
      <c r="AS25" s="907">
        <v>57.555</v>
      </c>
      <c r="AT25" s="907">
        <v>57.625</v>
      </c>
      <c r="AU25" s="907">
        <v>57.71</v>
      </c>
      <c r="AV25" s="907">
        <v>57.805</v>
      </c>
      <c r="AW25" s="907">
        <v>58.09</v>
      </c>
      <c r="AX25" s="907">
        <v>58.230000000000004</v>
      </c>
      <c r="AY25" s="907">
        <v>58.36</v>
      </c>
      <c r="AZ25" s="907">
        <v>58.46</v>
      </c>
      <c r="BA25" s="907">
        <v>58.575000000000003</v>
      </c>
      <c r="BB25" s="907">
        <v>58.704999999999998</v>
      </c>
      <c r="BC25" s="907">
        <v>58.84</v>
      </c>
      <c r="BD25" s="907">
        <v>58.995000000000005</v>
      </c>
      <c r="BE25" s="907">
        <v>59.16</v>
      </c>
      <c r="BF25" s="907">
        <v>59.36</v>
      </c>
      <c r="BG25" s="907">
        <v>59.524999999999999</v>
      </c>
      <c r="BH25" s="907">
        <v>59.77</v>
      </c>
      <c r="BI25" s="907">
        <v>59.93</v>
      </c>
      <c r="BJ25" s="907">
        <v>60.155000000000001</v>
      </c>
      <c r="BK25" s="907">
        <v>60.34</v>
      </c>
      <c r="BL25" s="907">
        <v>60.575000000000003</v>
      </c>
      <c r="BM25" s="907">
        <v>60.805</v>
      </c>
      <c r="BN25" s="907">
        <v>61.004999999999995</v>
      </c>
      <c r="BO25" s="907">
        <v>61.185000000000002</v>
      </c>
      <c r="BP25" s="907">
        <v>61.384999999999998</v>
      </c>
      <c r="BQ25" s="907">
        <v>61.570000000000007</v>
      </c>
      <c r="BR25" s="907">
        <v>61.75</v>
      </c>
      <c r="BS25" s="907">
        <v>61.935000000000002</v>
      </c>
      <c r="BT25" s="908">
        <v>62.115000000000002</v>
      </c>
      <c r="BU25" s="907">
        <v>62.265000000000001</v>
      </c>
      <c r="BV25" s="907">
        <v>62.435000000000002</v>
      </c>
      <c r="BW25" s="907">
        <v>62.604999999999997</v>
      </c>
      <c r="BX25" s="907">
        <v>62.77</v>
      </c>
      <c r="BY25" s="907">
        <v>62.915000000000006</v>
      </c>
      <c r="BZ25" s="907">
        <v>63.08</v>
      </c>
      <c r="CA25" s="907">
        <v>63.230000000000004</v>
      </c>
      <c r="CB25" s="907">
        <v>63.38</v>
      </c>
      <c r="CC25" s="907">
        <v>63.540000000000006</v>
      </c>
      <c r="CD25" s="907">
        <v>63.695</v>
      </c>
      <c r="CE25" s="907">
        <v>63.85</v>
      </c>
      <c r="CF25" s="907">
        <v>63.995000000000005</v>
      </c>
      <c r="CG25" s="907">
        <v>64.14500000000001</v>
      </c>
      <c r="CH25" s="907">
        <v>64.3</v>
      </c>
      <c r="CI25" s="907">
        <v>64.460000000000008</v>
      </c>
      <c r="CJ25" s="907">
        <v>64.599999999999994</v>
      </c>
      <c r="CK25" s="907">
        <v>64.754999999999995</v>
      </c>
      <c r="CL25" s="907">
        <v>64.905000000000001</v>
      </c>
      <c r="CM25" s="907">
        <v>65.06</v>
      </c>
      <c r="CN25" s="907">
        <v>65.204999999999998</v>
      </c>
      <c r="CO25" s="907">
        <v>65.344999999999999</v>
      </c>
      <c r="CP25" s="907">
        <v>65.495000000000005</v>
      </c>
      <c r="CQ25" s="907">
        <v>65.634999999999991</v>
      </c>
      <c r="CR25" s="907">
        <v>65.77</v>
      </c>
      <c r="CS25" s="907">
        <v>65.919999999999987</v>
      </c>
      <c r="CT25" s="907">
        <v>66.055000000000007</v>
      </c>
      <c r="CU25" s="907">
        <v>66.194999999999993</v>
      </c>
      <c r="CV25" s="907">
        <v>66.33</v>
      </c>
      <c r="CW25" s="907">
        <v>66.47</v>
      </c>
      <c r="CX25" s="907">
        <v>66.599999999999994</v>
      </c>
      <c r="CY25" s="907">
        <v>66.734999999999999</v>
      </c>
      <c r="CZ25" s="907">
        <v>66.865000000000009</v>
      </c>
      <c r="DA25" s="907">
        <v>67</v>
      </c>
      <c r="DB25" s="907">
        <v>67.13</v>
      </c>
      <c r="DC25" s="907">
        <v>67.254999999999995</v>
      </c>
      <c r="DD25" s="907">
        <v>67.385000000000005</v>
      </c>
      <c r="DE25" s="907">
        <v>67.510000000000005</v>
      </c>
      <c r="DF25" s="907">
        <v>67.64</v>
      </c>
      <c r="DG25" s="907">
        <v>67.765000000000001</v>
      </c>
      <c r="DH25" s="907">
        <v>67.89</v>
      </c>
      <c r="DI25" s="907">
        <v>68.009999999999991</v>
      </c>
      <c r="DJ25" s="907">
        <v>68.13</v>
      </c>
      <c r="DK25" s="907">
        <v>68.25</v>
      </c>
      <c r="DL25" s="907">
        <v>68.37</v>
      </c>
      <c r="DM25" s="907">
        <v>68.490000000000009</v>
      </c>
      <c r="DN25" s="907">
        <v>68.60499999999999</v>
      </c>
      <c r="DO25" s="907">
        <v>68.72</v>
      </c>
      <c r="DP25" s="907">
        <v>68.835000000000008</v>
      </c>
      <c r="DQ25" s="907">
        <v>68.95</v>
      </c>
      <c r="DR25" s="907">
        <v>69.064999999999998</v>
      </c>
    </row>
    <row r="26" spans="1:122" s="127" customFormat="1" ht="12.75">
      <c r="A26" s="911">
        <v>24</v>
      </c>
      <c r="B26" s="907">
        <v>47.140277519297022</v>
      </c>
      <c r="C26" s="907">
        <v>47.269747477849045</v>
      </c>
      <c r="D26" s="907">
        <v>47.494882188429784</v>
      </c>
      <c r="E26" s="907">
        <v>47.710321490101038</v>
      </c>
      <c r="F26" s="907">
        <v>47.982355432709937</v>
      </c>
      <c r="G26" s="907">
        <v>48.207763842372032</v>
      </c>
      <c r="H26" s="907">
        <v>48.41450300944792</v>
      </c>
      <c r="I26" s="907">
        <v>48.68641833215348</v>
      </c>
      <c r="J26" s="907">
        <v>48.896925260048633</v>
      </c>
      <c r="K26" s="907">
        <v>49.155413145479201</v>
      </c>
      <c r="L26" s="907">
        <v>49.429189346231297</v>
      </c>
      <c r="M26" s="907">
        <v>49.649132539199805</v>
      </c>
      <c r="N26" s="907">
        <v>49.906832003425265</v>
      </c>
      <c r="O26" s="907">
        <v>50.104107945770977</v>
      </c>
      <c r="P26" s="907">
        <v>50.397876044460283</v>
      </c>
      <c r="Q26" s="907">
        <v>50.536829412780179</v>
      </c>
      <c r="R26" s="907">
        <v>50.723361651151741</v>
      </c>
      <c r="S26" s="907">
        <v>50.85694755060053</v>
      </c>
      <c r="T26" s="907">
        <v>50.848096543352696</v>
      </c>
      <c r="U26" s="907">
        <v>51.103369595903231</v>
      </c>
      <c r="V26" s="907">
        <v>51.405000000000001</v>
      </c>
      <c r="W26" s="907">
        <v>51.715000000000003</v>
      </c>
      <c r="X26" s="907">
        <v>52.094999999999999</v>
      </c>
      <c r="Y26" s="907">
        <v>52.33</v>
      </c>
      <c r="Z26" s="907">
        <v>52.68</v>
      </c>
      <c r="AA26" s="907">
        <v>52.92</v>
      </c>
      <c r="AB26" s="907">
        <v>53.129999999999995</v>
      </c>
      <c r="AC26" s="907">
        <v>53.275000000000006</v>
      </c>
      <c r="AD26" s="907">
        <v>53.325000000000003</v>
      </c>
      <c r="AE26" s="907">
        <v>53.484999999999999</v>
      </c>
      <c r="AF26" s="907">
        <v>53.71</v>
      </c>
      <c r="AG26" s="907">
        <v>53.93</v>
      </c>
      <c r="AH26" s="907">
        <v>54.185000000000002</v>
      </c>
      <c r="AI26" s="907">
        <v>54.435000000000002</v>
      </c>
      <c r="AJ26" s="907">
        <v>54.744999999999997</v>
      </c>
      <c r="AK26" s="907">
        <v>55.034999999999997</v>
      </c>
      <c r="AL26" s="907">
        <v>55.379999999999995</v>
      </c>
      <c r="AM26" s="907">
        <v>55.695</v>
      </c>
      <c r="AN26" s="907">
        <v>55.915000000000006</v>
      </c>
      <c r="AO26" s="907">
        <v>56.07</v>
      </c>
      <c r="AP26" s="907">
        <v>56.254999999999995</v>
      </c>
      <c r="AQ26" s="907">
        <v>56.384999999999998</v>
      </c>
      <c r="AR26" s="907">
        <v>56.555</v>
      </c>
      <c r="AS26" s="907">
        <v>56.620000000000005</v>
      </c>
      <c r="AT26" s="907">
        <v>56.680000000000007</v>
      </c>
      <c r="AU26" s="907">
        <v>56.765000000000001</v>
      </c>
      <c r="AV26" s="907">
        <v>56.870000000000005</v>
      </c>
      <c r="AW26" s="907">
        <v>57.15</v>
      </c>
      <c r="AX26" s="907">
        <v>57.29</v>
      </c>
      <c r="AY26" s="907">
        <v>57.42</v>
      </c>
      <c r="AZ26" s="907">
        <v>57.519999999999996</v>
      </c>
      <c r="BA26" s="907">
        <v>57.625</v>
      </c>
      <c r="BB26" s="907">
        <v>57.765000000000001</v>
      </c>
      <c r="BC26" s="907">
        <v>57.894999999999996</v>
      </c>
      <c r="BD26" s="907">
        <v>58.05</v>
      </c>
      <c r="BE26" s="907">
        <v>58.215000000000003</v>
      </c>
      <c r="BF26" s="907">
        <v>58.414999999999999</v>
      </c>
      <c r="BG26" s="907">
        <v>58.58</v>
      </c>
      <c r="BH26" s="907">
        <v>58.82</v>
      </c>
      <c r="BI26" s="907">
        <v>58.984999999999999</v>
      </c>
      <c r="BJ26" s="907">
        <v>59.204999999999998</v>
      </c>
      <c r="BK26" s="907">
        <v>59.384999999999998</v>
      </c>
      <c r="BL26" s="907">
        <v>59.620000000000005</v>
      </c>
      <c r="BM26" s="907">
        <v>59.84</v>
      </c>
      <c r="BN26" s="907">
        <v>60.045000000000002</v>
      </c>
      <c r="BO26" s="907">
        <v>60.225000000000001</v>
      </c>
      <c r="BP26" s="907">
        <v>60.43</v>
      </c>
      <c r="BQ26" s="907">
        <v>60.615000000000002</v>
      </c>
      <c r="BR26" s="907">
        <v>60.795000000000002</v>
      </c>
      <c r="BS26" s="907">
        <v>60.975000000000001</v>
      </c>
      <c r="BT26" s="908">
        <v>61.155000000000001</v>
      </c>
      <c r="BU26" s="907">
        <v>61.3</v>
      </c>
      <c r="BV26" s="907">
        <v>61.475000000000001</v>
      </c>
      <c r="BW26" s="907">
        <v>61.644999999999996</v>
      </c>
      <c r="BX26" s="907">
        <v>61.81</v>
      </c>
      <c r="BY26" s="907">
        <v>61.954999999999998</v>
      </c>
      <c r="BZ26" s="907">
        <v>62.120000000000005</v>
      </c>
      <c r="CA26" s="907">
        <v>62.265000000000001</v>
      </c>
      <c r="CB26" s="907">
        <v>62.414999999999999</v>
      </c>
      <c r="CC26" s="907">
        <v>62.569999999999993</v>
      </c>
      <c r="CD26" s="907">
        <v>62.72</v>
      </c>
      <c r="CE26" s="907">
        <v>62.879999999999995</v>
      </c>
      <c r="CF26" s="907">
        <v>63.024999999999999</v>
      </c>
      <c r="CG26" s="907">
        <v>63.174999999999997</v>
      </c>
      <c r="CH26" s="907">
        <v>63.325000000000003</v>
      </c>
      <c r="CI26" s="907">
        <v>63.484999999999999</v>
      </c>
      <c r="CJ26" s="907">
        <v>63.625</v>
      </c>
      <c r="CK26" s="907">
        <v>63.78</v>
      </c>
      <c r="CL26" s="907">
        <v>63.930000000000007</v>
      </c>
      <c r="CM26" s="907">
        <v>64.08</v>
      </c>
      <c r="CN26" s="907">
        <v>64.224999999999994</v>
      </c>
      <c r="CO26" s="907">
        <v>64.37</v>
      </c>
      <c r="CP26" s="907">
        <v>64.509999999999991</v>
      </c>
      <c r="CQ26" s="907">
        <v>64.655000000000001</v>
      </c>
      <c r="CR26" s="907">
        <v>64.795000000000002</v>
      </c>
      <c r="CS26" s="907">
        <v>64.935000000000002</v>
      </c>
      <c r="CT26" s="907">
        <v>65.075000000000003</v>
      </c>
      <c r="CU26" s="907">
        <v>65.215000000000003</v>
      </c>
      <c r="CV26" s="907">
        <v>65.349999999999994</v>
      </c>
      <c r="CW26" s="907">
        <v>65.484999999999999</v>
      </c>
      <c r="CX26" s="907">
        <v>65.62</v>
      </c>
      <c r="CY26" s="907">
        <v>65.754999999999995</v>
      </c>
      <c r="CZ26" s="907">
        <v>65.884999999999991</v>
      </c>
      <c r="DA26" s="907">
        <v>66.015000000000001</v>
      </c>
      <c r="DB26" s="907">
        <v>66.144999999999996</v>
      </c>
      <c r="DC26" s="907">
        <v>66.275000000000006</v>
      </c>
      <c r="DD26" s="907">
        <v>66.400000000000006</v>
      </c>
      <c r="DE26" s="907">
        <v>66.525000000000006</v>
      </c>
      <c r="DF26" s="907">
        <v>66.650000000000006</v>
      </c>
      <c r="DG26" s="907">
        <v>66.78</v>
      </c>
      <c r="DH26" s="907">
        <v>66.89500000000001</v>
      </c>
      <c r="DI26" s="907">
        <v>67.02000000000001</v>
      </c>
      <c r="DJ26" s="907">
        <v>67.14</v>
      </c>
      <c r="DK26" s="907">
        <v>67.265000000000001</v>
      </c>
      <c r="DL26" s="907">
        <v>67.38</v>
      </c>
      <c r="DM26" s="907">
        <v>67.495000000000005</v>
      </c>
      <c r="DN26" s="907">
        <v>67.62</v>
      </c>
      <c r="DO26" s="907">
        <v>67.734999999999999</v>
      </c>
      <c r="DP26" s="907">
        <v>67.844999999999999</v>
      </c>
      <c r="DQ26" s="907">
        <v>67.960000000000008</v>
      </c>
      <c r="DR26" s="907">
        <v>68.069999999999993</v>
      </c>
    </row>
    <row r="27" spans="1:122" s="127" customFormat="1" ht="12.75">
      <c r="A27" s="911">
        <v>25</v>
      </c>
      <c r="B27" s="907">
        <v>46.333655613064103</v>
      </c>
      <c r="C27" s="907">
        <v>46.463659146427062</v>
      </c>
      <c r="D27" s="907">
        <v>46.68972358058484</v>
      </c>
      <c r="E27" s="907">
        <v>46.885243325193159</v>
      </c>
      <c r="F27" s="907">
        <v>47.1548904623521</v>
      </c>
      <c r="G27" s="907">
        <v>47.383788842873244</v>
      </c>
      <c r="H27" s="907">
        <v>47.569258140553167</v>
      </c>
      <c r="I27" s="907">
        <v>47.830369516207035</v>
      </c>
      <c r="J27" s="907">
        <v>48.030890753254752</v>
      </c>
      <c r="K27" s="907">
        <v>48.290094247111732</v>
      </c>
      <c r="L27" s="907">
        <v>48.564627272619454</v>
      </c>
      <c r="M27" s="907">
        <v>48.794760084921478</v>
      </c>
      <c r="N27" s="907">
        <v>49.04995206037313</v>
      </c>
      <c r="O27" s="907">
        <v>49.246348059360429</v>
      </c>
      <c r="P27" s="907">
        <v>49.538199654147903</v>
      </c>
      <c r="Q27" s="907">
        <v>49.667767298224291</v>
      </c>
      <c r="R27" s="907">
        <v>49.854785236461119</v>
      </c>
      <c r="S27" s="907">
        <v>49.988712632996624</v>
      </c>
      <c r="T27" s="907">
        <v>49.979840937332007</v>
      </c>
      <c r="U27" s="907">
        <v>50.249060990155755</v>
      </c>
      <c r="V27" s="907">
        <v>50.564999999999998</v>
      </c>
      <c r="W27" s="907">
        <v>50.954999999999998</v>
      </c>
      <c r="X27" s="907">
        <v>51.28</v>
      </c>
      <c r="Y27" s="907">
        <v>51.515000000000001</v>
      </c>
      <c r="Z27" s="907">
        <v>51.814999999999998</v>
      </c>
      <c r="AA27" s="907">
        <v>52.015000000000001</v>
      </c>
      <c r="AB27" s="907">
        <v>52.22</v>
      </c>
      <c r="AC27" s="907">
        <v>52.365000000000002</v>
      </c>
      <c r="AD27" s="907">
        <v>52.405000000000001</v>
      </c>
      <c r="AE27" s="907">
        <v>52.56</v>
      </c>
      <c r="AF27" s="907">
        <v>52.78</v>
      </c>
      <c r="AG27" s="907">
        <v>53</v>
      </c>
      <c r="AH27" s="907">
        <v>53.260000000000005</v>
      </c>
      <c r="AI27" s="907">
        <v>53.5</v>
      </c>
      <c r="AJ27" s="907">
        <v>53.81</v>
      </c>
      <c r="AK27" s="907">
        <v>54.099999999999994</v>
      </c>
      <c r="AL27" s="907">
        <v>54.44</v>
      </c>
      <c r="AM27" s="907">
        <v>54.755000000000003</v>
      </c>
      <c r="AN27" s="907">
        <v>54.97</v>
      </c>
      <c r="AO27" s="907">
        <v>55.134999999999998</v>
      </c>
      <c r="AP27" s="907">
        <v>55.314999999999998</v>
      </c>
      <c r="AQ27" s="907">
        <v>55.445</v>
      </c>
      <c r="AR27" s="907">
        <v>55.62</v>
      </c>
      <c r="AS27" s="907">
        <v>55.674999999999997</v>
      </c>
      <c r="AT27" s="907">
        <v>55.74</v>
      </c>
      <c r="AU27" s="907">
        <v>55.83</v>
      </c>
      <c r="AV27" s="907">
        <v>55.935000000000002</v>
      </c>
      <c r="AW27" s="907">
        <v>56.215000000000003</v>
      </c>
      <c r="AX27" s="907">
        <v>56.35</v>
      </c>
      <c r="AY27" s="907">
        <v>56.474999999999994</v>
      </c>
      <c r="AZ27" s="907">
        <v>56.57</v>
      </c>
      <c r="BA27" s="907">
        <v>56.685000000000002</v>
      </c>
      <c r="BB27" s="907">
        <v>56.82</v>
      </c>
      <c r="BC27" s="907">
        <v>56.954999999999998</v>
      </c>
      <c r="BD27" s="907">
        <v>57.105000000000004</v>
      </c>
      <c r="BE27" s="907">
        <v>57.269999999999996</v>
      </c>
      <c r="BF27" s="907">
        <v>57.465000000000003</v>
      </c>
      <c r="BG27" s="907">
        <v>57.63</v>
      </c>
      <c r="BH27" s="907">
        <v>57.870000000000005</v>
      </c>
      <c r="BI27" s="907">
        <v>58.03</v>
      </c>
      <c r="BJ27" s="907">
        <v>58.244999999999997</v>
      </c>
      <c r="BK27" s="907">
        <v>58.43</v>
      </c>
      <c r="BL27" s="907">
        <v>58.66</v>
      </c>
      <c r="BM27" s="907">
        <v>58.885000000000005</v>
      </c>
      <c r="BN27" s="907">
        <v>59.085000000000001</v>
      </c>
      <c r="BO27" s="907">
        <v>59.269999999999996</v>
      </c>
      <c r="BP27" s="907">
        <v>59.47</v>
      </c>
      <c r="BQ27" s="907">
        <v>59.655000000000001</v>
      </c>
      <c r="BR27" s="907">
        <v>59.835000000000001</v>
      </c>
      <c r="BS27" s="907">
        <v>60.015000000000001</v>
      </c>
      <c r="BT27" s="908">
        <v>60.195</v>
      </c>
      <c r="BU27" s="907">
        <v>60.34</v>
      </c>
      <c r="BV27" s="907">
        <v>60.51</v>
      </c>
      <c r="BW27" s="907">
        <v>60.68</v>
      </c>
      <c r="BX27" s="907">
        <v>60.844999999999999</v>
      </c>
      <c r="BY27" s="907">
        <v>60.989999999999995</v>
      </c>
      <c r="BZ27" s="907">
        <v>61.144999999999996</v>
      </c>
      <c r="CA27" s="907">
        <v>61.295000000000002</v>
      </c>
      <c r="CB27" s="907">
        <v>61.44</v>
      </c>
      <c r="CC27" s="907">
        <v>61.605000000000004</v>
      </c>
      <c r="CD27" s="907">
        <v>61.75</v>
      </c>
      <c r="CE27" s="907">
        <v>61.900000000000006</v>
      </c>
      <c r="CF27" s="907">
        <v>62.045000000000002</v>
      </c>
      <c r="CG27" s="907">
        <v>62.195000000000007</v>
      </c>
      <c r="CH27" s="907">
        <v>62.35</v>
      </c>
      <c r="CI27" s="907">
        <v>62.510000000000005</v>
      </c>
      <c r="CJ27" s="907">
        <v>62.650000000000006</v>
      </c>
      <c r="CK27" s="907">
        <v>62.805000000000007</v>
      </c>
      <c r="CL27" s="907">
        <v>62.954999999999998</v>
      </c>
      <c r="CM27" s="907">
        <v>63.1</v>
      </c>
      <c r="CN27" s="907">
        <v>63.245000000000005</v>
      </c>
      <c r="CO27" s="907">
        <v>63.39</v>
      </c>
      <c r="CP27" s="907">
        <v>63.53</v>
      </c>
      <c r="CQ27" s="907">
        <v>63.67</v>
      </c>
      <c r="CR27" s="907">
        <v>63.814999999999998</v>
      </c>
      <c r="CS27" s="907">
        <v>63.954999999999998</v>
      </c>
      <c r="CT27" s="907">
        <v>64.094999999999999</v>
      </c>
      <c r="CU27" s="907">
        <v>64.23</v>
      </c>
      <c r="CV27" s="907">
        <v>64.365000000000009</v>
      </c>
      <c r="CW27" s="907">
        <v>64.504999999999995</v>
      </c>
      <c r="CX27" s="907">
        <v>64.634999999999991</v>
      </c>
      <c r="CY27" s="907">
        <v>64.77</v>
      </c>
      <c r="CZ27" s="907">
        <v>64.900000000000006</v>
      </c>
      <c r="DA27" s="907">
        <v>65.03</v>
      </c>
      <c r="DB27" s="907">
        <v>65.16</v>
      </c>
      <c r="DC27" s="907">
        <v>65.290000000000006</v>
      </c>
      <c r="DD27" s="907">
        <v>65.415000000000006</v>
      </c>
      <c r="DE27" s="907">
        <v>65.539999999999992</v>
      </c>
      <c r="DF27" s="907">
        <v>65.664999999999992</v>
      </c>
      <c r="DG27" s="907">
        <v>65.784999999999997</v>
      </c>
      <c r="DH27" s="907">
        <v>65.91</v>
      </c>
      <c r="DI27" s="907">
        <v>66.034999999999997</v>
      </c>
      <c r="DJ27" s="907">
        <v>66.155000000000001</v>
      </c>
      <c r="DK27" s="907">
        <v>66.275000000000006</v>
      </c>
      <c r="DL27" s="907">
        <v>66.394999999999996</v>
      </c>
      <c r="DM27" s="907">
        <v>66.510000000000005</v>
      </c>
      <c r="DN27" s="907">
        <v>66.625</v>
      </c>
      <c r="DO27" s="907">
        <v>66.739999999999995</v>
      </c>
      <c r="DP27" s="907">
        <v>66.855000000000004</v>
      </c>
      <c r="DQ27" s="907">
        <v>66.97</v>
      </c>
      <c r="DR27" s="907">
        <v>67.085000000000008</v>
      </c>
    </row>
    <row r="28" spans="1:122" s="127" customFormat="1" ht="12.75">
      <c r="A28" s="911">
        <v>26</v>
      </c>
      <c r="B28" s="907">
        <v>45.524758544735953</v>
      </c>
      <c r="C28" s="907">
        <v>45.655301602920673</v>
      </c>
      <c r="D28" s="907">
        <v>45.86189543227583</v>
      </c>
      <c r="E28" s="907">
        <v>46.056218203030056</v>
      </c>
      <c r="F28" s="907">
        <v>46.329550975136982</v>
      </c>
      <c r="G28" s="907">
        <v>46.538804492448541</v>
      </c>
      <c r="H28" s="907">
        <v>46.713263871791838</v>
      </c>
      <c r="I28" s="907">
        <v>46.96454560271394</v>
      </c>
      <c r="J28" s="907">
        <v>47.165630163971002</v>
      </c>
      <c r="K28" s="907">
        <v>47.425568569681182</v>
      </c>
      <c r="L28" s="907">
        <v>47.707601567033471</v>
      </c>
      <c r="M28" s="907">
        <v>47.936186536808819</v>
      </c>
      <c r="N28" s="907">
        <v>48.192401980059145</v>
      </c>
      <c r="O28" s="907">
        <v>48.386581468239719</v>
      </c>
      <c r="P28" s="907">
        <v>48.669509590885156</v>
      </c>
      <c r="Q28" s="907">
        <v>48.799429005190746</v>
      </c>
      <c r="R28" s="907">
        <v>48.986945521973233</v>
      </c>
      <c r="S28" s="907">
        <v>49.121223970198812</v>
      </c>
      <c r="T28" s="907">
        <v>49.125619425668006</v>
      </c>
      <c r="U28" s="907">
        <v>49.41568736980831</v>
      </c>
      <c r="V28" s="907">
        <v>49.81</v>
      </c>
      <c r="W28" s="907">
        <v>50.135000000000005</v>
      </c>
      <c r="X28" s="907">
        <v>50.454999999999998</v>
      </c>
      <c r="Y28" s="907">
        <v>50.644999999999996</v>
      </c>
      <c r="Z28" s="907">
        <v>50.905000000000001</v>
      </c>
      <c r="AA28" s="907">
        <v>51.104999999999997</v>
      </c>
      <c r="AB28" s="907">
        <v>51.31</v>
      </c>
      <c r="AC28" s="907">
        <v>51.44</v>
      </c>
      <c r="AD28" s="907">
        <v>51.475000000000001</v>
      </c>
      <c r="AE28" s="907">
        <v>51.625</v>
      </c>
      <c r="AF28" s="907">
        <v>51.849999999999994</v>
      </c>
      <c r="AG28" s="907">
        <v>52.07</v>
      </c>
      <c r="AH28" s="907">
        <v>52.325000000000003</v>
      </c>
      <c r="AI28" s="907">
        <v>52.564999999999998</v>
      </c>
      <c r="AJ28" s="907">
        <v>52.875</v>
      </c>
      <c r="AK28" s="907">
        <v>53.16</v>
      </c>
      <c r="AL28" s="907">
        <v>53.504999999999995</v>
      </c>
      <c r="AM28" s="907">
        <v>53.814999999999998</v>
      </c>
      <c r="AN28" s="907">
        <v>54.03</v>
      </c>
      <c r="AO28" s="907">
        <v>54.19</v>
      </c>
      <c r="AP28" s="907">
        <v>54.375</v>
      </c>
      <c r="AQ28" s="907">
        <v>54.5</v>
      </c>
      <c r="AR28" s="907">
        <v>54.68</v>
      </c>
      <c r="AS28" s="907">
        <v>54.730000000000004</v>
      </c>
      <c r="AT28" s="907">
        <v>54.79</v>
      </c>
      <c r="AU28" s="907">
        <v>54.885000000000005</v>
      </c>
      <c r="AV28" s="907">
        <v>54.989999999999995</v>
      </c>
      <c r="AW28" s="907">
        <v>55.274999999999999</v>
      </c>
      <c r="AX28" s="907">
        <v>55.405000000000001</v>
      </c>
      <c r="AY28" s="907">
        <v>55.53</v>
      </c>
      <c r="AZ28" s="907">
        <v>55.614999999999995</v>
      </c>
      <c r="BA28" s="907">
        <v>55.739999999999995</v>
      </c>
      <c r="BB28" s="907">
        <v>55.875</v>
      </c>
      <c r="BC28" s="907">
        <v>56.01</v>
      </c>
      <c r="BD28" s="907">
        <v>56.16</v>
      </c>
      <c r="BE28" s="907">
        <v>56.32</v>
      </c>
      <c r="BF28" s="907">
        <v>56.510000000000005</v>
      </c>
      <c r="BG28" s="907">
        <v>56.68</v>
      </c>
      <c r="BH28" s="907">
        <v>56.914999999999999</v>
      </c>
      <c r="BI28" s="907">
        <v>57.075000000000003</v>
      </c>
      <c r="BJ28" s="907">
        <v>57.29</v>
      </c>
      <c r="BK28" s="907">
        <v>57.47</v>
      </c>
      <c r="BL28" s="907">
        <v>57.704999999999998</v>
      </c>
      <c r="BM28" s="907">
        <v>57.924999999999997</v>
      </c>
      <c r="BN28" s="907">
        <v>58.129999999999995</v>
      </c>
      <c r="BO28" s="907">
        <v>58.314999999999998</v>
      </c>
      <c r="BP28" s="907">
        <v>58.515000000000001</v>
      </c>
      <c r="BQ28" s="907">
        <v>58.7</v>
      </c>
      <c r="BR28" s="907">
        <v>58.879999999999995</v>
      </c>
      <c r="BS28" s="907">
        <v>59.055</v>
      </c>
      <c r="BT28" s="908">
        <v>59.230000000000004</v>
      </c>
      <c r="BU28" s="907">
        <v>59.375</v>
      </c>
      <c r="BV28" s="907">
        <v>59.545000000000002</v>
      </c>
      <c r="BW28" s="907">
        <v>59.72</v>
      </c>
      <c r="BX28" s="907">
        <v>59.875</v>
      </c>
      <c r="BY28" s="907">
        <v>60.025000000000006</v>
      </c>
      <c r="BZ28" s="907">
        <v>60.18</v>
      </c>
      <c r="CA28" s="907">
        <v>60.33</v>
      </c>
      <c r="CB28" s="907">
        <v>60.475000000000001</v>
      </c>
      <c r="CC28" s="907">
        <v>60.625</v>
      </c>
      <c r="CD28" s="907">
        <v>60.774999999999999</v>
      </c>
      <c r="CE28" s="907">
        <v>60.93</v>
      </c>
      <c r="CF28" s="907">
        <v>61.075000000000003</v>
      </c>
      <c r="CG28" s="907">
        <v>61.22</v>
      </c>
      <c r="CH28" s="907">
        <v>61.375</v>
      </c>
      <c r="CI28" s="907">
        <v>61.53</v>
      </c>
      <c r="CJ28" s="907">
        <v>61.674999999999997</v>
      </c>
      <c r="CK28" s="907">
        <v>61.825000000000003</v>
      </c>
      <c r="CL28" s="907">
        <v>61.975000000000001</v>
      </c>
      <c r="CM28" s="907">
        <v>62.125</v>
      </c>
      <c r="CN28" s="907">
        <v>62.265000000000001</v>
      </c>
      <c r="CO28" s="907">
        <v>62.41</v>
      </c>
      <c r="CP28" s="907">
        <v>62.555</v>
      </c>
      <c r="CQ28" s="907">
        <v>62.695</v>
      </c>
      <c r="CR28" s="907">
        <v>62.835000000000008</v>
      </c>
      <c r="CS28" s="907">
        <v>62.97</v>
      </c>
      <c r="CT28" s="907">
        <v>63.11</v>
      </c>
      <c r="CU28" s="907">
        <v>63.245000000000005</v>
      </c>
      <c r="CV28" s="907">
        <v>63.384999999999998</v>
      </c>
      <c r="CW28" s="907">
        <v>63.519999999999996</v>
      </c>
      <c r="CX28" s="907">
        <v>63.65</v>
      </c>
      <c r="CY28" s="907">
        <v>63.785000000000004</v>
      </c>
      <c r="CZ28" s="907">
        <v>63.915000000000006</v>
      </c>
      <c r="DA28" s="907">
        <v>64.040000000000006</v>
      </c>
      <c r="DB28" s="907">
        <v>64.174999999999997</v>
      </c>
      <c r="DC28" s="907">
        <v>64.3</v>
      </c>
      <c r="DD28" s="907">
        <v>64.429999999999993</v>
      </c>
      <c r="DE28" s="907">
        <v>64.555000000000007</v>
      </c>
      <c r="DF28" s="907">
        <v>64.680000000000007</v>
      </c>
      <c r="DG28" s="907">
        <v>64.8</v>
      </c>
      <c r="DH28" s="907">
        <v>64.924999999999997</v>
      </c>
      <c r="DI28" s="907">
        <v>65.045000000000002</v>
      </c>
      <c r="DJ28" s="907">
        <v>65.164999999999992</v>
      </c>
      <c r="DK28" s="907">
        <v>65.284999999999997</v>
      </c>
      <c r="DL28" s="907">
        <v>65.405000000000001</v>
      </c>
      <c r="DM28" s="907">
        <v>65.52</v>
      </c>
      <c r="DN28" s="907">
        <v>65.64</v>
      </c>
      <c r="DO28" s="907">
        <v>65.754999999999995</v>
      </c>
      <c r="DP28" s="907">
        <v>65.87</v>
      </c>
      <c r="DQ28" s="907">
        <v>65.974999999999994</v>
      </c>
      <c r="DR28" s="907">
        <v>66.09</v>
      </c>
    </row>
    <row r="29" spans="1:122" s="127" customFormat="1" ht="12.75">
      <c r="A29" s="911">
        <v>27</v>
      </c>
      <c r="B29" s="907">
        <v>44.711915346673109</v>
      </c>
      <c r="C29" s="907">
        <v>44.823151915587061</v>
      </c>
      <c r="D29" s="907">
        <v>45.03133495520197</v>
      </c>
      <c r="E29" s="907">
        <v>45.229070411629067</v>
      </c>
      <c r="F29" s="907">
        <v>45.485652437280365</v>
      </c>
      <c r="G29" s="907">
        <v>45.683948719250637</v>
      </c>
      <c r="H29" s="907">
        <v>45.848262275172019</v>
      </c>
      <c r="I29" s="907">
        <v>46.100275051847319</v>
      </c>
      <c r="J29" s="907">
        <v>46.301942466832131</v>
      </c>
      <c r="K29" s="907">
        <v>46.565705208177611</v>
      </c>
      <c r="L29" s="907">
        <v>46.84733827649611</v>
      </c>
      <c r="M29" s="907">
        <v>47.079523530770508</v>
      </c>
      <c r="N29" s="907">
        <v>47.333670758934133</v>
      </c>
      <c r="O29" s="907">
        <v>47.518634069171121</v>
      </c>
      <c r="P29" s="907">
        <v>47.802348335200747</v>
      </c>
      <c r="Q29" s="907">
        <v>47.932630792116882</v>
      </c>
      <c r="R29" s="907">
        <v>48.120662354470092</v>
      </c>
      <c r="S29" s="907">
        <v>48.26875294882548</v>
      </c>
      <c r="T29" s="907">
        <v>48.293354879518532</v>
      </c>
      <c r="U29" s="907">
        <v>48.645458469308267</v>
      </c>
      <c r="V29" s="907">
        <v>48.980000000000004</v>
      </c>
      <c r="W29" s="907">
        <v>49.3</v>
      </c>
      <c r="X29" s="907">
        <v>49.58</v>
      </c>
      <c r="Y29" s="907">
        <v>49.734999999999999</v>
      </c>
      <c r="Z29" s="907">
        <v>49.99</v>
      </c>
      <c r="AA29" s="907">
        <v>50.194999999999993</v>
      </c>
      <c r="AB29" s="907">
        <v>50.385000000000005</v>
      </c>
      <c r="AC29" s="907">
        <v>50.515000000000001</v>
      </c>
      <c r="AD29" s="907">
        <v>50.55</v>
      </c>
      <c r="AE29" s="907">
        <v>50.7</v>
      </c>
      <c r="AF29" s="907">
        <v>50.92</v>
      </c>
      <c r="AG29" s="907">
        <v>51.14</v>
      </c>
      <c r="AH29" s="907">
        <v>51.384999999999998</v>
      </c>
      <c r="AI29" s="907">
        <v>51.629999999999995</v>
      </c>
      <c r="AJ29" s="907">
        <v>51.935000000000002</v>
      </c>
      <c r="AK29" s="907">
        <v>52.225000000000001</v>
      </c>
      <c r="AL29" s="907">
        <v>52.56</v>
      </c>
      <c r="AM29" s="907">
        <v>52.870000000000005</v>
      </c>
      <c r="AN29" s="907">
        <v>53.09</v>
      </c>
      <c r="AO29" s="907">
        <v>53.25</v>
      </c>
      <c r="AP29" s="907">
        <v>53.435000000000002</v>
      </c>
      <c r="AQ29" s="907">
        <v>53.555</v>
      </c>
      <c r="AR29" s="907">
        <v>53.734999999999999</v>
      </c>
      <c r="AS29" s="907">
        <v>53.79</v>
      </c>
      <c r="AT29" s="907">
        <v>53.85</v>
      </c>
      <c r="AU29" s="907">
        <v>53.95</v>
      </c>
      <c r="AV29" s="907">
        <v>54.05</v>
      </c>
      <c r="AW29" s="907">
        <v>54.325000000000003</v>
      </c>
      <c r="AX29" s="907">
        <v>54.454999999999998</v>
      </c>
      <c r="AY29" s="907">
        <v>54.575000000000003</v>
      </c>
      <c r="AZ29" s="907">
        <v>54.674999999999997</v>
      </c>
      <c r="BA29" s="907">
        <v>54.79</v>
      </c>
      <c r="BB29" s="907">
        <v>54.924999999999997</v>
      </c>
      <c r="BC29" s="907">
        <v>55.055</v>
      </c>
      <c r="BD29" s="907">
        <v>55.215000000000003</v>
      </c>
      <c r="BE29" s="907">
        <v>55.37</v>
      </c>
      <c r="BF29" s="907">
        <v>55.56</v>
      </c>
      <c r="BG29" s="907">
        <v>55.72</v>
      </c>
      <c r="BH29" s="907">
        <v>55.96</v>
      </c>
      <c r="BI29" s="907">
        <v>56.114999999999995</v>
      </c>
      <c r="BJ29" s="907">
        <v>56.33</v>
      </c>
      <c r="BK29" s="907">
        <v>56.51</v>
      </c>
      <c r="BL29" s="907">
        <v>56.74</v>
      </c>
      <c r="BM29" s="907">
        <v>56.96</v>
      </c>
      <c r="BN29" s="907">
        <v>57.17</v>
      </c>
      <c r="BO29" s="907">
        <v>57.355000000000004</v>
      </c>
      <c r="BP29" s="907">
        <v>57.55</v>
      </c>
      <c r="BQ29" s="907">
        <v>57.739999999999995</v>
      </c>
      <c r="BR29" s="907">
        <v>57.914999999999999</v>
      </c>
      <c r="BS29" s="907">
        <v>58.09</v>
      </c>
      <c r="BT29" s="908">
        <v>58.265000000000001</v>
      </c>
      <c r="BU29" s="907">
        <v>58.41</v>
      </c>
      <c r="BV29" s="907">
        <v>58.58</v>
      </c>
      <c r="BW29" s="907">
        <v>58.744999999999997</v>
      </c>
      <c r="BX29" s="907">
        <v>58.905000000000001</v>
      </c>
      <c r="BY29" s="907">
        <v>59.05</v>
      </c>
      <c r="BZ29" s="907">
        <v>59.21</v>
      </c>
      <c r="CA29" s="907">
        <v>59.36</v>
      </c>
      <c r="CB29" s="907">
        <v>59.5</v>
      </c>
      <c r="CC29" s="907">
        <v>59.655000000000001</v>
      </c>
      <c r="CD29" s="907">
        <v>59.805</v>
      </c>
      <c r="CE29" s="907">
        <v>59.954999999999998</v>
      </c>
      <c r="CF29" s="907">
        <v>60.1</v>
      </c>
      <c r="CG29" s="907">
        <v>60.245000000000005</v>
      </c>
      <c r="CH29" s="907">
        <v>60.394999999999996</v>
      </c>
      <c r="CI29" s="907">
        <v>60.555</v>
      </c>
      <c r="CJ29" s="907">
        <v>60.695</v>
      </c>
      <c r="CK29" s="907">
        <v>60.844999999999999</v>
      </c>
      <c r="CL29" s="907">
        <v>60.994999999999997</v>
      </c>
      <c r="CM29" s="907">
        <v>61.14</v>
      </c>
      <c r="CN29" s="907">
        <v>61.284999999999997</v>
      </c>
      <c r="CO29" s="907">
        <v>61.43</v>
      </c>
      <c r="CP29" s="907">
        <v>61.575000000000003</v>
      </c>
      <c r="CQ29" s="907">
        <v>61.71</v>
      </c>
      <c r="CR29" s="907">
        <v>61.849999999999994</v>
      </c>
      <c r="CS29" s="907">
        <v>61.99</v>
      </c>
      <c r="CT29" s="907">
        <v>62.125</v>
      </c>
      <c r="CU29" s="907">
        <v>62.265000000000001</v>
      </c>
      <c r="CV29" s="907">
        <v>62.400000000000006</v>
      </c>
      <c r="CW29" s="907">
        <v>62.535000000000004</v>
      </c>
      <c r="CX29" s="907">
        <v>62.665000000000006</v>
      </c>
      <c r="CY29" s="907">
        <v>62.8</v>
      </c>
      <c r="CZ29" s="907">
        <v>62.929999999999993</v>
      </c>
      <c r="DA29" s="907">
        <v>63.054999999999993</v>
      </c>
      <c r="DB29" s="907">
        <v>63.185000000000002</v>
      </c>
      <c r="DC29" s="907">
        <v>63.314999999999998</v>
      </c>
      <c r="DD29" s="907">
        <v>63.445</v>
      </c>
      <c r="DE29" s="907">
        <v>63.565000000000005</v>
      </c>
      <c r="DF29" s="907">
        <v>63.690000000000005</v>
      </c>
      <c r="DG29" s="907">
        <v>63.814999999999998</v>
      </c>
      <c r="DH29" s="907">
        <v>63.94</v>
      </c>
      <c r="DI29" s="907">
        <v>64.055000000000007</v>
      </c>
      <c r="DJ29" s="907">
        <v>64.180000000000007</v>
      </c>
      <c r="DK29" s="907">
        <v>64.295000000000002</v>
      </c>
      <c r="DL29" s="907">
        <v>64.414999999999992</v>
      </c>
      <c r="DM29" s="907">
        <v>64.53</v>
      </c>
      <c r="DN29" s="907">
        <v>64.64500000000001</v>
      </c>
      <c r="DO29" s="907">
        <v>64.759999999999991</v>
      </c>
      <c r="DP29" s="907">
        <v>64.875</v>
      </c>
      <c r="DQ29" s="907">
        <v>64.990000000000009</v>
      </c>
      <c r="DR29" s="907">
        <v>65.099999999999994</v>
      </c>
    </row>
    <row r="30" spans="1:122" s="127" customFormat="1" ht="12.75">
      <c r="A30" s="911">
        <v>28</v>
      </c>
      <c r="B30" s="907">
        <v>43.879714167586414</v>
      </c>
      <c r="C30" s="907">
        <v>43.986920837761673</v>
      </c>
      <c r="D30" s="907">
        <v>44.202710064308633</v>
      </c>
      <c r="E30" s="907">
        <v>44.380867212443633</v>
      </c>
      <c r="F30" s="907">
        <v>44.629564031975733</v>
      </c>
      <c r="G30" s="907">
        <v>44.818693305190408</v>
      </c>
      <c r="H30" s="907">
        <v>44.983492394751082</v>
      </c>
      <c r="I30" s="907">
        <v>45.236253961800941</v>
      </c>
      <c r="J30" s="907">
        <v>45.439262926300231</v>
      </c>
      <c r="K30" s="907">
        <v>45.703523881754116</v>
      </c>
      <c r="L30" s="907">
        <v>45.985999676009442</v>
      </c>
      <c r="M30" s="907">
        <v>46.216105771148449</v>
      </c>
      <c r="N30" s="907">
        <v>46.466599189299849</v>
      </c>
      <c r="O30" s="907">
        <v>46.652092042645272</v>
      </c>
      <c r="P30" s="907">
        <v>46.936616523984682</v>
      </c>
      <c r="Q30" s="907">
        <v>47.067272699630742</v>
      </c>
      <c r="R30" s="907">
        <v>47.269396313472114</v>
      </c>
      <c r="S30" s="907">
        <v>47.4383602789447</v>
      </c>
      <c r="T30" s="907">
        <v>47.510786445524374</v>
      </c>
      <c r="U30" s="907">
        <v>47.810841492411157</v>
      </c>
      <c r="V30" s="907">
        <v>48.144999999999996</v>
      </c>
      <c r="W30" s="907">
        <v>48.43</v>
      </c>
      <c r="X30" s="907">
        <v>48.67</v>
      </c>
      <c r="Y30" s="907">
        <v>48.825000000000003</v>
      </c>
      <c r="Z30" s="907">
        <v>49.085000000000001</v>
      </c>
      <c r="AA30" s="907">
        <v>49.269999999999996</v>
      </c>
      <c r="AB30" s="907">
        <v>49.454999999999998</v>
      </c>
      <c r="AC30" s="907">
        <v>49.58</v>
      </c>
      <c r="AD30" s="907">
        <v>49.615000000000002</v>
      </c>
      <c r="AE30" s="907">
        <v>49.769999999999996</v>
      </c>
      <c r="AF30" s="907">
        <v>49.984999999999999</v>
      </c>
      <c r="AG30" s="907">
        <v>50.204999999999998</v>
      </c>
      <c r="AH30" s="907">
        <v>50.454999999999998</v>
      </c>
      <c r="AI30" s="907">
        <v>50.69</v>
      </c>
      <c r="AJ30" s="907">
        <v>51</v>
      </c>
      <c r="AK30" s="907">
        <v>51.284999999999997</v>
      </c>
      <c r="AL30" s="907">
        <v>51.62</v>
      </c>
      <c r="AM30" s="907">
        <v>51.93</v>
      </c>
      <c r="AN30" s="907">
        <v>52.144999999999996</v>
      </c>
      <c r="AO30" s="907">
        <v>52.31</v>
      </c>
      <c r="AP30" s="907">
        <v>52.49</v>
      </c>
      <c r="AQ30" s="907">
        <v>52.614999999999995</v>
      </c>
      <c r="AR30" s="907">
        <v>52.795000000000002</v>
      </c>
      <c r="AS30" s="907">
        <v>52.85</v>
      </c>
      <c r="AT30" s="907">
        <v>52.91</v>
      </c>
      <c r="AU30" s="907">
        <v>53</v>
      </c>
      <c r="AV30" s="907">
        <v>53.105000000000004</v>
      </c>
      <c r="AW30" s="907">
        <v>53.375</v>
      </c>
      <c r="AX30" s="907">
        <v>53.5</v>
      </c>
      <c r="AY30" s="907">
        <v>53.629999999999995</v>
      </c>
      <c r="AZ30" s="907">
        <v>53.730000000000004</v>
      </c>
      <c r="BA30" s="907">
        <v>53.844999999999999</v>
      </c>
      <c r="BB30" s="907">
        <v>53.975000000000001</v>
      </c>
      <c r="BC30" s="907">
        <v>54.105000000000004</v>
      </c>
      <c r="BD30" s="907">
        <v>54.260000000000005</v>
      </c>
      <c r="BE30" s="907">
        <v>54.42</v>
      </c>
      <c r="BF30" s="907">
        <v>54.604999999999997</v>
      </c>
      <c r="BG30" s="907">
        <v>54.765000000000001</v>
      </c>
      <c r="BH30" s="907">
        <v>54.995000000000005</v>
      </c>
      <c r="BI30" s="907">
        <v>55.16</v>
      </c>
      <c r="BJ30" s="907">
        <v>55.370000000000005</v>
      </c>
      <c r="BK30" s="907">
        <v>55.55</v>
      </c>
      <c r="BL30" s="907">
        <v>55.784999999999997</v>
      </c>
      <c r="BM30" s="907">
        <v>56.010000000000005</v>
      </c>
      <c r="BN30" s="907">
        <v>56.21</v>
      </c>
      <c r="BO30" s="907">
        <v>56.400000000000006</v>
      </c>
      <c r="BP30" s="907">
        <v>56.59</v>
      </c>
      <c r="BQ30" s="907">
        <v>56.775000000000006</v>
      </c>
      <c r="BR30" s="907">
        <v>56.95</v>
      </c>
      <c r="BS30" s="907">
        <v>57.125</v>
      </c>
      <c r="BT30" s="908">
        <v>57.3</v>
      </c>
      <c r="BU30" s="907">
        <v>57.44</v>
      </c>
      <c r="BV30" s="907">
        <v>57.615000000000002</v>
      </c>
      <c r="BW30" s="907">
        <v>57.78</v>
      </c>
      <c r="BX30" s="907">
        <v>57.935000000000002</v>
      </c>
      <c r="BY30" s="907">
        <v>58.08</v>
      </c>
      <c r="BZ30" s="907">
        <v>58.234999999999999</v>
      </c>
      <c r="CA30" s="907">
        <v>58.385000000000005</v>
      </c>
      <c r="CB30" s="907">
        <v>58.525000000000006</v>
      </c>
      <c r="CC30" s="907">
        <v>58.68</v>
      </c>
      <c r="CD30" s="907">
        <v>58.825000000000003</v>
      </c>
      <c r="CE30" s="907">
        <v>58.980000000000004</v>
      </c>
      <c r="CF30" s="907">
        <v>59.125</v>
      </c>
      <c r="CG30" s="907">
        <v>59.275000000000006</v>
      </c>
      <c r="CH30" s="907">
        <v>59.424999999999997</v>
      </c>
      <c r="CI30" s="907">
        <v>59.575000000000003</v>
      </c>
      <c r="CJ30" s="907">
        <v>59.715000000000003</v>
      </c>
      <c r="CK30" s="907">
        <v>59.87</v>
      </c>
      <c r="CL30" s="907">
        <v>60.019999999999996</v>
      </c>
      <c r="CM30" s="907">
        <v>60.16</v>
      </c>
      <c r="CN30" s="907">
        <v>60.305</v>
      </c>
      <c r="CO30" s="907">
        <v>60.445</v>
      </c>
      <c r="CP30" s="907">
        <v>60.59</v>
      </c>
      <c r="CQ30" s="907">
        <v>60.730000000000004</v>
      </c>
      <c r="CR30" s="907">
        <v>60.870000000000005</v>
      </c>
      <c r="CS30" s="907">
        <v>61.004999999999995</v>
      </c>
      <c r="CT30" s="907">
        <v>61.144999999999996</v>
      </c>
      <c r="CU30" s="907">
        <v>61.28</v>
      </c>
      <c r="CV30" s="907">
        <v>61.414999999999999</v>
      </c>
      <c r="CW30" s="907">
        <v>61.55</v>
      </c>
      <c r="CX30" s="907">
        <v>61.68</v>
      </c>
      <c r="CY30" s="907">
        <v>61.814999999999998</v>
      </c>
      <c r="CZ30" s="907">
        <v>61.945</v>
      </c>
      <c r="DA30" s="907">
        <v>62.07</v>
      </c>
      <c r="DB30" s="907">
        <v>62.2</v>
      </c>
      <c r="DC30" s="907">
        <v>62.325000000000003</v>
      </c>
      <c r="DD30" s="907">
        <v>62.45</v>
      </c>
      <c r="DE30" s="907">
        <v>62.58</v>
      </c>
      <c r="DF30" s="907">
        <v>62.704999999999998</v>
      </c>
      <c r="DG30" s="907">
        <v>62.825000000000003</v>
      </c>
      <c r="DH30" s="907">
        <v>62.945000000000007</v>
      </c>
      <c r="DI30" s="907">
        <v>63.070000000000007</v>
      </c>
      <c r="DJ30" s="907">
        <v>63.185000000000002</v>
      </c>
      <c r="DK30" s="907">
        <v>63.31</v>
      </c>
      <c r="DL30" s="907">
        <v>63.425000000000004</v>
      </c>
      <c r="DM30" s="907">
        <v>63.54</v>
      </c>
      <c r="DN30" s="907">
        <v>63.655000000000001</v>
      </c>
      <c r="DO30" s="907">
        <v>63.77</v>
      </c>
      <c r="DP30" s="907">
        <v>63.884999999999998</v>
      </c>
      <c r="DQ30" s="907">
        <v>64</v>
      </c>
      <c r="DR30" s="907">
        <v>64.11</v>
      </c>
    </row>
    <row r="31" spans="1:122" s="127" customFormat="1" ht="12.75">
      <c r="A31" s="911">
        <v>29</v>
      </c>
      <c r="B31" s="907">
        <v>43.040341423059019</v>
      </c>
      <c r="C31" s="907">
        <v>43.154662557117177</v>
      </c>
      <c r="D31" s="907">
        <v>43.353017548440995</v>
      </c>
      <c r="E31" s="907">
        <v>43.523135321109123</v>
      </c>
      <c r="F31" s="907">
        <v>43.762937471768204</v>
      </c>
      <c r="G31" s="907">
        <v>43.952634757299961</v>
      </c>
      <c r="H31" s="907">
        <v>44.117927448280682</v>
      </c>
      <c r="I31" s="907">
        <v>44.373443194006981</v>
      </c>
      <c r="J31" s="907">
        <v>44.5759016442681</v>
      </c>
      <c r="K31" s="907">
        <v>44.84057520384286</v>
      </c>
      <c r="L31" s="907">
        <v>45.121145514279725</v>
      </c>
      <c r="M31" s="907">
        <v>45.347595418484417</v>
      </c>
      <c r="N31" s="907">
        <v>45.598810718024119</v>
      </c>
      <c r="O31" s="907">
        <v>45.784841768627018</v>
      </c>
      <c r="P31" s="907">
        <v>46.070189711928911</v>
      </c>
      <c r="Q31" s="907">
        <v>46.214663736819887</v>
      </c>
      <c r="R31" s="907">
        <v>46.43768469038752</v>
      </c>
      <c r="S31" s="907">
        <v>46.654759140914308</v>
      </c>
      <c r="T31" s="907">
        <v>46.674430170583804</v>
      </c>
      <c r="U31" s="907">
        <v>46.975555652718199</v>
      </c>
      <c r="V31" s="907">
        <v>47.274999999999999</v>
      </c>
      <c r="W31" s="907">
        <v>47.519999999999996</v>
      </c>
      <c r="X31" s="907">
        <v>47.76</v>
      </c>
      <c r="Y31" s="907">
        <v>47.915000000000006</v>
      </c>
      <c r="Z31" s="907">
        <v>48.155000000000001</v>
      </c>
      <c r="AA31" s="907">
        <v>48.34</v>
      </c>
      <c r="AB31" s="907">
        <v>48.524999999999999</v>
      </c>
      <c r="AC31" s="907">
        <v>48.65</v>
      </c>
      <c r="AD31" s="907">
        <v>48.685000000000002</v>
      </c>
      <c r="AE31" s="907">
        <v>48.84</v>
      </c>
      <c r="AF31" s="907">
        <v>49.05</v>
      </c>
      <c r="AG31" s="907">
        <v>49.274999999999999</v>
      </c>
      <c r="AH31" s="907">
        <v>49.525000000000006</v>
      </c>
      <c r="AI31" s="907">
        <v>49.755000000000003</v>
      </c>
      <c r="AJ31" s="907">
        <v>50.055</v>
      </c>
      <c r="AK31" s="907">
        <v>50.34</v>
      </c>
      <c r="AL31" s="907">
        <v>50.674999999999997</v>
      </c>
      <c r="AM31" s="907">
        <v>50.984999999999999</v>
      </c>
      <c r="AN31" s="907">
        <v>51.204999999999998</v>
      </c>
      <c r="AO31" s="907">
        <v>51.370000000000005</v>
      </c>
      <c r="AP31" s="907">
        <v>51.540000000000006</v>
      </c>
      <c r="AQ31" s="907">
        <v>51.67</v>
      </c>
      <c r="AR31" s="907">
        <v>51.849999999999994</v>
      </c>
      <c r="AS31" s="907">
        <v>51.900000000000006</v>
      </c>
      <c r="AT31" s="907">
        <v>51.965000000000003</v>
      </c>
      <c r="AU31" s="907">
        <v>52.06</v>
      </c>
      <c r="AV31" s="907">
        <v>52.155000000000001</v>
      </c>
      <c r="AW31" s="907">
        <v>52.43</v>
      </c>
      <c r="AX31" s="907">
        <v>52.55</v>
      </c>
      <c r="AY31" s="907">
        <v>52.68</v>
      </c>
      <c r="AZ31" s="907">
        <v>52.78</v>
      </c>
      <c r="BA31" s="907">
        <v>52.894999999999996</v>
      </c>
      <c r="BB31" s="907">
        <v>53.03</v>
      </c>
      <c r="BC31" s="907">
        <v>53.155000000000001</v>
      </c>
      <c r="BD31" s="907">
        <v>53.31</v>
      </c>
      <c r="BE31" s="907">
        <v>53.465000000000003</v>
      </c>
      <c r="BF31" s="907">
        <v>53.65</v>
      </c>
      <c r="BG31" s="907">
        <v>53.81</v>
      </c>
      <c r="BH31" s="907">
        <v>54.04</v>
      </c>
      <c r="BI31" s="907">
        <v>54.2</v>
      </c>
      <c r="BJ31" s="907">
        <v>54.41</v>
      </c>
      <c r="BK31" s="907">
        <v>54.59</v>
      </c>
      <c r="BL31" s="907">
        <v>54.825000000000003</v>
      </c>
      <c r="BM31" s="907">
        <v>55.055000000000007</v>
      </c>
      <c r="BN31" s="907">
        <v>55.254999999999995</v>
      </c>
      <c r="BO31" s="907">
        <v>55.435000000000002</v>
      </c>
      <c r="BP31" s="907">
        <v>55.635000000000005</v>
      </c>
      <c r="BQ31" s="907">
        <v>55.814999999999998</v>
      </c>
      <c r="BR31" s="907">
        <v>55.989999999999995</v>
      </c>
      <c r="BS31" s="907">
        <v>56.164999999999999</v>
      </c>
      <c r="BT31" s="908">
        <v>56.335000000000001</v>
      </c>
      <c r="BU31" s="907">
        <v>56.475000000000001</v>
      </c>
      <c r="BV31" s="907">
        <v>56.644999999999996</v>
      </c>
      <c r="BW31" s="907">
        <v>56.81</v>
      </c>
      <c r="BX31" s="907">
        <v>56.965000000000003</v>
      </c>
      <c r="BY31" s="907">
        <v>57.114999999999995</v>
      </c>
      <c r="BZ31" s="907">
        <v>57.265000000000001</v>
      </c>
      <c r="CA31" s="907">
        <v>57.41</v>
      </c>
      <c r="CB31" s="907">
        <v>57.55</v>
      </c>
      <c r="CC31" s="907">
        <v>57.704999999999998</v>
      </c>
      <c r="CD31" s="907">
        <v>57.855000000000004</v>
      </c>
      <c r="CE31" s="907">
        <v>58.004999999999995</v>
      </c>
      <c r="CF31" s="907">
        <v>58.155000000000001</v>
      </c>
      <c r="CG31" s="907">
        <v>58.3</v>
      </c>
      <c r="CH31" s="907">
        <v>58.445</v>
      </c>
      <c r="CI31" s="907">
        <v>58.6</v>
      </c>
      <c r="CJ31" s="907">
        <v>58.74</v>
      </c>
      <c r="CK31" s="907">
        <v>58.89</v>
      </c>
      <c r="CL31" s="907">
        <v>59.034999999999997</v>
      </c>
      <c r="CM31" s="907">
        <v>59.185000000000002</v>
      </c>
      <c r="CN31" s="907">
        <v>59.325000000000003</v>
      </c>
      <c r="CO31" s="907">
        <v>59.47</v>
      </c>
      <c r="CP31" s="907">
        <v>59.61</v>
      </c>
      <c r="CQ31" s="907">
        <v>59.745000000000005</v>
      </c>
      <c r="CR31" s="907">
        <v>59.89</v>
      </c>
      <c r="CS31" s="907">
        <v>60.03</v>
      </c>
      <c r="CT31" s="907">
        <v>60.164999999999999</v>
      </c>
      <c r="CU31" s="907">
        <v>60.295000000000002</v>
      </c>
      <c r="CV31" s="907">
        <v>60.43</v>
      </c>
      <c r="CW31" s="907">
        <v>60.564999999999998</v>
      </c>
      <c r="CX31" s="907">
        <v>60.695</v>
      </c>
      <c r="CY31" s="907">
        <v>60.83</v>
      </c>
      <c r="CZ31" s="907">
        <v>60.96</v>
      </c>
      <c r="DA31" s="907">
        <v>61.084999999999994</v>
      </c>
      <c r="DB31" s="907">
        <v>61.215000000000003</v>
      </c>
      <c r="DC31" s="907">
        <v>61.34</v>
      </c>
      <c r="DD31" s="907">
        <v>61.465000000000003</v>
      </c>
      <c r="DE31" s="907">
        <v>61.59</v>
      </c>
      <c r="DF31" s="907">
        <v>61.715000000000003</v>
      </c>
      <c r="DG31" s="907">
        <v>61.84</v>
      </c>
      <c r="DH31" s="907">
        <v>61.96</v>
      </c>
      <c r="DI31" s="907">
        <v>62.08</v>
      </c>
      <c r="DJ31" s="907">
        <v>62.2</v>
      </c>
      <c r="DK31" s="907">
        <v>62.314999999999998</v>
      </c>
      <c r="DL31" s="907">
        <v>62.44</v>
      </c>
      <c r="DM31" s="907">
        <v>62.555000000000007</v>
      </c>
      <c r="DN31" s="907">
        <v>62.67</v>
      </c>
      <c r="DO31" s="907">
        <v>62.784999999999997</v>
      </c>
      <c r="DP31" s="907">
        <v>62.900000000000006</v>
      </c>
      <c r="DQ31" s="907">
        <v>63.005000000000003</v>
      </c>
      <c r="DR31" s="907">
        <v>63.120000000000005</v>
      </c>
    </row>
    <row r="32" spans="1:122" s="127" customFormat="1" ht="12.75">
      <c r="A32" s="911">
        <v>30</v>
      </c>
      <c r="B32" s="907">
        <v>42.20551382191784</v>
      </c>
      <c r="C32" s="907">
        <v>42.303562429824133</v>
      </c>
      <c r="D32" s="907">
        <v>42.494047621010537</v>
      </c>
      <c r="E32" s="907">
        <v>42.655121351656703</v>
      </c>
      <c r="F32" s="907">
        <v>42.895657794249885</v>
      </c>
      <c r="G32" s="907">
        <v>43.085933610998936</v>
      </c>
      <c r="H32" s="907">
        <v>43.254907145034807</v>
      </c>
      <c r="I32" s="907">
        <v>43.509215884414758</v>
      </c>
      <c r="J32" s="907">
        <v>43.711529402657355</v>
      </c>
      <c r="K32" s="907">
        <v>43.974261615010775</v>
      </c>
      <c r="L32" s="907">
        <v>44.25138989599526</v>
      </c>
      <c r="M32" s="907">
        <v>44.478505241569593</v>
      </c>
      <c r="N32" s="907">
        <v>44.730455322976269</v>
      </c>
      <c r="O32" s="907">
        <v>44.91703410774231</v>
      </c>
      <c r="P32" s="907">
        <v>45.216566237803477</v>
      </c>
      <c r="Q32" s="907">
        <v>45.381607101722523</v>
      </c>
      <c r="R32" s="907">
        <v>45.65263486006765</v>
      </c>
      <c r="S32" s="907">
        <v>45.816767988676844</v>
      </c>
      <c r="T32" s="907">
        <v>45.836537289569634</v>
      </c>
      <c r="U32" s="907">
        <v>46.100061527783232</v>
      </c>
      <c r="V32" s="907">
        <v>46.36</v>
      </c>
      <c r="W32" s="907">
        <v>46.61</v>
      </c>
      <c r="X32" s="907">
        <v>46.844999999999999</v>
      </c>
      <c r="Y32" s="907">
        <v>46.984999999999999</v>
      </c>
      <c r="Z32" s="907">
        <v>47.224999999999994</v>
      </c>
      <c r="AA32" s="907">
        <v>47.41</v>
      </c>
      <c r="AB32" s="907">
        <v>47.6</v>
      </c>
      <c r="AC32" s="907">
        <v>47.715000000000003</v>
      </c>
      <c r="AD32" s="907">
        <v>47.75</v>
      </c>
      <c r="AE32" s="907">
        <v>47.905000000000001</v>
      </c>
      <c r="AF32" s="907">
        <v>48.114999999999995</v>
      </c>
      <c r="AG32" s="907">
        <v>48.34</v>
      </c>
      <c r="AH32" s="907">
        <v>48.59</v>
      </c>
      <c r="AI32" s="907">
        <v>48.814999999999998</v>
      </c>
      <c r="AJ32" s="907">
        <v>49.115000000000002</v>
      </c>
      <c r="AK32" s="907">
        <v>49.4</v>
      </c>
      <c r="AL32" s="907">
        <v>49.734999999999999</v>
      </c>
      <c r="AM32" s="907">
        <v>50.04</v>
      </c>
      <c r="AN32" s="907">
        <v>50.265000000000001</v>
      </c>
      <c r="AO32" s="907">
        <v>50.424999999999997</v>
      </c>
      <c r="AP32" s="907">
        <v>50.6</v>
      </c>
      <c r="AQ32" s="907">
        <v>50.730000000000004</v>
      </c>
      <c r="AR32" s="907">
        <v>50.91</v>
      </c>
      <c r="AS32" s="907">
        <v>50.954999999999998</v>
      </c>
      <c r="AT32" s="907">
        <v>51.015000000000001</v>
      </c>
      <c r="AU32" s="907">
        <v>51.115000000000002</v>
      </c>
      <c r="AV32" s="907">
        <v>51.21</v>
      </c>
      <c r="AW32" s="907">
        <v>51.475000000000001</v>
      </c>
      <c r="AX32" s="907">
        <v>51.605000000000004</v>
      </c>
      <c r="AY32" s="907">
        <v>51.74</v>
      </c>
      <c r="AZ32" s="907">
        <v>51.835000000000001</v>
      </c>
      <c r="BA32" s="907">
        <v>51.945</v>
      </c>
      <c r="BB32" s="907">
        <v>52.075000000000003</v>
      </c>
      <c r="BC32" s="907">
        <v>52.204999999999998</v>
      </c>
      <c r="BD32" s="907">
        <v>52.355000000000004</v>
      </c>
      <c r="BE32" s="907">
        <v>52.515000000000001</v>
      </c>
      <c r="BF32" s="907">
        <v>52.695</v>
      </c>
      <c r="BG32" s="907">
        <v>52.85</v>
      </c>
      <c r="BH32" s="907">
        <v>53.085000000000001</v>
      </c>
      <c r="BI32" s="907">
        <v>53.245000000000005</v>
      </c>
      <c r="BJ32" s="907">
        <v>53.454999999999998</v>
      </c>
      <c r="BK32" s="907">
        <v>53.64</v>
      </c>
      <c r="BL32" s="907">
        <v>53.870000000000005</v>
      </c>
      <c r="BM32" s="907">
        <v>54.094999999999999</v>
      </c>
      <c r="BN32" s="907">
        <v>54.3</v>
      </c>
      <c r="BO32" s="907">
        <v>54.475000000000001</v>
      </c>
      <c r="BP32" s="907">
        <v>54.67</v>
      </c>
      <c r="BQ32" s="907">
        <v>54.85</v>
      </c>
      <c r="BR32" s="907">
        <v>55.025000000000006</v>
      </c>
      <c r="BS32" s="907">
        <v>55.194999999999993</v>
      </c>
      <c r="BT32" s="908">
        <v>55.364999999999995</v>
      </c>
      <c r="BU32" s="907">
        <v>55.504999999999995</v>
      </c>
      <c r="BV32" s="907">
        <v>55.674999999999997</v>
      </c>
      <c r="BW32" s="907">
        <v>55.84</v>
      </c>
      <c r="BX32" s="907">
        <v>55.995000000000005</v>
      </c>
      <c r="BY32" s="907">
        <v>56.134999999999998</v>
      </c>
      <c r="BZ32" s="907">
        <v>56.284999999999997</v>
      </c>
      <c r="CA32" s="907">
        <v>56.435000000000002</v>
      </c>
      <c r="CB32" s="907">
        <v>56.58</v>
      </c>
      <c r="CC32" s="907">
        <v>56.724999999999994</v>
      </c>
      <c r="CD32" s="907">
        <v>56.884999999999998</v>
      </c>
      <c r="CE32" s="907">
        <v>57.03</v>
      </c>
      <c r="CF32" s="907">
        <v>57.174999999999997</v>
      </c>
      <c r="CG32" s="907">
        <v>57.325000000000003</v>
      </c>
      <c r="CH32" s="907">
        <v>57.47</v>
      </c>
      <c r="CI32" s="907">
        <v>57.625</v>
      </c>
      <c r="CJ32" s="907">
        <v>57.769999999999996</v>
      </c>
      <c r="CK32" s="907">
        <v>57.914999999999999</v>
      </c>
      <c r="CL32" s="907">
        <v>58.06</v>
      </c>
      <c r="CM32" s="907">
        <v>58.204999999999998</v>
      </c>
      <c r="CN32" s="907">
        <v>58.35</v>
      </c>
      <c r="CO32" s="907">
        <v>58.484999999999999</v>
      </c>
      <c r="CP32" s="907">
        <v>58.63</v>
      </c>
      <c r="CQ32" s="907">
        <v>58.769999999999996</v>
      </c>
      <c r="CR32" s="907">
        <v>58.91</v>
      </c>
      <c r="CS32" s="907">
        <v>59.045000000000002</v>
      </c>
      <c r="CT32" s="907">
        <v>59.18</v>
      </c>
      <c r="CU32" s="907">
        <v>59.32</v>
      </c>
      <c r="CV32" s="907">
        <v>59.45</v>
      </c>
      <c r="CW32" s="907">
        <v>59.585000000000001</v>
      </c>
      <c r="CX32" s="907">
        <v>59.71</v>
      </c>
      <c r="CY32" s="907">
        <v>59.844999999999999</v>
      </c>
      <c r="CZ32" s="907">
        <v>59.974999999999994</v>
      </c>
      <c r="DA32" s="907">
        <v>60.1</v>
      </c>
      <c r="DB32" s="907">
        <v>60.230000000000004</v>
      </c>
      <c r="DC32" s="907">
        <v>60.355000000000004</v>
      </c>
      <c r="DD32" s="907">
        <v>60.480000000000004</v>
      </c>
      <c r="DE32" s="907">
        <v>60.605000000000004</v>
      </c>
      <c r="DF32" s="907">
        <v>60.730000000000004</v>
      </c>
      <c r="DG32" s="907">
        <v>60.855000000000004</v>
      </c>
      <c r="DH32" s="907">
        <v>60.97</v>
      </c>
      <c r="DI32" s="907">
        <v>61.094999999999999</v>
      </c>
      <c r="DJ32" s="907">
        <v>61.21</v>
      </c>
      <c r="DK32" s="907">
        <v>61.33</v>
      </c>
      <c r="DL32" s="907">
        <v>61.445</v>
      </c>
      <c r="DM32" s="907">
        <v>61.564999999999998</v>
      </c>
      <c r="DN32" s="907">
        <v>61.68</v>
      </c>
      <c r="DO32" s="907">
        <v>61.795000000000002</v>
      </c>
      <c r="DP32" s="907">
        <v>61.905000000000001</v>
      </c>
      <c r="DQ32" s="907">
        <v>62.019999999999996</v>
      </c>
      <c r="DR32" s="907">
        <v>62.129999999999995</v>
      </c>
    </row>
    <row r="33" spans="1:122" s="127" customFormat="1" ht="12.75">
      <c r="A33" s="911">
        <v>31</v>
      </c>
      <c r="B33" s="907">
        <v>41.353936741150449</v>
      </c>
      <c r="C33" s="907">
        <v>41.443811479919589</v>
      </c>
      <c r="D33" s="907">
        <v>41.625381236454004</v>
      </c>
      <c r="E33" s="907">
        <v>41.786956170516156</v>
      </c>
      <c r="F33" s="907">
        <v>42.028243395321439</v>
      </c>
      <c r="G33" s="907">
        <v>42.222817490521692</v>
      </c>
      <c r="H33" s="907">
        <v>42.389529186651501</v>
      </c>
      <c r="I33" s="907">
        <v>42.644143030398439</v>
      </c>
      <c r="J33" s="907">
        <v>42.844352092785201</v>
      </c>
      <c r="K33" s="907">
        <v>43.10362975773603</v>
      </c>
      <c r="L33" s="907">
        <v>43.381583827137263</v>
      </c>
      <c r="M33" s="907">
        <v>43.609379799941109</v>
      </c>
      <c r="N33" s="907">
        <v>43.862081316727227</v>
      </c>
      <c r="O33" s="907">
        <v>44.062482618958597</v>
      </c>
      <c r="P33" s="907">
        <v>44.383045439937391</v>
      </c>
      <c r="Q33" s="907">
        <v>44.595720018766905</v>
      </c>
      <c r="R33" s="907">
        <v>44.810646449561546</v>
      </c>
      <c r="S33" s="907">
        <v>44.975357178870198</v>
      </c>
      <c r="T33" s="907">
        <v>44.957610503051221</v>
      </c>
      <c r="U33" s="907">
        <v>45.188926392065255</v>
      </c>
      <c r="V33" s="907">
        <v>45.45</v>
      </c>
      <c r="W33" s="907">
        <v>45.7</v>
      </c>
      <c r="X33" s="907">
        <v>45.92</v>
      </c>
      <c r="Y33" s="907">
        <v>46.06</v>
      </c>
      <c r="Z33" s="907">
        <v>46.3</v>
      </c>
      <c r="AA33" s="907">
        <v>46.474999999999994</v>
      </c>
      <c r="AB33" s="907">
        <v>46.67</v>
      </c>
      <c r="AC33" s="907">
        <v>46.79</v>
      </c>
      <c r="AD33" s="907">
        <v>46.814999999999998</v>
      </c>
      <c r="AE33" s="907">
        <v>46.97</v>
      </c>
      <c r="AF33" s="907">
        <v>47.18</v>
      </c>
      <c r="AG33" s="907">
        <v>47.405000000000001</v>
      </c>
      <c r="AH33" s="907">
        <v>47.644999999999996</v>
      </c>
      <c r="AI33" s="907">
        <v>47.879999999999995</v>
      </c>
      <c r="AJ33" s="907">
        <v>48.174999999999997</v>
      </c>
      <c r="AK33" s="907">
        <v>48.465000000000003</v>
      </c>
      <c r="AL33" s="907">
        <v>48.79</v>
      </c>
      <c r="AM33" s="907">
        <v>49.104999999999997</v>
      </c>
      <c r="AN33" s="907">
        <v>49.325000000000003</v>
      </c>
      <c r="AO33" s="907">
        <v>49.489999999999995</v>
      </c>
      <c r="AP33" s="907">
        <v>49.664999999999999</v>
      </c>
      <c r="AQ33" s="907">
        <v>49.790000000000006</v>
      </c>
      <c r="AR33" s="907">
        <v>49.965000000000003</v>
      </c>
      <c r="AS33" s="907">
        <v>50.01</v>
      </c>
      <c r="AT33" s="907">
        <v>50.075000000000003</v>
      </c>
      <c r="AU33" s="907">
        <v>50.17</v>
      </c>
      <c r="AV33" s="907">
        <v>50.265000000000001</v>
      </c>
      <c r="AW33" s="907">
        <v>50.534999999999997</v>
      </c>
      <c r="AX33" s="907">
        <v>50.655000000000001</v>
      </c>
      <c r="AY33" s="907">
        <v>50.784999999999997</v>
      </c>
      <c r="AZ33" s="907">
        <v>50.879999999999995</v>
      </c>
      <c r="BA33" s="907">
        <v>50.995000000000005</v>
      </c>
      <c r="BB33" s="907">
        <v>51.125</v>
      </c>
      <c r="BC33" s="907">
        <v>51.25</v>
      </c>
      <c r="BD33" s="907">
        <v>51.4</v>
      </c>
      <c r="BE33" s="907">
        <v>51.56</v>
      </c>
      <c r="BF33" s="907">
        <v>51.74</v>
      </c>
      <c r="BG33" s="907">
        <v>51.894999999999996</v>
      </c>
      <c r="BH33" s="907">
        <v>52.13</v>
      </c>
      <c r="BI33" s="907">
        <v>52.295000000000002</v>
      </c>
      <c r="BJ33" s="907">
        <v>52.504999999999995</v>
      </c>
      <c r="BK33" s="907">
        <v>52.69</v>
      </c>
      <c r="BL33" s="907">
        <v>52.92</v>
      </c>
      <c r="BM33" s="907">
        <v>53.14</v>
      </c>
      <c r="BN33" s="907">
        <v>53.34</v>
      </c>
      <c r="BO33" s="907">
        <v>53.519999999999996</v>
      </c>
      <c r="BP33" s="907">
        <v>53.715000000000003</v>
      </c>
      <c r="BQ33" s="907">
        <v>53.89</v>
      </c>
      <c r="BR33" s="907">
        <v>54.055</v>
      </c>
      <c r="BS33" s="907">
        <v>54.230000000000004</v>
      </c>
      <c r="BT33" s="908">
        <v>54.4</v>
      </c>
      <c r="BU33" s="907">
        <v>54.54</v>
      </c>
      <c r="BV33" s="907">
        <v>54.704999999999998</v>
      </c>
      <c r="BW33" s="907">
        <v>54.865000000000002</v>
      </c>
      <c r="BX33" s="907">
        <v>55.019999999999996</v>
      </c>
      <c r="BY33" s="907">
        <v>55.164999999999999</v>
      </c>
      <c r="BZ33" s="907">
        <v>55.314999999999998</v>
      </c>
      <c r="CA33" s="907">
        <v>55.46</v>
      </c>
      <c r="CB33" s="907">
        <v>55.605000000000004</v>
      </c>
      <c r="CC33" s="907">
        <v>55.754999999999995</v>
      </c>
      <c r="CD33" s="907">
        <v>55.905000000000001</v>
      </c>
      <c r="CE33" s="907">
        <v>56.06</v>
      </c>
      <c r="CF33" s="907">
        <v>56.204999999999998</v>
      </c>
      <c r="CG33" s="907">
        <v>56.344999999999999</v>
      </c>
      <c r="CH33" s="907">
        <v>56.495000000000005</v>
      </c>
      <c r="CI33" s="907">
        <v>56.644999999999996</v>
      </c>
      <c r="CJ33" s="907">
        <v>56.795000000000002</v>
      </c>
      <c r="CK33" s="907">
        <v>56.94</v>
      </c>
      <c r="CL33" s="907">
        <v>57.08</v>
      </c>
      <c r="CM33" s="907">
        <v>57.225000000000001</v>
      </c>
      <c r="CN33" s="907">
        <v>57.364999999999995</v>
      </c>
      <c r="CO33" s="907">
        <v>57.510000000000005</v>
      </c>
      <c r="CP33" s="907">
        <v>57.65</v>
      </c>
      <c r="CQ33" s="907">
        <v>57.79</v>
      </c>
      <c r="CR33" s="907">
        <v>57.924999999999997</v>
      </c>
      <c r="CS33" s="907">
        <v>58.06</v>
      </c>
      <c r="CT33" s="907">
        <v>58.2</v>
      </c>
      <c r="CU33" s="907">
        <v>58.335000000000001</v>
      </c>
      <c r="CV33" s="907">
        <v>58.47</v>
      </c>
      <c r="CW33" s="907">
        <v>58.599999999999994</v>
      </c>
      <c r="CX33" s="907">
        <v>58.734999999999999</v>
      </c>
      <c r="CY33" s="907">
        <v>58.86</v>
      </c>
      <c r="CZ33" s="907">
        <v>58.99</v>
      </c>
      <c r="DA33" s="907">
        <v>59.115000000000002</v>
      </c>
      <c r="DB33" s="907">
        <v>59.25</v>
      </c>
      <c r="DC33" s="907">
        <v>59.375</v>
      </c>
      <c r="DD33" s="907">
        <v>59.495000000000005</v>
      </c>
      <c r="DE33" s="907">
        <v>59.620000000000005</v>
      </c>
      <c r="DF33" s="907">
        <v>59.744999999999997</v>
      </c>
      <c r="DG33" s="907">
        <v>59.87</v>
      </c>
      <c r="DH33" s="907">
        <v>59.984999999999999</v>
      </c>
      <c r="DI33" s="907">
        <v>60.11</v>
      </c>
      <c r="DJ33" s="907">
        <v>60.225000000000001</v>
      </c>
      <c r="DK33" s="907">
        <v>60.34</v>
      </c>
      <c r="DL33" s="907">
        <v>60.46</v>
      </c>
      <c r="DM33" s="907">
        <v>60.575000000000003</v>
      </c>
      <c r="DN33" s="907">
        <v>60.69</v>
      </c>
      <c r="DO33" s="907">
        <v>60.805</v>
      </c>
      <c r="DP33" s="907">
        <v>60.914999999999999</v>
      </c>
      <c r="DQ33" s="907">
        <v>61.03</v>
      </c>
      <c r="DR33" s="907">
        <v>61.134999999999998</v>
      </c>
    </row>
    <row r="34" spans="1:122" s="127" customFormat="1" ht="12.75">
      <c r="A34" s="911">
        <v>32</v>
      </c>
      <c r="B34" s="907">
        <v>40.495376980617458</v>
      </c>
      <c r="C34" s="907">
        <v>40.575948508998025</v>
      </c>
      <c r="D34" s="907">
        <v>40.758103181082404</v>
      </c>
      <c r="E34" s="907">
        <v>40.920196814999265</v>
      </c>
      <c r="F34" s="907">
        <v>41.165691192592121</v>
      </c>
      <c r="G34" s="907">
        <v>41.357320302778362</v>
      </c>
      <c r="H34" s="907">
        <v>41.525144575010245</v>
      </c>
      <c r="I34" s="907">
        <v>41.777838264191288</v>
      </c>
      <c r="J34" s="907">
        <v>41.974380359592445</v>
      </c>
      <c r="K34" s="907">
        <v>42.234457034998449</v>
      </c>
      <c r="L34" s="907">
        <v>42.5132659592905</v>
      </c>
      <c r="M34" s="907">
        <v>42.741766618173415</v>
      </c>
      <c r="N34" s="907">
        <v>43.008607872687918</v>
      </c>
      <c r="O34" s="907">
        <v>43.22984451229749</v>
      </c>
      <c r="P34" s="907">
        <v>43.599090249288238</v>
      </c>
      <c r="Q34" s="907">
        <v>43.749757275871822</v>
      </c>
      <c r="R34" s="907">
        <v>43.965451006478787</v>
      </c>
      <c r="S34" s="907">
        <v>44.093907532092345</v>
      </c>
      <c r="T34" s="907">
        <v>44.047354848753685</v>
      </c>
      <c r="U34" s="907">
        <v>44.279140655962266</v>
      </c>
      <c r="V34" s="907">
        <v>44.54</v>
      </c>
      <c r="W34" s="907">
        <v>44.774999999999999</v>
      </c>
      <c r="X34" s="907">
        <v>44.989999999999995</v>
      </c>
      <c r="Y34" s="907">
        <v>45.129999999999995</v>
      </c>
      <c r="Z34" s="907">
        <v>45.370000000000005</v>
      </c>
      <c r="AA34" s="907">
        <v>45.545000000000002</v>
      </c>
      <c r="AB34" s="907">
        <v>45.734999999999999</v>
      </c>
      <c r="AC34" s="907">
        <v>45.855000000000004</v>
      </c>
      <c r="AD34" s="907">
        <v>45.884999999999998</v>
      </c>
      <c r="AE34" s="907">
        <v>46.040000000000006</v>
      </c>
      <c r="AF34" s="907">
        <v>46.239999999999995</v>
      </c>
      <c r="AG34" s="907">
        <v>46.47</v>
      </c>
      <c r="AH34" s="907">
        <v>46.709999999999994</v>
      </c>
      <c r="AI34" s="907">
        <v>46.94</v>
      </c>
      <c r="AJ34" s="907">
        <v>47.24</v>
      </c>
      <c r="AK34" s="907">
        <v>47.519999999999996</v>
      </c>
      <c r="AL34" s="907">
        <v>47.85</v>
      </c>
      <c r="AM34" s="907">
        <v>48.16</v>
      </c>
      <c r="AN34" s="907">
        <v>48.379999999999995</v>
      </c>
      <c r="AO34" s="907">
        <v>48.545000000000002</v>
      </c>
      <c r="AP34" s="907">
        <v>48.724999999999994</v>
      </c>
      <c r="AQ34" s="907">
        <v>48.85</v>
      </c>
      <c r="AR34" s="907">
        <v>49.025000000000006</v>
      </c>
      <c r="AS34" s="907">
        <v>49.075000000000003</v>
      </c>
      <c r="AT34" s="907">
        <v>49.129999999999995</v>
      </c>
      <c r="AU34" s="907">
        <v>49.23</v>
      </c>
      <c r="AV34" s="907">
        <v>49.325000000000003</v>
      </c>
      <c r="AW34" s="907">
        <v>49.59</v>
      </c>
      <c r="AX34" s="907">
        <v>49.704999999999998</v>
      </c>
      <c r="AY34" s="907">
        <v>49.835000000000001</v>
      </c>
      <c r="AZ34" s="907">
        <v>49.935000000000002</v>
      </c>
      <c r="BA34" s="907">
        <v>50.05</v>
      </c>
      <c r="BB34" s="907">
        <v>50.18</v>
      </c>
      <c r="BC34" s="907">
        <v>50.3</v>
      </c>
      <c r="BD34" s="907">
        <v>50.445</v>
      </c>
      <c r="BE34" s="907">
        <v>50.605000000000004</v>
      </c>
      <c r="BF34" s="907">
        <v>50.784999999999997</v>
      </c>
      <c r="BG34" s="907">
        <v>50.94</v>
      </c>
      <c r="BH34" s="907">
        <v>51.174999999999997</v>
      </c>
      <c r="BI34" s="907">
        <v>51.344999999999999</v>
      </c>
      <c r="BJ34" s="907">
        <v>51.555</v>
      </c>
      <c r="BK34" s="907">
        <v>51.734999999999999</v>
      </c>
      <c r="BL34" s="907">
        <v>51.96</v>
      </c>
      <c r="BM34" s="907">
        <v>52.185000000000002</v>
      </c>
      <c r="BN34" s="907">
        <v>52.384999999999998</v>
      </c>
      <c r="BO34" s="907">
        <v>52.555</v>
      </c>
      <c r="BP34" s="907">
        <v>52.75</v>
      </c>
      <c r="BQ34" s="907">
        <v>52.924999999999997</v>
      </c>
      <c r="BR34" s="907">
        <v>53.094999999999999</v>
      </c>
      <c r="BS34" s="907">
        <v>53.265000000000001</v>
      </c>
      <c r="BT34" s="908">
        <v>53.43</v>
      </c>
      <c r="BU34" s="907">
        <v>53.57</v>
      </c>
      <c r="BV34" s="907">
        <v>53.734999999999999</v>
      </c>
      <c r="BW34" s="907">
        <v>53.9</v>
      </c>
      <c r="BX34" s="907">
        <v>54.045000000000002</v>
      </c>
      <c r="BY34" s="907">
        <v>54.195</v>
      </c>
      <c r="BZ34" s="907">
        <v>54.34</v>
      </c>
      <c r="CA34" s="907">
        <v>54.49</v>
      </c>
      <c r="CB34" s="907">
        <v>54.635000000000005</v>
      </c>
      <c r="CC34" s="907">
        <v>54.784999999999997</v>
      </c>
      <c r="CD34" s="907">
        <v>54.935000000000002</v>
      </c>
      <c r="CE34" s="907">
        <v>55.085000000000001</v>
      </c>
      <c r="CF34" s="907">
        <v>55.225000000000001</v>
      </c>
      <c r="CG34" s="907">
        <v>55.375</v>
      </c>
      <c r="CH34" s="907">
        <v>55.524999999999999</v>
      </c>
      <c r="CI34" s="907">
        <v>55.674999999999997</v>
      </c>
      <c r="CJ34" s="907">
        <v>55.82</v>
      </c>
      <c r="CK34" s="907">
        <v>55.965000000000003</v>
      </c>
      <c r="CL34" s="907">
        <v>56.105000000000004</v>
      </c>
      <c r="CM34" s="907">
        <v>56.25</v>
      </c>
      <c r="CN34" s="907">
        <v>56.39</v>
      </c>
      <c r="CO34" s="907">
        <v>56.53</v>
      </c>
      <c r="CP34" s="907">
        <v>56.674999999999997</v>
      </c>
      <c r="CQ34" s="907">
        <v>56.81</v>
      </c>
      <c r="CR34" s="907">
        <v>56.95</v>
      </c>
      <c r="CS34" s="907">
        <v>57.085000000000001</v>
      </c>
      <c r="CT34" s="907">
        <v>57.22</v>
      </c>
      <c r="CU34" s="907">
        <v>57.35</v>
      </c>
      <c r="CV34" s="907">
        <v>57.484999999999999</v>
      </c>
      <c r="CW34" s="907">
        <v>57.620000000000005</v>
      </c>
      <c r="CX34" s="907">
        <v>57.75</v>
      </c>
      <c r="CY34" s="907">
        <v>57.879999999999995</v>
      </c>
      <c r="CZ34" s="907">
        <v>58.01</v>
      </c>
      <c r="DA34" s="907">
        <v>58.134999999999998</v>
      </c>
      <c r="DB34" s="907">
        <v>58.265000000000001</v>
      </c>
      <c r="DC34" s="907">
        <v>58.39</v>
      </c>
      <c r="DD34" s="907">
        <v>58.515000000000001</v>
      </c>
      <c r="DE34" s="907">
        <v>58.634999999999998</v>
      </c>
      <c r="DF34" s="907">
        <v>58.760000000000005</v>
      </c>
      <c r="DG34" s="907">
        <v>58.88</v>
      </c>
      <c r="DH34" s="907">
        <v>59</v>
      </c>
      <c r="DI34" s="907">
        <v>59.12</v>
      </c>
      <c r="DJ34" s="907">
        <v>59.239999999999995</v>
      </c>
      <c r="DK34" s="907">
        <v>59.355000000000004</v>
      </c>
      <c r="DL34" s="907">
        <v>59.47</v>
      </c>
      <c r="DM34" s="907">
        <v>59.585000000000001</v>
      </c>
      <c r="DN34" s="907">
        <v>59.7</v>
      </c>
      <c r="DO34" s="907">
        <v>59.814999999999998</v>
      </c>
      <c r="DP34" s="907">
        <v>59.93</v>
      </c>
      <c r="DQ34" s="907">
        <v>60.04</v>
      </c>
      <c r="DR34" s="907">
        <v>60.15</v>
      </c>
    </row>
    <row r="35" spans="1:122" s="127" customFormat="1" ht="12.75">
      <c r="A35" s="911">
        <v>33</v>
      </c>
      <c r="B35" s="907">
        <v>39.629440350411265</v>
      </c>
      <c r="C35" s="907">
        <v>39.710279629824385</v>
      </c>
      <c r="D35" s="907">
        <v>39.893043718403348</v>
      </c>
      <c r="E35" s="907">
        <v>40.061643169465839</v>
      </c>
      <c r="F35" s="907">
        <v>40.301737609091091</v>
      </c>
      <c r="G35" s="907">
        <v>40.489626013696267</v>
      </c>
      <c r="H35" s="907">
        <v>40.655785699012696</v>
      </c>
      <c r="I35" s="907">
        <v>40.909280115547404</v>
      </c>
      <c r="J35" s="907">
        <v>41.106438452262694</v>
      </c>
      <c r="K35" s="907">
        <v>41.367346454646793</v>
      </c>
      <c r="L35" s="907">
        <v>41.647044720142432</v>
      </c>
      <c r="M35" s="907">
        <v>41.889777466145702</v>
      </c>
      <c r="N35" s="907">
        <v>42.177949293342273</v>
      </c>
      <c r="O35" s="907">
        <v>42.447986204004671</v>
      </c>
      <c r="P35" s="907">
        <v>42.752279507607454</v>
      </c>
      <c r="Q35" s="907">
        <v>42.90351806184934</v>
      </c>
      <c r="R35" s="907">
        <v>43.094314400667031</v>
      </c>
      <c r="S35" s="907">
        <v>43.185156735274887</v>
      </c>
      <c r="T35" s="907">
        <v>43.13851067236773</v>
      </c>
      <c r="U35" s="907">
        <v>43.37078480408249</v>
      </c>
      <c r="V35" s="907">
        <v>43.614999999999995</v>
      </c>
      <c r="W35" s="907">
        <v>43.844999999999999</v>
      </c>
      <c r="X35" s="907">
        <v>44.064999999999998</v>
      </c>
      <c r="Y35" s="907">
        <v>44.204999999999998</v>
      </c>
      <c r="Z35" s="907">
        <v>44.44</v>
      </c>
      <c r="AA35" s="907">
        <v>44.615000000000002</v>
      </c>
      <c r="AB35" s="907">
        <v>44.8</v>
      </c>
      <c r="AC35" s="907">
        <v>44.92</v>
      </c>
      <c r="AD35" s="907">
        <v>44.944999999999993</v>
      </c>
      <c r="AE35" s="907">
        <v>45.105000000000004</v>
      </c>
      <c r="AF35" s="907">
        <v>45.305000000000007</v>
      </c>
      <c r="AG35" s="907">
        <v>45.534999999999997</v>
      </c>
      <c r="AH35" s="907">
        <v>45.775000000000006</v>
      </c>
      <c r="AI35" s="907">
        <v>46.004999999999995</v>
      </c>
      <c r="AJ35" s="907">
        <v>46.305</v>
      </c>
      <c r="AK35" s="907">
        <v>46.58</v>
      </c>
      <c r="AL35" s="907">
        <v>46.91</v>
      </c>
      <c r="AM35" s="907">
        <v>47.22</v>
      </c>
      <c r="AN35" s="907">
        <v>47.445</v>
      </c>
      <c r="AO35" s="907">
        <v>47.605000000000004</v>
      </c>
      <c r="AP35" s="907">
        <v>47.784999999999997</v>
      </c>
      <c r="AQ35" s="907">
        <v>47.914999999999999</v>
      </c>
      <c r="AR35" s="907">
        <v>48.085000000000001</v>
      </c>
      <c r="AS35" s="907">
        <v>48.135000000000005</v>
      </c>
      <c r="AT35" s="907">
        <v>48.19</v>
      </c>
      <c r="AU35" s="907">
        <v>48.290000000000006</v>
      </c>
      <c r="AV35" s="907">
        <v>48.38</v>
      </c>
      <c r="AW35" s="907">
        <v>48.644999999999996</v>
      </c>
      <c r="AX35" s="907">
        <v>48.765000000000001</v>
      </c>
      <c r="AY35" s="907">
        <v>48.89</v>
      </c>
      <c r="AZ35" s="907">
        <v>48.989999999999995</v>
      </c>
      <c r="BA35" s="907">
        <v>49.1</v>
      </c>
      <c r="BB35" s="907">
        <v>49.225000000000001</v>
      </c>
      <c r="BC35" s="907">
        <v>49.344999999999999</v>
      </c>
      <c r="BD35" s="907">
        <v>49.489999999999995</v>
      </c>
      <c r="BE35" s="907">
        <v>49.655000000000001</v>
      </c>
      <c r="BF35" s="907">
        <v>49.84</v>
      </c>
      <c r="BG35" s="907">
        <v>49.994999999999997</v>
      </c>
      <c r="BH35" s="907">
        <v>50.224999999999994</v>
      </c>
      <c r="BI35" s="907">
        <v>50.394999999999996</v>
      </c>
      <c r="BJ35" s="907">
        <v>50.6</v>
      </c>
      <c r="BK35" s="907">
        <v>50.79</v>
      </c>
      <c r="BL35" s="907">
        <v>51.004999999999995</v>
      </c>
      <c r="BM35" s="907">
        <v>51.230000000000004</v>
      </c>
      <c r="BN35" s="907">
        <v>51.43</v>
      </c>
      <c r="BO35" s="907">
        <v>51.6</v>
      </c>
      <c r="BP35" s="907">
        <v>51.784999999999997</v>
      </c>
      <c r="BQ35" s="907">
        <v>51.954999999999998</v>
      </c>
      <c r="BR35" s="907">
        <v>52.125</v>
      </c>
      <c r="BS35" s="907">
        <v>52.295000000000002</v>
      </c>
      <c r="BT35" s="908">
        <v>52.46</v>
      </c>
      <c r="BU35" s="907">
        <v>52.6</v>
      </c>
      <c r="BV35" s="907">
        <v>52.765000000000001</v>
      </c>
      <c r="BW35" s="907">
        <v>52.924999999999997</v>
      </c>
      <c r="BX35" s="907">
        <v>53.075000000000003</v>
      </c>
      <c r="BY35" s="907">
        <v>53.225000000000001</v>
      </c>
      <c r="BZ35" s="907">
        <v>53.370000000000005</v>
      </c>
      <c r="CA35" s="907">
        <v>53.515000000000001</v>
      </c>
      <c r="CB35" s="907">
        <v>53.664999999999999</v>
      </c>
      <c r="CC35" s="907">
        <v>53.814999999999998</v>
      </c>
      <c r="CD35" s="907">
        <v>53.96</v>
      </c>
      <c r="CE35" s="907">
        <v>54.114999999999995</v>
      </c>
      <c r="CF35" s="907">
        <v>54.255000000000003</v>
      </c>
      <c r="CG35" s="907">
        <v>54.405000000000001</v>
      </c>
      <c r="CH35" s="907">
        <v>54.55</v>
      </c>
      <c r="CI35" s="907">
        <v>54.7</v>
      </c>
      <c r="CJ35" s="907">
        <v>54.844999999999999</v>
      </c>
      <c r="CK35" s="907">
        <v>54.984999999999999</v>
      </c>
      <c r="CL35" s="907">
        <v>55.129999999999995</v>
      </c>
      <c r="CM35" s="907">
        <v>55.269999999999996</v>
      </c>
      <c r="CN35" s="907">
        <v>55.414999999999999</v>
      </c>
      <c r="CO35" s="907">
        <v>55.555</v>
      </c>
      <c r="CP35" s="907">
        <v>55.695</v>
      </c>
      <c r="CQ35" s="907">
        <v>55.83</v>
      </c>
      <c r="CR35" s="907">
        <v>55.965000000000003</v>
      </c>
      <c r="CS35" s="907">
        <v>56.105000000000004</v>
      </c>
      <c r="CT35" s="907">
        <v>56.239999999999995</v>
      </c>
      <c r="CU35" s="907">
        <v>56.375</v>
      </c>
      <c r="CV35" s="907">
        <v>56.505000000000003</v>
      </c>
      <c r="CW35" s="907">
        <v>56.64</v>
      </c>
      <c r="CX35" s="907">
        <v>56.765000000000001</v>
      </c>
      <c r="CY35" s="907">
        <v>56.900000000000006</v>
      </c>
      <c r="CZ35" s="907">
        <v>57.025000000000006</v>
      </c>
      <c r="DA35" s="907">
        <v>57.155000000000001</v>
      </c>
      <c r="DB35" s="907">
        <v>57.28</v>
      </c>
      <c r="DC35" s="907">
        <v>57.405000000000001</v>
      </c>
      <c r="DD35" s="907">
        <v>57.53</v>
      </c>
      <c r="DE35" s="907">
        <v>57.655000000000001</v>
      </c>
      <c r="DF35" s="907">
        <v>57.775000000000006</v>
      </c>
      <c r="DG35" s="907">
        <v>57.894999999999996</v>
      </c>
      <c r="DH35" s="907">
        <v>58.015000000000001</v>
      </c>
      <c r="DI35" s="907">
        <v>58.135000000000005</v>
      </c>
      <c r="DJ35" s="907">
        <v>58.255000000000003</v>
      </c>
      <c r="DK35" s="907">
        <v>58.37</v>
      </c>
      <c r="DL35" s="907">
        <v>58.484999999999999</v>
      </c>
      <c r="DM35" s="907">
        <v>58.6</v>
      </c>
      <c r="DN35" s="907">
        <v>58.715000000000003</v>
      </c>
      <c r="DO35" s="907">
        <v>58.83</v>
      </c>
      <c r="DP35" s="907">
        <v>58.94</v>
      </c>
      <c r="DQ35" s="907">
        <v>59.055</v>
      </c>
      <c r="DR35" s="907">
        <v>59.16</v>
      </c>
    </row>
    <row r="36" spans="1:122" s="127" customFormat="1" ht="12.75">
      <c r="A36" s="911">
        <v>34</v>
      </c>
      <c r="B36" s="907">
        <v>38.765975779072008</v>
      </c>
      <c r="C36" s="907">
        <v>38.847093995845142</v>
      </c>
      <c r="D36" s="907">
        <v>39.036524963519938</v>
      </c>
      <c r="E36" s="907">
        <v>39.199423020732098</v>
      </c>
      <c r="F36" s="907">
        <v>39.435963866042115</v>
      </c>
      <c r="G36" s="907">
        <v>39.622273293893677</v>
      </c>
      <c r="H36" s="907">
        <v>39.788972402856047</v>
      </c>
      <c r="I36" s="907">
        <v>40.043303059654875</v>
      </c>
      <c r="J36" s="907">
        <v>40.24110401551637</v>
      </c>
      <c r="K36" s="907">
        <v>40.502881262370174</v>
      </c>
      <c r="L36" s="907">
        <v>40.797205980491484</v>
      </c>
      <c r="M36" s="907">
        <v>41.061517592245906</v>
      </c>
      <c r="N36" s="907">
        <v>41.385652450888095</v>
      </c>
      <c r="O36" s="907">
        <v>41.601266954894683</v>
      </c>
      <c r="P36" s="907">
        <v>41.906716390273601</v>
      </c>
      <c r="Q36" s="907">
        <v>42.032724246521738</v>
      </c>
      <c r="R36" s="907">
        <v>42.186826117008565</v>
      </c>
      <c r="S36" s="907">
        <v>42.27785865880832</v>
      </c>
      <c r="T36" s="907">
        <v>42.231115593785802</v>
      </c>
      <c r="U36" s="907">
        <v>42.443578360997648</v>
      </c>
      <c r="V36" s="907">
        <v>42.69</v>
      </c>
      <c r="W36" s="907">
        <v>42.914999999999999</v>
      </c>
      <c r="X36" s="907">
        <v>43.14</v>
      </c>
      <c r="Y36" s="907">
        <v>43.275000000000006</v>
      </c>
      <c r="Z36" s="907">
        <v>43.51</v>
      </c>
      <c r="AA36" s="907">
        <v>43.685000000000002</v>
      </c>
      <c r="AB36" s="907">
        <v>43.87</v>
      </c>
      <c r="AC36" s="907">
        <v>43.99</v>
      </c>
      <c r="AD36" s="907">
        <v>44.015000000000001</v>
      </c>
      <c r="AE36" s="907">
        <v>44.17</v>
      </c>
      <c r="AF36" s="907">
        <v>44.370000000000005</v>
      </c>
      <c r="AG36" s="907">
        <v>44.594999999999999</v>
      </c>
      <c r="AH36" s="907">
        <v>44.834999999999994</v>
      </c>
      <c r="AI36" s="907">
        <v>45.075000000000003</v>
      </c>
      <c r="AJ36" s="907">
        <v>45.364999999999995</v>
      </c>
      <c r="AK36" s="907">
        <v>45.644999999999996</v>
      </c>
      <c r="AL36" s="907">
        <v>45.975000000000001</v>
      </c>
      <c r="AM36" s="907">
        <v>46.29</v>
      </c>
      <c r="AN36" s="907">
        <v>46.504999999999995</v>
      </c>
      <c r="AO36" s="907">
        <v>46.674999999999997</v>
      </c>
      <c r="AP36" s="907">
        <v>46.844999999999999</v>
      </c>
      <c r="AQ36" s="907">
        <v>46.974999999999994</v>
      </c>
      <c r="AR36" s="907">
        <v>47.144999999999996</v>
      </c>
      <c r="AS36" s="907">
        <v>47.195</v>
      </c>
      <c r="AT36" s="907">
        <v>47.255000000000003</v>
      </c>
      <c r="AU36" s="907">
        <v>47.355000000000004</v>
      </c>
      <c r="AV36" s="907">
        <v>47.445</v>
      </c>
      <c r="AW36" s="907">
        <v>47.7</v>
      </c>
      <c r="AX36" s="907">
        <v>47.814999999999998</v>
      </c>
      <c r="AY36" s="907">
        <v>47.94</v>
      </c>
      <c r="AZ36" s="907">
        <v>48.045000000000002</v>
      </c>
      <c r="BA36" s="907">
        <v>48.15</v>
      </c>
      <c r="BB36" s="907">
        <v>48.28</v>
      </c>
      <c r="BC36" s="907">
        <v>48.394999999999996</v>
      </c>
      <c r="BD36" s="907">
        <v>48.545000000000002</v>
      </c>
      <c r="BE36" s="907">
        <v>48.71</v>
      </c>
      <c r="BF36" s="907">
        <v>48.89</v>
      </c>
      <c r="BG36" s="907">
        <v>49.055</v>
      </c>
      <c r="BH36" s="907">
        <v>49.28</v>
      </c>
      <c r="BI36" s="907">
        <v>49.45</v>
      </c>
      <c r="BJ36" s="907">
        <v>49.66</v>
      </c>
      <c r="BK36" s="907">
        <v>49.835000000000001</v>
      </c>
      <c r="BL36" s="907">
        <v>50.055</v>
      </c>
      <c r="BM36" s="907">
        <v>50.269999999999996</v>
      </c>
      <c r="BN36" s="907">
        <v>50.47</v>
      </c>
      <c r="BO36" s="907">
        <v>50.63</v>
      </c>
      <c r="BP36" s="907">
        <v>50.825000000000003</v>
      </c>
      <c r="BQ36" s="907">
        <v>50.995000000000005</v>
      </c>
      <c r="BR36" s="907">
        <v>51.16</v>
      </c>
      <c r="BS36" s="907">
        <v>51.33</v>
      </c>
      <c r="BT36" s="908">
        <v>51.49</v>
      </c>
      <c r="BU36" s="907">
        <v>51.63</v>
      </c>
      <c r="BV36" s="907">
        <v>51.8</v>
      </c>
      <c r="BW36" s="907">
        <v>51.954999999999998</v>
      </c>
      <c r="BX36" s="907">
        <v>52.105000000000004</v>
      </c>
      <c r="BY36" s="907">
        <v>52.255000000000003</v>
      </c>
      <c r="BZ36" s="907">
        <v>52.4</v>
      </c>
      <c r="CA36" s="907">
        <v>52.55</v>
      </c>
      <c r="CB36" s="907">
        <v>52.695</v>
      </c>
      <c r="CC36" s="907">
        <v>52.84</v>
      </c>
      <c r="CD36" s="907">
        <v>52.989999999999995</v>
      </c>
      <c r="CE36" s="907">
        <v>53.14</v>
      </c>
      <c r="CF36" s="907">
        <v>53.284999999999997</v>
      </c>
      <c r="CG36" s="907">
        <v>53.435000000000002</v>
      </c>
      <c r="CH36" s="907">
        <v>53.58</v>
      </c>
      <c r="CI36" s="907">
        <v>53.725000000000001</v>
      </c>
      <c r="CJ36" s="907">
        <v>53.875</v>
      </c>
      <c r="CK36" s="907">
        <v>54.015000000000001</v>
      </c>
      <c r="CL36" s="907">
        <v>54.16</v>
      </c>
      <c r="CM36" s="907">
        <v>54.3</v>
      </c>
      <c r="CN36" s="907">
        <v>54.44</v>
      </c>
      <c r="CO36" s="907">
        <v>54.58</v>
      </c>
      <c r="CP36" s="907">
        <v>54.72</v>
      </c>
      <c r="CQ36" s="907">
        <v>54.855000000000004</v>
      </c>
      <c r="CR36" s="907">
        <v>54.989999999999995</v>
      </c>
      <c r="CS36" s="907">
        <v>55.129999999999995</v>
      </c>
      <c r="CT36" s="907">
        <v>55.265000000000001</v>
      </c>
      <c r="CU36" s="907">
        <v>55.394999999999996</v>
      </c>
      <c r="CV36" s="907">
        <v>55.524999999999999</v>
      </c>
      <c r="CW36" s="907">
        <v>55.655000000000001</v>
      </c>
      <c r="CX36" s="907">
        <v>55.790000000000006</v>
      </c>
      <c r="CY36" s="907">
        <v>55.914999999999999</v>
      </c>
      <c r="CZ36" s="907">
        <v>56.045000000000002</v>
      </c>
      <c r="DA36" s="907">
        <v>56.17</v>
      </c>
      <c r="DB36" s="907">
        <v>56.295000000000002</v>
      </c>
      <c r="DC36" s="907">
        <v>56.42</v>
      </c>
      <c r="DD36" s="907">
        <v>56.545000000000002</v>
      </c>
      <c r="DE36" s="907">
        <v>56.67</v>
      </c>
      <c r="DF36" s="907">
        <v>56.79</v>
      </c>
      <c r="DG36" s="907">
        <v>56.91</v>
      </c>
      <c r="DH36" s="907">
        <v>57.03</v>
      </c>
      <c r="DI36" s="907">
        <v>57.15</v>
      </c>
      <c r="DJ36" s="907">
        <v>57.269999999999996</v>
      </c>
      <c r="DK36" s="907">
        <v>57.385000000000005</v>
      </c>
      <c r="DL36" s="907">
        <v>57.5</v>
      </c>
      <c r="DM36" s="907">
        <v>57.614999999999995</v>
      </c>
      <c r="DN36" s="907">
        <v>57.730000000000004</v>
      </c>
      <c r="DO36" s="907">
        <v>57.84</v>
      </c>
      <c r="DP36" s="907">
        <v>57.954999999999998</v>
      </c>
      <c r="DQ36" s="907">
        <v>58.069999999999993</v>
      </c>
      <c r="DR36" s="907">
        <v>58.174999999999997</v>
      </c>
    </row>
    <row r="37" spans="1:122" s="127" customFormat="1" ht="12.75">
      <c r="A37" s="911">
        <v>35</v>
      </c>
      <c r="B37" s="907">
        <v>37.904184862158388</v>
      </c>
      <c r="C37" s="907">
        <v>37.991651702665578</v>
      </c>
      <c r="D37" s="907">
        <v>38.175452360728812</v>
      </c>
      <c r="E37" s="907">
        <v>38.334555932143502</v>
      </c>
      <c r="F37" s="907">
        <v>38.569720354547222</v>
      </c>
      <c r="G37" s="907">
        <v>38.756661134930731</v>
      </c>
      <c r="H37" s="907">
        <v>38.923919576912425</v>
      </c>
      <c r="I37" s="907">
        <v>39.179118790672675</v>
      </c>
      <c r="J37" s="907">
        <v>39.377586363662999</v>
      </c>
      <c r="K37" s="907">
        <v>39.654058616764274</v>
      </c>
      <c r="L37" s="907">
        <v>39.970356785577323</v>
      </c>
      <c r="M37" s="907">
        <v>40.270858170427815</v>
      </c>
      <c r="N37" s="907">
        <v>40.537557246887644</v>
      </c>
      <c r="O37" s="907">
        <v>40.754017266326926</v>
      </c>
      <c r="P37" s="907">
        <v>41.034986836017303</v>
      </c>
      <c r="Q37" s="907">
        <v>41.126611645767753</v>
      </c>
      <c r="R37" s="907">
        <v>41.281060374141695</v>
      </c>
      <c r="S37" s="907">
        <v>41.372291219420092</v>
      </c>
      <c r="T37" s="907">
        <v>41.310922602494294</v>
      </c>
      <c r="U37" s="907">
        <v>41.520008418897781</v>
      </c>
      <c r="V37" s="907">
        <v>41.765000000000001</v>
      </c>
      <c r="W37" s="907">
        <v>41.994999999999997</v>
      </c>
      <c r="X37" s="907">
        <v>42.215000000000003</v>
      </c>
      <c r="Y37" s="907">
        <v>42.35</v>
      </c>
      <c r="Z37" s="907">
        <v>42.585000000000001</v>
      </c>
      <c r="AA37" s="907">
        <v>42.754999999999995</v>
      </c>
      <c r="AB37" s="907">
        <v>42.945</v>
      </c>
      <c r="AC37" s="907">
        <v>43.06</v>
      </c>
      <c r="AD37" s="907">
        <v>43.08</v>
      </c>
      <c r="AE37" s="907">
        <v>43.239999999999995</v>
      </c>
      <c r="AF37" s="907">
        <v>43.44</v>
      </c>
      <c r="AG37" s="907">
        <v>43.664999999999999</v>
      </c>
      <c r="AH37" s="907">
        <v>43.91</v>
      </c>
      <c r="AI37" s="907">
        <v>44.14</v>
      </c>
      <c r="AJ37" s="907">
        <v>44.424999999999997</v>
      </c>
      <c r="AK37" s="907">
        <v>44.715000000000003</v>
      </c>
      <c r="AL37" s="907">
        <v>45.04</v>
      </c>
      <c r="AM37" s="907">
        <v>45.355000000000004</v>
      </c>
      <c r="AN37" s="907">
        <v>45.57</v>
      </c>
      <c r="AO37" s="907">
        <v>45.739999999999995</v>
      </c>
      <c r="AP37" s="907">
        <v>45.914999999999999</v>
      </c>
      <c r="AQ37" s="907">
        <v>46.04</v>
      </c>
      <c r="AR37" s="907">
        <v>46.21</v>
      </c>
      <c r="AS37" s="907">
        <v>46.26</v>
      </c>
      <c r="AT37" s="907">
        <v>46.32</v>
      </c>
      <c r="AU37" s="907">
        <v>46.41</v>
      </c>
      <c r="AV37" s="907">
        <v>46.504999999999995</v>
      </c>
      <c r="AW37" s="907">
        <v>46.754999999999995</v>
      </c>
      <c r="AX37" s="907">
        <v>46.864999999999995</v>
      </c>
      <c r="AY37" s="907">
        <v>46.995000000000005</v>
      </c>
      <c r="AZ37" s="907">
        <v>47.09</v>
      </c>
      <c r="BA37" s="907">
        <v>47.204999999999998</v>
      </c>
      <c r="BB37" s="907">
        <v>47.325000000000003</v>
      </c>
      <c r="BC37" s="907">
        <v>47.45</v>
      </c>
      <c r="BD37" s="907">
        <v>47.594999999999999</v>
      </c>
      <c r="BE37" s="907">
        <v>47.765000000000001</v>
      </c>
      <c r="BF37" s="907">
        <v>47.95</v>
      </c>
      <c r="BG37" s="907">
        <v>48.11</v>
      </c>
      <c r="BH37" s="907">
        <v>48.34</v>
      </c>
      <c r="BI37" s="907">
        <v>48.504999999999995</v>
      </c>
      <c r="BJ37" s="907">
        <v>48.715000000000003</v>
      </c>
      <c r="BK37" s="907">
        <v>48.885000000000005</v>
      </c>
      <c r="BL37" s="907">
        <v>49.105000000000004</v>
      </c>
      <c r="BM37" s="907">
        <v>49.314999999999998</v>
      </c>
      <c r="BN37" s="907">
        <v>49.505000000000003</v>
      </c>
      <c r="BO37" s="907">
        <v>49.674999999999997</v>
      </c>
      <c r="BP37" s="907">
        <v>49.86</v>
      </c>
      <c r="BQ37" s="907">
        <v>50.03</v>
      </c>
      <c r="BR37" s="907">
        <v>50.195</v>
      </c>
      <c r="BS37" s="907">
        <v>50.365000000000002</v>
      </c>
      <c r="BT37" s="908">
        <v>50.519999999999996</v>
      </c>
      <c r="BU37" s="907">
        <v>50.66</v>
      </c>
      <c r="BV37" s="907">
        <v>50.83</v>
      </c>
      <c r="BW37" s="907">
        <v>50.984999999999999</v>
      </c>
      <c r="BX37" s="907">
        <v>51.135000000000005</v>
      </c>
      <c r="BY37" s="907">
        <v>51.284999999999997</v>
      </c>
      <c r="BZ37" s="907">
        <v>51.43</v>
      </c>
      <c r="CA37" s="907">
        <v>51.58</v>
      </c>
      <c r="CB37" s="907">
        <v>51.724999999999994</v>
      </c>
      <c r="CC37" s="907">
        <v>51.870000000000005</v>
      </c>
      <c r="CD37" s="907">
        <v>52.019999999999996</v>
      </c>
      <c r="CE37" s="907">
        <v>52.174999999999997</v>
      </c>
      <c r="CF37" s="907">
        <v>52.314999999999998</v>
      </c>
      <c r="CG37" s="907">
        <v>52.465000000000003</v>
      </c>
      <c r="CH37" s="907">
        <v>52.61</v>
      </c>
      <c r="CI37" s="907">
        <v>52.755000000000003</v>
      </c>
      <c r="CJ37" s="907">
        <v>52.9</v>
      </c>
      <c r="CK37" s="907">
        <v>53.040000000000006</v>
      </c>
      <c r="CL37" s="907">
        <v>53.185000000000002</v>
      </c>
      <c r="CM37" s="907">
        <v>53.325000000000003</v>
      </c>
      <c r="CN37" s="907">
        <v>53.47</v>
      </c>
      <c r="CO37" s="907">
        <v>53.605000000000004</v>
      </c>
      <c r="CP37" s="907">
        <v>53.745000000000005</v>
      </c>
      <c r="CQ37" s="907">
        <v>53.879999999999995</v>
      </c>
      <c r="CR37" s="907">
        <v>54.015000000000001</v>
      </c>
      <c r="CS37" s="907">
        <v>54.15</v>
      </c>
      <c r="CT37" s="907">
        <v>54.28</v>
      </c>
      <c r="CU37" s="907">
        <v>54.414999999999999</v>
      </c>
      <c r="CV37" s="907">
        <v>54.55</v>
      </c>
      <c r="CW37" s="907">
        <v>54.68</v>
      </c>
      <c r="CX37" s="907">
        <v>54.805</v>
      </c>
      <c r="CY37" s="907">
        <v>54.94</v>
      </c>
      <c r="CZ37" s="907">
        <v>55.064999999999998</v>
      </c>
      <c r="DA37" s="907">
        <v>55.19</v>
      </c>
      <c r="DB37" s="907">
        <v>55.32</v>
      </c>
      <c r="DC37" s="907">
        <v>55.445</v>
      </c>
      <c r="DD37" s="907">
        <v>55.564999999999998</v>
      </c>
      <c r="DE37" s="907">
        <v>55.685000000000002</v>
      </c>
      <c r="DF37" s="907">
        <v>55.81</v>
      </c>
      <c r="DG37" s="907">
        <v>55.93</v>
      </c>
      <c r="DH37" s="907">
        <v>56.05</v>
      </c>
      <c r="DI37" s="907">
        <v>56.164999999999999</v>
      </c>
      <c r="DJ37" s="907">
        <v>56.284999999999997</v>
      </c>
      <c r="DK37" s="907">
        <v>56.4</v>
      </c>
      <c r="DL37" s="907">
        <v>56.519999999999996</v>
      </c>
      <c r="DM37" s="907">
        <v>56.63</v>
      </c>
      <c r="DN37" s="907">
        <v>56.744999999999997</v>
      </c>
      <c r="DO37" s="907">
        <v>56.855000000000004</v>
      </c>
      <c r="DP37" s="907">
        <v>56.97</v>
      </c>
      <c r="DQ37" s="907">
        <v>57.08</v>
      </c>
      <c r="DR37" s="907">
        <v>57.19</v>
      </c>
    </row>
    <row r="38" spans="1:122" s="127" customFormat="1" ht="12.75">
      <c r="A38" s="911">
        <v>36</v>
      </c>
      <c r="B38" s="907">
        <v>37.048935774490694</v>
      </c>
      <c r="C38" s="907">
        <v>37.130392491302104</v>
      </c>
      <c r="D38" s="907">
        <v>37.310479580024868</v>
      </c>
      <c r="E38" s="907">
        <v>37.467941740311637</v>
      </c>
      <c r="F38" s="907">
        <v>37.703935156932175</v>
      </c>
      <c r="G38" s="907">
        <v>37.891526430631899</v>
      </c>
      <c r="H38" s="907">
        <v>38.059361292424406</v>
      </c>
      <c r="I38" s="907">
        <v>38.315455239494611</v>
      </c>
      <c r="J38" s="907">
        <v>38.528365902513364</v>
      </c>
      <c r="K38" s="907">
        <v>38.82671701465302</v>
      </c>
      <c r="L38" s="907">
        <v>39.17941398346376</v>
      </c>
      <c r="M38" s="907">
        <v>39.419762577837176</v>
      </c>
      <c r="N38" s="907">
        <v>39.687490164832496</v>
      </c>
      <c r="O38" s="907">
        <v>39.879689748012879</v>
      </c>
      <c r="P38" s="907">
        <v>40.130391286392822</v>
      </c>
      <c r="Q38" s="907">
        <v>40.22223821460463</v>
      </c>
      <c r="R38" s="907">
        <v>40.377048975839649</v>
      </c>
      <c r="S38" s="907">
        <v>40.453987608688237</v>
      </c>
      <c r="T38" s="907">
        <v>40.391602601224136</v>
      </c>
      <c r="U38" s="907">
        <v>40.595165734789902</v>
      </c>
      <c r="V38" s="907">
        <v>40.840000000000003</v>
      </c>
      <c r="W38" s="907">
        <v>41.07</v>
      </c>
      <c r="X38" s="907">
        <v>41.290000000000006</v>
      </c>
      <c r="Y38" s="907">
        <v>41.424999999999997</v>
      </c>
      <c r="Z38" s="907">
        <v>41.66</v>
      </c>
      <c r="AA38" s="907">
        <v>41.83</v>
      </c>
      <c r="AB38" s="907">
        <v>42.015000000000001</v>
      </c>
      <c r="AC38" s="907">
        <v>42.129999999999995</v>
      </c>
      <c r="AD38" s="907">
        <v>42.155000000000001</v>
      </c>
      <c r="AE38" s="907">
        <v>42.31</v>
      </c>
      <c r="AF38" s="907">
        <v>42.51</v>
      </c>
      <c r="AG38" s="907">
        <v>42.730000000000004</v>
      </c>
      <c r="AH38" s="907">
        <v>42.980000000000004</v>
      </c>
      <c r="AI38" s="907">
        <v>43.21</v>
      </c>
      <c r="AJ38" s="907">
        <v>43.5</v>
      </c>
      <c r="AK38" s="907">
        <v>43.784999999999997</v>
      </c>
      <c r="AL38" s="907">
        <v>44.105000000000004</v>
      </c>
      <c r="AM38" s="907">
        <v>44.42</v>
      </c>
      <c r="AN38" s="907">
        <v>44.635000000000005</v>
      </c>
      <c r="AO38" s="907">
        <v>44.805000000000007</v>
      </c>
      <c r="AP38" s="907">
        <v>44.98</v>
      </c>
      <c r="AQ38" s="907">
        <v>45.105000000000004</v>
      </c>
      <c r="AR38" s="907">
        <v>45.274999999999999</v>
      </c>
      <c r="AS38" s="907">
        <v>45.325000000000003</v>
      </c>
      <c r="AT38" s="907">
        <v>45.38</v>
      </c>
      <c r="AU38" s="907">
        <v>45.474999999999994</v>
      </c>
      <c r="AV38" s="907">
        <v>45.564999999999998</v>
      </c>
      <c r="AW38" s="907">
        <v>45.814999999999998</v>
      </c>
      <c r="AX38" s="907">
        <v>45.924999999999997</v>
      </c>
      <c r="AY38" s="907">
        <v>46.055</v>
      </c>
      <c r="AZ38" s="907">
        <v>46.144999999999996</v>
      </c>
      <c r="BA38" s="907">
        <v>46.26</v>
      </c>
      <c r="BB38" s="907">
        <v>46.385000000000005</v>
      </c>
      <c r="BC38" s="907">
        <v>46.504999999999995</v>
      </c>
      <c r="BD38" s="907">
        <v>46.65</v>
      </c>
      <c r="BE38" s="907">
        <v>46.825000000000003</v>
      </c>
      <c r="BF38" s="907">
        <v>47.010000000000005</v>
      </c>
      <c r="BG38" s="907">
        <v>47.17</v>
      </c>
      <c r="BH38" s="907">
        <v>47.394999999999996</v>
      </c>
      <c r="BI38" s="907">
        <v>47.56</v>
      </c>
      <c r="BJ38" s="907">
        <v>47.769999999999996</v>
      </c>
      <c r="BK38" s="907">
        <v>47.94</v>
      </c>
      <c r="BL38" s="907">
        <v>48.150000000000006</v>
      </c>
      <c r="BM38" s="907">
        <v>48.36</v>
      </c>
      <c r="BN38" s="907">
        <v>48.55</v>
      </c>
      <c r="BO38" s="907">
        <v>48.715000000000003</v>
      </c>
      <c r="BP38" s="907">
        <v>48.9</v>
      </c>
      <c r="BQ38" s="907">
        <v>49.07</v>
      </c>
      <c r="BR38" s="907">
        <v>49.230000000000004</v>
      </c>
      <c r="BS38" s="907">
        <v>49.4</v>
      </c>
      <c r="BT38" s="908">
        <v>49.555</v>
      </c>
      <c r="BU38" s="907">
        <v>49.695</v>
      </c>
      <c r="BV38" s="907">
        <v>49.86</v>
      </c>
      <c r="BW38" s="907">
        <v>50.015000000000001</v>
      </c>
      <c r="BX38" s="907">
        <v>50.17</v>
      </c>
      <c r="BY38" s="907">
        <v>50.314999999999998</v>
      </c>
      <c r="BZ38" s="907">
        <v>50.465000000000003</v>
      </c>
      <c r="CA38" s="907">
        <v>50.614999999999995</v>
      </c>
      <c r="CB38" s="907">
        <v>50.754999999999995</v>
      </c>
      <c r="CC38" s="907">
        <v>50.905000000000001</v>
      </c>
      <c r="CD38" s="907">
        <v>51.055</v>
      </c>
      <c r="CE38" s="907">
        <v>51.204999999999998</v>
      </c>
      <c r="CF38" s="907">
        <v>51.35</v>
      </c>
      <c r="CG38" s="907">
        <v>51.495000000000005</v>
      </c>
      <c r="CH38" s="907">
        <v>51.644999999999996</v>
      </c>
      <c r="CI38" s="907">
        <v>51.784999999999997</v>
      </c>
      <c r="CJ38" s="907">
        <v>51.93</v>
      </c>
      <c r="CK38" s="907">
        <v>52.075000000000003</v>
      </c>
      <c r="CL38" s="907">
        <v>52.215000000000003</v>
      </c>
      <c r="CM38" s="907">
        <v>52.349999999999994</v>
      </c>
      <c r="CN38" s="907">
        <v>52.495000000000005</v>
      </c>
      <c r="CO38" s="907">
        <v>52.634999999999998</v>
      </c>
      <c r="CP38" s="907">
        <v>52.77</v>
      </c>
      <c r="CQ38" s="907">
        <v>52.905000000000001</v>
      </c>
      <c r="CR38" s="907">
        <v>53.04</v>
      </c>
      <c r="CS38" s="907">
        <v>53.18</v>
      </c>
      <c r="CT38" s="907">
        <v>53.305</v>
      </c>
      <c r="CU38" s="907">
        <v>53.44</v>
      </c>
      <c r="CV38" s="907">
        <v>53.57</v>
      </c>
      <c r="CW38" s="907">
        <v>53.704999999999998</v>
      </c>
      <c r="CX38" s="907">
        <v>53.83</v>
      </c>
      <c r="CY38" s="907">
        <v>53.96</v>
      </c>
      <c r="CZ38" s="907">
        <v>54.085000000000001</v>
      </c>
      <c r="DA38" s="907">
        <v>54.21</v>
      </c>
      <c r="DB38" s="907">
        <v>54.335000000000001</v>
      </c>
      <c r="DC38" s="907">
        <v>54.46</v>
      </c>
      <c r="DD38" s="907">
        <v>54.585000000000001</v>
      </c>
      <c r="DE38" s="907">
        <v>54.71</v>
      </c>
      <c r="DF38" s="907">
        <v>54.825000000000003</v>
      </c>
      <c r="DG38" s="907">
        <v>54.95</v>
      </c>
      <c r="DH38" s="907">
        <v>55.064999999999998</v>
      </c>
      <c r="DI38" s="907">
        <v>55.185000000000002</v>
      </c>
      <c r="DJ38" s="907">
        <v>55.305</v>
      </c>
      <c r="DK38" s="907">
        <v>55.42</v>
      </c>
      <c r="DL38" s="907">
        <v>55.534999999999997</v>
      </c>
      <c r="DM38" s="907">
        <v>55.65</v>
      </c>
      <c r="DN38" s="907">
        <v>55.760000000000005</v>
      </c>
      <c r="DO38" s="907">
        <v>55.87</v>
      </c>
      <c r="DP38" s="907">
        <v>55.984999999999999</v>
      </c>
      <c r="DQ38" s="907">
        <v>56.094999999999999</v>
      </c>
      <c r="DR38" s="907">
        <v>56.2</v>
      </c>
    </row>
    <row r="39" spans="1:122" s="127" customFormat="1" ht="12.75">
      <c r="A39" s="911">
        <v>37</v>
      </c>
      <c r="B39" s="907">
        <v>36.188663043882229</v>
      </c>
      <c r="C39" s="907">
        <v>36.265965948286421</v>
      </c>
      <c r="D39" s="907">
        <v>36.444477111577243</v>
      </c>
      <c r="E39" s="907">
        <v>36.602507005138975</v>
      </c>
      <c r="F39" s="907">
        <v>36.839359550530929</v>
      </c>
      <c r="G39" s="907">
        <v>37.02762568874801</v>
      </c>
      <c r="H39" s="907">
        <v>37.196059048899784</v>
      </c>
      <c r="I39" s="907">
        <v>37.466898935917243</v>
      </c>
      <c r="J39" s="907">
        <v>37.701511497587575</v>
      </c>
      <c r="K39" s="907">
        <v>38.036324521432626</v>
      </c>
      <c r="L39" s="907">
        <v>38.326703760961962</v>
      </c>
      <c r="M39" s="907">
        <v>38.568009880854021</v>
      </c>
      <c r="N39" s="907">
        <v>38.81196160860889</v>
      </c>
      <c r="O39" s="907">
        <v>38.976456876435819</v>
      </c>
      <c r="P39" s="907">
        <v>39.227784438714622</v>
      </c>
      <c r="Q39" s="907">
        <v>39.319863886161073</v>
      </c>
      <c r="R39" s="907">
        <v>39.467849309234701</v>
      </c>
      <c r="S39" s="907">
        <v>39.531222775385459</v>
      </c>
      <c r="T39" s="907">
        <v>39.47433749438698</v>
      </c>
      <c r="U39" s="907">
        <v>39.672530015070407</v>
      </c>
      <c r="V39" s="907">
        <v>39.92</v>
      </c>
      <c r="W39" s="907">
        <v>40.15</v>
      </c>
      <c r="X39" s="907">
        <v>40.365000000000002</v>
      </c>
      <c r="Y39" s="907">
        <v>40.5</v>
      </c>
      <c r="Z39" s="907">
        <v>40.734999999999999</v>
      </c>
      <c r="AA39" s="907">
        <v>40.905000000000001</v>
      </c>
      <c r="AB39" s="907">
        <v>41.09</v>
      </c>
      <c r="AC39" s="907">
        <v>41.2</v>
      </c>
      <c r="AD39" s="907">
        <v>41.230000000000004</v>
      </c>
      <c r="AE39" s="907">
        <v>41.375</v>
      </c>
      <c r="AF39" s="907">
        <v>41.585000000000001</v>
      </c>
      <c r="AG39" s="907">
        <v>41.805</v>
      </c>
      <c r="AH39" s="907">
        <v>42.045000000000002</v>
      </c>
      <c r="AI39" s="907">
        <v>42.284999999999997</v>
      </c>
      <c r="AJ39" s="907">
        <v>42.57</v>
      </c>
      <c r="AK39" s="907">
        <v>42.855000000000004</v>
      </c>
      <c r="AL39" s="907">
        <v>43.185000000000002</v>
      </c>
      <c r="AM39" s="907">
        <v>43.49</v>
      </c>
      <c r="AN39" s="907">
        <v>43.709999999999994</v>
      </c>
      <c r="AO39" s="907">
        <v>43.879999999999995</v>
      </c>
      <c r="AP39" s="907">
        <v>44.05</v>
      </c>
      <c r="AQ39" s="907">
        <v>44.174999999999997</v>
      </c>
      <c r="AR39" s="907">
        <v>44.344999999999999</v>
      </c>
      <c r="AS39" s="907">
        <v>44.394999999999996</v>
      </c>
      <c r="AT39" s="907">
        <v>44.445</v>
      </c>
      <c r="AU39" s="907">
        <v>44.54</v>
      </c>
      <c r="AV39" s="907">
        <v>44.629999999999995</v>
      </c>
      <c r="AW39" s="907">
        <v>44.875</v>
      </c>
      <c r="AX39" s="907">
        <v>44.984999999999999</v>
      </c>
      <c r="AY39" s="907">
        <v>45.11</v>
      </c>
      <c r="AZ39" s="907">
        <v>45.2</v>
      </c>
      <c r="BA39" s="907">
        <v>45.314999999999998</v>
      </c>
      <c r="BB39" s="907">
        <v>45.445</v>
      </c>
      <c r="BC39" s="907">
        <v>45.564999999999998</v>
      </c>
      <c r="BD39" s="907">
        <v>45.715000000000003</v>
      </c>
      <c r="BE39" s="907">
        <v>45.894999999999996</v>
      </c>
      <c r="BF39" s="907">
        <v>46.07</v>
      </c>
      <c r="BG39" s="907">
        <v>46.234999999999999</v>
      </c>
      <c r="BH39" s="907">
        <v>46.454999999999998</v>
      </c>
      <c r="BI39" s="907">
        <v>46.620000000000005</v>
      </c>
      <c r="BJ39" s="907">
        <v>46.82</v>
      </c>
      <c r="BK39" s="907">
        <v>46.989999999999995</v>
      </c>
      <c r="BL39" s="907">
        <v>47.2</v>
      </c>
      <c r="BM39" s="907">
        <v>47.41</v>
      </c>
      <c r="BN39" s="907">
        <v>47.594999999999999</v>
      </c>
      <c r="BO39" s="907">
        <v>47.76</v>
      </c>
      <c r="BP39" s="907">
        <v>47.945</v>
      </c>
      <c r="BQ39" s="907">
        <v>48.11</v>
      </c>
      <c r="BR39" s="907">
        <v>48.269999999999996</v>
      </c>
      <c r="BS39" s="907">
        <v>48.435000000000002</v>
      </c>
      <c r="BT39" s="908">
        <v>48.59</v>
      </c>
      <c r="BU39" s="907">
        <v>48.73</v>
      </c>
      <c r="BV39" s="907">
        <v>48.894999999999996</v>
      </c>
      <c r="BW39" s="907">
        <v>49.055</v>
      </c>
      <c r="BX39" s="907">
        <v>49.2</v>
      </c>
      <c r="BY39" s="907">
        <v>49.344999999999999</v>
      </c>
      <c r="BZ39" s="907">
        <v>49.494999999999997</v>
      </c>
      <c r="CA39" s="907">
        <v>49.644999999999996</v>
      </c>
      <c r="CB39" s="907">
        <v>49.784999999999997</v>
      </c>
      <c r="CC39" s="907">
        <v>49.935000000000002</v>
      </c>
      <c r="CD39" s="907">
        <v>50.09</v>
      </c>
      <c r="CE39" s="907">
        <v>50.234999999999999</v>
      </c>
      <c r="CF39" s="907">
        <v>50.379999999999995</v>
      </c>
      <c r="CG39" s="907">
        <v>50.525000000000006</v>
      </c>
      <c r="CH39" s="907">
        <v>50.674999999999997</v>
      </c>
      <c r="CI39" s="907">
        <v>50.82</v>
      </c>
      <c r="CJ39" s="907">
        <v>50.959999999999994</v>
      </c>
      <c r="CK39" s="907">
        <v>51.105000000000004</v>
      </c>
      <c r="CL39" s="907">
        <v>51.239999999999995</v>
      </c>
      <c r="CM39" s="907">
        <v>51.385000000000005</v>
      </c>
      <c r="CN39" s="907">
        <v>51.524999999999999</v>
      </c>
      <c r="CO39" s="907">
        <v>51.66</v>
      </c>
      <c r="CP39" s="907">
        <v>51.795000000000002</v>
      </c>
      <c r="CQ39" s="907">
        <v>51.935000000000002</v>
      </c>
      <c r="CR39" s="907">
        <v>52.07</v>
      </c>
      <c r="CS39" s="907">
        <v>52.2</v>
      </c>
      <c r="CT39" s="907">
        <v>52.335000000000001</v>
      </c>
      <c r="CU39" s="907">
        <v>52.465000000000003</v>
      </c>
      <c r="CV39" s="907">
        <v>52.594999999999999</v>
      </c>
      <c r="CW39" s="907">
        <v>52.725000000000001</v>
      </c>
      <c r="CX39" s="907">
        <v>52.855000000000004</v>
      </c>
      <c r="CY39" s="907">
        <v>52.980000000000004</v>
      </c>
      <c r="CZ39" s="907">
        <v>53.11</v>
      </c>
      <c r="DA39" s="907">
        <v>53.234999999999999</v>
      </c>
      <c r="DB39" s="907">
        <v>53.36</v>
      </c>
      <c r="DC39" s="907">
        <v>53.484999999999999</v>
      </c>
      <c r="DD39" s="907">
        <v>53.599999999999994</v>
      </c>
      <c r="DE39" s="907">
        <v>53.724999999999994</v>
      </c>
      <c r="DF39" s="907">
        <v>53.849999999999994</v>
      </c>
      <c r="DG39" s="907">
        <v>53.965000000000003</v>
      </c>
      <c r="DH39" s="907">
        <v>54.085000000000001</v>
      </c>
      <c r="DI39" s="907">
        <v>54.204999999999998</v>
      </c>
      <c r="DJ39" s="907">
        <v>54.32</v>
      </c>
      <c r="DK39" s="907">
        <v>54.435000000000002</v>
      </c>
      <c r="DL39" s="907">
        <v>54.55</v>
      </c>
      <c r="DM39" s="907">
        <v>54.664999999999999</v>
      </c>
      <c r="DN39" s="907">
        <v>54.78</v>
      </c>
      <c r="DO39" s="907">
        <v>54.885000000000005</v>
      </c>
      <c r="DP39" s="907">
        <v>55</v>
      </c>
      <c r="DQ39" s="907">
        <v>55.11</v>
      </c>
      <c r="DR39" s="907">
        <v>55.215000000000003</v>
      </c>
    </row>
    <row r="40" spans="1:122" s="127" customFormat="1" ht="12.75">
      <c r="A40" s="911">
        <v>38</v>
      </c>
      <c r="B40" s="907">
        <v>35.332565439256044</v>
      </c>
      <c r="C40" s="907">
        <v>35.404390122959214</v>
      </c>
      <c r="D40" s="907">
        <v>35.58746845516157</v>
      </c>
      <c r="E40" s="907">
        <v>35.746121386745898</v>
      </c>
      <c r="F40" s="907">
        <v>35.983916420396177</v>
      </c>
      <c r="G40" s="907">
        <v>36.172923224073941</v>
      </c>
      <c r="H40" s="907">
        <v>36.356673641108458</v>
      </c>
      <c r="I40" s="907">
        <v>36.650868743270863</v>
      </c>
      <c r="J40" s="907">
        <v>36.923883736607081</v>
      </c>
      <c r="K40" s="907">
        <v>37.183417405452687</v>
      </c>
      <c r="L40" s="907">
        <v>37.474966556533332</v>
      </c>
      <c r="M40" s="907">
        <v>37.688030482932248</v>
      </c>
      <c r="N40" s="907">
        <v>37.9104865363024</v>
      </c>
      <c r="O40" s="907">
        <v>38.075414767320353</v>
      </c>
      <c r="P40" s="907">
        <v>38.327399043118447</v>
      </c>
      <c r="Q40" s="907">
        <v>38.407883211200037</v>
      </c>
      <c r="R40" s="907">
        <v>38.552598017361973</v>
      </c>
      <c r="S40" s="907">
        <v>38.613502344992142</v>
      </c>
      <c r="T40" s="907">
        <v>38.560030319027938</v>
      </c>
      <c r="U40" s="907">
        <v>38.753072982432542</v>
      </c>
      <c r="V40" s="907">
        <v>39</v>
      </c>
      <c r="W40" s="907">
        <v>39.234999999999999</v>
      </c>
      <c r="X40" s="907">
        <v>39.445</v>
      </c>
      <c r="Y40" s="907">
        <v>39.584999999999994</v>
      </c>
      <c r="Z40" s="907">
        <v>39.81</v>
      </c>
      <c r="AA40" s="907">
        <v>39.984999999999999</v>
      </c>
      <c r="AB40" s="907">
        <v>40.164999999999999</v>
      </c>
      <c r="AC40" s="907">
        <v>40.28</v>
      </c>
      <c r="AD40" s="907">
        <v>40.31</v>
      </c>
      <c r="AE40" s="907">
        <v>40.454999999999998</v>
      </c>
      <c r="AF40" s="907">
        <v>40.659999999999997</v>
      </c>
      <c r="AG40" s="907">
        <v>40.885000000000005</v>
      </c>
      <c r="AH40" s="907">
        <v>41.129999999999995</v>
      </c>
      <c r="AI40" s="907">
        <v>41.364999999999995</v>
      </c>
      <c r="AJ40" s="907">
        <v>41.650000000000006</v>
      </c>
      <c r="AK40" s="907">
        <v>41.935000000000002</v>
      </c>
      <c r="AL40" s="907">
        <v>42.260000000000005</v>
      </c>
      <c r="AM40" s="907">
        <v>42.56</v>
      </c>
      <c r="AN40" s="907">
        <v>42.78</v>
      </c>
      <c r="AO40" s="907">
        <v>42.954999999999998</v>
      </c>
      <c r="AP40" s="907">
        <v>43.12</v>
      </c>
      <c r="AQ40" s="907">
        <v>43.245000000000005</v>
      </c>
      <c r="AR40" s="907">
        <v>43.42</v>
      </c>
      <c r="AS40" s="907">
        <v>43.465000000000003</v>
      </c>
      <c r="AT40" s="907">
        <v>43.515000000000001</v>
      </c>
      <c r="AU40" s="907">
        <v>43.605000000000004</v>
      </c>
      <c r="AV40" s="907">
        <v>43.695</v>
      </c>
      <c r="AW40" s="907">
        <v>43.94</v>
      </c>
      <c r="AX40" s="907">
        <v>44.04</v>
      </c>
      <c r="AY40" s="907">
        <v>44.174999999999997</v>
      </c>
      <c r="AZ40" s="907">
        <v>44.265000000000001</v>
      </c>
      <c r="BA40" s="907">
        <v>44.379999999999995</v>
      </c>
      <c r="BB40" s="907">
        <v>44.51</v>
      </c>
      <c r="BC40" s="907">
        <v>44.635000000000005</v>
      </c>
      <c r="BD40" s="907">
        <v>44.784999999999997</v>
      </c>
      <c r="BE40" s="907">
        <v>44.954999999999998</v>
      </c>
      <c r="BF40" s="907">
        <v>45.134999999999998</v>
      </c>
      <c r="BG40" s="907">
        <v>45.3</v>
      </c>
      <c r="BH40" s="907">
        <v>45.515000000000001</v>
      </c>
      <c r="BI40" s="907">
        <v>45.68</v>
      </c>
      <c r="BJ40" s="907">
        <v>45.870000000000005</v>
      </c>
      <c r="BK40" s="907">
        <v>46.045000000000002</v>
      </c>
      <c r="BL40" s="907">
        <v>46.25</v>
      </c>
      <c r="BM40" s="907">
        <v>46.454999999999998</v>
      </c>
      <c r="BN40" s="907">
        <v>46.64</v>
      </c>
      <c r="BO40" s="907">
        <v>46.8</v>
      </c>
      <c r="BP40" s="907">
        <v>46.984999999999999</v>
      </c>
      <c r="BQ40" s="907">
        <v>47.150000000000006</v>
      </c>
      <c r="BR40" s="907">
        <v>47.31</v>
      </c>
      <c r="BS40" s="907">
        <v>47.475000000000001</v>
      </c>
      <c r="BT40" s="908">
        <v>47.625</v>
      </c>
      <c r="BU40" s="907">
        <v>47.765000000000001</v>
      </c>
      <c r="BV40" s="907">
        <v>47.924999999999997</v>
      </c>
      <c r="BW40" s="907">
        <v>48.085000000000001</v>
      </c>
      <c r="BX40" s="907">
        <v>48.234999999999999</v>
      </c>
      <c r="BY40" s="907">
        <v>48.379999999999995</v>
      </c>
      <c r="BZ40" s="907">
        <v>48.525000000000006</v>
      </c>
      <c r="CA40" s="907">
        <v>48.68</v>
      </c>
      <c r="CB40" s="907">
        <v>48.825000000000003</v>
      </c>
      <c r="CC40" s="907">
        <v>48.975000000000001</v>
      </c>
      <c r="CD40" s="907">
        <v>49.125</v>
      </c>
      <c r="CE40" s="907">
        <v>49.269999999999996</v>
      </c>
      <c r="CF40" s="907">
        <v>49.414999999999999</v>
      </c>
      <c r="CG40" s="907">
        <v>49.564999999999998</v>
      </c>
      <c r="CH40" s="907">
        <v>49.71</v>
      </c>
      <c r="CI40" s="907">
        <v>49.85</v>
      </c>
      <c r="CJ40" s="907">
        <v>49.995000000000005</v>
      </c>
      <c r="CK40" s="907">
        <v>50.135000000000005</v>
      </c>
      <c r="CL40" s="907">
        <v>50.274999999999999</v>
      </c>
      <c r="CM40" s="907">
        <v>50.415000000000006</v>
      </c>
      <c r="CN40" s="907">
        <v>50.55</v>
      </c>
      <c r="CO40" s="907">
        <v>50.69</v>
      </c>
      <c r="CP40" s="907">
        <v>50.825000000000003</v>
      </c>
      <c r="CQ40" s="907">
        <v>50.96</v>
      </c>
      <c r="CR40" s="907">
        <v>51.094999999999999</v>
      </c>
      <c r="CS40" s="907">
        <v>51.224999999999994</v>
      </c>
      <c r="CT40" s="907">
        <v>51.36</v>
      </c>
      <c r="CU40" s="907">
        <v>51.495000000000005</v>
      </c>
      <c r="CV40" s="907">
        <v>51.62</v>
      </c>
      <c r="CW40" s="907">
        <v>51.75</v>
      </c>
      <c r="CX40" s="907">
        <v>51.88</v>
      </c>
      <c r="CY40" s="907">
        <v>52.005000000000003</v>
      </c>
      <c r="CZ40" s="907">
        <v>52.135000000000005</v>
      </c>
      <c r="DA40" s="907">
        <v>52.260000000000005</v>
      </c>
      <c r="DB40" s="907">
        <v>52.385000000000005</v>
      </c>
      <c r="DC40" s="907">
        <v>52.5</v>
      </c>
      <c r="DD40" s="907">
        <v>52.625</v>
      </c>
      <c r="DE40" s="907">
        <v>52.75</v>
      </c>
      <c r="DF40" s="907">
        <v>52.865000000000002</v>
      </c>
      <c r="DG40" s="907">
        <v>52.99</v>
      </c>
      <c r="DH40" s="907">
        <v>53.105000000000004</v>
      </c>
      <c r="DI40" s="907">
        <v>53.22</v>
      </c>
      <c r="DJ40" s="907">
        <v>53.335000000000001</v>
      </c>
      <c r="DK40" s="907">
        <v>53.45</v>
      </c>
      <c r="DL40" s="907">
        <v>53.564999999999998</v>
      </c>
      <c r="DM40" s="907">
        <v>53.68</v>
      </c>
      <c r="DN40" s="907">
        <v>53.795000000000002</v>
      </c>
      <c r="DO40" s="907">
        <v>53.905000000000001</v>
      </c>
      <c r="DP40" s="907">
        <v>54.015000000000001</v>
      </c>
      <c r="DQ40" s="907">
        <v>54.125</v>
      </c>
      <c r="DR40" s="907">
        <v>54.230000000000004</v>
      </c>
    </row>
    <row r="41" spans="1:122" s="127" customFormat="1" ht="12.75">
      <c r="A41" s="911">
        <v>39</v>
      </c>
      <c r="B41" s="907"/>
      <c r="C41" s="907"/>
      <c r="D41" s="907"/>
      <c r="E41" s="907"/>
      <c r="F41" s="907"/>
      <c r="G41" s="907"/>
      <c r="H41" s="907"/>
      <c r="I41" s="907"/>
      <c r="J41" s="907"/>
      <c r="K41" s="907"/>
      <c r="L41" s="907"/>
      <c r="M41" s="907"/>
      <c r="N41" s="907"/>
      <c r="O41" s="907"/>
      <c r="P41" s="907"/>
      <c r="Q41" s="907"/>
      <c r="R41" s="907"/>
      <c r="S41" s="907"/>
      <c r="T41" s="907"/>
      <c r="U41" s="907"/>
      <c r="V41" s="907"/>
      <c r="W41" s="907">
        <v>38.314999999999998</v>
      </c>
      <c r="X41" s="907">
        <v>38.53</v>
      </c>
      <c r="Y41" s="907">
        <v>38.659999999999997</v>
      </c>
      <c r="Z41" s="907">
        <v>38.89</v>
      </c>
      <c r="AA41" s="907">
        <v>39.064999999999998</v>
      </c>
      <c r="AB41" s="907">
        <v>39.244999999999997</v>
      </c>
      <c r="AC41" s="907">
        <v>39.36</v>
      </c>
      <c r="AD41" s="907">
        <v>39.394999999999996</v>
      </c>
      <c r="AE41" s="907">
        <v>39.54</v>
      </c>
      <c r="AF41" s="907">
        <v>39.74</v>
      </c>
      <c r="AG41" s="907">
        <v>39.97</v>
      </c>
      <c r="AH41" s="907">
        <v>40.215000000000003</v>
      </c>
      <c r="AI41" s="907">
        <v>40.450000000000003</v>
      </c>
      <c r="AJ41" s="907">
        <v>40.734999999999999</v>
      </c>
      <c r="AK41" s="907">
        <v>41.015000000000001</v>
      </c>
      <c r="AL41" s="907">
        <v>41.34</v>
      </c>
      <c r="AM41" s="907">
        <v>41.644999999999996</v>
      </c>
      <c r="AN41" s="907">
        <v>41.86</v>
      </c>
      <c r="AO41" s="907">
        <v>42.03</v>
      </c>
      <c r="AP41" s="907">
        <v>42.195</v>
      </c>
      <c r="AQ41" s="907">
        <v>42.325000000000003</v>
      </c>
      <c r="AR41" s="907">
        <v>42.49</v>
      </c>
      <c r="AS41" s="907">
        <v>42.54</v>
      </c>
      <c r="AT41" s="907">
        <v>42.59</v>
      </c>
      <c r="AU41" s="907">
        <v>42.674999999999997</v>
      </c>
      <c r="AV41" s="907">
        <v>42.765000000000001</v>
      </c>
      <c r="AW41" s="907">
        <v>43.004999999999995</v>
      </c>
      <c r="AX41" s="907">
        <v>43.104999999999997</v>
      </c>
      <c r="AY41" s="907">
        <v>43.239999999999995</v>
      </c>
      <c r="AZ41" s="907">
        <v>43.33</v>
      </c>
      <c r="BA41" s="907">
        <v>43.445</v>
      </c>
      <c r="BB41" s="907">
        <v>43.58</v>
      </c>
      <c r="BC41" s="907">
        <v>43.71</v>
      </c>
      <c r="BD41" s="907">
        <v>43.86</v>
      </c>
      <c r="BE41" s="907">
        <v>44.024999999999999</v>
      </c>
      <c r="BF41" s="907">
        <v>44.2</v>
      </c>
      <c r="BG41" s="907">
        <v>44.37</v>
      </c>
      <c r="BH41" s="907">
        <v>44.58</v>
      </c>
      <c r="BI41" s="907">
        <v>44.734999999999999</v>
      </c>
      <c r="BJ41" s="907">
        <v>44.924999999999997</v>
      </c>
      <c r="BK41" s="907">
        <v>45.099999999999994</v>
      </c>
      <c r="BL41" s="907">
        <v>45.305</v>
      </c>
      <c r="BM41" s="907">
        <v>45.504999999999995</v>
      </c>
      <c r="BN41" s="907">
        <v>45.69</v>
      </c>
      <c r="BO41" s="907">
        <v>45.85</v>
      </c>
      <c r="BP41" s="907">
        <v>46.03</v>
      </c>
      <c r="BQ41" s="907">
        <v>46.19</v>
      </c>
      <c r="BR41" s="907">
        <v>46.349999999999994</v>
      </c>
      <c r="BS41" s="907">
        <v>46.515000000000001</v>
      </c>
      <c r="BT41" s="908">
        <v>46.664999999999999</v>
      </c>
      <c r="BU41" s="907">
        <v>46.805</v>
      </c>
      <c r="BV41" s="907">
        <v>46.965000000000003</v>
      </c>
      <c r="BW41" s="907">
        <v>47.125</v>
      </c>
      <c r="BX41" s="907">
        <v>47.274999999999999</v>
      </c>
      <c r="BY41" s="907">
        <v>47.42</v>
      </c>
      <c r="BZ41" s="907">
        <v>47.564999999999998</v>
      </c>
      <c r="CA41" s="907">
        <v>47.72</v>
      </c>
      <c r="CB41" s="907">
        <v>47.864999999999995</v>
      </c>
      <c r="CC41" s="907">
        <v>48.015000000000001</v>
      </c>
      <c r="CD41" s="907">
        <v>48.16</v>
      </c>
      <c r="CE41" s="907">
        <v>48.31</v>
      </c>
      <c r="CF41" s="907">
        <v>48.454999999999998</v>
      </c>
      <c r="CG41" s="907">
        <v>48.599999999999994</v>
      </c>
      <c r="CH41" s="907">
        <v>48.74</v>
      </c>
      <c r="CI41" s="907">
        <v>48.884999999999998</v>
      </c>
      <c r="CJ41" s="907">
        <v>49.025000000000006</v>
      </c>
      <c r="CK41" s="907">
        <v>49.17</v>
      </c>
      <c r="CL41" s="907">
        <v>49.305</v>
      </c>
      <c r="CM41" s="907">
        <v>49.445</v>
      </c>
      <c r="CN41" s="907">
        <v>49.58</v>
      </c>
      <c r="CO41" s="907">
        <v>49.72</v>
      </c>
      <c r="CP41" s="907">
        <v>49.855000000000004</v>
      </c>
      <c r="CQ41" s="907">
        <v>49.99</v>
      </c>
      <c r="CR41" s="907">
        <v>50.125</v>
      </c>
      <c r="CS41" s="907">
        <v>50.26</v>
      </c>
      <c r="CT41" s="907">
        <v>50.384999999999998</v>
      </c>
      <c r="CU41" s="907">
        <v>50.519999999999996</v>
      </c>
      <c r="CV41" s="907">
        <v>50.650000000000006</v>
      </c>
      <c r="CW41" s="907">
        <v>50.775000000000006</v>
      </c>
      <c r="CX41" s="907">
        <v>50.9</v>
      </c>
      <c r="CY41" s="907">
        <v>51.03</v>
      </c>
      <c r="CZ41" s="907">
        <v>51.155000000000001</v>
      </c>
      <c r="DA41" s="907">
        <v>51.28</v>
      </c>
      <c r="DB41" s="907">
        <v>51.405000000000001</v>
      </c>
      <c r="DC41" s="907">
        <v>51.524999999999999</v>
      </c>
      <c r="DD41" s="907">
        <v>51.65</v>
      </c>
      <c r="DE41" s="907">
        <v>51.769999999999996</v>
      </c>
      <c r="DF41" s="907">
        <v>51.89</v>
      </c>
      <c r="DG41" s="907">
        <v>52.004999999999995</v>
      </c>
      <c r="DH41" s="907">
        <v>52.125</v>
      </c>
      <c r="DI41" s="907">
        <v>52.245000000000005</v>
      </c>
      <c r="DJ41" s="907">
        <v>52.36</v>
      </c>
      <c r="DK41" s="907">
        <v>52.475000000000001</v>
      </c>
      <c r="DL41" s="907">
        <v>52.59</v>
      </c>
      <c r="DM41" s="907">
        <v>52.7</v>
      </c>
      <c r="DN41" s="907">
        <v>52.81</v>
      </c>
      <c r="DO41" s="907">
        <v>52.924999999999997</v>
      </c>
      <c r="DP41" s="907">
        <v>53.034999999999997</v>
      </c>
      <c r="DQ41" s="907">
        <v>53.14</v>
      </c>
      <c r="DR41" s="907">
        <v>53.255000000000003</v>
      </c>
    </row>
    <row r="42" spans="1:122" s="127" customFormat="1" ht="12.75">
      <c r="A42" s="911">
        <v>40</v>
      </c>
      <c r="B42" s="907"/>
      <c r="C42" s="907"/>
      <c r="D42" s="907"/>
      <c r="E42" s="907"/>
      <c r="F42" s="907"/>
      <c r="G42" s="907"/>
      <c r="H42" s="907"/>
      <c r="I42" s="907"/>
      <c r="J42" s="907"/>
      <c r="K42" s="907"/>
      <c r="L42" s="907"/>
      <c r="M42" s="907"/>
      <c r="N42" s="907"/>
      <c r="O42" s="907"/>
      <c r="P42" s="907"/>
      <c r="Q42" s="907"/>
      <c r="R42" s="907"/>
      <c r="S42" s="907"/>
      <c r="T42" s="907"/>
      <c r="U42" s="907"/>
      <c r="V42" s="907"/>
      <c r="W42" s="907">
        <v>37.405000000000001</v>
      </c>
      <c r="X42" s="907">
        <v>37.614999999999995</v>
      </c>
      <c r="Y42" s="907">
        <v>37.744999999999997</v>
      </c>
      <c r="Z42" s="907">
        <v>37.975000000000001</v>
      </c>
      <c r="AA42" s="907">
        <v>38.155000000000001</v>
      </c>
      <c r="AB42" s="907">
        <v>38.325000000000003</v>
      </c>
      <c r="AC42" s="907">
        <v>38.445</v>
      </c>
      <c r="AD42" s="907">
        <v>38.475000000000001</v>
      </c>
      <c r="AE42" s="907">
        <v>38.625</v>
      </c>
      <c r="AF42" s="907">
        <v>38.825000000000003</v>
      </c>
      <c r="AG42" s="907">
        <v>39.055</v>
      </c>
      <c r="AH42" s="907">
        <v>39.305</v>
      </c>
      <c r="AI42" s="907">
        <v>39.534999999999997</v>
      </c>
      <c r="AJ42" s="907">
        <v>39.82</v>
      </c>
      <c r="AK42" s="907">
        <v>40.1</v>
      </c>
      <c r="AL42" s="907">
        <v>40.42</v>
      </c>
      <c r="AM42" s="907">
        <v>40.730000000000004</v>
      </c>
      <c r="AN42" s="907">
        <v>40.94</v>
      </c>
      <c r="AO42" s="907">
        <v>41.114999999999995</v>
      </c>
      <c r="AP42" s="907">
        <v>41.28</v>
      </c>
      <c r="AQ42" s="907">
        <v>41.405000000000001</v>
      </c>
      <c r="AR42" s="907">
        <v>41.57</v>
      </c>
      <c r="AS42" s="907">
        <v>41.615000000000002</v>
      </c>
      <c r="AT42" s="907">
        <v>41.66</v>
      </c>
      <c r="AU42" s="907">
        <v>41.75</v>
      </c>
      <c r="AV42" s="907">
        <v>41.84</v>
      </c>
      <c r="AW42" s="907">
        <v>42.075000000000003</v>
      </c>
      <c r="AX42" s="907">
        <v>42.174999999999997</v>
      </c>
      <c r="AY42" s="907">
        <v>42.305</v>
      </c>
      <c r="AZ42" s="907">
        <v>42.405000000000001</v>
      </c>
      <c r="BA42" s="907">
        <v>42.519999999999996</v>
      </c>
      <c r="BB42" s="907">
        <v>42.66</v>
      </c>
      <c r="BC42" s="907">
        <v>42.784999999999997</v>
      </c>
      <c r="BD42" s="907">
        <v>42.93</v>
      </c>
      <c r="BE42" s="907">
        <v>43.099999999999994</v>
      </c>
      <c r="BF42" s="907">
        <v>43.265000000000001</v>
      </c>
      <c r="BG42" s="907">
        <v>43.43</v>
      </c>
      <c r="BH42" s="907">
        <v>43.64</v>
      </c>
      <c r="BI42" s="907">
        <v>43.8</v>
      </c>
      <c r="BJ42" s="907">
        <v>43.989999999999995</v>
      </c>
      <c r="BK42" s="907">
        <v>44.155000000000001</v>
      </c>
      <c r="BL42" s="907">
        <v>44.355000000000004</v>
      </c>
      <c r="BM42" s="907">
        <v>44.56</v>
      </c>
      <c r="BN42" s="907">
        <v>44.739999999999995</v>
      </c>
      <c r="BO42" s="907">
        <v>44.894999999999996</v>
      </c>
      <c r="BP42" s="907">
        <v>45.075000000000003</v>
      </c>
      <c r="BQ42" s="907">
        <v>45.234999999999999</v>
      </c>
      <c r="BR42" s="907">
        <v>45.39</v>
      </c>
      <c r="BS42" s="907">
        <v>45.555</v>
      </c>
      <c r="BT42" s="908">
        <v>45.704999999999998</v>
      </c>
      <c r="BU42" s="907">
        <v>45.844999999999999</v>
      </c>
      <c r="BV42" s="907">
        <v>46.004999999999995</v>
      </c>
      <c r="BW42" s="907">
        <v>46.165000000000006</v>
      </c>
      <c r="BX42" s="907">
        <v>46.314999999999998</v>
      </c>
      <c r="BY42" s="907">
        <v>46.46</v>
      </c>
      <c r="BZ42" s="907">
        <v>46.604999999999997</v>
      </c>
      <c r="CA42" s="907">
        <v>46.76</v>
      </c>
      <c r="CB42" s="907">
        <v>46.905000000000001</v>
      </c>
      <c r="CC42" s="907">
        <v>47.055</v>
      </c>
      <c r="CD42" s="907">
        <v>47.2</v>
      </c>
      <c r="CE42" s="907">
        <v>47.35</v>
      </c>
      <c r="CF42" s="907">
        <v>47.495000000000005</v>
      </c>
      <c r="CG42" s="907">
        <v>47.635000000000005</v>
      </c>
      <c r="CH42" s="907">
        <v>47.78</v>
      </c>
      <c r="CI42" s="907">
        <v>47.92</v>
      </c>
      <c r="CJ42" s="907">
        <v>48.06</v>
      </c>
      <c r="CK42" s="907">
        <v>48.2</v>
      </c>
      <c r="CL42" s="907">
        <v>48.344999999999999</v>
      </c>
      <c r="CM42" s="907">
        <v>48.480000000000004</v>
      </c>
      <c r="CN42" s="907">
        <v>48.614999999999995</v>
      </c>
      <c r="CO42" s="907">
        <v>48.755000000000003</v>
      </c>
      <c r="CP42" s="907">
        <v>48.89</v>
      </c>
      <c r="CQ42" s="907">
        <v>49.019999999999996</v>
      </c>
      <c r="CR42" s="907">
        <v>49.155000000000001</v>
      </c>
      <c r="CS42" s="907">
        <v>49.284999999999997</v>
      </c>
      <c r="CT42" s="907">
        <v>49.414999999999999</v>
      </c>
      <c r="CU42" s="907">
        <v>49.55</v>
      </c>
      <c r="CV42" s="907">
        <v>49.674999999999997</v>
      </c>
      <c r="CW42" s="907">
        <v>49.8</v>
      </c>
      <c r="CX42" s="907">
        <v>49.930000000000007</v>
      </c>
      <c r="CY42" s="907">
        <v>50.055</v>
      </c>
      <c r="CZ42" s="907">
        <v>50.18</v>
      </c>
      <c r="DA42" s="907">
        <v>50.305</v>
      </c>
      <c r="DB42" s="907">
        <v>50.43</v>
      </c>
      <c r="DC42" s="907">
        <v>50.55</v>
      </c>
      <c r="DD42" s="907">
        <v>50.67</v>
      </c>
      <c r="DE42" s="907">
        <v>50.795000000000002</v>
      </c>
      <c r="DF42" s="907">
        <v>50.91</v>
      </c>
      <c r="DG42" s="907">
        <v>51.03</v>
      </c>
      <c r="DH42" s="907">
        <v>51.144999999999996</v>
      </c>
      <c r="DI42" s="907">
        <v>51.265000000000001</v>
      </c>
      <c r="DJ42" s="907">
        <v>51.379999999999995</v>
      </c>
      <c r="DK42" s="907">
        <v>51.49</v>
      </c>
      <c r="DL42" s="907">
        <v>51.605000000000004</v>
      </c>
      <c r="DM42" s="907">
        <v>51.72</v>
      </c>
      <c r="DN42" s="907">
        <v>51.83</v>
      </c>
      <c r="DO42" s="907">
        <v>51.94</v>
      </c>
      <c r="DP42" s="907">
        <v>52.05</v>
      </c>
      <c r="DQ42" s="907">
        <v>52.164999999999999</v>
      </c>
      <c r="DR42" s="907">
        <v>52.269999999999996</v>
      </c>
    </row>
    <row r="43" spans="1:122" s="127" customFormat="1" ht="12.75">
      <c r="A43" s="911">
        <v>41</v>
      </c>
      <c r="B43" s="907"/>
      <c r="C43" s="907"/>
      <c r="D43" s="907"/>
      <c r="E43" s="907"/>
      <c r="F43" s="907"/>
      <c r="G43" s="907"/>
      <c r="H43" s="907"/>
      <c r="I43" s="907"/>
      <c r="J43" s="907"/>
      <c r="K43" s="907"/>
      <c r="L43" s="907"/>
      <c r="M43" s="907"/>
      <c r="N43" s="907"/>
      <c r="O43" s="907"/>
      <c r="P43" s="907"/>
      <c r="Q43" s="907"/>
      <c r="R43" s="907"/>
      <c r="S43" s="907"/>
      <c r="T43" s="907"/>
      <c r="U43" s="907"/>
      <c r="V43" s="907"/>
      <c r="W43" s="907">
        <v>36.49</v>
      </c>
      <c r="X43" s="907">
        <v>36.704999999999998</v>
      </c>
      <c r="Y43" s="907">
        <v>36.835000000000001</v>
      </c>
      <c r="Z43" s="907">
        <v>37.064999999999998</v>
      </c>
      <c r="AA43" s="907">
        <v>37.24</v>
      </c>
      <c r="AB43" s="907">
        <v>37.42</v>
      </c>
      <c r="AC43" s="907">
        <v>37.53</v>
      </c>
      <c r="AD43" s="907">
        <v>37.564999999999998</v>
      </c>
      <c r="AE43" s="907">
        <v>37.72</v>
      </c>
      <c r="AF43" s="907">
        <v>37.924999999999997</v>
      </c>
      <c r="AG43" s="907">
        <v>38.144999999999996</v>
      </c>
      <c r="AH43" s="907">
        <v>38.39</v>
      </c>
      <c r="AI43" s="907">
        <v>38.625</v>
      </c>
      <c r="AJ43" s="907">
        <v>38.905000000000001</v>
      </c>
      <c r="AK43" s="907">
        <v>39.195</v>
      </c>
      <c r="AL43" s="907">
        <v>39.515000000000001</v>
      </c>
      <c r="AM43" s="907">
        <v>39.81</v>
      </c>
      <c r="AN43" s="907">
        <v>40.03</v>
      </c>
      <c r="AO43" s="907">
        <v>40.200000000000003</v>
      </c>
      <c r="AP43" s="907">
        <v>40.364999999999995</v>
      </c>
      <c r="AQ43" s="907">
        <v>40.489999999999995</v>
      </c>
      <c r="AR43" s="907">
        <v>40.65</v>
      </c>
      <c r="AS43" s="907">
        <v>40.695</v>
      </c>
      <c r="AT43" s="907">
        <v>40.739999999999995</v>
      </c>
      <c r="AU43" s="907">
        <v>40.825000000000003</v>
      </c>
      <c r="AV43" s="907">
        <v>40.909999999999997</v>
      </c>
      <c r="AW43" s="907">
        <v>41.15</v>
      </c>
      <c r="AX43" s="907">
        <v>41.25</v>
      </c>
      <c r="AY43" s="907">
        <v>41.375</v>
      </c>
      <c r="AZ43" s="907">
        <v>41.484999999999999</v>
      </c>
      <c r="BA43" s="907">
        <v>41.594999999999999</v>
      </c>
      <c r="BB43" s="907">
        <v>41.734999999999999</v>
      </c>
      <c r="BC43" s="907">
        <v>41.864999999999995</v>
      </c>
      <c r="BD43" s="907">
        <v>42.004999999999995</v>
      </c>
      <c r="BE43" s="907">
        <v>42.17</v>
      </c>
      <c r="BF43" s="907">
        <v>42.34</v>
      </c>
      <c r="BG43" s="907">
        <v>42.5</v>
      </c>
      <c r="BH43" s="907">
        <v>42.704999999999998</v>
      </c>
      <c r="BI43" s="907">
        <v>42.86</v>
      </c>
      <c r="BJ43" s="907">
        <v>43.05</v>
      </c>
      <c r="BK43" s="907">
        <v>43.215000000000003</v>
      </c>
      <c r="BL43" s="907">
        <v>43.41</v>
      </c>
      <c r="BM43" s="907">
        <v>43.61</v>
      </c>
      <c r="BN43" s="907">
        <v>43.79</v>
      </c>
      <c r="BO43" s="907">
        <v>43.95</v>
      </c>
      <c r="BP43" s="907">
        <v>44.125</v>
      </c>
      <c r="BQ43" s="907">
        <v>44.274999999999999</v>
      </c>
      <c r="BR43" s="907">
        <v>44.435000000000002</v>
      </c>
      <c r="BS43" s="907">
        <v>44.599999999999994</v>
      </c>
      <c r="BT43" s="908">
        <v>44.75</v>
      </c>
      <c r="BU43" s="907">
        <v>44.894999999999996</v>
      </c>
      <c r="BV43" s="907">
        <v>45.05</v>
      </c>
      <c r="BW43" s="907">
        <v>45.204999999999998</v>
      </c>
      <c r="BX43" s="907">
        <v>45.355000000000004</v>
      </c>
      <c r="BY43" s="907">
        <v>45.5</v>
      </c>
      <c r="BZ43" s="907">
        <v>45.644999999999996</v>
      </c>
      <c r="CA43" s="907">
        <v>45.8</v>
      </c>
      <c r="CB43" s="907">
        <v>45.95</v>
      </c>
      <c r="CC43" s="907">
        <v>46.094999999999999</v>
      </c>
      <c r="CD43" s="907">
        <v>46.239999999999995</v>
      </c>
      <c r="CE43" s="907">
        <v>46.39</v>
      </c>
      <c r="CF43" s="907">
        <v>46.534999999999997</v>
      </c>
      <c r="CG43" s="907">
        <v>46.674999999999997</v>
      </c>
      <c r="CH43" s="907">
        <v>46.819999999999993</v>
      </c>
      <c r="CI43" s="907">
        <v>46.954999999999998</v>
      </c>
      <c r="CJ43" s="907">
        <v>47.099999999999994</v>
      </c>
      <c r="CK43" s="907">
        <v>47.24</v>
      </c>
      <c r="CL43" s="907">
        <v>47.375</v>
      </c>
      <c r="CM43" s="907">
        <v>47.510000000000005</v>
      </c>
      <c r="CN43" s="907">
        <v>47.650000000000006</v>
      </c>
      <c r="CO43" s="907">
        <v>47.784999999999997</v>
      </c>
      <c r="CP43" s="907">
        <v>47.92</v>
      </c>
      <c r="CQ43" s="907">
        <v>48.055</v>
      </c>
      <c r="CR43" s="907">
        <v>48.185000000000002</v>
      </c>
      <c r="CS43" s="907">
        <v>48.314999999999998</v>
      </c>
      <c r="CT43" s="907">
        <v>48.444999999999993</v>
      </c>
      <c r="CU43" s="907">
        <v>48.575000000000003</v>
      </c>
      <c r="CV43" s="907">
        <v>48.704999999999998</v>
      </c>
      <c r="CW43" s="907">
        <v>48.83</v>
      </c>
      <c r="CX43" s="907">
        <v>48.954999999999998</v>
      </c>
      <c r="CY43" s="907">
        <v>49.08</v>
      </c>
      <c r="CZ43" s="907">
        <v>49.204999999999998</v>
      </c>
      <c r="DA43" s="907">
        <v>49.33</v>
      </c>
      <c r="DB43" s="907">
        <v>49.454999999999998</v>
      </c>
      <c r="DC43" s="907">
        <v>49.58</v>
      </c>
      <c r="DD43" s="907">
        <v>49.695</v>
      </c>
      <c r="DE43" s="907">
        <v>49.82</v>
      </c>
      <c r="DF43" s="907">
        <v>49.935000000000002</v>
      </c>
      <c r="DG43" s="907">
        <v>50.05</v>
      </c>
      <c r="DH43" s="907">
        <v>50.17</v>
      </c>
      <c r="DI43" s="907">
        <v>50.284999999999997</v>
      </c>
      <c r="DJ43" s="907">
        <v>50.400000000000006</v>
      </c>
      <c r="DK43" s="907">
        <v>50.515000000000001</v>
      </c>
      <c r="DL43" s="907">
        <v>50.629999999999995</v>
      </c>
      <c r="DM43" s="907">
        <v>50.745000000000005</v>
      </c>
      <c r="DN43" s="907">
        <v>50.85</v>
      </c>
      <c r="DO43" s="907">
        <v>50.959999999999994</v>
      </c>
      <c r="DP43" s="907">
        <v>51.07</v>
      </c>
      <c r="DQ43" s="907">
        <v>51.18</v>
      </c>
      <c r="DR43" s="907">
        <v>51.284999999999997</v>
      </c>
    </row>
    <row r="44" spans="1:122" s="127" customFormat="1" ht="12.75">
      <c r="A44" s="911">
        <v>42</v>
      </c>
      <c r="B44" s="907"/>
      <c r="C44" s="907"/>
      <c r="D44" s="907"/>
      <c r="E44" s="907"/>
      <c r="F44" s="907"/>
      <c r="G44" s="907"/>
      <c r="H44" s="907"/>
      <c r="I44" s="907"/>
      <c r="J44" s="907"/>
      <c r="K44" s="907"/>
      <c r="L44" s="907"/>
      <c r="M44" s="907"/>
      <c r="N44" s="907"/>
      <c r="O44" s="907"/>
      <c r="P44" s="907"/>
      <c r="Q44" s="907"/>
      <c r="R44" s="907"/>
      <c r="S44" s="907"/>
      <c r="T44" s="907"/>
      <c r="U44" s="907"/>
      <c r="V44" s="907"/>
      <c r="W44" s="907">
        <v>35.585000000000001</v>
      </c>
      <c r="X44" s="907">
        <v>35.799999999999997</v>
      </c>
      <c r="Y44" s="907">
        <v>35.924999999999997</v>
      </c>
      <c r="Z44" s="907">
        <v>36.159999999999997</v>
      </c>
      <c r="AA44" s="907">
        <v>36.335000000000001</v>
      </c>
      <c r="AB44" s="907">
        <v>36.510000000000005</v>
      </c>
      <c r="AC44" s="907">
        <v>36.625</v>
      </c>
      <c r="AD44" s="907">
        <v>36.659999999999997</v>
      </c>
      <c r="AE44" s="907">
        <v>36.82</v>
      </c>
      <c r="AF44" s="907">
        <v>37.019999999999996</v>
      </c>
      <c r="AG44" s="907">
        <v>37.24</v>
      </c>
      <c r="AH44" s="907">
        <v>37.484999999999999</v>
      </c>
      <c r="AI44" s="907">
        <v>37.72</v>
      </c>
      <c r="AJ44" s="907">
        <v>38.010000000000005</v>
      </c>
      <c r="AK44" s="907">
        <v>38.290000000000006</v>
      </c>
      <c r="AL44" s="907">
        <v>38.61</v>
      </c>
      <c r="AM44" s="907">
        <v>38.905000000000001</v>
      </c>
      <c r="AN44" s="907">
        <v>39.125</v>
      </c>
      <c r="AO44" s="907">
        <v>39.284999999999997</v>
      </c>
      <c r="AP44" s="907">
        <v>39.454999999999998</v>
      </c>
      <c r="AQ44" s="907">
        <v>39.575000000000003</v>
      </c>
      <c r="AR44" s="907">
        <v>39.734999999999999</v>
      </c>
      <c r="AS44" s="907">
        <v>39.78</v>
      </c>
      <c r="AT44" s="907">
        <v>39.814999999999998</v>
      </c>
      <c r="AU44" s="907">
        <v>39.905000000000001</v>
      </c>
      <c r="AV44" s="907">
        <v>39.984999999999999</v>
      </c>
      <c r="AW44" s="907">
        <v>40.225000000000001</v>
      </c>
      <c r="AX44" s="907">
        <v>40.325000000000003</v>
      </c>
      <c r="AY44" s="907">
        <v>40.454999999999998</v>
      </c>
      <c r="AZ44" s="907">
        <v>40.575000000000003</v>
      </c>
      <c r="BA44" s="907">
        <v>40.68</v>
      </c>
      <c r="BB44" s="907">
        <v>40.814999999999998</v>
      </c>
      <c r="BC44" s="907">
        <v>40.950000000000003</v>
      </c>
      <c r="BD44" s="907">
        <v>41.09</v>
      </c>
      <c r="BE44" s="907">
        <v>41.25</v>
      </c>
      <c r="BF44" s="907">
        <v>41.41</v>
      </c>
      <c r="BG44" s="907">
        <v>41.57</v>
      </c>
      <c r="BH44" s="907">
        <v>41.774999999999999</v>
      </c>
      <c r="BI44" s="907">
        <v>41.93</v>
      </c>
      <c r="BJ44" s="907">
        <v>42.11</v>
      </c>
      <c r="BK44" s="907">
        <v>42.28</v>
      </c>
      <c r="BL44" s="907">
        <v>42.475000000000001</v>
      </c>
      <c r="BM44" s="907">
        <v>42.67</v>
      </c>
      <c r="BN44" s="907">
        <v>42.844999999999999</v>
      </c>
      <c r="BO44" s="907">
        <v>43</v>
      </c>
      <c r="BP44" s="907">
        <v>43.174999999999997</v>
      </c>
      <c r="BQ44" s="907">
        <v>43.325000000000003</v>
      </c>
      <c r="BR44" s="907">
        <v>43.484999999999999</v>
      </c>
      <c r="BS44" s="907">
        <v>43.644999999999996</v>
      </c>
      <c r="BT44" s="908">
        <v>43.795000000000002</v>
      </c>
      <c r="BU44" s="907">
        <v>43.94</v>
      </c>
      <c r="BV44" s="907">
        <v>44.094999999999999</v>
      </c>
      <c r="BW44" s="907">
        <v>44.255000000000003</v>
      </c>
      <c r="BX44" s="907">
        <v>44.400000000000006</v>
      </c>
      <c r="BY44" s="907">
        <v>44.55</v>
      </c>
      <c r="BZ44" s="907">
        <v>44.7</v>
      </c>
      <c r="CA44" s="907">
        <v>44.844999999999999</v>
      </c>
      <c r="CB44" s="907">
        <v>44.99</v>
      </c>
      <c r="CC44" s="907">
        <v>45.14</v>
      </c>
      <c r="CD44" s="907">
        <v>45.284999999999997</v>
      </c>
      <c r="CE44" s="907">
        <v>45.43</v>
      </c>
      <c r="CF44" s="907">
        <v>45.575000000000003</v>
      </c>
      <c r="CG44" s="907">
        <v>45.715000000000003</v>
      </c>
      <c r="CH44" s="907">
        <v>45.86</v>
      </c>
      <c r="CI44" s="907">
        <v>45.995000000000005</v>
      </c>
      <c r="CJ44" s="907">
        <v>46.135000000000005</v>
      </c>
      <c r="CK44" s="907">
        <v>46.275000000000006</v>
      </c>
      <c r="CL44" s="907">
        <v>46.414999999999999</v>
      </c>
      <c r="CM44" s="907">
        <v>46.55</v>
      </c>
      <c r="CN44" s="907">
        <v>46.685000000000002</v>
      </c>
      <c r="CO44" s="907">
        <v>46.82</v>
      </c>
      <c r="CP44" s="907">
        <v>46.954999999999998</v>
      </c>
      <c r="CQ44" s="907">
        <v>47.085000000000001</v>
      </c>
      <c r="CR44" s="907">
        <v>47.22</v>
      </c>
      <c r="CS44" s="907">
        <v>47.344999999999999</v>
      </c>
      <c r="CT44" s="907">
        <v>47.480000000000004</v>
      </c>
      <c r="CU44" s="907">
        <v>47.604999999999997</v>
      </c>
      <c r="CV44" s="907">
        <v>47.734999999999999</v>
      </c>
      <c r="CW44" s="907">
        <v>47.865000000000002</v>
      </c>
      <c r="CX44" s="907">
        <v>47.99</v>
      </c>
      <c r="CY44" s="907">
        <v>48.114999999999995</v>
      </c>
      <c r="CZ44" s="907">
        <v>48.234999999999999</v>
      </c>
      <c r="DA44" s="907">
        <v>48.36</v>
      </c>
      <c r="DB44" s="907">
        <v>48.480000000000004</v>
      </c>
      <c r="DC44" s="907">
        <v>48.605000000000004</v>
      </c>
      <c r="DD44" s="907">
        <v>48.72</v>
      </c>
      <c r="DE44" s="907">
        <v>48.844999999999999</v>
      </c>
      <c r="DF44" s="907">
        <v>48.96</v>
      </c>
      <c r="DG44" s="907">
        <v>49.075000000000003</v>
      </c>
      <c r="DH44" s="907">
        <v>49.19</v>
      </c>
      <c r="DI44" s="907">
        <v>49.31</v>
      </c>
      <c r="DJ44" s="907">
        <v>49.424999999999997</v>
      </c>
      <c r="DK44" s="907">
        <v>49.534999999999997</v>
      </c>
      <c r="DL44" s="907">
        <v>49.650000000000006</v>
      </c>
      <c r="DM44" s="907">
        <v>49.76</v>
      </c>
      <c r="DN44" s="907">
        <v>49.875</v>
      </c>
      <c r="DO44" s="907">
        <v>49.980000000000004</v>
      </c>
      <c r="DP44" s="907">
        <v>50.09</v>
      </c>
      <c r="DQ44" s="907">
        <v>50.2</v>
      </c>
      <c r="DR44" s="907">
        <v>50.31</v>
      </c>
    </row>
    <row r="45" spans="1:122" s="127" customFormat="1" ht="12.75">
      <c r="A45" s="911">
        <v>43</v>
      </c>
      <c r="B45" s="907"/>
      <c r="C45" s="907"/>
      <c r="D45" s="907"/>
      <c r="E45" s="907"/>
      <c r="F45" s="907"/>
      <c r="G45" s="907"/>
      <c r="H45" s="907"/>
      <c r="I45" s="907"/>
      <c r="J45" s="907"/>
      <c r="K45" s="907"/>
      <c r="L45" s="907"/>
      <c r="M45" s="907"/>
      <c r="N45" s="907"/>
      <c r="O45" s="907"/>
      <c r="P45" s="907"/>
      <c r="Q45" s="907"/>
      <c r="R45" s="907"/>
      <c r="S45" s="907"/>
      <c r="T45" s="907"/>
      <c r="U45" s="907"/>
      <c r="V45" s="907"/>
      <c r="W45" s="907">
        <v>34.685000000000002</v>
      </c>
      <c r="X45" s="907">
        <v>34.9</v>
      </c>
      <c r="Y45" s="907">
        <v>35.03</v>
      </c>
      <c r="Z45" s="907">
        <v>35.260000000000005</v>
      </c>
      <c r="AA45" s="907">
        <v>35.43</v>
      </c>
      <c r="AB45" s="907">
        <v>35.605000000000004</v>
      </c>
      <c r="AC45" s="907">
        <v>35.729999999999997</v>
      </c>
      <c r="AD45" s="907">
        <v>35.765000000000001</v>
      </c>
      <c r="AE45" s="907">
        <v>35.924999999999997</v>
      </c>
      <c r="AF45" s="907">
        <v>36.129999999999995</v>
      </c>
      <c r="AG45" s="907">
        <v>36.349999999999994</v>
      </c>
      <c r="AH45" s="907">
        <v>36.585000000000001</v>
      </c>
      <c r="AI45" s="907">
        <v>36.82</v>
      </c>
      <c r="AJ45" s="907">
        <v>37.11</v>
      </c>
      <c r="AK45" s="907">
        <v>37.385000000000005</v>
      </c>
      <c r="AL45" s="907">
        <v>37.704999999999998</v>
      </c>
      <c r="AM45" s="907">
        <v>38.005000000000003</v>
      </c>
      <c r="AN45" s="907">
        <v>38.215000000000003</v>
      </c>
      <c r="AO45" s="907">
        <v>38.385000000000005</v>
      </c>
      <c r="AP45" s="907">
        <v>38.549999999999997</v>
      </c>
      <c r="AQ45" s="907">
        <v>38.665000000000006</v>
      </c>
      <c r="AR45" s="907">
        <v>38.82</v>
      </c>
      <c r="AS45" s="907">
        <v>38.864999999999995</v>
      </c>
      <c r="AT45" s="907">
        <v>38.905000000000001</v>
      </c>
      <c r="AU45" s="907">
        <v>38.984999999999999</v>
      </c>
      <c r="AV45" s="907">
        <v>39.075000000000003</v>
      </c>
      <c r="AW45" s="907">
        <v>39.31</v>
      </c>
      <c r="AX45" s="907">
        <v>39.414999999999999</v>
      </c>
      <c r="AY45" s="907">
        <v>39.545000000000002</v>
      </c>
      <c r="AZ45" s="907">
        <v>39.655000000000001</v>
      </c>
      <c r="BA45" s="907">
        <v>39.769999999999996</v>
      </c>
      <c r="BB45" s="907">
        <v>39.9</v>
      </c>
      <c r="BC45" s="907">
        <v>40.034999999999997</v>
      </c>
      <c r="BD45" s="907">
        <v>40.17</v>
      </c>
      <c r="BE45" s="907">
        <v>40.325000000000003</v>
      </c>
      <c r="BF45" s="907">
        <v>40.49</v>
      </c>
      <c r="BG45" s="907">
        <v>40.65</v>
      </c>
      <c r="BH45" s="907">
        <v>40.85</v>
      </c>
      <c r="BI45" s="907">
        <v>41</v>
      </c>
      <c r="BJ45" s="907">
        <v>41.18</v>
      </c>
      <c r="BK45" s="907">
        <v>41.349999999999994</v>
      </c>
      <c r="BL45" s="907">
        <v>41.54</v>
      </c>
      <c r="BM45" s="907">
        <v>41.724999999999994</v>
      </c>
      <c r="BN45" s="907">
        <v>41.900000000000006</v>
      </c>
      <c r="BO45" s="907">
        <v>42.06</v>
      </c>
      <c r="BP45" s="907">
        <v>42.230000000000004</v>
      </c>
      <c r="BQ45" s="907">
        <v>42.379999999999995</v>
      </c>
      <c r="BR45" s="907">
        <v>42.534999999999997</v>
      </c>
      <c r="BS45" s="907">
        <v>42.7</v>
      </c>
      <c r="BT45" s="908">
        <v>42.849999999999994</v>
      </c>
      <c r="BU45" s="907">
        <v>42.99</v>
      </c>
      <c r="BV45" s="907">
        <v>43.144999999999996</v>
      </c>
      <c r="BW45" s="907">
        <v>43.305</v>
      </c>
      <c r="BX45" s="907">
        <v>43.45</v>
      </c>
      <c r="BY45" s="907">
        <v>43.594999999999999</v>
      </c>
      <c r="BZ45" s="907">
        <v>43.745000000000005</v>
      </c>
      <c r="CA45" s="907">
        <v>43.894999999999996</v>
      </c>
      <c r="CB45" s="907">
        <v>44.04</v>
      </c>
      <c r="CC45" s="907">
        <v>44.185000000000002</v>
      </c>
      <c r="CD45" s="907">
        <v>44.33</v>
      </c>
      <c r="CE45" s="907">
        <v>44.474999999999994</v>
      </c>
      <c r="CF45" s="907">
        <v>44.614999999999995</v>
      </c>
      <c r="CG45" s="907">
        <v>44.754999999999995</v>
      </c>
      <c r="CH45" s="907">
        <v>44.9</v>
      </c>
      <c r="CI45" s="907">
        <v>45.034999999999997</v>
      </c>
      <c r="CJ45" s="907">
        <v>45.174999999999997</v>
      </c>
      <c r="CK45" s="907">
        <v>45.314999999999998</v>
      </c>
      <c r="CL45" s="907">
        <v>45.454999999999998</v>
      </c>
      <c r="CM45" s="907">
        <v>45.59</v>
      </c>
      <c r="CN45" s="907">
        <v>45.725000000000001</v>
      </c>
      <c r="CO45" s="907">
        <v>45.86</v>
      </c>
      <c r="CP45" s="907">
        <v>45.989999999999995</v>
      </c>
      <c r="CQ45" s="907">
        <v>46.12</v>
      </c>
      <c r="CR45" s="907">
        <v>46.25</v>
      </c>
      <c r="CS45" s="907">
        <v>46.385000000000005</v>
      </c>
      <c r="CT45" s="907">
        <v>46.510000000000005</v>
      </c>
      <c r="CU45" s="907">
        <v>46.64</v>
      </c>
      <c r="CV45" s="907">
        <v>46.769999999999996</v>
      </c>
      <c r="CW45" s="907">
        <v>46.894999999999996</v>
      </c>
      <c r="CX45" s="907">
        <v>47.019999999999996</v>
      </c>
      <c r="CY45" s="907">
        <v>47.145000000000003</v>
      </c>
      <c r="CZ45" s="907">
        <v>47.269999999999996</v>
      </c>
      <c r="DA45" s="907">
        <v>47.384999999999998</v>
      </c>
      <c r="DB45" s="907">
        <v>47.510000000000005</v>
      </c>
      <c r="DC45" s="907">
        <v>47.635000000000005</v>
      </c>
      <c r="DD45" s="907">
        <v>47.75</v>
      </c>
      <c r="DE45" s="907">
        <v>47.87</v>
      </c>
      <c r="DF45" s="907">
        <v>47.989999999999995</v>
      </c>
      <c r="DG45" s="907">
        <v>48.105000000000004</v>
      </c>
      <c r="DH45" s="907">
        <v>48.22</v>
      </c>
      <c r="DI45" s="907">
        <v>48.335000000000001</v>
      </c>
      <c r="DJ45" s="907">
        <v>48.444999999999993</v>
      </c>
      <c r="DK45" s="907">
        <v>48.56</v>
      </c>
      <c r="DL45" s="907">
        <v>48.674999999999997</v>
      </c>
      <c r="DM45" s="907">
        <v>48.784999999999997</v>
      </c>
      <c r="DN45" s="907">
        <v>48.900000000000006</v>
      </c>
      <c r="DO45" s="907">
        <v>49.004999999999995</v>
      </c>
      <c r="DP45" s="907">
        <v>49.114999999999995</v>
      </c>
      <c r="DQ45" s="907">
        <v>49.22</v>
      </c>
      <c r="DR45" s="907">
        <v>49.325000000000003</v>
      </c>
    </row>
    <row r="46" spans="1:122" s="127" customFormat="1" ht="12.75">
      <c r="A46" s="911">
        <v>44</v>
      </c>
      <c r="B46" s="907"/>
      <c r="C46" s="907"/>
      <c r="D46" s="907"/>
      <c r="E46" s="907"/>
      <c r="F46" s="907"/>
      <c r="G46" s="907"/>
      <c r="H46" s="907"/>
      <c r="I46" s="907"/>
      <c r="J46" s="907"/>
      <c r="K46" s="907"/>
      <c r="L46" s="907"/>
      <c r="M46" s="907"/>
      <c r="N46" s="907"/>
      <c r="O46" s="907"/>
      <c r="P46" s="907"/>
      <c r="Q46" s="907"/>
      <c r="R46" s="907"/>
      <c r="S46" s="907"/>
      <c r="T46" s="907"/>
      <c r="U46" s="907"/>
      <c r="V46" s="907"/>
      <c r="W46" s="907">
        <v>33.784999999999997</v>
      </c>
      <c r="X46" s="907">
        <v>34</v>
      </c>
      <c r="Y46" s="907">
        <v>34.134999999999998</v>
      </c>
      <c r="Z46" s="907">
        <v>34.369999999999997</v>
      </c>
      <c r="AA46" s="907">
        <v>34.54</v>
      </c>
      <c r="AB46" s="907">
        <v>34.72</v>
      </c>
      <c r="AC46" s="907">
        <v>34.844999999999999</v>
      </c>
      <c r="AD46" s="907">
        <v>34.869999999999997</v>
      </c>
      <c r="AE46" s="907">
        <v>35.034999999999997</v>
      </c>
      <c r="AF46" s="907">
        <v>35.234999999999999</v>
      </c>
      <c r="AG46" s="907">
        <v>35.465000000000003</v>
      </c>
      <c r="AH46" s="907">
        <v>35.700000000000003</v>
      </c>
      <c r="AI46" s="907">
        <v>35.93</v>
      </c>
      <c r="AJ46" s="907">
        <v>36.22</v>
      </c>
      <c r="AK46" s="907">
        <v>36.495000000000005</v>
      </c>
      <c r="AL46" s="907">
        <v>36.81</v>
      </c>
      <c r="AM46" s="907">
        <v>37.104999999999997</v>
      </c>
      <c r="AN46" s="907">
        <v>37.32</v>
      </c>
      <c r="AO46" s="907">
        <v>37.484999999999999</v>
      </c>
      <c r="AP46" s="907">
        <v>37.64</v>
      </c>
      <c r="AQ46" s="907">
        <v>37.755000000000003</v>
      </c>
      <c r="AR46" s="907">
        <v>37.909999999999997</v>
      </c>
      <c r="AS46" s="907">
        <v>37.954999999999998</v>
      </c>
      <c r="AT46" s="907">
        <v>37.995000000000005</v>
      </c>
      <c r="AU46" s="907">
        <v>38.075000000000003</v>
      </c>
      <c r="AV46" s="907">
        <v>38.159999999999997</v>
      </c>
      <c r="AW46" s="907">
        <v>38.4</v>
      </c>
      <c r="AX46" s="907">
        <v>38.51</v>
      </c>
      <c r="AY46" s="907">
        <v>38.64</v>
      </c>
      <c r="AZ46" s="907">
        <v>38.745000000000005</v>
      </c>
      <c r="BA46" s="907">
        <v>38.86</v>
      </c>
      <c r="BB46" s="907">
        <v>38.99</v>
      </c>
      <c r="BC46" s="907">
        <v>39.125</v>
      </c>
      <c r="BD46" s="907">
        <v>39.26</v>
      </c>
      <c r="BE46" s="907">
        <v>39.414999999999999</v>
      </c>
      <c r="BF46" s="907">
        <v>39.575000000000003</v>
      </c>
      <c r="BG46" s="907">
        <v>39.730000000000004</v>
      </c>
      <c r="BH46" s="907">
        <v>39.924999999999997</v>
      </c>
      <c r="BI46" s="907">
        <v>40.075000000000003</v>
      </c>
      <c r="BJ46" s="907">
        <v>40.260000000000005</v>
      </c>
      <c r="BK46" s="907">
        <v>40.42</v>
      </c>
      <c r="BL46" s="907">
        <v>40.61</v>
      </c>
      <c r="BM46" s="907">
        <v>40.79</v>
      </c>
      <c r="BN46" s="907">
        <v>40.965000000000003</v>
      </c>
      <c r="BO46" s="907">
        <v>41.120000000000005</v>
      </c>
      <c r="BP46" s="907">
        <v>41.284999999999997</v>
      </c>
      <c r="BQ46" s="907">
        <v>41.435000000000002</v>
      </c>
      <c r="BR46" s="907">
        <v>41.594999999999999</v>
      </c>
      <c r="BS46" s="907">
        <v>41.75</v>
      </c>
      <c r="BT46" s="908">
        <v>41.9</v>
      </c>
      <c r="BU46" s="907">
        <v>42.045000000000002</v>
      </c>
      <c r="BV46" s="907">
        <v>42.2</v>
      </c>
      <c r="BW46" s="907">
        <v>42.349999999999994</v>
      </c>
      <c r="BX46" s="907">
        <v>42.5</v>
      </c>
      <c r="BY46" s="907">
        <v>42.644999999999996</v>
      </c>
      <c r="BZ46" s="907">
        <v>42.8</v>
      </c>
      <c r="CA46" s="907">
        <v>42.945</v>
      </c>
      <c r="CB46" s="907">
        <v>43.085000000000001</v>
      </c>
      <c r="CC46" s="907">
        <v>43.230000000000004</v>
      </c>
      <c r="CD46" s="907">
        <v>43.375</v>
      </c>
      <c r="CE46" s="907">
        <v>43.52</v>
      </c>
      <c r="CF46" s="907">
        <v>43.66</v>
      </c>
      <c r="CG46" s="907">
        <v>43.805</v>
      </c>
      <c r="CH46" s="907">
        <v>43.94</v>
      </c>
      <c r="CI46" s="907">
        <v>44.08</v>
      </c>
      <c r="CJ46" s="907">
        <v>44.22</v>
      </c>
      <c r="CK46" s="907">
        <v>44.36</v>
      </c>
      <c r="CL46" s="907">
        <v>44.495000000000005</v>
      </c>
      <c r="CM46" s="907">
        <v>44.629999999999995</v>
      </c>
      <c r="CN46" s="907">
        <v>44.765000000000001</v>
      </c>
      <c r="CO46" s="907">
        <v>44.894999999999996</v>
      </c>
      <c r="CP46" s="907">
        <v>45.025000000000006</v>
      </c>
      <c r="CQ46" s="907">
        <v>45.16</v>
      </c>
      <c r="CR46" s="907">
        <v>45.29</v>
      </c>
      <c r="CS46" s="907">
        <v>45.42</v>
      </c>
      <c r="CT46" s="907">
        <v>45.55</v>
      </c>
      <c r="CU46" s="907">
        <v>45.674999999999997</v>
      </c>
      <c r="CV46" s="907">
        <v>45.8</v>
      </c>
      <c r="CW46" s="907">
        <v>45.924999999999997</v>
      </c>
      <c r="CX46" s="907">
        <v>46.05</v>
      </c>
      <c r="CY46" s="907">
        <v>46.174999999999997</v>
      </c>
      <c r="CZ46" s="907">
        <v>46.3</v>
      </c>
      <c r="DA46" s="907">
        <v>46.42</v>
      </c>
      <c r="DB46" s="907">
        <v>46.54</v>
      </c>
      <c r="DC46" s="907">
        <v>46.66</v>
      </c>
      <c r="DD46" s="907">
        <v>46.78</v>
      </c>
      <c r="DE46" s="907">
        <v>46.9</v>
      </c>
      <c r="DF46" s="907">
        <v>47.015000000000001</v>
      </c>
      <c r="DG46" s="907">
        <v>47.13</v>
      </c>
      <c r="DH46" s="907">
        <v>47.244999999999997</v>
      </c>
      <c r="DI46" s="907">
        <v>47.36</v>
      </c>
      <c r="DJ46" s="907">
        <v>47.475000000000001</v>
      </c>
      <c r="DK46" s="907">
        <v>47.585000000000001</v>
      </c>
      <c r="DL46" s="907">
        <v>47.7</v>
      </c>
      <c r="DM46" s="907">
        <v>47.81</v>
      </c>
      <c r="DN46" s="907">
        <v>47.92</v>
      </c>
      <c r="DO46" s="907">
        <v>48.03</v>
      </c>
      <c r="DP46" s="907">
        <v>48.134999999999998</v>
      </c>
      <c r="DQ46" s="907">
        <v>48.245000000000005</v>
      </c>
      <c r="DR46" s="907">
        <v>48.35</v>
      </c>
    </row>
    <row r="47" spans="1:122" s="127" customFormat="1" ht="12.75">
      <c r="A47" s="911">
        <v>45</v>
      </c>
      <c r="B47" s="907"/>
      <c r="C47" s="907"/>
      <c r="D47" s="907"/>
      <c r="E47" s="907"/>
      <c r="F47" s="907"/>
      <c r="G47" s="907"/>
      <c r="H47" s="907"/>
      <c r="I47" s="907"/>
      <c r="J47" s="907"/>
      <c r="K47" s="907"/>
      <c r="L47" s="907"/>
      <c r="M47" s="907"/>
      <c r="N47" s="907"/>
      <c r="O47" s="907"/>
      <c r="P47" s="907"/>
      <c r="Q47" s="907"/>
      <c r="R47" s="907"/>
      <c r="S47" s="907"/>
      <c r="T47" s="907"/>
      <c r="U47" s="907"/>
      <c r="V47" s="907"/>
      <c r="W47" s="907">
        <v>32.9</v>
      </c>
      <c r="X47" s="907">
        <v>33.114999999999995</v>
      </c>
      <c r="Y47" s="907">
        <v>33.25</v>
      </c>
      <c r="Z47" s="907">
        <v>33.484999999999999</v>
      </c>
      <c r="AA47" s="907">
        <v>33.655000000000001</v>
      </c>
      <c r="AB47" s="907">
        <v>33.83</v>
      </c>
      <c r="AC47" s="907">
        <v>33.954999999999998</v>
      </c>
      <c r="AD47" s="907">
        <v>33.995000000000005</v>
      </c>
      <c r="AE47" s="907">
        <v>34.155000000000001</v>
      </c>
      <c r="AF47" s="907">
        <v>34.35</v>
      </c>
      <c r="AG47" s="907">
        <v>34.58</v>
      </c>
      <c r="AH47" s="907">
        <v>34.814999999999998</v>
      </c>
      <c r="AI47" s="907">
        <v>35.045000000000002</v>
      </c>
      <c r="AJ47" s="907">
        <v>35.335000000000001</v>
      </c>
      <c r="AK47" s="907">
        <v>35.604999999999997</v>
      </c>
      <c r="AL47" s="907">
        <v>35.92</v>
      </c>
      <c r="AM47" s="907">
        <v>36.21</v>
      </c>
      <c r="AN47" s="907">
        <v>36.424999999999997</v>
      </c>
      <c r="AO47" s="907">
        <v>36.585000000000001</v>
      </c>
      <c r="AP47" s="907">
        <v>36.745000000000005</v>
      </c>
      <c r="AQ47" s="907">
        <v>36.855000000000004</v>
      </c>
      <c r="AR47" s="907">
        <v>37.010000000000005</v>
      </c>
      <c r="AS47" s="907">
        <v>37.055</v>
      </c>
      <c r="AT47" s="907">
        <v>37.090000000000003</v>
      </c>
      <c r="AU47" s="907">
        <v>37.17</v>
      </c>
      <c r="AV47" s="907">
        <v>37.26</v>
      </c>
      <c r="AW47" s="907">
        <v>37.5</v>
      </c>
      <c r="AX47" s="907">
        <v>37.605000000000004</v>
      </c>
      <c r="AY47" s="907">
        <v>37.734999999999999</v>
      </c>
      <c r="AZ47" s="907">
        <v>37.844999999999999</v>
      </c>
      <c r="BA47" s="907">
        <v>37.96</v>
      </c>
      <c r="BB47" s="907">
        <v>38.08</v>
      </c>
      <c r="BC47" s="907">
        <v>38.22</v>
      </c>
      <c r="BD47" s="907">
        <v>38.344999999999999</v>
      </c>
      <c r="BE47" s="907">
        <v>38.5</v>
      </c>
      <c r="BF47" s="907">
        <v>38.655000000000001</v>
      </c>
      <c r="BG47" s="907">
        <v>38.81</v>
      </c>
      <c r="BH47" s="907">
        <v>39.01</v>
      </c>
      <c r="BI47" s="907">
        <v>39.155000000000001</v>
      </c>
      <c r="BJ47" s="907">
        <v>39.33</v>
      </c>
      <c r="BK47" s="907">
        <v>39.489999999999995</v>
      </c>
      <c r="BL47" s="907">
        <v>39.674999999999997</v>
      </c>
      <c r="BM47" s="907">
        <v>39.855000000000004</v>
      </c>
      <c r="BN47" s="907">
        <v>40.03</v>
      </c>
      <c r="BO47" s="907">
        <v>40.18</v>
      </c>
      <c r="BP47" s="907">
        <v>40.344999999999999</v>
      </c>
      <c r="BQ47" s="907">
        <v>40.495000000000005</v>
      </c>
      <c r="BR47" s="907">
        <v>40.650000000000006</v>
      </c>
      <c r="BS47" s="907">
        <v>40.81</v>
      </c>
      <c r="BT47" s="908">
        <v>40.96</v>
      </c>
      <c r="BU47" s="907">
        <v>41.105000000000004</v>
      </c>
      <c r="BV47" s="907">
        <v>41.260000000000005</v>
      </c>
      <c r="BW47" s="907">
        <v>41.41</v>
      </c>
      <c r="BX47" s="907">
        <v>41.555</v>
      </c>
      <c r="BY47" s="907">
        <v>41.704999999999998</v>
      </c>
      <c r="BZ47" s="907">
        <v>41.85</v>
      </c>
      <c r="CA47" s="907">
        <v>42</v>
      </c>
      <c r="CB47" s="907">
        <v>42.14</v>
      </c>
      <c r="CC47" s="907">
        <v>42.284999999999997</v>
      </c>
      <c r="CD47" s="907">
        <v>42.43</v>
      </c>
      <c r="CE47" s="907">
        <v>42.564999999999998</v>
      </c>
      <c r="CF47" s="907">
        <v>42.71</v>
      </c>
      <c r="CG47" s="907">
        <v>42.849999999999994</v>
      </c>
      <c r="CH47" s="907">
        <v>42.989999999999995</v>
      </c>
      <c r="CI47" s="907">
        <v>43.129999999999995</v>
      </c>
      <c r="CJ47" s="907">
        <v>43.265000000000001</v>
      </c>
      <c r="CK47" s="907">
        <v>43.4</v>
      </c>
      <c r="CL47" s="907">
        <v>43.534999999999997</v>
      </c>
      <c r="CM47" s="907">
        <v>43.67</v>
      </c>
      <c r="CN47" s="907">
        <v>43.805</v>
      </c>
      <c r="CO47" s="907">
        <v>43.94</v>
      </c>
      <c r="CP47" s="907">
        <v>44.064999999999998</v>
      </c>
      <c r="CQ47" s="907">
        <v>44.2</v>
      </c>
      <c r="CR47" s="907">
        <v>44.33</v>
      </c>
      <c r="CS47" s="907">
        <v>44.459999999999994</v>
      </c>
      <c r="CT47" s="907">
        <v>44.585000000000001</v>
      </c>
      <c r="CU47" s="907">
        <v>44.71</v>
      </c>
      <c r="CV47" s="907">
        <v>44.835000000000001</v>
      </c>
      <c r="CW47" s="907">
        <v>44.96</v>
      </c>
      <c r="CX47" s="907">
        <v>45.085000000000001</v>
      </c>
      <c r="CY47" s="907">
        <v>45.21</v>
      </c>
      <c r="CZ47" s="907">
        <v>45.335000000000001</v>
      </c>
      <c r="DA47" s="907">
        <v>45.45</v>
      </c>
      <c r="DB47" s="907">
        <v>45.575000000000003</v>
      </c>
      <c r="DC47" s="907">
        <v>45.69</v>
      </c>
      <c r="DD47" s="907">
        <v>45.814999999999998</v>
      </c>
      <c r="DE47" s="907">
        <v>45.93</v>
      </c>
      <c r="DF47" s="907">
        <v>46.045000000000002</v>
      </c>
      <c r="DG47" s="907">
        <v>46.16</v>
      </c>
      <c r="DH47" s="907">
        <v>46.28</v>
      </c>
      <c r="DI47" s="907">
        <v>46.394999999999996</v>
      </c>
      <c r="DJ47" s="907">
        <v>46.5</v>
      </c>
      <c r="DK47" s="907">
        <v>46.614999999999995</v>
      </c>
      <c r="DL47" s="907">
        <v>46.724999999999994</v>
      </c>
      <c r="DM47" s="907">
        <v>46.84</v>
      </c>
      <c r="DN47" s="907">
        <v>46.945</v>
      </c>
      <c r="DO47" s="907">
        <v>47.055</v>
      </c>
      <c r="DP47" s="907">
        <v>47.16</v>
      </c>
      <c r="DQ47" s="907">
        <v>47.269999999999996</v>
      </c>
      <c r="DR47" s="907">
        <v>47.375</v>
      </c>
    </row>
    <row r="48" spans="1:122" s="127" customFormat="1" ht="12.75">
      <c r="A48" s="911">
        <v>46</v>
      </c>
      <c r="B48" s="907"/>
      <c r="C48" s="907"/>
      <c r="D48" s="907"/>
      <c r="E48" s="907"/>
      <c r="F48" s="907"/>
      <c r="G48" s="907"/>
      <c r="H48" s="907"/>
      <c r="I48" s="907"/>
      <c r="J48" s="907"/>
      <c r="K48" s="907"/>
      <c r="L48" s="907"/>
      <c r="M48" s="907"/>
      <c r="N48" s="907"/>
      <c r="O48" s="907"/>
      <c r="P48" s="907"/>
      <c r="Q48" s="907"/>
      <c r="R48" s="907"/>
      <c r="S48" s="907"/>
      <c r="T48" s="907"/>
      <c r="U48" s="907"/>
      <c r="V48" s="907"/>
      <c r="W48" s="907">
        <v>32.015000000000001</v>
      </c>
      <c r="X48" s="907">
        <v>32.234999999999999</v>
      </c>
      <c r="Y48" s="907">
        <v>32.369999999999997</v>
      </c>
      <c r="Z48" s="907">
        <v>32.605000000000004</v>
      </c>
      <c r="AA48" s="907">
        <v>32.774999999999999</v>
      </c>
      <c r="AB48" s="907">
        <v>32.954999999999998</v>
      </c>
      <c r="AC48" s="907">
        <v>33.08</v>
      </c>
      <c r="AD48" s="907">
        <v>33.115000000000002</v>
      </c>
      <c r="AE48" s="907">
        <v>33.274999999999999</v>
      </c>
      <c r="AF48" s="907">
        <v>33.475000000000001</v>
      </c>
      <c r="AG48" s="907">
        <v>33.700000000000003</v>
      </c>
      <c r="AH48" s="907">
        <v>33.94</v>
      </c>
      <c r="AI48" s="907">
        <v>34.17</v>
      </c>
      <c r="AJ48" s="907">
        <v>34.454999999999998</v>
      </c>
      <c r="AK48" s="907">
        <v>34.725000000000001</v>
      </c>
      <c r="AL48" s="907">
        <v>35.04</v>
      </c>
      <c r="AM48" s="907">
        <v>35.325000000000003</v>
      </c>
      <c r="AN48" s="907">
        <v>35.534999999999997</v>
      </c>
      <c r="AO48" s="907">
        <v>35.695</v>
      </c>
      <c r="AP48" s="907">
        <v>35.844999999999999</v>
      </c>
      <c r="AQ48" s="907">
        <v>35.965000000000003</v>
      </c>
      <c r="AR48" s="907">
        <v>36.11</v>
      </c>
      <c r="AS48" s="907">
        <v>36.155000000000001</v>
      </c>
      <c r="AT48" s="907">
        <v>36.19</v>
      </c>
      <c r="AU48" s="907">
        <v>36.28</v>
      </c>
      <c r="AV48" s="907">
        <v>36.370000000000005</v>
      </c>
      <c r="AW48" s="907">
        <v>36.6</v>
      </c>
      <c r="AX48" s="907">
        <v>36.709999999999994</v>
      </c>
      <c r="AY48" s="907">
        <v>36.840000000000003</v>
      </c>
      <c r="AZ48" s="907">
        <v>36.945</v>
      </c>
      <c r="BA48" s="907">
        <v>37.06</v>
      </c>
      <c r="BB48" s="907">
        <v>37.18</v>
      </c>
      <c r="BC48" s="907">
        <v>37.314999999999998</v>
      </c>
      <c r="BD48" s="907">
        <v>37.44</v>
      </c>
      <c r="BE48" s="907">
        <v>37.590000000000003</v>
      </c>
      <c r="BF48" s="907">
        <v>37.75</v>
      </c>
      <c r="BG48" s="907">
        <v>37.905000000000001</v>
      </c>
      <c r="BH48" s="907">
        <v>38.094999999999999</v>
      </c>
      <c r="BI48" s="907">
        <v>38.234999999999999</v>
      </c>
      <c r="BJ48" s="907">
        <v>38.409999999999997</v>
      </c>
      <c r="BK48" s="907">
        <v>38.57</v>
      </c>
      <c r="BL48" s="907">
        <v>38.754999999999995</v>
      </c>
      <c r="BM48" s="907">
        <v>38.924999999999997</v>
      </c>
      <c r="BN48" s="907">
        <v>39.1</v>
      </c>
      <c r="BO48" s="907">
        <v>39.25</v>
      </c>
      <c r="BP48" s="907">
        <v>39.415000000000006</v>
      </c>
      <c r="BQ48" s="907">
        <v>39.56</v>
      </c>
      <c r="BR48" s="907">
        <v>39.715000000000003</v>
      </c>
      <c r="BS48" s="907">
        <v>39.870000000000005</v>
      </c>
      <c r="BT48" s="908">
        <v>40.019999999999996</v>
      </c>
      <c r="BU48" s="907">
        <v>40.164999999999999</v>
      </c>
      <c r="BV48" s="907">
        <v>40.32</v>
      </c>
      <c r="BW48" s="907">
        <v>40.47</v>
      </c>
      <c r="BX48" s="907">
        <v>40.615000000000002</v>
      </c>
      <c r="BY48" s="907">
        <v>40.76</v>
      </c>
      <c r="BZ48" s="907">
        <v>40.905000000000001</v>
      </c>
      <c r="CA48" s="907">
        <v>41.055000000000007</v>
      </c>
      <c r="CB48" s="907">
        <v>41.2</v>
      </c>
      <c r="CC48" s="907">
        <v>41.335000000000001</v>
      </c>
      <c r="CD48" s="907">
        <v>41.480000000000004</v>
      </c>
      <c r="CE48" s="907">
        <v>41.625</v>
      </c>
      <c r="CF48" s="907">
        <v>41.76</v>
      </c>
      <c r="CG48" s="907">
        <v>41.900000000000006</v>
      </c>
      <c r="CH48" s="907">
        <v>42.04</v>
      </c>
      <c r="CI48" s="907">
        <v>42.180000000000007</v>
      </c>
      <c r="CJ48" s="907">
        <v>42.314999999999998</v>
      </c>
      <c r="CK48" s="907">
        <v>42.45</v>
      </c>
      <c r="CL48" s="907">
        <v>42.585000000000001</v>
      </c>
      <c r="CM48" s="907">
        <v>42.72</v>
      </c>
      <c r="CN48" s="907">
        <v>42.85</v>
      </c>
      <c r="CO48" s="907">
        <v>42.98</v>
      </c>
      <c r="CP48" s="907">
        <v>43.115000000000002</v>
      </c>
      <c r="CQ48" s="907">
        <v>43.24</v>
      </c>
      <c r="CR48" s="907">
        <v>43.370000000000005</v>
      </c>
      <c r="CS48" s="907">
        <v>43.5</v>
      </c>
      <c r="CT48" s="907">
        <v>43.625</v>
      </c>
      <c r="CU48" s="907">
        <v>43.75</v>
      </c>
      <c r="CV48" s="907">
        <v>43.875</v>
      </c>
      <c r="CW48" s="907">
        <v>44</v>
      </c>
      <c r="CX48" s="907">
        <v>44.125</v>
      </c>
      <c r="CY48" s="907">
        <v>44.25</v>
      </c>
      <c r="CZ48" s="907">
        <v>44.365000000000002</v>
      </c>
      <c r="DA48" s="907">
        <v>44.49</v>
      </c>
      <c r="DB48" s="907">
        <v>44.61</v>
      </c>
      <c r="DC48" s="907">
        <v>44.730000000000004</v>
      </c>
      <c r="DD48" s="907">
        <v>44.844999999999999</v>
      </c>
      <c r="DE48" s="907">
        <v>44.965000000000003</v>
      </c>
      <c r="DF48" s="907">
        <v>45.08</v>
      </c>
      <c r="DG48" s="907">
        <v>45.195</v>
      </c>
      <c r="DH48" s="907">
        <v>45.31</v>
      </c>
      <c r="DI48" s="907">
        <v>45.42</v>
      </c>
      <c r="DJ48" s="907">
        <v>45.534999999999997</v>
      </c>
      <c r="DK48" s="907">
        <v>45.65</v>
      </c>
      <c r="DL48" s="907">
        <v>45.755000000000003</v>
      </c>
      <c r="DM48" s="907">
        <v>45.865000000000002</v>
      </c>
      <c r="DN48" s="907">
        <v>45.975000000000001</v>
      </c>
      <c r="DO48" s="907">
        <v>46.085000000000001</v>
      </c>
      <c r="DP48" s="907">
        <v>46.19</v>
      </c>
      <c r="DQ48" s="907">
        <v>46.3</v>
      </c>
      <c r="DR48" s="907">
        <v>46.405000000000001</v>
      </c>
    </row>
    <row r="49" spans="1:122" s="127" customFormat="1" ht="12.75">
      <c r="A49" s="911">
        <v>47</v>
      </c>
      <c r="B49" s="907"/>
      <c r="C49" s="907"/>
      <c r="D49" s="907"/>
      <c r="E49" s="907"/>
      <c r="F49" s="907"/>
      <c r="G49" s="907"/>
      <c r="H49" s="907"/>
      <c r="I49" s="907"/>
      <c r="J49" s="907"/>
      <c r="K49" s="907"/>
      <c r="L49" s="907"/>
      <c r="M49" s="907"/>
      <c r="N49" s="907"/>
      <c r="O49" s="907"/>
      <c r="P49" s="907"/>
      <c r="Q49" s="907"/>
      <c r="R49" s="907"/>
      <c r="S49" s="907"/>
      <c r="T49" s="907"/>
      <c r="U49" s="907"/>
      <c r="V49" s="907"/>
      <c r="W49" s="907">
        <v>31.14</v>
      </c>
      <c r="X49" s="907">
        <v>31.36</v>
      </c>
      <c r="Y49" s="907">
        <v>31.505000000000003</v>
      </c>
      <c r="Z49" s="907">
        <v>31.734999999999999</v>
      </c>
      <c r="AA49" s="907">
        <v>31.91</v>
      </c>
      <c r="AB49" s="907">
        <v>32.085000000000001</v>
      </c>
      <c r="AC49" s="907">
        <v>32.204999999999998</v>
      </c>
      <c r="AD49" s="907">
        <v>32.245000000000005</v>
      </c>
      <c r="AE49" s="907">
        <v>32.409999999999997</v>
      </c>
      <c r="AF49" s="907">
        <v>32.605000000000004</v>
      </c>
      <c r="AG49" s="907">
        <v>32.835000000000001</v>
      </c>
      <c r="AH49" s="907">
        <v>33.07</v>
      </c>
      <c r="AI49" s="907">
        <v>33.295000000000002</v>
      </c>
      <c r="AJ49" s="907">
        <v>33.585000000000001</v>
      </c>
      <c r="AK49" s="907">
        <v>33.849999999999994</v>
      </c>
      <c r="AL49" s="907">
        <v>34.159999999999997</v>
      </c>
      <c r="AM49" s="907">
        <v>34.44</v>
      </c>
      <c r="AN49" s="907">
        <v>34.655000000000001</v>
      </c>
      <c r="AO49" s="907">
        <v>34.81</v>
      </c>
      <c r="AP49" s="907">
        <v>34.96</v>
      </c>
      <c r="AQ49" s="907">
        <v>35.07</v>
      </c>
      <c r="AR49" s="907">
        <v>35.22</v>
      </c>
      <c r="AS49" s="907">
        <v>35.265000000000001</v>
      </c>
      <c r="AT49" s="907">
        <v>35.305</v>
      </c>
      <c r="AU49" s="907">
        <v>35.39</v>
      </c>
      <c r="AV49" s="907">
        <v>35.480000000000004</v>
      </c>
      <c r="AW49" s="907">
        <v>35.71</v>
      </c>
      <c r="AX49" s="907">
        <v>35.814999999999998</v>
      </c>
      <c r="AY49" s="907">
        <v>35.94</v>
      </c>
      <c r="AZ49" s="907">
        <v>36.049999999999997</v>
      </c>
      <c r="BA49" s="907">
        <v>36.164999999999999</v>
      </c>
      <c r="BB49" s="907">
        <v>36.28</v>
      </c>
      <c r="BC49" s="907">
        <v>36.409999999999997</v>
      </c>
      <c r="BD49" s="907">
        <v>36.54</v>
      </c>
      <c r="BE49" s="907">
        <v>36.685000000000002</v>
      </c>
      <c r="BF49" s="907">
        <v>36.844999999999999</v>
      </c>
      <c r="BG49" s="907">
        <v>37</v>
      </c>
      <c r="BH49" s="907">
        <v>37.185000000000002</v>
      </c>
      <c r="BI49" s="907">
        <v>37.325000000000003</v>
      </c>
      <c r="BJ49" s="907">
        <v>37.495000000000005</v>
      </c>
      <c r="BK49" s="907">
        <v>37.650000000000006</v>
      </c>
      <c r="BL49" s="907">
        <v>37.83</v>
      </c>
      <c r="BM49" s="907">
        <v>38.004999999999995</v>
      </c>
      <c r="BN49" s="907">
        <v>38.174999999999997</v>
      </c>
      <c r="BO49" s="907">
        <v>38.32</v>
      </c>
      <c r="BP49" s="907">
        <v>38.480000000000004</v>
      </c>
      <c r="BQ49" s="907">
        <v>38.630000000000003</v>
      </c>
      <c r="BR49" s="907">
        <v>38.784999999999997</v>
      </c>
      <c r="BS49" s="907">
        <v>38.935000000000002</v>
      </c>
      <c r="BT49" s="908">
        <v>39.090000000000003</v>
      </c>
      <c r="BU49" s="907">
        <v>39.230000000000004</v>
      </c>
      <c r="BV49" s="907">
        <v>39.385000000000005</v>
      </c>
      <c r="BW49" s="907">
        <v>39.53</v>
      </c>
      <c r="BX49" s="907">
        <v>39.68</v>
      </c>
      <c r="BY49" s="907">
        <v>39.825000000000003</v>
      </c>
      <c r="BZ49" s="907">
        <v>39.97</v>
      </c>
      <c r="CA49" s="907">
        <v>40.114999999999995</v>
      </c>
      <c r="CB49" s="907">
        <v>40.254999999999995</v>
      </c>
      <c r="CC49" s="907">
        <v>40.4</v>
      </c>
      <c r="CD49" s="907">
        <v>40.534999999999997</v>
      </c>
      <c r="CE49" s="907">
        <v>40.68</v>
      </c>
      <c r="CF49" s="907">
        <v>40.814999999999998</v>
      </c>
      <c r="CG49" s="907">
        <v>40.96</v>
      </c>
      <c r="CH49" s="907">
        <v>41.094999999999999</v>
      </c>
      <c r="CI49" s="907">
        <v>41.230000000000004</v>
      </c>
      <c r="CJ49" s="907">
        <v>41.364999999999995</v>
      </c>
      <c r="CK49" s="907">
        <v>41.5</v>
      </c>
      <c r="CL49" s="907">
        <v>41.635000000000005</v>
      </c>
      <c r="CM49" s="907">
        <v>41.765000000000001</v>
      </c>
      <c r="CN49" s="907">
        <v>41.894999999999996</v>
      </c>
      <c r="CO49" s="907">
        <v>42.03</v>
      </c>
      <c r="CP49" s="907">
        <v>42.16</v>
      </c>
      <c r="CQ49" s="907">
        <v>42.29</v>
      </c>
      <c r="CR49" s="907">
        <v>42.414999999999999</v>
      </c>
      <c r="CS49" s="907">
        <v>42.54</v>
      </c>
      <c r="CT49" s="907">
        <v>42.67</v>
      </c>
      <c r="CU49" s="907">
        <v>42.795000000000002</v>
      </c>
      <c r="CV49" s="907">
        <v>42.914999999999999</v>
      </c>
      <c r="CW49" s="907">
        <v>43.04</v>
      </c>
      <c r="CX49" s="907">
        <v>43.165000000000006</v>
      </c>
      <c r="CY49" s="907">
        <v>43.290000000000006</v>
      </c>
      <c r="CZ49" s="907">
        <v>43.405000000000001</v>
      </c>
      <c r="DA49" s="907">
        <v>43.53</v>
      </c>
      <c r="DB49" s="907">
        <v>43.644999999999996</v>
      </c>
      <c r="DC49" s="907">
        <v>43.765000000000001</v>
      </c>
      <c r="DD49" s="907">
        <v>43.879999999999995</v>
      </c>
      <c r="DE49" s="907">
        <v>43.995000000000005</v>
      </c>
      <c r="DF49" s="907">
        <v>44.11</v>
      </c>
      <c r="DG49" s="907">
        <v>44.230000000000004</v>
      </c>
      <c r="DH49" s="907">
        <v>44.344999999999999</v>
      </c>
      <c r="DI49" s="907">
        <v>44.454999999999998</v>
      </c>
      <c r="DJ49" s="907">
        <v>44.564999999999998</v>
      </c>
      <c r="DK49" s="907">
        <v>44.68</v>
      </c>
      <c r="DL49" s="907">
        <v>44.790000000000006</v>
      </c>
      <c r="DM49" s="907">
        <v>44.894999999999996</v>
      </c>
      <c r="DN49" s="907">
        <v>45.004999999999995</v>
      </c>
      <c r="DO49" s="907">
        <v>45.11</v>
      </c>
      <c r="DP49" s="907">
        <v>45.22</v>
      </c>
      <c r="DQ49" s="907">
        <v>45.325000000000003</v>
      </c>
      <c r="DR49" s="907">
        <v>45.43</v>
      </c>
    </row>
    <row r="50" spans="1:122" s="127" customFormat="1" ht="12.75">
      <c r="A50" s="911">
        <v>48</v>
      </c>
      <c r="B50" s="907"/>
      <c r="C50" s="907"/>
      <c r="D50" s="907"/>
      <c r="E50" s="907"/>
      <c r="F50" s="907"/>
      <c r="G50" s="907"/>
      <c r="H50" s="907"/>
      <c r="I50" s="907"/>
      <c r="J50" s="907"/>
      <c r="K50" s="907"/>
      <c r="L50" s="907"/>
      <c r="M50" s="907"/>
      <c r="N50" s="907"/>
      <c r="O50" s="907"/>
      <c r="P50" s="907"/>
      <c r="Q50" s="907"/>
      <c r="R50" s="907"/>
      <c r="S50" s="907"/>
      <c r="T50" s="907"/>
      <c r="U50" s="907"/>
      <c r="V50" s="907"/>
      <c r="W50" s="907">
        <v>30.274999999999999</v>
      </c>
      <c r="X50" s="907">
        <v>30.5</v>
      </c>
      <c r="Y50" s="907">
        <v>30.64</v>
      </c>
      <c r="Z50" s="907">
        <v>30.869999999999997</v>
      </c>
      <c r="AA50" s="907">
        <v>31.045000000000002</v>
      </c>
      <c r="AB50" s="907">
        <v>31.22</v>
      </c>
      <c r="AC50" s="907">
        <v>31.344999999999999</v>
      </c>
      <c r="AD50" s="907">
        <v>31.385000000000002</v>
      </c>
      <c r="AE50" s="907">
        <v>31.549999999999997</v>
      </c>
      <c r="AF50" s="907">
        <v>31.745000000000001</v>
      </c>
      <c r="AG50" s="907">
        <v>31.975000000000001</v>
      </c>
      <c r="AH50" s="907">
        <v>32.204999999999998</v>
      </c>
      <c r="AI50" s="907">
        <v>32.435000000000002</v>
      </c>
      <c r="AJ50" s="907">
        <v>32.715000000000003</v>
      </c>
      <c r="AK50" s="907">
        <v>32.979999999999997</v>
      </c>
      <c r="AL50" s="907">
        <v>33.284999999999997</v>
      </c>
      <c r="AM50" s="907">
        <v>33.564999999999998</v>
      </c>
      <c r="AN50" s="907">
        <v>33.775000000000006</v>
      </c>
      <c r="AO50" s="907">
        <v>33.93</v>
      </c>
      <c r="AP50" s="907">
        <v>34.075000000000003</v>
      </c>
      <c r="AQ50" s="907">
        <v>34.19</v>
      </c>
      <c r="AR50" s="907">
        <v>34.340000000000003</v>
      </c>
      <c r="AS50" s="907">
        <v>34.384999999999998</v>
      </c>
      <c r="AT50" s="907">
        <v>34.424999999999997</v>
      </c>
      <c r="AU50" s="907">
        <v>34.510000000000005</v>
      </c>
      <c r="AV50" s="907">
        <v>34.594999999999999</v>
      </c>
      <c r="AW50" s="907">
        <v>34.825000000000003</v>
      </c>
      <c r="AX50" s="907">
        <v>34.924999999999997</v>
      </c>
      <c r="AY50" s="907">
        <v>35.049999999999997</v>
      </c>
      <c r="AZ50" s="907">
        <v>35.159999999999997</v>
      </c>
      <c r="BA50" s="907">
        <v>35.265000000000001</v>
      </c>
      <c r="BB50" s="907">
        <v>35.39</v>
      </c>
      <c r="BC50" s="907">
        <v>35.515000000000001</v>
      </c>
      <c r="BD50" s="907">
        <v>35.644999999999996</v>
      </c>
      <c r="BE50" s="907">
        <v>35.795000000000002</v>
      </c>
      <c r="BF50" s="907">
        <v>35.950000000000003</v>
      </c>
      <c r="BG50" s="907">
        <v>36.094999999999999</v>
      </c>
      <c r="BH50" s="907">
        <v>36.28</v>
      </c>
      <c r="BI50" s="907">
        <v>36.414999999999999</v>
      </c>
      <c r="BJ50" s="907">
        <v>36.585000000000001</v>
      </c>
      <c r="BK50" s="907">
        <v>36.74</v>
      </c>
      <c r="BL50" s="907">
        <v>36.92</v>
      </c>
      <c r="BM50" s="907">
        <v>37.090000000000003</v>
      </c>
      <c r="BN50" s="907">
        <v>37.25</v>
      </c>
      <c r="BO50" s="907">
        <v>37.400000000000006</v>
      </c>
      <c r="BP50" s="907">
        <v>37.555</v>
      </c>
      <c r="BQ50" s="907">
        <v>37.704999999999998</v>
      </c>
      <c r="BR50" s="907">
        <v>37.855000000000004</v>
      </c>
      <c r="BS50" s="907">
        <v>38.01</v>
      </c>
      <c r="BT50" s="908">
        <v>38.159999999999997</v>
      </c>
      <c r="BU50" s="907">
        <v>38.305000000000007</v>
      </c>
      <c r="BV50" s="907">
        <v>38.454999999999998</v>
      </c>
      <c r="BW50" s="907">
        <v>38.6</v>
      </c>
      <c r="BX50" s="907">
        <v>38.744999999999997</v>
      </c>
      <c r="BY50" s="907">
        <v>38.89</v>
      </c>
      <c r="BZ50" s="907">
        <v>39.034999999999997</v>
      </c>
      <c r="CA50" s="907">
        <v>39.18</v>
      </c>
      <c r="CB50" s="907">
        <v>39.314999999999998</v>
      </c>
      <c r="CC50" s="907">
        <v>39.459999999999994</v>
      </c>
      <c r="CD50" s="907">
        <v>39.6</v>
      </c>
      <c r="CE50" s="907">
        <v>39.734999999999999</v>
      </c>
      <c r="CF50" s="907">
        <v>39.875</v>
      </c>
      <c r="CG50" s="907">
        <v>40.015000000000001</v>
      </c>
      <c r="CH50" s="907">
        <v>40.15</v>
      </c>
      <c r="CI50" s="907">
        <v>40.284999999999997</v>
      </c>
      <c r="CJ50" s="907">
        <v>40.42</v>
      </c>
      <c r="CK50" s="907">
        <v>40.555000000000007</v>
      </c>
      <c r="CL50" s="907">
        <v>40.685000000000002</v>
      </c>
      <c r="CM50" s="907">
        <v>40.814999999999998</v>
      </c>
      <c r="CN50" s="907">
        <v>40.950000000000003</v>
      </c>
      <c r="CO50" s="907">
        <v>41.075000000000003</v>
      </c>
      <c r="CP50" s="907">
        <v>41.21</v>
      </c>
      <c r="CQ50" s="907">
        <v>41.335000000000001</v>
      </c>
      <c r="CR50" s="907">
        <v>41.465000000000003</v>
      </c>
      <c r="CS50" s="907">
        <v>41.59</v>
      </c>
      <c r="CT50" s="907">
        <v>41.715000000000003</v>
      </c>
      <c r="CU50" s="907">
        <v>41.84</v>
      </c>
      <c r="CV50" s="907">
        <v>41.965000000000003</v>
      </c>
      <c r="CW50" s="907">
        <v>42.09</v>
      </c>
      <c r="CX50" s="907">
        <v>42.204999999999998</v>
      </c>
      <c r="CY50" s="907">
        <v>42.33</v>
      </c>
      <c r="CZ50" s="907">
        <v>42.45</v>
      </c>
      <c r="DA50" s="907">
        <v>42.57</v>
      </c>
      <c r="DB50" s="907">
        <v>42.685000000000002</v>
      </c>
      <c r="DC50" s="907">
        <v>42.805</v>
      </c>
      <c r="DD50" s="907">
        <v>42.92</v>
      </c>
      <c r="DE50" s="907">
        <v>43.034999999999997</v>
      </c>
      <c r="DF50" s="907">
        <v>43.150000000000006</v>
      </c>
      <c r="DG50" s="907">
        <v>43.265000000000001</v>
      </c>
      <c r="DH50" s="907">
        <v>43.375</v>
      </c>
      <c r="DI50" s="907">
        <v>43.489999999999995</v>
      </c>
      <c r="DJ50" s="907">
        <v>43.6</v>
      </c>
      <c r="DK50" s="907">
        <v>43.715000000000003</v>
      </c>
      <c r="DL50" s="907">
        <v>43.82</v>
      </c>
      <c r="DM50" s="907">
        <v>43.93</v>
      </c>
      <c r="DN50" s="907">
        <v>44.034999999999997</v>
      </c>
      <c r="DO50" s="907">
        <v>44.144999999999996</v>
      </c>
      <c r="DP50" s="907">
        <v>44.25</v>
      </c>
      <c r="DQ50" s="907">
        <v>44.355000000000004</v>
      </c>
      <c r="DR50" s="907">
        <v>44.46</v>
      </c>
    </row>
    <row r="51" spans="1:122" s="127" customFormat="1" ht="12.75">
      <c r="A51" s="911">
        <v>49</v>
      </c>
      <c r="B51" s="907"/>
      <c r="C51" s="907"/>
      <c r="D51" s="907"/>
      <c r="E51" s="907"/>
      <c r="F51" s="907"/>
      <c r="G51" s="907"/>
      <c r="H51" s="907"/>
      <c r="I51" s="907"/>
      <c r="J51" s="907"/>
      <c r="K51" s="907"/>
      <c r="L51" s="907"/>
      <c r="M51" s="907"/>
      <c r="N51" s="907"/>
      <c r="O51" s="907"/>
      <c r="P51" s="907"/>
      <c r="Q51" s="907"/>
      <c r="R51" s="907"/>
      <c r="S51" s="907"/>
      <c r="T51" s="907"/>
      <c r="U51" s="907"/>
      <c r="V51" s="907"/>
      <c r="W51" s="907">
        <v>29.425000000000001</v>
      </c>
      <c r="X51" s="907">
        <v>29.65</v>
      </c>
      <c r="Y51" s="907">
        <v>29.785000000000004</v>
      </c>
      <c r="Z51" s="907">
        <v>30.015000000000001</v>
      </c>
      <c r="AA51" s="907">
        <v>30.189999999999998</v>
      </c>
      <c r="AB51" s="907">
        <v>30.37</v>
      </c>
      <c r="AC51" s="907">
        <v>30.490000000000002</v>
      </c>
      <c r="AD51" s="907">
        <v>30.53</v>
      </c>
      <c r="AE51" s="907">
        <v>30.695</v>
      </c>
      <c r="AF51" s="907">
        <v>30.895</v>
      </c>
      <c r="AG51" s="907">
        <v>31.12</v>
      </c>
      <c r="AH51" s="907">
        <v>31.355</v>
      </c>
      <c r="AI51" s="907">
        <v>31.57</v>
      </c>
      <c r="AJ51" s="907">
        <v>31.85</v>
      </c>
      <c r="AK51" s="907">
        <v>32.115000000000002</v>
      </c>
      <c r="AL51" s="907">
        <v>32.42</v>
      </c>
      <c r="AM51" s="907">
        <v>32.69</v>
      </c>
      <c r="AN51" s="907">
        <v>32.9</v>
      </c>
      <c r="AO51" s="907">
        <v>33.055</v>
      </c>
      <c r="AP51" s="907">
        <v>33.200000000000003</v>
      </c>
      <c r="AQ51" s="907">
        <v>33.314999999999998</v>
      </c>
      <c r="AR51" s="907">
        <v>33.46</v>
      </c>
      <c r="AS51" s="907">
        <v>33.51</v>
      </c>
      <c r="AT51" s="907">
        <v>33.555</v>
      </c>
      <c r="AU51" s="907">
        <v>33.64</v>
      </c>
      <c r="AV51" s="907">
        <v>33.715000000000003</v>
      </c>
      <c r="AW51" s="907">
        <v>33.945</v>
      </c>
      <c r="AX51" s="907">
        <v>34.04</v>
      </c>
      <c r="AY51" s="907">
        <v>34.160000000000004</v>
      </c>
      <c r="AZ51" s="907">
        <v>34.269999999999996</v>
      </c>
      <c r="BA51" s="907">
        <v>34.379999999999995</v>
      </c>
      <c r="BB51" s="907">
        <v>34.5</v>
      </c>
      <c r="BC51" s="907">
        <v>34.625</v>
      </c>
      <c r="BD51" s="907">
        <v>34.75</v>
      </c>
      <c r="BE51" s="907">
        <v>34.900000000000006</v>
      </c>
      <c r="BF51" s="907">
        <v>35.045000000000002</v>
      </c>
      <c r="BG51" s="907">
        <v>35.200000000000003</v>
      </c>
      <c r="BH51" s="907">
        <v>35.375</v>
      </c>
      <c r="BI51" s="907">
        <v>35.510000000000005</v>
      </c>
      <c r="BJ51" s="907">
        <v>35.68</v>
      </c>
      <c r="BK51" s="907">
        <v>35.83</v>
      </c>
      <c r="BL51" s="907">
        <v>36.005000000000003</v>
      </c>
      <c r="BM51" s="907">
        <v>36.17</v>
      </c>
      <c r="BN51" s="907">
        <v>36.335000000000001</v>
      </c>
      <c r="BO51" s="907">
        <v>36.484999999999999</v>
      </c>
      <c r="BP51" s="907">
        <v>36.634999999999998</v>
      </c>
      <c r="BQ51" s="907">
        <v>36.79</v>
      </c>
      <c r="BR51" s="907">
        <v>36.94</v>
      </c>
      <c r="BS51" s="907">
        <v>37.090000000000003</v>
      </c>
      <c r="BT51" s="908">
        <v>37.234999999999999</v>
      </c>
      <c r="BU51" s="907">
        <v>37.379999999999995</v>
      </c>
      <c r="BV51" s="907">
        <v>37.53</v>
      </c>
      <c r="BW51" s="907">
        <v>37.674999999999997</v>
      </c>
      <c r="BX51" s="907">
        <v>37.82</v>
      </c>
      <c r="BY51" s="907">
        <v>37.954999999999998</v>
      </c>
      <c r="BZ51" s="907">
        <v>38.099999999999994</v>
      </c>
      <c r="CA51" s="907">
        <v>38.245000000000005</v>
      </c>
      <c r="CB51" s="907">
        <v>38.384999999999998</v>
      </c>
      <c r="CC51" s="907">
        <v>38.525000000000006</v>
      </c>
      <c r="CD51" s="907">
        <v>38.659999999999997</v>
      </c>
      <c r="CE51" s="907">
        <v>38.799999999999997</v>
      </c>
      <c r="CF51" s="907">
        <v>38.94</v>
      </c>
      <c r="CG51" s="907">
        <v>39.075000000000003</v>
      </c>
      <c r="CH51" s="907">
        <v>39.21</v>
      </c>
      <c r="CI51" s="907">
        <v>39.344999999999999</v>
      </c>
      <c r="CJ51" s="907">
        <v>39.480000000000004</v>
      </c>
      <c r="CK51" s="907">
        <v>39.61</v>
      </c>
      <c r="CL51" s="907">
        <v>39.739999999999995</v>
      </c>
      <c r="CM51" s="907">
        <v>39.875</v>
      </c>
      <c r="CN51" s="907">
        <v>40</v>
      </c>
      <c r="CO51" s="907">
        <v>40.135000000000005</v>
      </c>
      <c r="CP51" s="907">
        <v>40.260000000000005</v>
      </c>
      <c r="CQ51" s="907">
        <v>40.385000000000005</v>
      </c>
      <c r="CR51" s="907">
        <v>40.510000000000005</v>
      </c>
      <c r="CS51" s="907">
        <v>40.64</v>
      </c>
      <c r="CT51" s="907">
        <v>40.765000000000001</v>
      </c>
      <c r="CU51" s="907">
        <v>40.89</v>
      </c>
      <c r="CV51" s="907">
        <v>41.01</v>
      </c>
      <c r="CW51" s="907">
        <v>41.129999999999995</v>
      </c>
      <c r="CX51" s="907">
        <v>41.255000000000003</v>
      </c>
      <c r="CY51" s="907">
        <v>41.37</v>
      </c>
      <c r="CZ51" s="907">
        <v>41.494999999999997</v>
      </c>
      <c r="DA51" s="907">
        <v>41.61</v>
      </c>
      <c r="DB51" s="907">
        <v>41.730000000000004</v>
      </c>
      <c r="DC51" s="907">
        <v>41.844999999999999</v>
      </c>
      <c r="DD51" s="907">
        <v>41.96</v>
      </c>
      <c r="DE51" s="907">
        <v>42.075000000000003</v>
      </c>
      <c r="DF51" s="907">
        <v>42.19</v>
      </c>
      <c r="DG51" s="907">
        <v>42.305</v>
      </c>
      <c r="DH51" s="907">
        <v>42.414999999999999</v>
      </c>
      <c r="DI51" s="907">
        <v>42.53</v>
      </c>
      <c r="DJ51" s="907">
        <v>42.64</v>
      </c>
      <c r="DK51" s="907">
        <v>42.745000000000005</v>
      </c>
      <c r="DL51" s="907">
        <v>42.86</v>
      </c>
      <c r="DM51" s="907">
        <v>42.97</v>
      </c>
      <c r="DN51" s="907">
        <v>43.075000000000003</v>
      </c>
      <c r="DO51" s="907">
        <v>43.18</v>
      </c>
      <c r="DP51" s="907">
        <v>43.290000000000006</v>
      </c>
      <c r="DQ51" s="907">
        <v>43.39</v>
      </c>
      <c r="DR51" s="907">
        <v>43.495000000000005</v>
      </c>
    </row>
    <row r="52" spans="1:122" s="127" customFormat="1" ht="12.75">
      <c r="A52" s="911">
        <v>50</v>
      </c>
      <c r="B52" s="907"/>
      <c r="C52" s="907"/>
      <c r="D52" s="907"/>
      <c r="E52" s="907"/>
      <c r="F52" s="907"/>
      <c r="G52" s="907"/>
      <c r="H52" s="907"/>
      <c r="I52" s="907"/>
      <c r="J52" s="907"/>
      <c r="K52" s="907"/>
      <c r="L52" s="907"/>
      <c r="M52" s="907"/>
      <c r="N52" s="907"/>
      <c r="O52" s="907"/>
      <c r="P52" s="907"/>
      <c r="Q52" s="907"/>
      <c r="R52" s="907"/>
      <c r="S52" s="907"/>
      <c r="T52" s="907"/>
      <c r="U52" s="907"/>
      <c r="V52" s="907"/>
      <c r="W52" s="907">
        <v>28.58</v>
      </c>
      <c r="X52" s="907">
        <v>28.8</v>
      </c>
      <c r="Y52" s="907">
        <v>28.939999999999998</v>
      </c>
      <c r="Z52" s="907">
        <v>29.17</v>
      </c>
      <c r="AA52" s="907">
        <v>29.344999999999999</v>
      </c>
      <c r="AB52" s="907">
        <v>29.524999999999999</v>
      </c>
      <c r="AC52" s="907">
        <v>29.64</v>
      </c>
      <c r="AD52" s="907">
        <v>29.68</v>
      </c>
      <c r="AE52" s="907">
        <v>29.855</v>
      </c>
      <c r="AF52" s="907">
        <v>30.049999999999997</v>
      </c>
      <c r="AG52" s="907">
        <v>30.274999999999999</v>
      </c>
      <c r="AH52" s="907">
        <v>30.505000000000003</v>
      </c>
      <c r="AI52" s="907">
        <v>30.72</v>
      </c>
      <c r="AJ52" s="907">
        <v>30.990000000000002</v>
      </c>
      <c r="AK52" s="907">
        <v>31.25</v>
      </c>
      <c r="AL52" s="907">
        <v>31.555</v>
      </c>
      <c r="AM52" s="907">
        <v>31.824999999999999</v>
      </c>
      <c r="AN52" s="907">
        <v>32.034999999999997</v>
      </c>
      <c r="AO52" s="907">
        <v>32.185000000000002</v>
      </c>
      <c r="AP52" s="907">
        <v>32.33</v>
      </c>
      <c r="AQ52" s="907">
        <v>32.454999999999998</v>
      </c>
      <c r="AR52" s="907">
        <v>32.594999999999999</v>
      </c>
      <c r="AS52" s="907">
        <v>32.644999999999996</v>
      </c>
      <c r="AT52" s="907">
        <v>32.685000000000002</v>
      </c>
      <c r="AU52" s="907">
        <v>32.769999999999996</v>
      </c>
      <c r="AV52" s="907">
        <v>32.844999999999999</v>
      </c>
      <c r="AW52" s="907">
        <v>33.07</v>
      </c>
      <c r="AX52" s="907">
        <v>33.159999999999997</v>
      </c>
      <c r="AY52" s="907">
        <v>33.274999999999999</v>
      </c>
      <c r="AZ52" s="907">
        <v>33.39</v>
      </c>
      <c r="BA52" s="907">
        <v>33.49</v>
      </c>
      <c r="BB52" s="907">
        <v>33.615000000000002</v>
      </c>
      <c r="BC52" s="907">
        <v>33.739999999999995</v>
      </c>
      <c r="BD52" s="907">
        <v>33.869999999999997</v>
      </c>
      <c r="BE52" s="907">
        <v>34.01</v>
      </c>
      <c r="BF52" s="907">
        <v>34.159999999999997</v>
      </c>
      <c r="BG52" s="907">
        <v>34.305</v>
      </c>
      <c r="BH52" s="907">
        <v>34.475000000000001</v>
      </c>
      <c r="BI52" s="907">
        <v>34.614999999999995</v>
      </c>
      <c r="BJ52" s="907">
        <v>34.775000000000006</v>
      </c>
      <c r="BK52" s="907">
        <v>34.93</v>
      </c>
      <c r="BL52" s="907">
        <v>35.105000000000004</v>
      </c>
      <c r="BM52" s="907">
        <v>35.260000000000005</v>
      </c>
      <c r="BN52" s="907">
        <v>35.424999999999997</v>
      </c>
      <c r="BO52" s="907">
        <v>35.575000000000003</v>
      </c>
      <c r="BP52" s="907">
        <v>35.724999999999994</v>
      </c>
      <c r="BQ52" s="907">
        <v>35.870000000000005</v>
      </c>
      <c r="BR52" s="907">
        <v>36.019999999999996</v>
      </c>
      <c r="BS52" s="907">
        <v>36.17</v>
      </c>
      <c r="BT52" s="908">
        <v>36.314999999999998</v>
      </c>
      <c r="BU52" s="907">
        <v>36.46</v>
      </c>
      <c r="BV52" s="907">
        <v>36.605000000000004</v>
      </c>
      <c r="BW52" s="907">
        <v>36.75</v>
      </c>
      <c r="BX52" s="907">
        <v>36.894999999999996</v>
      </c>
      <c r="BY52" s="907">
        <v>37.034999999999997</v>
      </c>
      <c r="BZ52" s="907">
        <v>37.174999999999997</v>
      </c>
      <c r="CA52" s="907">
        <v>37.314999999999998</v>
      </c>
      <c r="CB52" s="907">
        <v>37.454999999999998</v>
      </c>
      <c r="CC52" s="907">
        <v>37.594999999999999</v>
      </c>
      <c r="CD52" s="907">
        <v>37.734999999999999</v>
      </c>
      <c r="CE52" s="907">
        <v>37.870000000000005</v>
      </c>
      <c r="CF52" s="907">
        <v>38.005000000000003</v>
      </c>
      <c r="CG52" s="907">
        <v>38.14</v>
      </c>
      <c r="CH52" s="907">
        <v>38.274999999999999</v>
      </c>
      <c r="CI52" s="907">
        <v>38.409999999999997</v>
      </c>
      <c r="CJ52" s="907">
        <v>38.540000000000006</v>
      </c>
      <c r="CK52" s="907">
        <v>38.67</v>
      </c>
      <c r="CL52" s="907">
        <v>38.805</v>
      </c>
      <c r="CM52" s="907">
        <v>38.93</v>
      </c>
      <c r="CN52" s="907">
        <v>39.064999999999998</v>
      </c>
      <c r="CO52" s="907">
        <v>39.19</v>
      </c>
      <c r="CP52" s="907">
        <v>39.314999999999998</v>
      </c>
      <c r="CQ52" s="907">
        <v>39.445</v>
      </c>
      <c r="CR52" s="907">
        <v>39.569999999999993</v>
      </c>
      <c r="CS52" s="907">
        <v>39.695</v>
      </c>
      <c r="CT52" s="907">
        <v>39.82</v>
      </c>
      <c r="CU52" s="907">
        <v>39.945</v>
      </c>
      <c r="CV52" s="907">
        <v>40.06</v>
      </c>
      <c r="CW52" s="907">
        <v>40.185000000000002</v>
      </c>
      <c r="CX52" s="907">
        <v>40.305</v>
      </c>
      <c r="CY52" s="907">
        <v>40.42</v>
      </c>
      <c r="CZ52" s="907">
        <v>40.545000000000002</v>
      </c>
      <c r="DA52" s="907">
        <v>40.659999999999997</v>
      </c>
      <c r="DB52" s="907">
        <v>40.774999999999999</v>
      </c>
      <c r="DC52" s="907">
        <v>40.894999999999996</v>
      </c>
      <c r="DD52" s="907">
        <v>41.010000000000005</v>
      </c>
      <c r="DE52" s="907">
        <v>41.125</v>
      </c>
      <c r="DF52" s="907">
        <v>41.234999999999999</v>
      </c>
      <c r="DG52" s="907">
        <v>41.349999999999994</v>
      </c>
      <c r="DH52" s="907">
        <v>41.46</v>
      </c>
      <c r="DI52" s="907">
        <v>41.57</v>
      </c>
      <c r="DJ52" s="907">
        <v>41.680000000000007</v>
      </c>
      <c r="DK52" s="907">
        <v>41.79</v>
      </c>
      <c r="DL52" s="907">
        <v>41.894999999999996</v>
      </c>
      <c r="DM52" s="907">
        <v>42</v>
      </c>
      <c r="DN52" s="907">
        <v>42.11</v>
      </c>
      <c r="DO52" s="907">
        <v>42.215000000000003</v>
      </c>
      <c r="DP52" s="907">
        <v>42.32</v>
      </c>
      <c r="DQ52" s="907">
        <v>42.424999999999997</v>
      </c>
      <c r="DR52" s="907">
        <v>42.524999999999999</v>
      </c>
    </row>
    <row r="53" spans="1:122" s="127" customFormat="1" ht="12.75">
      <c r="A53" s="911">
        <v>51</v>
      </c>
      <c r="B53" s="907"/>
      <c r="C53" s="907"/>
      <c r="D53" s="907"/>
      <c r="E53" s="907"/>
      <c r="F53" s="907"/>
      <c r="G53" s="907"/>
      <c r="H53" s="907"/>
      <c r="I53" s="907"/>
      <c r="J53" s="907"/>
      <c r="K53" s="907"/>
      <c r="L53" s="907"/>
      <c r="M53" s="907"/>
      <c r="N53" s="907"/>
      <c r="O53" s="907"/>
      <c r="P53" s="907"/>
      <c r="Q53" s="907"/>
      <c r="R53" s="907"/>
      <c r="S53" s="907"/>
      <c r="T53" s="907"/>
      <c r="U53" s="907"/>
      <c r="V53" s="907"/>
      <c r="W53" s="907">
        <v>27.744999999999997</v>
      </c>
      <c r="X53" s="907">
        <v>27.96</v>
      </c>
      <c r="Y53" s="907">
        <v>28.1</v>
      </c>
      <c r="Z53" s="907">
        <v>28.33</v>
      </c>
      <c r="AA53" s="907">
        <v>28.509999999999998</v>
      </c>
      <c r="AB53" s="907">
        <v>28.689999999999998</v>
      </c>
      <c r="AC53" s="907">
        <v>28.805</v>
      </c>
      <c r="AD53" s="907">
        <v>28.844999999999999</v>
      </c>
      <c r="AE53" s="907">
        <v>29.015000000000001</v>
      </c>
      <c r="AF53" s="907">
        <v>29.21</v>
      </c>
      <c r="AG53" s="907">
        <v>29.43</v>
      </c>
      <c r="AH53" s="907">
        <v>29.664999999999999</v>
      </c>
      <c r="AI53" s="907">
        <v>29.88</v>
      </c>
      <c r="AJ53" s="907">
        <v>30.145000000000003</v>
      </c>
      <c r="AK53" s="907">
        <v>30.4</v>
      </c>
      <c r="AL53" s="907">
        <v>30.704999999999998</v>
      </c>
      <c r="AM53" s="907">
        <v>30.97</v>
      </c>
      <c r="AN53" s="907">
        <v>31.18</v>
      </c>
      <c r="AO53" s="907">
        <v>31.325000000000003</v>
      </c>
      <c r="AP53" s="907">
        <v>31.479999999999997</v>
      </c>
      <c r="AQ53" s="907">
        <v>31.594999999999999</v>
      </c>
      <c r="AR53" s="907">
        <v>31.73</v>
      </c>
      <c r="AS53" s="907">
        <v>31.784999999999997</v>
      </c>
      <c r="AT53" s="907">
        <v>31.82</v>
      </c>
      <c r="AU53" s="907">
        <v>31.905000000000001</v>
      </c>
      <c r="AV53" s="907">
        <v>31.979999999999997</v>
      </c>
      <c r="AW53" s="907">
        <v>32.195</v>
      </c>
      <c r="AX53" s="907">
        <v>32.28</v>
      </c>
      <c r="AY53" s="907">
        <v>32.400000000000006</v>
      </c>
      <c r="AZ53" s="907">
        <v>32.51</v>
      </c>
      <c r="BA53" s="907">
        <v>32.619999999999997</v>
      </c>
      <c r="BB53" s="907">
        <v>32.734999999999999</v>
      </c>
      <c r="BC53" s="907">
        <v>32.865000000000002</v>
      </c>
      <c r="BD53" s="907">
        <v>32.984999999999999</v>
      </c>
      <c r="BE53" s="907">
        <v>33.125</v>
      </c>
      <c r="BF53" s="907">
        <v>33.274999999999999</v>
      </c>
      <c r="BG53" s="907">
        <v>33.414999999999999</v>
      </c>
      <c r="BH53" s="907">
        <v>33.585000000000001</v>
      </c>
      <c r="BI53" s="907">
        <v>33.72</v>
      </c>
      <c r="BJ53" s="907">
        <v>33.879999999999995</v>
      </c>
      <c r="BK53" s="907">
        <v>34.034999999999997</v>
      </c>
      <c r="BL53" s="907">
        <v>34.204999999999998</v>
      </c>
      <c r="BM53" s="907">
        <v>34.36</v>
      </c>
      <c r="BN53" s="907">
        <v>34.519999999999996</v>
      </c>
      <c r="BO53" s="907">
        <v>34.665000000000006</v>
      </c>
      <c r="BP53" s="907">
        <v>34.814999999999998</v>
      </c>
      <c r="BQ53" s="907">
        <v>34.96</v>
      </c>
      <c r="BR53" s="907">
        <v>35.11</v>
      </c>
      <c r="BS53" s="907">
        <v>35.255000000000003</v>
      </c>
      <c r="BT53" s="908">
        <v>35.4</v>
      </c>
      <c r="BU53" s="907">
        <v>35.545000000000002</v>
      </c>
      <c r="BV53" s="907">
        <v>35.685000000000002</v>
      </c>
      <c r="BW53" s="907">
        <v>35.83</v>
      </c>
      <c r="BX53" s="907">
        <v>35.974999999999994</v>
      </c>
      <c r="BY53" s="907">
        <v>36.11</v>
      </c>
      <c r="BZ53" s="907">
        <v>36.254999999999995</v>
      </c>
      <c r="CA53" s="907">
        <v>36.39</v>
      </c>
      <c r="CB53" s="907">
        <v>36.534999999999997</v>
      </c>
      <c r="CC53" s="907">
        <v>36.67</v>
      </c>
      <c r="CD53" s="907">
        <v>36.805</v>
      </c>
      <c r="CE53" s="907">
        <v>36.94</v>
      </c>
      <c r="CF53" s="907">
        <v>37.075000000000003</v>
      </c>
      <c r="CG53" s="907">
        <v>37.209999999999994</v>
      </c>
      <c r="CH53" s="907">
        <v>37.344999999999999</v>
      </c>
      <c r="CI53" s="907">
        <v>37.475000000000001</v>
      </c>
      <c r="CJ53" s="907">
        <v>37.61</v>
      </c>
      <c r="CK53" s="907">
        <v>37.734999999999999</v>
      </c>
      <c r="CL53" s="907">
        <v>37.870000000000005</v>
      </c>
      <c r="CM53" s="907">
        <v>37.995000000000005</v>
      </c>
      <c r="CN53" s="907">
        <v>38.125</v>
      </c>
      <c r="CO53" s="907">
        <v>38.25</v>
      </c>
      <c r="CP53" s="907">
        <v>38.379999999999995</v>
      </c>
      <c r="CQ53" s="907">
        <v>38.5</v>
      </c>
      <c r="CR53" s="907">
        <v>38.625</v>
      </c>
      <c r="CS53" s="907">
        <v>38.75</v>
      </c>
      <c r="CT53" s="907">
        <v>38.875</v>
      </c>
      <c r="CU53" s="907">
        <v>38.995000000000005</v>
      </c>
      <c r="CV53" s="907">
        <v>39.120000000000005</v>
      </c>
      <c r="CW53" s="907">
        <v>39.234999999999999</v>
      </c>
      <c r="CX53" s="907">
        <v>39.36</v>
      </c>
      <c r="CY53" s="907">
        <v>39.475000000000001</v>
      </c>
      <c r="CZ53" s="907">
        <v>39.594999999999999</v>
      </c>
      <c r="DA53" s="907">
        <v>39.709999999999994</v>
      </c>
      <c r="DB53" s="907">
        <v>39.825000000000003</v>
      </c>
      <c r="DC53" s="907">
        <v>39.94</v>
      </c>
      <c r="DD53" s="907">
        <v>40.055</v>
      </c>
      <c r="DE53" s="907">
        <v>40.165000000000006</v>
      </c>
      <c r="DF53" s="907">
        <v>40.28</v>
      </c>
      <c r="DG53" s="907">
        <v>40.394999999999996</v>
      </c>
      <c r="DH53" s="907">
        <v>40.504999999999995</v>
      </c>
      <c r="DI53" s="907">
        <v>40.615000000000002</v>
      </c>
      <c r="DJ53" s="907">
        <v>40.72</v>
      </c>
      <c r="DK53" s="907">
        <v>40.835000000000001</v>
      </c>
      <c r="DL53" s="907">
        <v>40.94</v>
      </c>
      <c r="DM53" s="907">
        <v>41.05</v>
      </c>
      <c r="DN53" s="907">
        <v>41.15</v>
      </c>
      <c r="DO53" s="907">
        <v>41.255000000000003</v>
      </c>
      <c r="DP53" s="907">
        <v>41.36</v>
      </c>
      <c r="DQ53" s="907">
        <v>41.465000000000003</v>
      </c>
      <c r="DR53" s="907">
        <v>41.564999999999998</v>
      </c>
    </row>
    <row r="54" spans="1:122" s="127" customFormat="1" ht="12.75">
      <c r="A54" s="911">
        <v>52</v>
      </c>
      <c r="B54" s="907"/>
      <c r="C54" s="907"/>
      <c r="D54" s="907"/>
      <c r="E54" s="907"/>
      <c r="F54" s="907"/>
      <c r="G54" s="907"/>
      <c r="H54" s="907"/>
      <c r="I54" s="907"/>
      <c r="J54" s="907"/>
      <c r="K54" s="907"/>
      <c r="L54" s="907"/>
      <c r="M54" s="907"/>
      <c r="N54" s="907"/>
      <c r="O54" s="907"/>
      <c r="P54" s="907"/>
      <c r="Q54" s="907"/>
      <c r="R54" s="907"/>
      <c r="S54" s="907"/>
      <c r="T54" s="907"/>
      <c r="U54" s="907"/>
      <c r="V54" s="907"/>
      <c r="W54" s="907">
        <v>26.92</v>
      </c>
      <c r="X54" s="907">
        <v>27.130000000000003</v>
      </c>
      <c r="Y54" s="907">
        <v>27.28</v>
      </c>
      <c r="Z54" s="907">
        <v>27.5</v>
      </c>
      <c r="AA54" s="907">
        <v>27.68</v>
      </c>
      <c r="AB54" s="907">
        <v>27.855</v>
      </c>
      <c r="AC54" s="907">
        <v>27.97</v>
      </c>
      <c r="AD54" s="907">
        <v>28.015000000000001</v>
      </c>
      <c r="AE54" s="907">
        <v>28.184999999999999</v>
      </c>
      <c r="AF54" s="907">
        <v>28.38</v>
      </c>
      <c r="AG54" s="907">
        <v>28.594999999999999</v>
      </c>
      <c r="AH54" s="907">
        <v>28.82</v>
      </c>
      <c r="AI54" s="907">
        <v>29.04</v>
      </c>
      <c r="AJ54" s="907">
        <v>29.3</v>
      </c>
      <c r="AK54" s="907">
        <v>29.555</v>
      </c>
      <c r="AL54" s="907">
        <v>29.85</v>
      </c>
      <c r="AM54" s="907">
        <v>30.119999999999997</v>
      </c>
      <c r="AN54" s="907">
        <v>30.32</v>
      </c>
      <c r="AO54" s="907">
        <v>30.48</v>
      </c>
      <c r="AP54" s="907">
        <v>30.63</v>
      </c>
      <c r="AQ54" s="907">
        <v>30.740000000000002</v>
      </c>
      <c r="AR54" s="907">
        <v>30.875</v>
      </c>
      <c r="AS54" s="907">
        <v>30.934999999999999</v>
      </c>
      <c r="AT54" s="907">
        <v>30.97</v>
      </c>
      <c r="AU54" s="907">
        <v>31.045000000000002</v>
      </c>
      <c r="AV54" s="907">
        <v>31.114999999999998</v>
      </c>
      <c r="AW54" s="907">
        <v>31.325000000000003</v>
      </c>
      <c r="AX54" s="907">
        <v>31.41</v>
      </c>
      <c r="AY54" s="907">
        <v>31.524999999999999</v>
      </c>
      <c r="AZ54" s="907">
        <v>31.64</v>
      </c>
      <c r="BA54" s="907">
        <v>31.745000000000001</v>
      </c>
      <c r="BB54" s="907">
        <v>31.86</v>
      </c>
      <c r="BC54" s="907">
        <v>31.984999999999999</v>
      </c>
      <c r="BD54" s="907">
        <v>32.105000000000004</v>
      </c>
      <c r="BE54" s="907">
        <v>32.244999999999997</v>
      </c>
      <c r="BF54" s="907">
        <v>32.39</v>
      </c>
      <c r="BG54" s="907">
        <v>32.534999999999997</v>
      </c>
      <c r="BH54" s="907">
        <v>32.700000000000003</v>
      </c>
      <c r="BI54" s="907">
        <v>32.840000000000003</v>
      </c>
      <c r="BJ54" s="907">
        <v>32.99</v>
      </c>
      <c r="BK54" s="907">
        <v>33.14</v>
      </c>
      <c r="BL54" s="907">
        <v>33.31</v>
      </c>
      <c r="BM54" s="907">
        <v>33.46</v>
      </c>
      <c r="BN54" s="907">
        <v>33.619999999999997</v>
      </c>
      <c r="BO54" s="907">
        <v>33.765000000000001</v>
      </c>
      <c r="BP54" s="907">
        <v>33.914999999999999</v>
      </c>
      <c r="BQ54" s="907">
        <v>34.06</v>
      </c>
      <c r="BR54" s="907">
        <v>34.204999999999998</v>
      </c>
      <c r="BS54" s="907">
        <v>34.35</v>
      </c>
      <c r="BT54" s="908">
        <v>34.495000000000005</v>
      </c>
      <c r="BU54" s="907">
        <v>34.635000000000005</v>
      </c>
      <c r="BV54" s="907">
        <v>34.774999999999999</v>
      </c>
      <c r="BW54" s="907">
        <v>34.92</v>
      </c>
      <c r="BX54" s="907">
        <v>35.06</v>
      </c>
      <c r="BY54" s="907">
        <v>35.200000000000003</v>
      </c>
      <c r="BZ54" s="907">
        <v>35.335000000000001</v>
      </c>
      <c r="CA54" s="907">
        <v>35.475000000000001</v>
      </c>
      <c r="CB54" s="907">
        <v>35.61</v>
      </c>
      <c r="CC54" s="907">
        <v>35.745000000000005</v>
      </c>
      <c r="CD54" s="907">
        <v>35.879999999999995</v>
      </c>
      <c r="CE54" s="907">
        <v>36.015000000000001</v>
      </c>
      <c r="CF54" s="907">
        <v>36.150000000000006</v>
      </c>
      <c r="CG54" s="907">
        <v>36.284999999999997</v>
      </c>
      <c r="CH54" s="907">
        <v>36.42</v>
      </c>
      <c r="CI54" s="907">
        <v>36.549999999999997</v>
      </c>
      <c r="CJ54" s="907">
        <v>36.68</v>
      </c>
      <c r="CK54" s="907">
        <v>36.81</v>
      </c>
      <c r="CL54" s="907">
        <v>36.935000000000002</v>
      </c>
      <c r="CM54" s="907">
        <v>37.06</v>
      </c>
      <c r="CN54" s="907">
        <v>37.195</v>
      </c>
      <c r="CO54" s="907">
        <v>37.32</v>
      </c>
      <c r="CP54" s="907">
        <v>37.445</v>
      </c>
      <c r="CQ54" s="907">
        <v>37.564999999999998</v>
      </c>
      <c r="CR54" s="907">
        <v>37.69</v>
      </c>
      <c r="CS54" s="907">
        <v>37.814999999999998</v>
      </c>
      <c r="CT54" s="907">
        <v>37.935000000000002</v>
      </c>
      <c r="CU54" s="907">
        <v>38.055</v>
      </c>
      <c r="CV54" s="907">
        <v>38.174999999999997</v>
      </c>
      <c r="CW54" s="907">
        <v>38.299999999999997</v>
      </c>
      <c r="CX54" s="907">
        <v>38.414999999999999</v>
      </c>
      <c r="CY54" s="907">
        <v>38.534999999999997</v>
      </c>
      <c r="CZ54" s="907">
        <v>38.650000000000006</v>
      </c>
      <c r="DA54" s="907">
        <v>38.765000000000001</v>
      </c>
      <c r="DB54" s="907">
        <v>38.879999999999995</v>
      </c>
      <c r="DC54" s="907">
        <v>38.989999999999995</v>
      </c>
      <c r="DD54" s="907">
        <v>39.105000000000004</v>
      </c>
      <c r="DE54" s="907">
        <v>39.22</v>
      </c>
      <c r="DF54" s="907">
        <v>39.33</v>
      </c>
      <c r="DG54" s="907">
        <v>39.445</v>
      </c>
      <c r="DH54" s="907">
        <v>39.555</v>
      </c>
      <c r="DI54" s="907">
        <v>39.659999999999997</v>
      </c>
      <c r="DJ54" s="907">
        <v>39.769999999999996</v>
      </c>
      <c r="DK54" s="907">
        <v>39.875</v>
      </c>
      <c r="DL54" s="907">
        <v>39.984999999999999</v>
      </c>
      <c r="DM54" s="907">
        <v>40.090000000000003</v>
      </c>
      <c r="DN54" s="907">
        <v>40.195</v>
      </c>
      <c r="DO54" s="907">
        <v>40.299999999999997</v>
      </c>
      <c r="DP54" s="907">
        <v>40.405000000000001</v>
      </c>
      <c r="DQ54" s="907">
        <v>40.510000000000005</v>
      </c>
      <c r="DR54" s="907">
        <v>40.605000000000004</v>
      </c>
    </row>
    <row r="55" spans="1:122" s="127" customFormat="1" ht="12.75">
      <c r="A55" s="911">
        <v>53</v>
      </c>
      <c r="B55" s="907"/>
      <c r="C55" s="907"/>
      <c r="D55" s="907"/>
      <c r="E55" s="907"/>
      <c r="F55" s="907"/>
      <c r="G55" s="907"/>
      <c r="H55" s="907"/>
      <c r="I55" s="907"/>
      <c r="J55" s="907"/>
      <c r="K55" s="907"/>
      <c r="L55" s="907"/>
      <c r="M55" s="907"/>
      <c r="N55" s="907"/>
      <c r="O55" s="907"/>
      <c r="P55" s="907"/>
      <c r="Q55" s="907"/>
      <c r="R55" s="907"/>
      <c r="S55" s="907"/>
      <c r="T55" s="907"/>
      <c r="U55" s="907"/>
      <c r="V55" s="907"/>
      <c r="W55" s="907">
        <v>26.1</v>
      </c>
      <c r="X55" s="907">
        <v>26.314999999999998</v>
      </c>
      <c r="Y55" s="907">
        <v>26.46</v>
      </c>
      <c r="Z55" s="907">
        <v>26.68</v>
      </c>
      <c r="AA55" s="907">
        <v>26.85</v>
      </c>
      <c r="AB55" s="907">
        <v>27.03</v>
      </c>
      <c r="AC55" s="907">
        <v>27.15</v>
      </c>
      <c r="AD55" s="907">
        <v>27.189999999999998</v>
      </c>
      <c r="AE55" s="907">
        <v>27.36</v>
      </c>
      <c r="AF55" s="907">
        <v>27.555</v>
      </c>
      <c r="AG55" s="907">
        <v>27.770000000000003</v>
      </c>
      <c r="AH55" s="907">
        <v>27.994999999999997</v>
      </c>
      <c r="AI55" s="907">
        <v>28.204999999999998</v>
      </c>
      <c r="AJ55" s="907">
        <v>28.465</v>
      </c>
      <c r="AK55" s="907">
        <v>28.72</v>
      </c>
      <c r="AL55" s="907">
        <v>29.009999999999998</v>
      </c>
      <c r="AM55" s="907">
        <v>29.27</v>
      </c>
      <c r="AN55" s="907">
        <v>29.484999999999999</v>
      </c>
      <c r="AO55" s="907">
        <v>29.634999999999998</v>
      </c>
      <c r="AP55" s="907">
        <v>29.779999999999998</v>
      </c>
      <c r="AQ55" s="907">
        <v>29.895</v>
      </c>
      <c r="AR55" s="907">
        <v>30.03</v>
      </c>
      <c r="AS55" s="907">
        <v>30.085000000000001</v>
      </c>
      <c r="AT55" s="907">
        <v>30.119999999999997</v>
      </c>
      <c r="AU55" s="907">
        <v>30.19</v>
      </c>
      <c r="AV55" s="907">
        <v>30.254999999999999</v>
      </c>
      <c r="AW55" s="907">
        <v>30.465000000000003</v>
      </c>
      <c r="AX55" s="907">
        <v>30.544999999999998</v>
      </c>
      <c r="AY55" s="907">
        <v>30.664999999999999</v>
      </c>
      <c r="AZ55" s="907">
        <v>30.775000000000002</v>
      </c>
      <c r="BA55" s="907">
        <v>30.875</v>
      </c>
      <c r="BB55" s="907">
        <v>30.995000000000001</v>
      </c>
      <c r="BC55" s="907">
        <v>31.119999999999997</v>
      </c>
      <c r="BD55" s="907">
        <v>31.240000000000002</v>
      </c>
      <c r="BE55" s="907">
        <v>31.375</v>
      </c>
      <c r="BF55" s="907">
        <v>31.515000000000001</v>
      </c>
      <c r="BG55" s="907">
        <v>31.655000000000001</v>
      </c>
      <c r="BH55" s="907">
        <v>31.824999999999999</v>
      </c>
      <c r="BI55" s="907">
        <v>31.96</v>
      </c>
      <c r="BJ55" s="907">
        <v>32.11</v>
      </c>
      <c r="BK55" s="907">
        <v>32.255000000000003</v>
      </c>
      <c r="BL55" s="907">
        <v>32.424999999999997</v>
      </c>
      <c r="BM55" s="907">
        <v>32.57</v>
      </c>
      <c r="BN55" s="907">
        <v>32.725000000000001</v>
      </c>
      <c r="BO55" s="907">
        <v>32.869999999999997</v>
      </c>
      <c r="BP55" s="907">
        <v>33.015000000000001</v>
      </c>
      <c r="BQ55" s="907">
        <v>33.159999999999997</v>
      </c>
      <c r="BR55" s="907">
        <v>33.305</v>
      </c>
      <c r="BS55" s="907">
        <v>33.450000000000003</v>
      </c>
      <c r="BT55" s="908">
        <v>33.590000000000003</v>
      </c>
      <c r="BU55" s="907">
        <v>33.730000000000004</v>
      </c>
      <c r="BV55" s="907">
        <v>33.875</v>
      </c>
      <c r="BW55" s="907">
        <v>34.010000000000005</v>
      </c>
      <c r="BX55" s="907">
        <v>34.15</v>
      </c>
      <c r="BY55" s="907">
        <v>34.29</v>
      </c>
      <c r="BZ55" s="907">
        <v>34.424999999999997</v>
      </c>
      <c r="CA55" s="907">
        <v>34.564999999999998</v>
      </c>
      <c r="CB55" s="907">
        <v>34.700000000000003</v>
      </c>
      <c r="CC55" s="907">
        <v>34.834999999999994</v>
      </c>
      <c r="CD55" s="907">
        <v>34.97</v>
      </c>
      <c r="CE55" s="907">
        <v>35.099999999999994</v>
      </c>
      <c r="CF55" s="907">
        <v>35.230000000000004</v>
      </c>
      <c r="CG55" s="907">
        <v>35.365000000000002</v>
      </c>
      <c r="CH55" s="907">
        <v>35.495000000000005</v>
      </c>
      <c r="CI55" s="907">
        <v>35.625</v>
      </c>
      <c r="CJ55" s="907">
        <v>35.754999999999995</v>
      </c>
      <c r="CK55" s="907">
        <v>35.880000000000003</v>
      </c>
      <c r="CL55" s="907">
        <v>36.010000000000005</v>
      </c>
      <c r="CM55" s="907">
        <v>36.135000000000005</v>
      </c>
      <c r="CN55" s="907">
        <v>36.260000000000005</v>
      </c>
      <c r="CO55" s="907">
        <v>36.384999999999998</v>
      </c>
      <c r="CP55" s="907">
        <v>36.51</v>
      </c>
      <c r="CQ55" s="907">
        <v>36.634999999999998</v>
      </c>
      <c r="CR55" s="907">
        <v>36.754999999999995</v>
      </c>
      <c r="CS55" s="907">
        <v>36.879999999999995</v>
      </c>
      <c r="CT55" s="907">
        <v>37</v>
      </c>
      <c r="CU55" s="907">
        <v>37.119999999999997</v>
      </c>
      <c r="CV55" s="907">
        <v>37.239999999999995</v>
      </c>
      <c r="CW55" s="907">
        <v>37.355000000000004</v>
      </c>
      <c r="CX55" s="907">
        <v>37.474999999999994</v>
      </c>
      <c r="CY55" s="907">
        <v>37.590000000000003</v>
      </c>
      <c r="CZ55" s="907">
        <v>37.704999999999998</v>
      </c>
      <c r="DA55" s="907">
        <v>37.825000000000003</v>
      </c>
      <c r="DB55" s="907">
        <v>37.94</v>
      </c>
      <c r="DC55" s="907">
        <v>38.049999999999997</v>
      </c>
      <c r="DD55" s="907">
        <v>38.164999999999999</v>
      </c>
      <c r="DE55" s="907">
        <v>38.275000000000006</v>
      </c>
      <c r="DF55" s="907">
        <v>38.385000000000005</v>
      </c>
      <c r="DG55" s="907">
        <v>38.494999999999997</v>
      </c>
      <c r="DH55" s="907">
        <v>38.605000000000004</v>
      </c>
      <c r="DI55" s="907">
        <v>38.715000000000003</v>
      </c>
      <c r="DJ55" s="907">
        <v>38.825000000000003</v>
      </c>
      <c r="DK55" s="907">
        <v>38.93</v>
      </c>
      <c r="DL55" s="907">
        <v>39.03</v>
      </c>
      <c r="DM55" s="907">
        <v>39.14</v>
      </c>
      <c r="DN55" s="907">
        <v>39.245000000000005</v>
      </c>
      <c r="DO55" s="907">
        <v>39.344999999999999</v>
      </c>
      <c r="DP55" s="907">
        <v>39.450000000000003</v>
      </c>
      <c r="DQ55" s="907">
        <v>39.549999999999997</v>
      </c>
      <c r="DR55" s="907">
        <v>39.655000000000001</v>
      </c>
    </row>
    <row r="56" spans="1:122" s="127" customFormat="1" ht="12.75">
      <c r="A56" s="911">
        <v>54</v>
      </c>
      <c r="B56" s="907"/>
      <c r="C56" s="907"/>
      <c r="D56" s="907"/>
      <c r="E56" s="907"/>
      <c r="F56" s="907"/>
      <c r="G56" s="907"/>
      <c r="H56" s="907"/>
      <c r="I56" s="907"/>
      <c r="J56" s="907"/>
      <c r="K56" s="907"/>
      <c r="L56" s="907"/>
      <c r="M56" s="907"/>
      <c r="N56" s="907"/>
      <c r="O56" s="907"/>
      <c r="P56" s="907"/>
      <c r="Q56" s="907"/>
      <c r="R56" s="907"/>
      <c r="S56" s="907"/>
      <c r="T56" s="907"/>
      <c r="U56" s="907"/>
      <c r="V56" s="907"/>
      <c r="W56" s="907">
        <v>25.29</v>
      </c>
      <c r="X56" s="907">
        <v>25.505000000000003</v>
      </c>
      <c r="Y56" s="907">
        <v>25.65</v>
      </c>
      <c r="Z56" s="907">
        <v>25.87</v>
      </c>
      <c r="AA56" s="907">
        <v>26.04</v>
      </c>
      <c r="AB56" s="907">
        <v>26.215</v>
      </c>
      <c r="AC56" s="907">
        <v>26.335000000000001</v>
      </c>
      <c r="AD56" s="907">
        <v>26.375</v>
      </c>
      <c r="AE56" s="907">
        <v>26.545000000000002</v>
      </c>
      <c r="AF56" s="907">
        <v>26.740000000000002</v>
      </c>
      <c r="AG56" s="907">
        <v>26.945</v>
      </c>
      <c r="AH56" s="907">
        <v>27.17</v>
      </c>
      <c r="AI56" s="907">
        <v>27.38</v>
      </c>
      <c r="AJ56" s="907">
        <v>27.64</v>
      </c>
      <c r="AK56" s="907">
        <v>27.89</v>
      </c>
      <c r="AL56" s="907">
        <v>28.18</v>
      </c>
      <c r="AM56" s="907">
        <v>28.445</v>
      </c>
      <c r="AN56" s="907">
        <v>28.65</v>
      </c>
      <c r="AO56" s="907">
        <v>28.8</v>
      </c>
      <c r="AP56" s="907">
        <v>28.934999999999999</v>
      </c>
      <c r="AQ56" s="907">
        <v>29.049999999999997</v>
      </c>
      <c r="AR56" s="907">
        <v>29.185000000000002</v>
      </c>
      <c r="AS56" s="907">
        <v>29.234999999999999</v>
      </c>
      <c r="AT56" s="907">
        <v>29.270000000000003</v>
      </c>
      <c r="AU56" s="907">
        <v>29.335000000000001</v>
      </c>
      <c r="AV56" s="907">
        <v>29.405000000000001</v>
      </c>
      <c r="AW56" s="907">
        <v>29.604999999999997</v>
      </c>
      <c r="AX56" s="907">
        <v>29.685000000000002</v>
      </c>
      <c r="AY56" s="907">
        <v>29.805</v>
      </c>
      <c r="AZ56" s="907">
        <v>29.914999999999999</v>
      </c>
      <c r="BA56" s="907">
        <v>30.020000000000003</v>
      </c>
      <c r="BB56" s="907">
        <v>30.130000000000003</v>
      </c>
      <c r="BC56" s="907">
        <v>30.255000000000003</v>
      </c>
      <c r="BD56" s="907">
        <v>30.369999999999997</v>
      </c>
      <c r="BE56" s="907">
        <v>30.505000000000003</v>
      </c>
      <c r="BF56" s="907">
        <v>30.645</v>
      </c>
      <c r="BG56" s="907">
        <v>30.79</v>
      </c>
      <c r="BH56" s="907">
        <v>30.95</v>
      </c>
      <c r="BI56" s="907">
        <v>31.085000000000001</v>
      </c>
      <c r="BJ56" s="907">
        <v>31.240000000000002</v>
      </c>
      <c r="BK56" s="907">
        <v>31.380000000000003</v>
      </c>
      <c r="BL56" s="907">
        <v>31.545000000000002</v>
      </c>
      <c r="BM56" s="907">
        <v>31.684999999999999</v>
      </c>
      <c r="BN56" s="907">
        <v>31.84</v>
      </c>
      <c r="BO56" s="907">
        <v>31.979999999999997</v>
      </c>
      <c r="BP56" s="907">
        <v>32.125</v>
      </c>
      <c r="BQ56" s="907">
        <v>32.265000000000001</v>
      </c>
      <c r="BR56" s="907">
        <v>32.409999999999997</v>
      </c>
      <c r="BS56" s="907">
        <v>32.555</v>
      </c>
      <c r="BT56" s="908">
        <v>32.69</v>
      </c>
      <c r="BU56" s="907">
        <v>32.835000000000001</v>
      </c>
      <c r="BV56" s="907">
        <v>32.97</v>
      </c>
      <c r="BW56" s="907">
        <v>33.11</v>
      </c>
      <c r="BX56" s="907">
        <v>33.244999999999997</v>
      </c>
      <c r="BY56" s="907">
        <v>33.385000000000005</v>
      </c>
      <c r="BZ56" s="907">
        <v>33.524999999999999</v>
      </c>
      <c r="CA56" s="907">
        <v>33.655000000000001</v>
      </c>
      <c r="CB56" s="907">
        <v>33.79</v>
      </c>
      <c r="CC56" s="907">
        <v>33.924999999999997</v>
      </c>
      <c r="CD56" s="907">
        <v>34.06</v>
      </c>
      <c r="CE56" s="907">
        <v>34.185000000000002</v>
      </c>
      <c r="CF56" s="907">
        <v>34.32</v>
      </c>
      <c r="CG56" s="907">
        <v>34.450000000000003</v>
      </c>
      <c r="CH56" s="907">
        <v>34.58</v>
      </c>
      <c r="CI56" s="907">
        <v>34.71</v>
      </c>
      <c r="CJ56" s="907">
        <v>34.835000000000001</v>
      </c>
      <c r="CK56" s="907">
        <v>34.965000000000003</v>
      </c>
      <c r="CL56" s="907">
        <v>35.090000000000003</v>
      </c>
      <c r="CM56" s="907">
        <v>35.215000000000003</v>
      </c>
      <c r="CN56" s="907">
        <v>35.340000000000003</v>
      </c>
      <c r="CO56" s="907">
        <v>35.465000000000003</v>
      </c>
      <c r="CP56" s="907">
        <v>35.585000000000001</v>
      </c>
      <c r="CQ56" s="907">
        <v>35.71</v>
      </c>
      <c r="CR56" s="907">
        <v>35.83</v>
      </c>
      <c r="CS56" s="907">
        <v>35.950000000000003</v>
      </c>
      <c r="CT56" s="907">
        <v>36.07</v>
      </c>
      <c r="CU56" s="907">
        <v>36.19</v>
      </c>
      <c r="CV56" s="907">
        <v>36.305</v>
      </c>
      <c r="CW56" s="907">
        <v>36.42</v>
      </c>
      <c r="CX56" s="907">
        <v>36.540000000000006</v>
      </c>
      <c r="CY56" s="907">
        <v>36.655000000000001</v>
      </c>
      <c r="CZ56" s="907">
        <v>36.769999999999996</v>
      </c>
      <c r="DA56" s="907">
        <v>36.884999999999998</v>
      </c>
      <c r="DB56" s="907">
        <v>36.995000000000005</v>
      </c>
      <c r="DC56" s="907">
        <v>37.11</v>
      </c>
      <c r="DD56" s="907">
        <v>37.22</v>
      </c>
      <c r="DE56" s="907">
        <v>37.334999999999994</v>
      </c>
      <c r="DF56" s="907">
        <v>37.445</v>
      </c>
      <c r="DG56" s="907">
        <v>37.549999999999997</v>
      </c>
      <c r="DH56" s="907">
        <v>37.659999999999997</v>
      </c>
      <c r="DI56" s="907">
        <v>37.765000000000001</v>
      </c>
      <c r="DJ56" s="907">
        <v>37.875</v>
      </c>
      <c r="DK56" s="907">
        <v>37.980000000000004</v>
      </c>
      <c r="DL56" s="907">
        <v>38.085000000000001</v>
      </c>
      <c r="DM56" s="907">
        <v>38.19</v>
      </c>
      <c r="DN56" s="907">
        <v>38.295000000000002</v>
      </c>
      <c r="DO56" s="907">
        <v>38.400000000000006</v>
      </c>
      <c r="DP56" s="907">
        <v>38.5</v>
      </c>
      <c r="DQ56" s="907">
        <v>38.6</v>
      </c>
      <c r="DR56" s="907">
        <v>38.700000000000003</v>
      </c>
    </row>
    <row r="57" spans="1:122" s="127" customFormat="1" ht="12.75">
      <c r="A57" s="911">
        <v>55</v>
      </c>
      <c r="B57" s="907"/>
      <c r="C57" s="907"/>
      <c r="D57" s="907"/>
      <c r="E57" s="907"/>
      <c r="F57" s="907"/>
      <c r="G57" s="907"/>
      <c r="H57" s="907"/>
      <c r="I57" s="907"/>
      <c r="J57" s="907"/>
      <c r="K57" s="907"/>
      <c r="L57" s="907"/>
      <c r="M57" s="907"/>
      <c r="N57" s="907"/>
      <c r="O57" s="907"/>
      <c r="P57" s="907"/>
      <c r="Q57" s="907"/>
      <c r="R57" s="907"/>
      <c r="S57" s="907"/>
      <c r="T57" s="907"/>
      <c r="U57" s="907"/>
      <c r="V57" s="907"/>
      <c r="W57" s="907">
        <v>24.490000000000002</v>
      </c>
      <c r="X57" s="907">
        <v>24.7</v>
      </c>
      <c r="Y57" s="907">
        <v>24.84</v>
      </c>
      <c r="Z57" s="907">
        <v>25.060000000000002</v>
      </c>
      <c r="AA57" s="907">
        <v>25.225000000000001</v>
      </c>
      <c r="AB57" s="907">
        <v>25.41</v>
      </c>
      <c r="AC57" s="907">
        <v>25.52</v>
      </c>
      <c r="AD57" s="907">
        <v>25.564999999999998</v>
      </c>
      <c r="AE57" s="907">
        <v>25.734999999999999</v>
      </c>
      <c r="AF57" s="907">
        <v>25.924999999999997</v>
      </c>
      <c r="AG57" s="907">
        <v>26.14</v>
      </c>
      <c r="AH57" s="907">
        <v>26.355</v>
      </c>
      <c r="AI57" s="907">
        <v>26.565000000000001</v>
      </c>
      <c r="AJ57" s="907">
        <v>26.814999999999998</v>
      </c>
      <c r="AK57" s="907">
        <v>27.07</v>
      </c>
      <c r="AL57" s="907">
        <v>27.355</v>
      </c>
      <c r="AM57" s="907">
        <v>27.619999999999997</v>
      </c>
      <c r="AN57" s="907">
        <v>27.82</v>
      </c>
      <c r="AO57" s="907">
        <v>27.97</v>
      </c>
      <c r="AP57" s="907">
        <v>28.1</v>
      </c>
      <c r="AQ57" s="907">
        <v>28.22</v>
      </c>
      <c r="AR57" s="907">
        <v>28.344999999999999</v>
      </c>
      <c r="AS57" s="907">
        <v>28.39</v>
      </c>
      <c r="AT57" s="907">
        <v>28.43</v>
      </c>
      <c r="AU57" s="907">
        <v>28.494999999999997</v>
      </c>
      <c r="AV57" s="907">
        <v>28.555</v>
      </c>
      <c r="AW57" s="907">
        <v>28.759999999999998</v>
      </c>
      <c r="AX57" s="907">
        <v>28.835000000000001</v>
      </c>
      <c r="AY57" s="907">
        <v>28.95</v>
      </c>
      <c r="AZ57" s="907">
        <v>29.060000000000002</v>
      </c>
      <c r="BA57" s="907">
        <v>29.16</v>
      </c>
      <c r="BB57" s="907">
        <v>29.265000000000001</v>
      </c>
      <c r="BC57" s="907">
        <v>29.39</v>
      </c>
      <c r="BD57" s="907">
        <v>29.509999999999998</v>
      </c>
      <c r="BE57" s="907">
        <v>29.645</v>
      </c>
      <c r="BF57" s="907">
        <v>29.79</v>
      </c>
      <c r="BG57" s="907">
        <v>29.925000000000001</v>
      </c>
      <c r="BH57" s="907">
        <v>30.090000000000003</v>
      </c>
      <c r="BI57" s="907">
        <v>30.22</v>
      </c>
      <c r="BJ57" s="907">
        <v>30.37</v>
      </c>
      <c r="BK57" s="907">
        <v>30.515000000000001</v>
      </c>
      <c r="BL57" s="907">
        <v>30.664999999999999</v>
      </c>
      <c r="BM57" s="907">
        <v>30.814999999999998</v>
      </c>
      <c r="BN57" s="907">
        <v>30.96</v>
      </c>
      <c r="BO57" s="907">
        <v>31.1</v>
      </c>
      <c r="BP57" s="907">
        <v>31.240000000000002</v>
      </c>
      <c r="BQ57" s="907">
        <v>31.384999999999998</v>
      </c>
      <c r="BR57" s="907">
        <v>31.524999999999999</v>
      </c>
      <c r="BS57" s="907">
        <v>31.659999999999997</v>
      </c>
      <c r="BT57" s="908">
        <v>31.805</v>
      </c>
      <c r="BU57" s="907">
        <v>31.939999999999998</v>
      </c>
      <c r="BV57" s="907">
        <v>32.08</v>
      </c>
      <c r="BW57" s="907">
        <v>32.215000000000003</v>
      </c>
      <c r="BX57" s="907">
        <v>32.35</v>
      </c>
      <c r="BY57" s="907">
        <v>32.484999999999999</v>
      </c>
      <c r="BZ57" s="907">
        <v>32.619999999999997</v>
      </c>
      <c r="CA57" s="907">
        <v>32.755000000000003</v>
      </c>
      <c r="CB57" s="907">
        <v>32.884999999999998</v>
      </c>
      <c r="CC57" s="907">
        <v>33.019999999999996</v>
      </c>
      <c r="CD57" s="907">
        <v>33.15</v>
      </c>
      <c r="CE57" s="907">
        <v>33.284999999999997</v>
      </c>
      <c r="CF57" s="907">
        <v>33.409999999999997</v>
      </c>
      <c r="CG57" s="907">
        <v>33.54</v>
      </c>
      <c r="CH57" s="907">
        <v>33.67</v>
      </c>
      <c r="CI57" s="907">
        <v>33.799999999999997</v>
      </c>
      <c r="CJ57" s="907">
        <v>33.924999999999997</v>
      </c>
      <c r="CK57" s="907">
        <v>34.049999999999997</v>
      </c>
      <c r="CL57" s="907">
        <v>34.174999999999997</v>
      </c>
      <c r="CM57" s="907">
        <v>34.295000000000002</v>
      </c>
      <c r="CN57" s="907">
        <v>34.42</v>
      </c>
      <c r="CO57" s="907">
        <v>34.545000000000002</v>
      </c>
      <c r="CP57" s="907">
        <v>34.665000000000006</v>
      </c>
      <c r="CQ57" s="907">
        <v>34.784999999999997</v>
      </c>
      <c r="CR57" s="907">
        <v>34.905000000000001</v>
      </c>
      <c r="CS57" s="907">
        <v>35.025000000000006</v>
      </c>
      <c r="CT57" s="907">
        <v>35.145000000000003</v>
      </c>
      <c r="CU57" s="907">
        <v>35.26</v>
      </c>
      <c r="CV57" s="907">
        <v>35.375</v>
      </c>
      <c r="CW57" s="907">
        <v>35.494999999999997</v>
      </c>
      <c r="CX57" s="907">
        <v>35.61</v>
      </c>
      <c r="CY57" s="907">
        <v>35.725000000000001</v>
      </c>
      <c r="CZ57" s="907">
        <v>35.840000000000003</v>
      </c>
      <c r="DA57" s="907">
        <v>35.950000000000003</v>
      </c>
      <c r="DB57" s="907">
        <v>36.064999999999998</v>
      </c>
      <c r="DC57" s="907">
        <v>36.174999999999997</v>
      </c>
      <c r="DD57" s="907">
        <v>36.284999999999997</v>
      </c>
      <c r="DE57" s="907">
        <v>36.400000000000006</v>
      </c>
      <c r="DF57" s="907">
        <v>36.504999999999995</v>
      </c>
      <c r="DG57" s="907">
        <v>36.614999999999995</v>
      </c>
      <c r="DH57" s="907">
        <v>36.72</v>
      </c>
      <c r="DI57" s="907">
        <v>36.83</v>
      </c>
      <c r="DJ57" s="907">
        <v>36.93</v>
      </c>
      <c r="DK57" s="907">
        <v>37.034999999999997</v>
      </c>
      <c r="DL57" s="907">
        <v>37.14</v>
      </c>
      <c r="DM57" s="907">
        <v>37.245000000000005</v>
      </c>
      <c r="DN57" s="907">
        <v>37.349999999999994</v>
      </c>
      <c r="DO57" s="907">
        <v>37.450000000000003</v>
      </c>
      <c r="DP57" s="907">
        <v>37.555</v>
      </c>
      <c r="DQ57" s="907">
        <v>37.65</v>
      </c>
      <c r="DR57" s="907">
        <v>37.75</v>
      </c>
    </row>
    <row r="58" spans="1:122" s="127" customFormat="1" ht="12.75">
      <c r="A58" s="911">
        <v>56</v>
      </c>
      <c r="B58" s="907"/>
      <c r="C58" s="907"/>
      <c r="D58" s="907"/>
      <c r="E58" s="907"/>
      <c r="F58" s="907"/>
      <c r="G58" s="907"/>
      <c r="H58" s="907"/>
      <c r="I58" s="907"/>
      <c r="J58" s="907"/>
      <c r="K58" s="907"/>
      <c r="L58" s="907"/>
      <c r="M58" s="907"/>
      <c r="N58" s="907"/>
      <c r="O58" s="907"/>
      <c r="P58" s="907"/>
      <c r="Q58" s="907"/>
      <c r="R58" s="907"/>
      <c r="S58" s="907"/>
      <c r="T58" s="907"/>
      <c r="U58" s="907"/>
      <c r="V58" s="907"/>
      <c r="W58" s="907">
        <v>23.695</v>
      </c>
      <c r="X58" s="907">
        <v>23.9</v>
      </c>
      <c r="Y58" s="907">
        <v>24.04</v>
      </c>
      <c r="Z58" s="907">
        <v>24.265000000000001</v>
      </c>
      <c r="AA58" s="907">
        <v>24.425000000000001</v>
      </c>
      <c r="AB58" s="907">
        <v>24.61</v>
      </c>
      <c r="AC58" s="907">
        <v>24.725000000000001</v>
      </c>
      <c r="AD58" s="907">
        <v>24.77</v>
      </c>
      <c r="AE58" s="907">
        <v>24.935000000000002</v>
      </c>
      <c r="AF58" s="907">
        <v>25.125</v>
      </c>
      <c r="AG58" s="907">
        <v>25.33</v>
      </c>
      <c r="AH58" s="907">
        <v>25.549999999999997</v>
      </c>
      <c r="AI58" s="907">
        <v>25.754999999999999</v>
      </c>
      <c r="AJ58" s="907">
        <v>26.009999999999998</v>
      </c>
      <c r="AK58" s="907">
        <v>26.265000000000001</v>
      </c>
      <c r="AL58" s="907">
        <v>26.54</v>
      </c>
      <c r="AM58" s="907">
        <v>26.799999999999997</v>
      </c>
      <c r="AN58" s="907">
        <v>26.994999999999997</v>
      </c>
      <c r="AO58" s="907">
        <v>27.14</v>
      </c>
      <c r="AP58" s="907">
        <v>27.274999999999999</v>
      </c>
      <c r="AQ58" s="907">
        <v>27.384999999999998</v>
      </c>
      <c r="AR58" s="907">
        <v>27.5</v>
      </c>
      <c r="AS58" s="907">
        <v>27.55</v>
      </c>
      <c r="AT58" s="907">
        <v>27.594999999999999</v>
      </c>
      <c r="AU58" s="907">
        <v>27.65</v>
      </c>
      <c r="AV58" s="907">
        <v>27.715</v>
      </c>
      <c r="AW58" s="907">
        <v>27.914999999999999</v>
      </c>
      <c r="AX58" s="907">
        <v>27.984999999999999</v>
      </c>
      <c r="AY58" s="907">
        <v>28.105</v>
      </c>
      <c r="AZ58" s="907">
        <v>28.21</v>
      </c>
      <c r="BA58" s="907">
        <v>28.310000000000002</v>
      </c>
      <c r="BB58" s="907">
        <v>28.414999999999999</v>
      </c>
      <c r="BC58" s="907">
        <v>28.535</v>
      </c>
      <c r="BD58" s="907">
        <v>28.66</v>
      </c>
      <c r="BE58" s="907">
        <v>28.795000000000002</v>
      </c>
      <c r="BF58" s="907">
        <v>28.935000000000002</v>
      </c>
      <c r="BG58" s="907">
        <v>29.07</v>
      </c>
      <c r="BH58" s="907">
        <v>29.225000000000001</v>
      </c>
      <c r="BI58" s="907">
        <v>29.355</v>
      </c>
      <c r="BJ58" s="907">
        <v>29.515000000000001</v>
      </c>
      <c r="BK58" s="907">
        <v>29.645</v>
      </c>
      <c r="BL58" s="907">
        <v>29.805</v>
      </c>
      <c r="BM58" s="907">
        <v>29.945</v>
      </c>
      <c r="BN58" s="907">
        <v>30.085000000000001</v>
      </c>
      <c r="BO58" s="907">
        <v>30.225000000000001</v>
      </c>
      <c r="BP58" s="907">
        <v>30.364999999999998</v>
      </c>
      <c r="BQ58" s="907">
        <v>30.505000000000003</v>
      </c>
      <c r="BR58" s="907">
        <v>30.644999999999996</v>
      </c>
      <c r="BS58" s="907">
        <v>30.78</v>
      </c>
      <c r="BT58" s="908">
        <v>30.919999999999998</v>
      </c>
      <c r="BU58" s="907">
        <v>31.055</v>
      </c>
      <c r="BV58" s="907">
        <v>31.189999999999998</v>
      </c>
      <c r="BW58" s="907">
        <v>31.324999999999996</v>
      </c>
      <c r="BX58" s="907">
        <v>31.465</v>
      </c>
      <c r="BY58" s="907">
        <v>31.599999999999998</v>
      </c>
      <c r="BZ58" s="907">
        <v>31.73</v>
      </c>
      <c r="CA58" s="907">
        <v>31.86</v>
      </c>
      <c r="CB58" s="907">
        <v>31.99</v>
      </c>
      <c r="CC58" s="907">
        <v>32.125</v>
      </c>
      <c r="CD58" s="907">
        <v>32.255000000000003</v>
      </c>
      <c r="CE58" s="907">
        <v>32.379999999999995</v>
      </c>
      <c r="CF58" s="907">
        <v>32.51</v>
      </c>
      <c r="CG58" s="907">
        <v>32.635000000000005</v>
      </c>
      <c r="CH58" s="907">
        <v>32.760000000000005</v>
      </c>
      <c r="CI58" s="907">
        <v>32.89</v>
      </c>
      <c r="CJ58" s="907">
        <v>33.015000000000001</v>
      </c>
      <c r="CK58" s="907">
        <v>33.14</v>
      </c>
      <c r="CL58" s="907">
        <v>33.265000000000001</v>
      </c>
      <c r="CM58" s="907">
        <v>33.384999999999998</v>
      </c>
      <c r="CN58" s="907">
        <v>33.51</v>
      </c>
      <c r="CO58" s="907">
        <v>33.629999999999995</v>
      </c>
      <c r="CP58" s="907">
        <v>33.75</v>
      </c>
      <c r="CQ58" s="907">
        <v>33.869999999999997</v>
      </c>
      <c r="CR58" s="907">
        <v>33.989999999999995</v>
      </c>
      <c r="CS58" s="907">
        <v>34.105000000000004</v>
      </c>
      <c r="CT58" s="907">
        <v>34.224999999999994</v>
      </c>
      <c r="CU58" s="907">
        <v>34.340000000000003</v>
      </c>
      <c r="CV58" s="907">
        <v>34.454999999999998</v>
      </c>
      <c r="CW58" s="907">
        <v>34.57</v>
      </c>
      <c r="CX58" s="907">
        <v>34.685000000000002</v>
      </c>
      <c r="CY58" s="907">
        <v>34.799999999999997</v>
      </c>
      <c r="CZ58" s="907">
        <v>34.914999999999999</v>
      </c>
      <c r="DA58" s="907">
        <v>35.024999999999999</v>
      </c>
      <c r="DB58" s="907">
        <v>35.130000000000003</v>
      </c>
      <c r="DC58" s="907">
        <v>35.244999999999997</v>
      </c>
      <c r="DD58" s="907">
        <v>35.355000000000004</v>
      </c>
      <c r="DE58" s="907">
        <v>35.465000000000003</v>
      </c>
      <c r="DF58" s="907">
        <v>35.57</v>
      </c>
      <c r="DG58" s="907">
        <v>35.68</v>
      </c>
      <c r="DH58" s="907">
        <v>35.784999999999997</v>
      </c>
      <c r="DI58" s="907">
        <v>35.89</v>
      </c>
      <c r="DJ58" s="907">
        <v>35.994999999999997</v>
      </c>
      <c r="DK58" s="907">
        <v>36.1</v>
      </c>
      <c r="DL58" s="907">
        <v>36.200000000000003</v>
      </c>
      <c r="DM58" s="907">
        <v>36.305</v>
      </c>
      <c r="DN58" s="907">
        <v>36.405000000000001</v>
      </c>
      <c r="DO58" s="907">
        <v>36.504999999999995</v>
      </c>
      <c r="DP58" s="907">
        <v>36.61</v>
      </c>
      <c r="DQ58" s="907">
        <v>36.704999999999998</v>
      </c>
      <c r="DR58" s="907">
        <v>36.805</v>
      </c>
    </row>
    <row r="59" spans="1:122" s="127" customFormat="1" ht="12.75">
      <c r="A59" s="911">
        <v>57</v>
      </c>
      <c r="B59" s="907"/>
      <c r="C59" s="907"/>
      <c r="D59" s="907"/>
      <c r="E59" s="907"/>
      <c r="F59" s="907"/>
      <c r="G59" s="907"/>
      <c r="H59" s="907"/>
      <c r="I59" s="907"/>
      <c r="J59" s="907"/>
      <c r="K59" s="907"/>
      <c r="L59" s="907"/>
      <c r="M59" s="907"/>
      <c r="N59" s="907"/>
      <c r="O59" s="907"/>
      <c r="P59" s="907"/>
      <c r="Q59" s="907"/>
      <c r="R59" s="907"/>
      <c r="S59" s="907"/>
      <c r="T59" s="907"/>
      <c r="U59" s="907"/>
      <c r="V59" s="907"/>
      <c r="W59" s="907">
        <v>22.91</v>
      </c>
      <c r="X59" s="907">
        <v>23.115000000000002</v>
      </c>
      <c r="Y59" s="907">
        <v>23.259999999999998</v>
      </c>
      <c r="Z59" s="907">
        <v>23.48</v>
      </c>
      <c r="AA59" s="907">
        <v>23.64</v>
      </c>
      <c r="AB59" s="907">
        <v>23.824999999999999</v>
      </c>
      <c r="AC59" s="907">
        <v>23.935000000000002</v>
      </c>
      <c r="AD59" s="907">
        <v>23.98</v>
      </c>
      <c r="AE59" s="907">
        <v>24.145</v>
      </c>
      <c r="AF59" s="907">
        <v>24.335000000000001</v>
      </c>
      <c r="AG59" s="907">
        <v>24.535</v>
      </c>
      <c r="AH59" s="907">
        <v>24.755000000000003</v>
      </c>
      <c r="AI59" s="907">
        <v>24.965</v>
      </c>
      <c r="AJ59" s="907">
        <v>25.215</v>
      </c>
      <c r="AK59" s="907">
        <v>25.454999999999998</v>
      </c>
      <c r="AL59" s="907">
        <v>25.729999999999997</v>
      </c>
      <c r="AM59" s="907">
        <v>25.984999999999999</v>
      </c>
      <c r="AN59" s="907">
        <v>26.175000000000001</v>
      </c>
      <c r="AO59" s="907">
        <v>26.325000000000003</v>
      </c>
      <c r="AP59" s="907">
        <v>26.45</v>
      </c>
      <c r="AQ59" s="907">
        <v>26.560000000000002</v>
      </c>
      <c r="AR59" s="907">
        <v>26.664999999999999</v>
      </c>
      <c r="AS59" s="907">
        <v>26.72</v>
      </c>
      <c r="AT59" s="907">
        <v>26.755000000000003</v>
      </c>
      <c r="AU59" s="907">
        <v>26.814999999999998</v>
      </c>
      <c r="AV59" s="907">
        <v>26.88</v>
      </c>
      <c r="AW59" s="907">
        <v>27.07</v>
      </c>
      <c r="AX59" s="907">
        <v>27.145</v>
      </c>
      <c r="AY59" s="907">
        <v>27.259999999999998</v>
      </c>
      <c r="AZ59" s="907">
        <v>27.37</v>
      </c>
      <c r="BA59" s="907">
        <v>27.47</v>
      </c>
      <c r="BB59" s="907">
        <v>27.57</v>
      </c>
      <c r="BC59" s="907">
        <v>27.685000000000002</v>
      </c>
      <c r="BD59" s="907">
        <v>27.814999999999998</v>
      </c>
      <c r="BE59" s="907">
        <v>27.945</v>
      </c>
      <c r="BF59" s="907">
        <v>28.09</v>
      </c>
      <c r="BG59" s="907">
        <v>28.22</v>
      </c>
      <c r="BH59" s="907">
        <v>28.369999999999997</v>
      </c>
      <c r="BI59" s="907">
        <v>28.51</v>
      </c>
      <c r="BJ59" s="907">
        <v>28.66</v>
      </c>
      <c r="BK59" s="907">
        <v>28.795000000000002</v>
      </c>
      <c r="BL59" s="907">
        <v>28.939999999999998</v>
      </c>
      <c r="BM59" s="907">
        <v>29.08</v>
      </c>
      <c r="BN59" s="907">
        <v>29.22</v>
      </c>
      <c r="BO59" s="907">
        <v>29.36</v>
      </c>
      <c r="BP59" s="907">
        <v>29.5</v>
      </c>
      <c r="BQ59" s="907">
        <v>29.634999999999998</v>
      </c>
      <c r="BR59" s="907">
        <v>29.774999999999999</v>
      </c>
      <c r="BS59" s="907">
        <v>29.91</v>
      </c>
      <c r="BT59" s="908">
        <v>30.045000000000002</v>
      </c>
      <c r="BU59" s="907">
        <v>30.18</v>
      </c>
      <c r="BV59" s="907">
        <v>30.314999999999998</v>
      </c>
      <c r="BW59" s="907">
        <v>30.45</v>
      </c>
      <c r="BX59" s="907">
        <v>30.580000000000002</v>
      </c>
      <c r="BY59" s="907">
        <v>30.71</v>
      </c>
      <c r="BZ59" s="907">
        <v>30.84</v>
      </c>
      <c r="CA59" s="907">
        <v>30.974999999999998</v>
      </c>
      <c r="CB59" s="907">
        <v>31.105</v>
      </c>
      <c r="CC59" s="907">
        <v>31.23</v>
      </c>
      <c r="CD59" s="907">
        <v>31.36</v>
      </c>
      <c r="CE59" s="907">
        <v>31.484999999999999</v>
      </c>
      <c r="CF59" s="907">
        <v>31.615000000000002</v>
      </c>
      <c r="CG59" s="907">
        <v>31.740000000000002</v>
      </c>
      <c r="CH59" s="907">
        <v>31.865000000000002</v>
      </c>
      <c r="CI59" s="907">
        <v>31.990000000000002</v>
      </c>
      <c r="CJ59" s="907">
        <v>32.11</v>
      </c>
      <c r="CK59" s="907">
        <v>32.234999999999999</v>
      </c>
      <c r="CL59" s="907">
        <v>32.354999999999997</v>
      </c>
      <c r="CM59" s="907">
        <v>32.479999999999997</v>
      </c>
      <c r="CN59" s="907">
        <v>32.6</v>
      </c>
      <c r="CO59" s="907">
        <v>32.724999999999994</v>
      </c>
      <c r="CP59" s="907">
        <v>32.840000000000003</v>
      </c>
      <c r="CQ59" s="907">
        <v>32.96</v>
      </c>
      <c r="CR59" s="907">
        <v>33.075000000000003</v>
      </c>
      <c r="CS59" s="907">
        <v>33.195</v>
      </c>
      <c r="CT59" s="907">
        <v>33.31</v>
      </c>
      <c r="CU59" s="907">
        <v>33.42</v>
      </c>
      <c r="CV59" s="907">
        <v>33.534999999999997</v>
      </c>
      <c r="CW59" s="907">
        <v>33.655000000000001</v>
      </c>
      <c r="CX59" s="907">
        <v>33.765000000000001</v>
      </c>
      <c r="CY59" s="907">
        <v>33.879999999999995</v>
      </c>
      <c r="CZ59" s="907">
        <v>33.984999999999999</v>
      </c>
      <c r="DA59" s="907">
        <v>34.094999999999999</v>
      </c>
      <c r="DB59" s="907">
        <v>34.209999999999994</v>
      </c>
      <c r="DC59" s="907">
        <v>34.32</v>
      </c>
      <c r="DD59" s="907">
        <v>34.424999999999997</v>
      </c>
      <c r="DE59" s="907">
        <v>34.534999999999997</v>
      </c>
      <c r="DF59" s="907">
        <v>34.64</v>
      </c>
      <c r="DG59" s="907">
        <v>34.75</v>
      </c>
      <c r="DH59" s="907">
        <v>34.849999999999994</v>
      </c>
      <c r="DI59" s="907">
        <v>34.954999999999998</v>
      </c>
      <c r="DJ59" s="907">
        <v>35.06</v>
      </c>
      <c r="DK59" s="907">
        <v>35.164999999999999</v>
      </c>
      <c r="DL59" s="907">
        <v>35.265000000000001</v>
      </c>
      <c r="DM59" s="907">
        <v>35.370000000000005</v>
      </c>
      <c r="DN59" s="907">
        <v>35.47</v>
      </c>
      <c r="DO59" s="907">
        <v>35.564999999999998</v>
      </c>
      <c r="DP59" s="907">
        <v>35.664999999999999</v>
      </c>
      <c r="DQ59" s="907">
        <v>35.765000000000001</v>
      </c>
      <c r="DR59" s="907">
        <v>35.86</v>
      </c>
    </row>
    <row r="60" spans="1:122" s="127" customFormat="1" ht="12.75">
      <c r="A60" s="911">
        <v>58</v>
      </c>
      <c r="B60" s="907"/>
      <c r="C60" s="907"/>
      <c r="D60" s="907"/>
      <c r="E60" s="907"/>
      <c r="F60" s="907"/>
      <c r="G60" s="907"/>
      <c r="H60" s="907"/>
      <c r="I60" s="907"/>
      <c r="J60" s="907"/>
      <c r="K60" s="907"/>
      <c r="L60" s="907"/>
      <c r="M60" s="907"/>
      <c r="N60" s="907"/>
      <c r="O60" s="907"/>
      <c r="P60" s="907"/>
      <c r="Q60" s="907"/>
      <c r="R60" s="907"/>
      <c r="S60" s="907"/>
      <c r="T60" s="907"/>
      <c r="U60" s="907"/>
      <c r="V60" s="907"/>
      <c r="W60" s="907">
        <v>22.134999999999998</v>
      </c>
      <c r="X60" s="907">
        <v>22.34</v>
      </c>
      <c r="Y60" s="907">
        <v>22.484999999999999</v>
      </c>
      <c r="Z60" s="907">
        <v>22.7</v>
      </c>
      <c r="AA60" s="907">
        <v>22.86</v>
      </c>
      <c r="AB60" s="907">
        <v>23.035</v>
      </c>
      <c r="AC60" s="907">
        <v>23.15</v>
      </c>
      <c r="AD60" s="907">
        <v>23.195</v>
      </c>
      <c r="AE60" s="907">
        <v>23.365000000000002</v>
      </c>
      <c r="AF60" s="907">
        <v>23.549999999999997</v>
      </c>
      <c r="AG60" s="907">
        <v>23.745000000000001</v>
      </c>
      <c r="AH60" s="907">
        <v>23.965</v>
      </c>
      <c r="AI60" s="907">
        <v>24.174999999999997</v>
      </c>
      <c r="AJ60" s="907">
        <v>24.42</v>
      </c>
      <c r="AK60" s="907">
        <v>24.66</v>
      </c>
      <c r="AL60" s="907">
        <v>24.935000000000002</v>
      </c>
      <c r="AM60" s="907">
        <v>25.185000000000002</v>
      </c>
      <c r="AN60" s="907">
        <v>25.369999999999997</v>
      </c>
      <c r="AO60" s="907">
        <v>25.509999999999998</v>
      </c>
      <c r="AP60" s="907">
        <v>25.634999999999998</v>
      </c>
      <c r="AQ60" s="907">
        <v>25.734999999999999</v>
      </c>
      <c r="AR60" s="907">
        <v>25.84</v>
      </c>
      <c r="AS60" s="907">
        <v>25.895</v>
      </c>
      <c r="AT60" s="907">
        <v>25.93</v>
      </c>
      <c r="AU60" s="907">
        <v>25.990000000000002</v>
      </c>
      <c r="AV60" s="907">
        <v>26.05</v>
      </c>
      <c r="AW60" s="907">
        <v>26.234999999999999</v>
      </c>
      <c r="AX60" s="907">
        <v>26.305</v>
      </c>
      <c r="AY60" s="907">
        <v>26.414999999999999</v>
      </c>
      <c r="AZ60" s="907">
        <v>26.53</v>
      </c>
      <c r="BA60" s="907">
        <v>26.625</v>
      </c>
      <c r="BB60" s="907">
        <v>26.73</v>
      </c>
      <c r="BC60" s="907">
        <v>26.85</v>
      </c>
      <c r="BD60" s="907">
        <v>26.975000000000001</v>
      </c>
      <c r="BE60" s="907">
        <v>27.11</v>
      </c>
      <c r="BF60" s="907">
        <v>27.25</v>
      </c>
      <c r="BG60" s="907">
        <v>27.384999999999998</v>
      </c>
      <c r="BH60" s="907">
        <v>27.524999999999999</v>
      </c>
      <c r="BI60" s="907">
        <v>27.664999999999999</v>
      </c>
      <c r="BJ60" s="907">
        <v>27.815000000000001</v>
      </c>
      <c r="BK60" s="907">
        <v>27.945</v>
      </c>
      <c r="BL60" s="907">
        <v>28.090000000000003</v>
      </c>
      <c r="BM60" s="907">
        <v>28.23</v>
      </c>
      <c r="BN60" s="907">
        <v>28.365000000000002</v>
      </c>
      <c r="BO60" s="907">
        <v>28.5</v>
      </c>
      <c r="BP60" s="907">
        <v>28.64</v>
      </c>
      <c r="BQ60" s="907">
        <v>28.774999999999999</v>
      </c>
      <c r="BR60" s="907">
        <v>28.91</v>
      </c>
      <c r="BS60" s="907">
        <v>29.04</v>
      </c>
      <c r="BT60" s="908">
        <v>29.174999999999997</v>
      </c>
      <c r="BU60" s="907">
        <v>29.315000000000001</v>
      </c>
      <c r="BV60" s="907">
        <v>29.439999999999998</v>
      </c>
      <c r="BW60" s="907">
        <v>29.57</v>
      </c>
      <c r="BX60" s="907">
        <v>29.704999999999998</v>
      </c>
      <c r="BY60" s="907">
        <v>29.835000000000001</v>
      </c>
      <c r="BZ60" s="907">
        <v>29.965</v>
      </c>
      <c r="CA60" s="907">
        <v>30.09</v>
      </c>
      <c r="CB60" s="907">
        <v>30.225000000000001</v>
      </c>
      <c r="CC60" s="907">
        <v>30.349999999999998</v>
      </c>
      <c r="CD60" s="907">
        <v>30.47</v>
      </c>
      <c r="CE60" s="907">
        <v>30.6</v>
      </c>
      <c r="CF60" s="907">
        <v>30.725000000000001</v>
      </c>
      <c r="CG60" s="907">
        <v>30.85</v>
      </c>
      <c r="CH60" s="907">
        <v>30.97</v>
      </c>
      <c r="CI60" s="907">
        <v>31.094999999999999</v>
      </c>
      <c r="CJ60" s="907">
        <v>31.215</v>
      </c>
      <c r="CK60" s="907">
        <v>31.339999999999996</v>
      </c>
      <c r="CL60" s="907">
        <v>31.46</v>
      </c>
      <c r="CM60" s="907">
        <v>31.58</v>
      </c>
      <c r="CN60" s="907">
        <v>31.7</v>
      </c>
      <c r="CO60" s="907">
        <v>31.82</v>
      </c>
      <c r="CP60" s="907">
        <v>31.934999999999999</v>
      </c>
      <c r="CQ60" s="907">
        <v>32.055</v>
      </c>
      <c r="CR60" s="907">
        <v>32.164999999999999</v>
      </c>
      <c r="CS60" s="907">
        <v>32.284999999999997</v>
      </c>
      <c r="CT60" s="907">
        <v>32.4</v>
      </c>
      <c r="CU60" s="907">
        <v>32.515000000000001</v>
      </c>
      <c r="CV60" s="907">
        <v>32.625</v>
      </c>
      <c r="CW60" s="907">
        <v>32.739999999999995</v>
      </c>
      <c r="CX60" s="907">
        <v>32.85</v>
      </c>
      <c r="CY60" s="907">
        <v>32.96</v>
      </c>
      <c r="CZ60" s="907">
        <v>33.07</v>
      </c>
      <c r="DA60" s="907">
        <v>33.18</v>
      </c>
      <c r="DB60" s="907">
        <v>33.29</v>
      </c>
      <c r="DC60" s="907">
        <v>33.400000000000006</v>
      </c>
      <c r="DD60" s="907">
        <v>33.504999999999995</v>
      </c>
      <c r="DE60" s="907">
        <v>33.61</v>
      </c>
      <c r="DF60" s="907">
        <v>33.715000000000003</v>
      </c>
      <c r="DG60" s="907">
        <v>33.82</v>
      </c>
      <c r="DH60" s="907">
        <v>33.92</v>
      </c>
      <c r="DI60" s="907">
        <v>34.03</v>
      </c>
      <c r="DJ60" s="907">
        <v>34.129999999999995</v>
      </c>
      <c r="DK60" s="907">
        <v>34.234999999999999</v>
      </c>
      <c r="DL60" s="907">
        <v>34.335000000000001</v>
      </c>
      <c r="DM60" s="907">
        <v>34.435000000000002</v>
      </c>
      <c r="DN60" s="907">
        <v>34.53</v>
      </c>
      <c r="DO60" s="907">
        <v>34.629999999999995</v>
      </c>
      <c r="DP60" s="907">
        <v>34.730000000000004</v>
      </c>
      <c r="DQ60" s="907">
        <v>34.825000000000003</v>
      </c>
      <c r="DR60" s="907">
        <v>34.924999999999997</v>
      </c>
    </row>
    <row r="61" spans="1:122" s="127" customFormat="1" ht="12.75">
      <c r="A61" s="911">
        <v>59</v>
      </c>
      <c r="B61" s="907"/>
      <c r="C61" s="907"/>
      <c r="D61" s="907"/>
      <c r="E61" s="907"/>
      <c r="F61" s="907"/>
      <c r="G61" s="907"/>
      <c r="H61" s="907"/>
      <c r="I61" s="907"/>
      <c r="J61" s="907"/>
      <c r="K61" s="907"/>
      <c r="L61" s="907"/>
      <c r="M61" s="907"/>
      <c r="N61" s="907"/>
      <c r="O61" s="907"/>
      <c r="P61" s="907"/>
      <c r="Q61" s="907"/>
      <c r="R61" s="907"/>
      <c r="S61" s="907"/>
      <c r="T61" s="907"/>
      <c r="U61" s="907"/>
      <c r="V61" s="907"/>
      <c r="W61" s="907">
        <v>21.375</v>
      </c>
      <c r="X61" s="907">
        <v>21.574999999999999</v>
      </c>
      <c r="Y61" s="907">
        <v>21.725000000000001</v>
      </c>
      <c r="Z61" s="907">
        <v>21.93</v>
      </c>
      <c r="AA61" s="907">
        <v>22.09</v>
      </c>
      <c r="AB61" s="907">
        <v>22.27</v>
      </c>
      <c r="AC61" s="907">
        <v>22.375</v>
      </c>
      <c r="AD61" s="907">
        <v>22.425000000000001</v>
      </c>
      <c r="AE61" s="907">
        <v>22.585000000000001</v>
      </c>
      <c r="AF61" s="907">
        <v>22.77</v>
      </c>
      <c r="AG61" s="907">
        <v>22.97</v>
      </c>
      <c r="AH61" s="907">
        <v>23.189999999999998</v>
      </c>
      <c r="AI61" s="907">
        <v>23.4</v>
      </c>
      <c r="AJ61" s="907">
        <v>23.64</v>
      </c>
      <c r="AK61" s="907">
        <v>23.875</v>
      </c>
      <c r="AL61" s="907">
        <v>24.14</v>
      </c>
      <c r="AM61" s="907">
        <v>24.384999999999998</v>
      </c>
      <c r="AN61" s="907">
        <v>24.56</v>
      </c>
      <c r="AO61" s="907">
        <v>24.7</v>
      </c>
      <c r="AP61" s="907">
        <v>24.82</v>
      </c>
      <c r="AQ61" s="907">
        <v>24.914999999999999</v>
      </c>
      <c r="AR61" s="907">
        <v>25.02</v>
      </c>
      <c r="AS61" s="907">
        <v>25.074999999999999</v>
      </c>
      <c r="AT61" s="907">
        <v>25.115000000000002</v>
      </c>
      <c r="AU61" s="907">
        <v>25.17</v>
      </c>
      <c r="AV61" s="907">
        <v>25.229999999999997</v>
      </c>
      <c r="AW61" s="907">
        <v>25.41</v>
      </c>
      <c r="AX61" s="907">
        <v>25.48</v>
      </c>
      <c r="AY61" s="907">
        <v>25.585000000000001</v>
      </c>
      <c r="AZ61" s="907">
        <v>25.700000000000003</v>
      </c>
      <c r="BA61" s="907">
        <v>25.795000000000002</v>
      </c>
      <c r="BB61" s="907">
        <v>25.91</v>
      </c>
      <c r="BC61" s="907">
        <v>26.024999999999999</v>
      </c>
      <c r="BD61" s="907">
        <v>26.145000000000003</v>
      </c>
      <c r="BE61" s="907">
        <v>26.274999999999999</v>
      </c>
      <c r="BF61" s="907">
        <v>26.414999999999999</v>
      </c>
      <c r="BG61" s="907">
        <v>26.555</v>
      </c>
      <c r="BH61" s="907">
        <v>26.695</v>
      </c>
      <c r="BI61" s="907">
        <v>26.835000000000001</v>
      </c>
      <c r="BJ61" s="907">
        <v>26.97</v>
      </c>
      <c r="BK61" s="907">
        <v>27.11</v>
      </c>
      <c r="BL61" s="907">
        <v>27.244999999999997</v>
      </c>
      <c r="BM61" s="907">
        <v>27.380000000000003</v>
      </c>
      <c r="BN61" s="907">
        <v>27.52</v>
      </c>
      <c r="BO61" s="907">
        <v>27.65</v>
      </c>
      <c r="BP61" s="907">
        <v>27.785</v>
      </c>
      <c r="BQ61" s="907">
        <v>27.92</v>
      </c>
      <c r="BR61" s="907">
        <v>28.049999999999997</v>
      </c>
      <c r="BS61" s="907">
        <v>28.185000000000002</v>
      </c>
      <c r="BT61" s="908">
        <v>28.315000000000001</v>
      </c>
      <c r="BU61" s="907">
        <v>28.45</v>
      </c>
      <c r="BV61" s="907">
        <v>28.58</v>
      </c>
      <c r="BW61" s="907">
        <v>28.71</v>
      </c>
      <c r="BX61" s="907">
        <v>28.835000000000001</v>
      </c>
      <c r="BY61" s="907">
        <v>28.965</v>
      </c>
      <c r="BZ61" s="907">
        <v>29.09</v>
      </c>
      <c r="CA61" s="907">
        <v>29.22</v>
      </c>
      <c r="CB61" s="907">
        <v>29.344999999999999</v>
      </c>
      <c r="CC61" s="907">
        <v>29.47</v>
      </c>
      <c r="CD61" s="907">
        <v>29.594999999999999</v>
      </c>
      <c r="CE61" s="907">
        <v>29.72</v>
      </c>
      <c r="CF61" s="907">
        <v>29.844999999999999</v>
      </c>
      <c r="CG61" s="907">
        <v>29.965</v>
      </c>
      <c r="CH61" s="907">
        <v>30.09</v>
      </c>
      <c r="CI61" s="907">
        <v>30.21</v>
      </c>
      <c r="CJ61" s="907">
        <v>30.33</v>
      </c>
      <c r="CK61" s="907">
        <v>30.445</v>
      </c>
      <c r="CL61" s="907">
        <v>30.57</v>
      </c>
      <c r="CM61" s="907">
        <v>30.69</v>
      </c>
      <c r="CN61" s="907">
        <v>30.805</v>
      </c>
      <c r="CO61" s="907">
        <v>30.92</v>
      </c>
      <c r="CP61" s="907">
        <v>31.034999999999997</v>
      </c>
      <c r="CQ61" s="907">
        <v>31.15</v>
      </c>
      <c r="CR61" s="907">
        <v>31.27</v>
      </c>
      <c r="CS61" s="907">
        <v>31.38</v>
      </c>
      <c r="CT61" s="907">
        <v>31.495000000000001</v>
      </c>
      <c r="CU61" s="907">
        <v>31.605</v>
      </c>
      <c r="CV61" s="907">
        <v>31.72</v>
      </c>
      <c r="CW61" s="907">
        <v>31.83</v>
      </c>
      <c r="CX61" s="907">
        <v>31.939999999999998</v>
      </c>
      <c r="CY61" s="907">
        <v>32.045000000000002</v>
      </c>
      <c r="CZ61" s="907">
        <v>32.155000000000001</v>
      </c>
      <c r="DA61" s="907">
        <v>32.265000000000001</v>
      </c>
      <c r="DB61" s="907">
        <v>32.370000000000005</v>
      </c>
      <c r="DC61" s="907">
        <v>32.480000000000004</v>
      </c>
      <c r="DD61" s="907">
        <v>32.585000000000001</v>
      </c>
      <c r="DE61" s="907">
        <v>32.69</v>
      </c>
      <c r="DF61" s="907">
        <v>32.795000000000002</v>
      </c>
      <c r="DG61" s="907">
        <v>32.894999999999996</v>
      </c>
      <c r="DH61" s="907">
        <v>33</v>
      </c>
      <c r="DI61" s="907">
        <v>33.1</v>
      </c>
      <c r="DJ61" s="907">
        <v>33.204999999999998</v>
      </c>
      <c r="DK61" s="907">
        <v>33.305</v>
      </c>
      <c r="DL61" s="907">
        <v>33.405000000000001</v>
      </c>
      <c r="DM61" s="907">
        <v>33.504999999999995</v>
      </c>
      <c r="DN61" s="907">
        <v>33.605000000000004</v>
      </c>
      <c r="DO61" s="907">
        <v>33.700000000000003</v>
      </c>
      <c r="DP61" s="907">
        <v>33.799999999999997</v>
      </c>
      <c r="DQ61" s="907">
        <v>33.89</v>
      </c>
      <c r="DR61" s="907">
        <v>33.989999999999995</v>
      </c>
    </row>
    <row r="62" spans="1:122" s="127" customFormat="1" ht="12.75">
      <c r="A62" s="911">
        <v>60</v>
      </c>
      <c r="B62" s="907"/>
      <c r="C62" s="907"/>
      <c r="D62" s="907"/>
      <c r="E62" s="907"/>
      <c r="F62" s="907"/>
      <c r="G62" s="907"/>
      <c r="H62" s="907"/>
      <c r="I62" s="907"/>
      <c r="J62" s="907"/>
      <c r="K62" s="907"/>
      <c r="L62" s="907"/>
      <c r="M62" s="907"/>
      <c r="N62" s="907"/>
      <c r="O62" s="907"/>
      <c r="P62" s="907"/>
      <c r="Q62" s="907"/>
      <c r="R62" s="907"/>
      <c r="S62" s="907"/>
      <c r="T62" s="907"/>
      <c r="U62" s="907"/>
      <c r="V62" s="907"/>
      <c r="W62" s="907">
        <v>20.625</v>
      </c>
      <c r="X62" s="907">
        <v>20.825000000000003</v>
      </c>
      <c r="Y62" s="907">
        <v>20.97</v>
      </c>
      <c r="Z62" s="907">
        <v>21.164999999999999</v>
      </c>
      <c r="AA62" s="907">
        <v>21.324999999999999</v>
      </c>
      <c r="AB62" s="907">
        <v>21.505000000000003</v>
      </c>
      <c r="AC62" s="907">
        <v>21.61</v>
      </c>
      <c r="AD62" s="907">
        <v>21.66</v>
      </c>
      <c r="AE62" s="907">
        <v>21.82</v>
      </c>
      <c r="AF62" s="907">
        <v>22.009999999999998</v>
      </c>
      <c r="AG62" s="907">
        <v>22.204999999999998</v>
      </c>
      <c r="AH62" s="907">
        <v>22.42</v>
      </c>
      <c r="AI62" s="907">
        <v>22.63</v>
      </c>
      <c r="AJ62" s="907">
        <v>22.86</v>
      </c>
      <c r="AK62" s="907">
        <v>23.1</v>
      </c>
      <c r="AL62" s="907">
        <v>23.36</v>
      </c>
      <c r="AM62" s="907">
        <v>23.59</v>
      </c>
      <c r="AN62" s="907">
        <v>23.759999999999998</v>
      </c>
      <c r="AO62" s="907">
        <v>23.895</v>
      </c>
      <c r="AP62" s="907">
        <v>24.005000000000003</v>
      </c>
      <c r="AQ62" s="907">
        <v>24.105</v>
      </c>
      <c r="AR62" s="907">
        <v>24.21</v>
      </c>
      <c r="AS62" s="907">
        <v>24.26</v>
      </c>
      <c r="AT62" s="907">
        <v>24.299999999999997</v>
      </c>
      <c r="AU62" s="907">
        <v>24.355</v>
      </c>
      <c r="AV62" s="907">
        <v>24.414999999999999</v>
      </c>
      <c r="AW62" s="907">
        <v>24.585000000000001</v>
      </c>
      <c r="AX62" s="907">
        <v>24.655000000000001</v>
      </c>
      <c r="AY62" s="907">
        <v>24.765000000000001</v>
      </c>
      <c r="AZ62" s="907">
        <v>24.869999999999997</v>
      </c>
      <c r="BA62" s="907">
        <v>24.97</v>
      </c>
      <c r="BB62" s="907">
        <v>25.085000000000001</v>
      </c>
      <c r="BC62" s="907">
        <v>25.204999999999998</v>
      </c>
      <c r="BD62" s="907">
        <v>25.325000000000003</v>
      </c>
      <c r="BE62" s="907">
        <v>25.46</v>
      </c>
      <c r="BF62" s="907">
        <v>25.59</v>
      </c>
      <c r="BG62" s="907">
        <v>25.729999999999997</v>
      </c>
      <c r="BH62" s="907">
        <v>25.87</v>
      </c>
      <c r="BI62" s="907">
        <v>26.005000000000003</v>
      </c>
      <c r="BJ62" s="907">
        <v>26.14</v>
      </c>
      <c r="BK62" s="907">
        <v>26.274999999999999</v>
      </c>
      <c r="BL62" s="907">
        <v>26.41</v>
      </c>
      <c r="BM62" s="907">
        <v>26.545000000000002</v>
      </c>
      <c r="BN62" s="907">
        <v>26.68</v>
      </c>
      <c r="BO62" s="907">
        <v>26.810000000000002</v>
      </c>
      <c r="BP62" s="907">
        <v>26.945</v>
      </c>
      <c r="BQ62" s="907">
        <v>27.074999999999999</v>
      </c>
      <c r="BR62" s="907">
        <v>27.204999999999998</v>
      </c>
      <c r="BS62" s="907">
        <v>27.335000000000001</v>
      </c>
      <c r="BT62" s="908">
        <v>27.465</v>
      </c>
      <c r="BU62" s="907">
        <v>27.594999999999999</v>
      </c>
      <c r="BV62" s="907">
        <v>27.725000000000001</v>
      </c>
      <c r="BW62" s="907">
        <v>27.85</v>
      </c>
      <c r="BX62" s="907">
        <v>27.975000000000001</v>
      </c>
      <c r="BY62" s="907">
        <v>28.1</v>
      </c>
      <c r="BZ62" s="907">
        <v>28.23</v>
      </c>
      <c r="CA62" s="907">
        <v>28.355</v>
      </c>
      <c r="CB62" s="907">
        <v>28.475000000000001</v>
      </c>
      <c r="CC62" s="907">
        <v>28.6</v>
      </c>
      <c r="CD62" s="907">
        <v>28.72</v>
      </c>
      <c r="CE62" s="907">
        <v>28.844999999999999</v>
      </c>
      <c r="CF62" s="907">
        <v>28.965</v>
      </c>
      <c r="CG62" s="907">
        <v>29.085000000000001</v>
      </c>
      <c r="CH62" s="907">
        <v>29.21</v>
      </c>
      <c r="CI62" s="907">
        <v>29.33</v>
      </c>
      <c r="CJ62" s="907">
        <v>29.445</v>
      </c>
      <c r="CK62" s="907">
        <v>29.564999999999998</v>
      </c>
      <c r="CL62" s="907">
        <v>29.684999999999999</v>
      </c>
      <c r="CM62" s="907">
        <v>29.8</v>
      </c>
      <c r="CN62" s="907">
        <v>29.91</v>
      </c>
      <c r="CO62" s="907">
        <v>30.03</v>
      </c>
      <c r="CP62" s="907">
        <v>30.145</v>
      </c>
      <c r="CQ62" s="907">
        <v>30.255000000000003</v>
      </c>
      <c r="CR62" s="907">
        <v>30.369999999999997</v>
      </c>
      <c r="CS62" s="907">
        <v>30.48</v>
      </c>
      <c r="CT62" s="907">
        <v>30.59</v>
      </c>
      <c r="CU62" s="907">
        <v>30.705000000000002</v>
      </c>
      <c r="CV62" s="907">
        <v>30.814999999999998</v>
      </c>
      <c r="CW62" s="907">
        <v>30.924999999999997</v>
      </c>
      <c r="CX62" s="907">
        <v>31.035</v>
      </c>
      <c r="CY62" s="907">
        <v>31.14</v>
      </c>
      <c r="CZ62" s="907">
        <v>31.25</v>
      </c>
      <c r="DA62" s="907">
        <v>31.355</v>
      </c>
      <c r="DB62" s="907">
        <v>31.46</v>
      </c>
      <c r="DC62" s="907">
        <v>31.564999999999998</v>
      </c>
      <c r="DD62" s="907">
        <v>31.675000000000001</v>
      </c>
      <c r="DE62" s="907">
        <v>31.775000000000002</v>
      </c>
      <c r="DF62" s="907">
        <v>31.875</v>
      </c>
      <c r="DG62" s="907">
        <v>31.980000000000004</v>
      </c>
      <c r="DH62" s="907">
        <v>32.08</v>
      </c>
      <c r="DI62" s="907">
        <v>32.18</v>
      </c>
      <c r="DJ62" s="907">
        <v>32.28</v>
      </c>
      <c r="DK62" s="907">
        <v>32.380000000000003</v>
      </c>
      <c r="DL62" s="907">
        <v>32.479999999999997</v>
      </c>
      <c r="DM62" s="907">
        <v>32.575000000000003</v>
      </c>
      <c r="DN62" s="907">
        <v>32.674999999999997</v>
      </c>
      <c r="DO62" s="907">
        <v>32.774999999999999</v>
      </c>
      <c r="DP62" s="907">
        <v>32.870000000000005</v>
      </c>
      <c r="DQ62" s="907">
        <v>32.965000000000003</v>
      </c>
      <c r="DR62" s="907">
        <v>33.06</v>
      </c>
    </row>
    <row r="63" spans="1:122" s="127" customFormat="1" ht="12.75">
      <c r="A63" s="911">
        <v>61</v>
      </c>
      <c r="B63" s="907"/>
      <c r="C63" s="907"/>
      <c r="D63" s="907"/>
      <c r="E63" s="907"/>
      <c r="F63" s="907"/>
      <c r="G63" s="907"/>
      <c r="H63" s="907"/>
      <c r="I63" s="907"/>
      <c r="J63" s="907"/>
      <c r="K63" s="907"/>
      <c r="L63" s="907"/>
      <c r="M63" s="907"/>
      <c r="N63" s="907"/>
      <c r="O63" s="907"/>
      <c r="P63" s="907"/>
      <c r="Q63" s="907"/>
      <c r="R63" s="907"/>
      <c r="S63" s="907"/>
      <c r="T63" s="907"/>
      <c r="U63" s="907"/>
      <c r="V63" s="907"/>
      <c r="W63" s="907">
        <v>19.880000000000003</v>
      </c>
      <c r="X63" s="907">
        <v>20.079999999999998</v>
      </c>
      <c r="Y63" s="907">
        <v>20.225000000000001</v>
      </c>
      <c r="Z63" s="907">
        <v>20.414999999999999</v>
      </c>
      <c r="AA63" s="907">
        <v>20.574999999999999</v>
      </c>
      <c r="AB63" s="907">
        <v>20.75</v>
      </c>
      <c r="AC63" s="907">
        <v>20.844999999999999</v>
      </c>
      <c r="AD63" s="907">
        <v>20.91</v>
      </c>
      <c r="AE63" s="907">
        <v>21.064999999999998</v>
      </c>
      <c r="AF63" s="907">
        <v>21.265000000000001</v>
      </c>
      <c r="AG63" s="907">
        <v>21.454999999999998</v>
      </c>
      <c r="AH63" s="907">
        <v>21.67</v>
      </c>
      <c r="AI63" s="907">
        <v>21.87</v>
      </c>
      <c r="AJ63" s="907">
        <v>22.094999999999999</v>
      </c>
      <c r="AK63" s="907">
        <v>22.33</v>
      </c>
      <c r="AL63" s="907">
        <v>22.574999999999999</v>
      </c>
      <c r="AM63" s="907">
        <v>22.805</v>
      </c>
      <c r="AN63" s="907">
        <v>22.965000000000003</v>
      </c>
      <c r="AO63" s="907">
        <v>23.1</v>
      </c>
      <c r="AP63" s="907">
        <v>23.200000000000003</v>
      </c>
      <c r="AQ63" s="907">
        <v>23.305</v>
      </c>
      <c r="AR63" s="907">
        <v>23.4</v>
      </c>
      <c r="AS63" s="907">
        <v>23.454999999999998</v>
      </c>
      <c r="AT63" s="907">
        <v>23.495000000000001</v>
      </c>
      <c r="AU63" s="907">
        <v>23.545000000000002</v>
      </c>
      <c r="AV63" s="907">
        <v>23.605</v>
      </c>
      <c r="AW63" s="907">
        <v>23.774999999999999</v>
      </c>
      <c r="AX63" s="907">
        <v>23.85</v>
      </c>
      <c r="AY63" s="907">
        <v>23.954999999999998</v>
      </c>
      <c r="AZ63" s="907">
        <v>24.06</v>
      </c>
      <c r="BA63" s="907">
        <v>24.164999999999999</v>
      </c>
      <c r="BB63" s="907">
        <v>24.274999999999999</v>
      </c>
      <c r="BC63" s="907">
        <v>24.39</v>
      </c>
      <c r="BD63" s="907">
        <v>24.52</v>
      </c>
      <c r="BE63" s="907">
        <v>24.65</v>
      </c>
      <c r="BF63" s="907">
        <v>24.78</v>
      </c>
      <c r="BG63" s="907">
        <v>24.914999999999999</v>
      </c>
      <c r="BH63" s="907">
        <v>25.049999999999997</v>
      </c>
      <c r="BI63" s="907">
        <v>25.185000000000002</v>
      </c>
      <c r="BJ63" s="907">
        <v>25.314999999999998</v>
      </c>
      <c r="BK63" s="907">
        <v>25.454999999999998</v>
      </c>
      <c r="BL63" s="907">
        <v>25.585000000000001</v>
      </c>
      <c r="BM63" s="907">
        <v>25.715000000000003</v>
      </c>
      <c r="BN63" s="907">
        <v>25.85</v>
      </c>
      <c r="BO63" s="907">
        <v>25.98</v>
      </c>
      <c r="BP63" s="907">
        <v>26.105</v>
      </c>
      <c r="BQ63" s="907">
        <v>26.234999999999999</v>
      </c>
      <c r="BR63" s="907">
        <v>26.365000000000002</v>
      </c>
      <c r="BS63" s="907">
        <v>26.490000000000002</v>
      </c>
      <c r="BT63" s="908">
        <v>26.619999999999997</v>
      </c>
      <c r="BU63" s="907">
        <v>26.75</v>
      </c>
      <c r="BV63" s="907">
        <v>26.869999999999997</v>
      </c>
      <c r="BW63" s="907">
        <v>26.995000000000001</v>
      </c>
      <c r="BX63" s="907">
        <v>27.125</v>
      </c>
      <c r="BY63" s="907">
        <v>27.244999999999997</v>
      </c>
      <c r="BZ63" s="907">
        <v>27.37</v>
      </c>
      <c r="CA63" s="907">
        <v>27.490000000000002</v>
      </c>
      <c r="CB63" s="907">
        <v>27.615000000000002</v>
      </c>
      <c r="CC63" s="907">
        <v>27.734999999999999</v>
      </c>
      <c r="CD63" s="907">
        <v>27.855</v>
      </c>
      <c r="CE63" s="907">
        <v>27.975000000000001</v>
      </c>
      <c r="CF63" s="907">
        <v>28.094999999999999</v>
      </c>
      <c r="CG63" s="907">
        <v>28.215</v>
      </c>
      <c r="CH63" s="907">
        <v>28.33</v>
      </c>
      <c r="CI63" s="907">
        <v>28.45</v>
      </c>
      <c r="CJ63" s="907">
        <v>28.564999999999998</v>
      </c>
      <c r="CK63" s="907">
        <v>28.685000000000002</v>
      </c>
      <c r="CL63" s="907">
        <v>28.8</v>
      </c>
      <c r="CM63" s="907">
        <v>28.914999999999999</v>
      </c>
      <c r="CN63" s="907">
        <v>29.03</v>
      </c>
      <c r="CO63" s="907">
        <v>29.14</v>
      </c>
      <c r="CP63" s="907">
        <v>29.255000000000003</v>
      </c>
      <c r="CQ63" s="907">
        <v>29.365000000000002</v>
      </c>
      <c r="CR63" s="907">
        <v>29.475000000000001</v>
      </c>
      <c r="CS63" s="907">
        <v>29.590000000000003</v>
      </c>
      <c r="CT63" s="907">
        <v>29.7</v>
      </c>
      <c r="CU63" s="907">
        <v>29.810000000000002</v>
      </c>
      <c r="CV63" s="907">
        <v>29.92</v>
      </c>
      <c r="CW63" s="907">
        <v>30.024999999999999</v>
      </c>
      <c r="CX63" s="907">
        <v>30.130000000000003</v>
      </c>
      <c r="CY63" s="907">
        <v>30.234999999999999</v>
      </c>
      <c r="CZ63" s="907">
        <v>30.344999999999999</v>
      </c>
      <c r="DA63" s="907">
        <v>30.450000000000003</v>
      </c>
      <c r="DB63" s="907">
        <v>30.555</v>
      </c>
      <c r="DC63" s="907">
        <v>30.66</v>
      </c>
      <c r="DD63" s="907">
        <v>30.76</v>
      </c>
      <c r="DE63" s="907">
        <v>30.86</v>
      </c>
      <c r="DF63" s="907">
        <v>30.965000000000003</v>
      </c>
      <c r="DG63" s="907">
        <v>31.064999999999998</v>
      </c>
      <c r="DH63" s="907">
        <v>31.164999999999999</v>
      </c>
      <c r="DI63" s="907">
        <v>31.265000000000001</v>
      </c>
      <c r="DJ63" s="907">
        <v>31.365000000000002</v>
      </c>
      <c r="DK63" s="907">
        <v>31.464999999999996</v>
      </c>
      <c r="DL63" s="907">
        <v>31.560000000000002</v>
      </c>
      <c r="DM63" s="907">
        <v>31.655000000000001</v>
      </c>
      <c r="DN63" s="907">
        <v>31.755000000000003</v>
      </c>
      <c r="DO63" s="907">
        <v>31.85</v>
      </c>
      <c r="DP63" s="907">
        <v>31.945</v>
      </c>
      <c r="DQ63" s="907">
        <v>32.035000000000004</v>
      </c>
      <c r="DR63" s="907">
        <v>32.130000000000003</v>
      </c>
    </row>
    <row r="64" spans="1:122" s="127" customFormat="1" ht="12.75">
      <c r="A64" s="911">
        <v>62</v>
      </c>
      <c r="B64" s="907"/>
      <c r="C64" s="907"/>
      <c r="D64" s="907"/>
      <c r="E64" s="907"/>
      <c r="F64" s="907"/>
      <c r="G64" s="907"/>
      <c r="H64" s="907"/>
      <c r="I64" s="907"/>
      <c r="J64" s="907"/>
      <c r="K64" s="907"/>
      <c r="L64" s="907"/>
      <c r="M64" s="907"/>
      <c r="N64" s="907"/>
      <c r="O64" s="907"/>
      <c r="P64" s="907"/>
      <c r="Q64" s="907"/>
      <c r="R64" s="907"/>
      <c r="S64" s="907"/>
      <c r="T64" s="907"/>
      <c r="U64" s="907"/>
      <c r="V64" s="907"/>
      <c r="W64" s="907">
        <v>19.149999999999999</v>
      </c>
      <c r="X64" s="907">
        <v>19.344999999999999</v>
      </c>
      <c r="Y64" s="907">
        <v>19.494999999999997</v>
      </c>
      <c r="Z64" s="907">
        <v>19.685000000000002</v>
      </c>
      <c r="AA64" s="907">
        <v>19.835000000000001</v>
      </c>
      <c r="AB64" s="907">
        <v>20.005000000000003</v>
      </c>
      <c r="AC64" s="907">
        <v>20.105</v>
      </c>
      <c r="AD64" s="907">
        <v>20.175000000000001</v>
      </c>
      <c r="AE64" s="907">
        <v>20.329999999999998</v>
      </c>
      <c r="AF64" s="907">
        <v>20.524999999999999</v>
      </c>
      <c r="AG64" s="907">
        <v>20.704999999999998</v>
      </c>
      <c r="AH64" s="907">
        <v>20.92</v>
      </c>
      <c r="AI64" s="907">
        <v>21.12</v>
      </c>
      <c r="AJ64" s="907">
        <v>21.34</v>
      </c>
      <c r="AK64" s="907">
        <v>21.57</v>
      </c>
      <c r="AL64" s="907">
        <v>21.799999999999997</v>
      </c>
      <c r="AM64" s="907">
        <v>22.020000000000003</v>
      </c>
      <c r="AN64" s="907">
        <v>22.18</v>
      </c>
      <c r="AO64" s="907">
        <v>22.310000000000002</v>
      </c>
      <c r="AP64" s="907">
        <v>22.41</v>
      </c>
      <c r="AQ64" s="907">
        <v>22.505000000000003</v>
      </c>
      <c r="AR64" s="907">
        <v>22.6</v>
      </c>
      <c r="AS64" s="907">
        <v>22.65</v>
      </c>
      <c r="AT64" s="907">
        <v>22.689999999999998</v>
      </c>
      <c r="AU64" s="907">
        <v>22.744999999999997</v>
      </c>
      <c r="AV64" s="907">
        <v>22.805</v>
      </c>
      <c r="AW64" s="907">
        <v>22.965</v>
      </c>
      <c r="AX64" s="907">
        <v>23.04</v>
      </c>
      <c r="AY64" s="907">
        <v>23.155000000000001</v>
      </c>
      <c r="AZ64" s="907">
        <v>23.255000000000003</v>
      </c>
      <c r="BA64" s="907">
        <v>23.36</v>
      </c>
      <c r="BB64" s="907">
        <v>23.465</v>
      </c>
      <c r="BC64" s="907">
        <v>23.59</v>
      </c>
      <c r="BD64" s="907">
        <v>23.715</v>
      </c>
      <c r="BE64" s="907">
        <v>23.840000000000003</v>
      </c>
      <c r="BF64" s="907">
        <v>23.98</v>
      </c>
      <c r="BG64" s="907">
        <v>24.11</v>
      </c>
      <c r="BH64" s="907">
        <v>24.240000000000002</v>
      </c>
      <c r="BI64" s="907">
        <v>24.375</v>
      </c>
      <c r="BJ64" s="907">
        <v>24.504999999999999</v>
      </c>
      <c r="BK64" s="907">
        <v>24.634999999999998</v>
      </c>
      <c r="BL64" s="907">
        <v>24.765000000000001</v>
      </c>
      <c r="BM64" s="907">
        <v>24.895</v>
      </c>
      <c r="BN64" s="907">
        <v>25.024999999999999</v>
      </c>
      <c r="BO64" s="907">
        <v>25.15</v>
      </c>
      <c r="BP64" s="907">
        <v>25.274999999999999</v>
      </c>
      <c r="BQ64" s="907">
        <v>25.405000000000001</v>
      </c>
      <c r="BR64" s="907">
        <v>25.53</v>
      </c>
      <c r="BS64" s="907">
        <v>25.655000000000001</v>
      </c>
      <c r="BT64" s="908">
        <v>25.78</v>
      </c>
      <c r="BU64" s="907">
        <v>25.91</v>
      </c>
      <c r="BV64" s="907">
        <v>26.03</v>
      </c>
      <c r="BW64" s="907">
        <v>26.155000000000001</v>
      </c>
      <c r="BX64" s="907">
        <v>26.274999999999999</v>
      </c>
      <c r="BY64" s="907">
        <v>26.395000000000003</v>
      </c>
      <c r="BZ64" s="907">
        <v>26.515000000000001</v>
      </c>
      <c r="CA64" s="907">
        <v>26.64</v>
      </c>
      <c r="CB64" s="907">
        <v>26.759999999999998</v>
      </c>
      <c r="CC64" s="907">
        <v>26.88</v>
      </c>
      <c r="CD64" s="907">
        <v>27</v>
      </c>
      <c r="CE64" s="907">
        <v>27.115000000000002</v>
      </c>
      <c r="CF64" s="907">
        <v>27.234999999999999</v>
      </c>
      <c r="CG64" s="907">
        <v>27.35</v>
      </c>
      <c r="CH64" s="907">
        <v>27.465</v>
      </c>
      <c r="CI64" s="907">
        <v>27.585000000000001</v>
      </c>
      <c r="CJ64" s="907">
        <v>27.695</v>
      </c>
      <c r="CK64" s="907">
        <v>27.81</v>
      </c>
      <c r="CL64" s="907">
        <v>27.924999999999997</v>
      </c>
      <c r="CM64" s="907">
        <v>28.04</v>
      </c>
      <c r="CN64" s="907">
        <v>28.15</v>
      </c>
      <c r="CO64" s="907">
        <v>28.259999999999998</v>
      </c>
      <c r="CP64" s="907">
        <v>28.375</v>
      </c>
      <c r="CQ64" s="907">
        <v>28.484999999999999</v>
      </c>
      <c r="CR64" s="907">
        <v>28.594999999999999</v>
      </c>
      <c r="CS64" s="907">
        <v>28.704999999999998</v>
      </c>
      <c r="CT64" s="907">
        <v>28.810000000000002</v>
      </c>
      <c r="CU64" s="907">
        <v>28.914999999999999</v>
      </c>
      <c r="CV64" s="907">
        <v>29.024999999999999</v>
      </c>
      <c r="CW64" s="907">
        <v>29.130000000000003</v>
      </c>
      <c r="CX64" s="907">
        <v>29.24</v>
      </c>
      <c r="CY64" s="907">
        <v>29.340000000000003</v>
      </c>
      <c r="CZ64" s="907">
        <v>29.445</v>
      </c>
      <c r="DA64" s="907">
        <v>29.549999999999997</v>
      </c>
      <c r="DB64" s="907">
        <v>29.65</v>
      </c>
      <c r="DC64" s="907">
        <v>29.754999999999999</v>
      </c>
      <c r="DD64" s="907">
        <v>29.854999999999997</v>
      </c>
      <c r="DE64" s="907">
        <v>29.954999999999998</v>
      </c>
      <c r="DF64" s="907">
        <v>30.055</v>
      </c>
      <c r="DG64" s="907">
        <v>30.155000000000001</v>
      </c>
      <c r="DH64" s="907">
        <v>30.254999999999999</v>
      </c>
      <c r="DI64" s="907">
        <v>30.354999999999997</v>
      </c>
      <c r="DJ64" s="907">
        <v>30.45</v>
      </c>
      <c r="DK64" s="907">
        <v>30.545000000000002</v>
      </c>
      <c r="DL64" s="907">
        <v>30.64</v>
      </c>
      <c r="DM64" s="907">
        <v>30.740000000000002</v>
      </c>
      <c r="DN64" s="907">
        <v>30.83</v>
      </c>
      <c r="DO64" s="907">
        <v>30.93</v>
      </c>
      <c r="DP64" s="907">
        <v>31.020000000000003</v>
      </c>
      <c r="DQ64" s="907">
        <v>31.11</v>
      </c>
      <c r="DR64" s="907">
        <v>31.205000000000002</v>
      </c>
    </row>
    <row r="65" spans="1:122" s="127" customFormat="1" ht="12.75">
      <c r="A65" s="911">
        <v>63</v>
      </c>
      <c r="B65" s="907"/>
      <c r="C65" s="907"/>
      <c r="D65" s="907"/>
      <c r="E65" s="907"/>
      <c r="F65" s="907"/>
      <c r="G65" s="907"/>
      <c r="H65" s="907"/>
      <c r="I65" s="907"/>
      <c r="J65" s="907"/>
      <c r="K65" s="907"/>
      <c r="L65" s="907"/>
      <c r="M65" s="907"/>
      <c r="N65" s="907"/>
      <c r="O65" s="907"/>
      <c r="P65" s="907"/>
      <c r="Q65" s="907"/>
      <c r="R65" s="907"/>
      <c r="S65" s="907"/>
      <c r="T65" s="907"/>
      <c r="U65" s="907"/>
      <c r="V65" s="907"/>
      <c r="W65" s="907">
        <v>18.434999999999999</v>
      </c>
      <c r="X65" s="907">
        <v>18.62</v>
      </c>
      <c r="Y65" s="907">
        <v>18.77</v>
      </c>
      <c r="Z65" s="907">
        <v>18.954999999999998</v>
      </c>
      <c r="AA65" s="907">
        <v>19.105</v>
      </c>
      <c r="AB65" s="907">
        <v>19.27</v>
      </c>
      <c r="AC65" s="907">
        <v>19.380000000000003</v>
      </c>
      <c r="AD65" s="907">
        <v>19.445</v>
      </c>
      <c r="AE65" s="907">
        <v>19.600000000000001</v>
      </c>
      <c r="AF65" s="907">
        <v>19.795000000000002</v>
      </c>
      <c r="AG65" s="907">
        <v>19.97</v>
      </c>
      <c r="AH65" s="907">
        <v>20.18</v>
      </c>
      <c r="AI65" s="907">
        <v>20.375</v>
      </c>
      <c r="AJ65" s="907">
        <v>20.59</v>
      </c>
      <c r="AK65" s="907">
        <v>20.805</v>
      </c>
      <c r="AL65" s="907">
        <v>21.04</v>
      </c>
      <c r="AM65" s="907">
        <v>21.240000000000002</v>
      </c>
      <c r="AN65" s="907">
        <v>21.4</v>
      </c>
      <c r="AO65" s="907">
        <v>21.524999999999999</v>
      </c>
      <c r="AP65" s="907">
        <v>21.62</v>
      </c>
      <c r="AQ65" s="907">
        <v>21.71</v>
      </c>
      <c r="AR65" s="907">
        <v>21.805</v>
      </c>
      <c r="AS65" s="907">
        <v>21.85</v>
      </c>
      <c r="AT65" s="907">
        <v>21.895</v>
      </c>
      <c r="AU65" s="907">
        <v>21.95</v>
      </c>
      <c r="AV65" s="907">
        <v>22.009999999999998</v>
      </c>
      <c r="AW65" s="907">
        <v>22.164999999999999</v>
      </c>
      <c r="AX65" s="907">
        <v>22.244999999999997</v>
      </c>
      <c r="AY65" s="907">
        <v>22.355</v>
      </c>
      <c r="AZ65" s="907">
        <v>22.46</v>
      </c>
      <c r="BA65" s="907">
        <v>22.56</v>
      </c>
      <c r="BB65" s="907">
        <v>22.675000000000001</v>
      </c>
      <c r="BC65" s="907">
        <v>22.795000000000002</v>
      </c>
      <c r="BD65" s="907">
        <v>22.914999999999999</v>
      </c>
      <c r="BE65" s="907">
        <v>23.049999999999997</v>
      </c>
      <c r="BF65" s="907">
        <v>23.185000000000002</v>
      </c>
      <c r="BG65" s="907">
        <v>23.314999999999998</v>
      </c>
      <c r="BH65" s="907">
        <v>23.44</v>
      </c>
      <c r="BI65" s="907">
        <v>23.57</v>
      </c>
      <c r="BJ65" s="907">
        <v>23.7</v>
      </c>
      <c r="BK65" s="907">
        <v>23.825000000000003</v>
      </c>
      <c r="BL65" s="907">
        <v>23.95</v>
      </c>
      <c r="BM65" s="907">
        <v>24.08</v>
      </c>
      <c r="BN65" s="907">
        <v>24.21</v>
      </c>
      <c r="BO65" s="907">
        <v>24.33</v>
      </c>
      <c r="BP65" s="907">
        <v>24.46</v>
      </c>
      <c r="BQ65" s="907">
        <v>24.58</v>
      </c>
      <c r="BR65" s="907">
        <v>24.704999999999998</v>
      </c>
      <c r="BS65" s="907">
        <v>24.83</v>
      </c>
      <c r="BT65" s="908">
        <v>24.95</v>
      </c>
      <c r="BU65" s="907">
        <v>25.07</v>
      </c>
      <c r="BV65" s="907">
        <v>25.195</v>
      </c>
      <c r="BW65" s="907">
        <v>25.314999999999998</v>
      </c>
      <c r="BX65" s="907">
        <v>25.435000000000002</v>
      </c>
      <c r="BY65" s="907">
        <v>25.555</v>
      </c>
      <c r="BZ65" s="907">
        <v>25.674999999999997</v>
      </c>
      <c r="CA65" s="907">
        <v>25.795000000000002</v>
      </c>
      <c r="CB65" s="907">
        <v>25.91</v>
      </c>
      <c r="CC65" s="907">
        <v>26.024999999999999</v>
      </c>
      <c r="CD65" s="907">
        <v>26.14</v>
      </c>
      <c r="CE65" s="907">
        <v>26.259999999999998</v>
      </c>
      <c r="CF65" s="907">
        <v>26.375</v>
      </c>
      <c r="CG65" s="907">
        <v>26.490000000000002</v>
      </c>
      <c r="CH65" s="907">
        <v>26.6</v>
      </c>
      <c r="CI65" s="907">
        <v>26.72</v>
      </c>
      <c r="CJ65" s="907">
        <v>26.83</v>
      </c>
      <c r="CK65" s="907">
        <v>26.945</v>
      </c>
      <c r="CL65" s="907">
        <v>27.055</v>
      </c>
      <c r="CM65" s="907">
        <v>27.164999999999999</v>
      </c>
      <c r="CN65" s="907">
        <v>27.274999999999999</v>
      </c>
      <c r="CO65" s="907">
        <v>27.384999999999998</v>
      </c>
      <c r="CP65" s="907">
        <v>27.495000000000001</v>
      </c>
      <c r="CQ65" s="907">
        <v>27.604999999999997</v>
      </c>
      <c r="CR65" s="907">
        <v>27.71</v>
      </c>
      <c r="CS65" s="907">
        <v>27.814999999999998</v>
      </c>
      <c r="CT65" s="907">
        <v>27.925000000000001</v>
      </c>
      <c r="CU65" s="907">
        <v>28.03</v>
      </c>
      <c r="CV65" s="907">
        <v>28.134999999999998</v>
      </c>
      <c r="CW65" s="907">
        <v>28.240000000000002</v>
      </c>
      <c r="CX65" s="907">
        <v>28.34</v>
      </c>
      <c r="CY65" s="907">
        <v>28.45</v>
      </c>
      <c r="CZ65" s="907">
        <v>28.55</v>
      </c>
      <c r="DA65" s="907">
        <v>28.65</v>
      </c>
      <c r="DB65" s="907">
        <v>28.75</v>
      </c>
      <c r="DC65" s="907">
        <v>28.85</v>
      </c>
      <c r="DD65" s="907">
        <v>28.95</v>
      </c>
      <c r="DE65" s="907">
        <v>29.049999999999997</v>
      </c>
      <c r="DF65" s="907">
        <v>29.15</v>
      </c>
      <c r="DG65" s="907">
        <v>29.25</v>
      </c>
      <c r="DH65" s="907">
        <v>29.344999999999999</v>
      </c>
      <c r="DI65" s="907">
        <v>29.445</v>
      </c>
      <c r="DJ65" s="907">
        <v>29.54</v>
      </c>
      <c r="DK65" s="907">
        <v>29.634999999999998</v>
      </c>
      <c r="DL65" s="907">
        <v>29.729999999999997</v>
      </c>
      <c r="DM65" s="907">
        <v>29.825000000000003</v>
      </c>
      <c r="DN65" s="907">
        <v>29.914999999999999</v>
      </c>
      <c r="DO65" s="907">
        <v>30.009999999999998</v>
      </c>
      <c r="DP65" s="907">
        <v>30.1</v>
      </c>
      <c r="DQ65" s="907">
        <v>30.189999999999998</v>
      </c>
      <c r="DR65" s="907">
        <v>30.28</v>
      </c>
    </row>
    <row r="66" spans="1:122" s="127" customFormat="1" ht="12.75">
      <c r="A66" s="911">
        <v>64</v>
      </c>
      <c r="B66" s="907"/>
      <c r="C66" s="907"/>
      <c r="D66" s="907"/>
      <c r="E66" s="907"/>
      <c r="F66" s="907"/>
      <c r="G66" s="907"/>
      <c r="H66" s="907"/>
      <c r="I66" s="907"/>
      <c r="J66" s="907"/>
      <c r="K66" s="907"/>
      <c r="L66" s="907"/>
      <c r="M66" s="907"/>
      <c r="N66" s="907"/>
      <c r="O66" s="907"/>
      <c r="P66" s="907"/>
      <c r="Q66" s="907"/>
      <c r="R66" s="907"/>
      <c r="S66" s="907"/>
      <c r="T66" s="907"/>
      <c r="U66" s="907"/>
      <c r="V66" s="907"/>
      <c r="W66" s="907">
        <v>17.734999999999999</v>
      </c>
      <c r="X66" s="907">
        <v>17.91</v>
      </c>
      <c r="Y66" s="907">
        <v>18.059999999999999</v>
      </c>
      <c r="Z66" s="907">
        <v>18.240000000000002</v>
      </c>
      <c r="AA66" s="907">
        <v>18.380000000000003</v>
      </c>
      <c r="AB66" s="907">
        <v>18.555</v>
      </c>
      <c r="AC66" s="907">
        <v>18.66</v>
      </c>
      <c r="AD66" s="907">
        <v>18.73</v>
      </c>
      <c r="AE66" s="907">
        <v>18.880000000000003</v>
      </c>
      <c r="AF66" s="907">
        <v>19.074999999999999</v>
      </c>
      <c r="AG66" s="907">
        <v>19.244999999999997</v>
      </c>
      <c r="AH66" s="907">
        <v>19.454999999999998</v>
      </c>
      <c r="AI66" s="907">
        <v>19.64</v>
      </c>
      <c r="AJ66" s="907">
        <v>19.84</v>
      </c>
      <c r="AK66" s="907">
        <v>20.049999999999997</v>
      </c>
      <c r="AL66" s="907">
        <v>20.274999999999999</v>
      </c>
      <c r="AM66" s="907">
        <v>20.47</v>
      </c>
      <c r="AN66" s="907">
        <v>20.625</v>
      </c>
      <c r="AO66" s="907">
        <v>20.75</v>
      </c>
      <c r="AP66" s="907">
        <v>20.84</v>
      </c>
      <c r="AQ66" s="907">
        <v>20.93</v>
      </c>
      <c r="AR66" s="907">
        <v>21.009999999999998</v>
      </c>
      <c r="AS66" s="907">
        <v>21.065000000000001</v>
      </c>
      <c r="AT66" s="907">
        <v>21.1</v>
      </c>
      <c r="AU66" s="907">
        <v>21.164999999999999</v>
      </c>
      <c r="AV66" s="907">
        <v>21.225000000000001</v>
      </c>
      <c r="AW66" s="907">
        <v>21.380000000000003</v>
      </c>
      <c r="AX66" s="907">
        <v>21.45</v>
      </c>
      <c r="AY66" s="907">
        <v>21.564999999999998</v>
      </c>
      <c r="AZ66" s="907">
        <v>21.664999999999999</v>
      </c>
      <c r="BA66" s="907">
        <v>21.774999999999999</v>
      </c>
      <c r="BB66" s="907">
        <v>21.89</v>
      </c>
      <c r="BC66" s="907">
        <v>22.009999999999998</v>
      </c>
      <c r="BD66" s="907">
        <v>22.134999999999998</v>
      </c>
      <c r="BE66" s="907">
        <v>22.27</v>
      </c>
      <c r="BF66" s="907">
        <v>22.395</v>
      </c>
      <c r="BG66" s="907">
        <v>22.52</v>
      </c>
      <c r="BH66" s="907">
        <v>22.65</v>
      </c>
      <c r="BI66" s="907">
        <v>22.774999999999999</v>
      </c>
      <c r="BJ66" s="907">
        <v>22.9</v>
      </c>
      <c r="BK66" s="907">
        <v>23.024999999999999</v>
      </c>
      <c r="BL66" s="907">
        <v>23.15</v>
      </c>
      <c r="BM66" s="907">
        <v>23.274999999999999</v>
      </c>
      <c r="BN66" s="907">
        <v>23.395</v>
      </c>
      <c r="BO66" s="907">
        <v>23.52</v>
      </c>
      <c r="BP66" s="907">
        <v>23.64</v>
      </c>
      <c r="BQ66" s="907">
        <v>23.765000000000001</v>
      </c>
      <c r="BR66" s="907">
        <v>23.884999999999998</v>
      </c>
      <c r="BS66" s="907">
        <v>24.005000000000003</v>
      </c>
      <c r="BT66" s="908">
        <v>24.125</v>
      </c>
      <c r="BU66" s="907">
        <v>24.245000000000001</v>
      </c>
      <c r="BV66" s="907">
        <v>24.365000000000002</v>
      </c>
      <c r="BW66" s="907">
        <v>24.48</v>
      </c>
      <c r="BX66" s="907">
        <v>24.6</v>
      </c>
      <c r="BY66" s="907">
        <v>24.715</v>
      </c>
      <c r="BZ66" s="907">
        <v>24.835000000000001</v>
      </c>
      <c r="CA66" s="907">
        <v>24.950000000000003</v>
      </c>
      <c r="CB66" s="907">
        <v>25.064999999999998</v>
      </c>
      <c r="CC66" s="907">
        <v>25.18</v>
      </c>
      <c r="CD66" s="907">
        <v>25.295000000000002</v>
      </c>
      <c r="CE66" s="907">
        <v>25.41</v>
      </c>
      <c r="CF66" s="907">
        <v>25.52</v>
      </c>
      <c r="CG66" s="907">
        <v>25.634999999999998</v>
      </c>
      <c r="CH66" s="907">
        <v>25.745000000000001</v>
      </c>
      <c r="CI66" s="907">
        <v>25.86</v>
      </c>
      <c r="CJ66" s="907">
        <v>25.97</v>
      </c>
      <c r="CK66" s="907">
        <v>26.08</v>
      </c>
      <c r="CL66" s="907">
        <v>26.189999999999998</v>
      </c>
      <c r="CM66" s="907">
        <v>26.3</v>
      </c>
      <c r="CN66" s="907">
        <v>26.41</v>
      </c>
      <c r="CO66" s="907">
        <v>26.509999999999998</v>
      </c>
      <c r="CP66" s="907">
        <v>26.62</v>
      </c>
      <c r="CQ66" s="907">
        <v>26.729999999999997</v>
      </c>
      <c r="CR66" s="907">
        <v>26.83</v>
      </c>
      <c r="CS66" s="907">
        <v>26.939999999999998</v>
      </c>
      <c r="CT66" s="907">
        <v>27.04</v>
      </c>
      <c r="CU66" s="907">
        <v>27.15</v>
      </c>
      <c r="CV66" s="907">
        <v>27.25</v>
      </c>
      <c r="CW66" s="907">
        <v>27.35</v>
      </c>
      <c r="CX66" s="907">
        <v>27.454999999999998</v>
      </c>
      <c r="CY66" s="907">
        <v>27.56</v>
      </c>
      <c r="CZ66" s="907">
        <v>27.66</v>
      </c>
      <c r="DA66" s="907">
        <v>27.76</v>
      </c>
      <c r="DB66" s="907">
        <v>27.86</v>
      </c>
      <c r="DC66" s="907">
        <v>27.96</v>
      </c>
      <c r="DD66" s="907">
        <v>28.049999999999997</v>
      </c>
      <c r="DE66" s="907">
        <v>28.15</v>
      </c>
      <c r="DF66" s="907">
        <v>28.25</v>
      </c>
      <c r="DG66" s="907">
        <v>28.344999999999999</v>
      </c>
      <c r="DH66" s="907">
        <v>28.44</v>
      </c>
      <c r="DI66" s="907">
        <v>28.54</v>
      </c>
      <c r="DJ66" s="907">
        <v>28.63</v>
      </c>
      <c r="DK66" s="907">
        <v>28.725000000000001</v>
      </c>
      <c r="DL66" s="907">
        <v>28.82</v>
      </c>
      <c r="DM66" s="907">
        <v>28.91</v>
      </c>
      <c r="DN66" s="907">
        <v>29.004999999999999</v>
      </c>
      <c r="DO66" s="907">
        <v>29.094999999999999</v>
      </c>
      <c r="DP66" s="907">
        <v>29.184999999999999</v>
      </c>
      <c r="DQ66" s="907">
        <v>29.274999999999999</v>
      </c>
      <c r="DR66" s="907">
        <v>29.365000000000002</v>
      </c>
    </row>
    <row r="67" spans="1:122" s="127" customFormat="1" ht="12.75">
      <c r="A67" s="911">
        <v>65</v>
      </c>
      <c r="B67" s="907"/>
      <c r="C67" s="907"/>
      <c r="D67" s="907"/>
      <c r="E67" s="907"/>
      <c r="F67" s="907"/>
      <c r="G67" s="907"/>
      <c r="H67" s="907"/>
      <c r="I67" s="907"/>
      <c r="J67" s="907"/>
      <c r="K67" s="907"/>
      <c r="L67" s="907"/>
      <c r="M67" s="907"/>
      <c r="N67" s="907"/>
      <c r="O67" s="907"/>
      <c r="P67" s="907"/>
      <c r="Q67" s="907"/>
      <c r="R67" s="907"/>
      <c r="S67" s="907"/>
      <c r="T67" s="907"/>
      <c r="U67" s="907"/>
      <c r="V67" s="907"/>
      <c r="W67" s="907">
        <v>17.03</v>
      </c>
      <c r="X67" s="907">
        <v>17.204999999999998</v>
      </c>
      <c r="Y67" s="907">
        <v>17.350000000000001</v>
      </c>
      <c r="Z67" s="907">
        <v>17.53</v>
      </c>
      <c r="AA67" s="907">
        <v>17.675000000000001</v>
      </c>
      <c r="AB67" s="907">
        <v>17.850000000000001</v>
      </c>
      <c r="AC67" s="907">
        <v>17.955000000000002</v>
      </c>
      <c r="AD67" s="907">
        <v>18.024999999999999</v>
      </c>
      <c r="AE67" s="907">
        <v>18.170000000000002</v>
      </c>
      <c r="AF67" s="907">
        <v>18.365000000000002</v>
      </c>
      <c r="AG67" s="907">
        <v>18.53</v>
      </c>
      <c r="AH67" s="907">
        <v>18.725000000000001</v>
      </c>
      <c r="AI67" s="907">
        <v>18.905000000000001</v>
      </c>
      <c r="AJ67" s="907">
        <v>19.094999999999999</v>
      </c>
      <c r="AK67" s="907">
        <v>19.305</v>
      </c>
      <c r="AL67" s="907">
        <v>19.52</v>
      </c>
      <c r="AM67" s="907">
        <v>19.704999999999998</v>
      </c>
      <c r="AN67" s="907">
        <v>19.86</v>
      </c>
      <c r="AO67" s="907">
        <v>19.975000000000001</v>
      </c>
      <c r="AP67" s="907">
        <v>20.055</v>
      </c>
      <c r="AQ67" s="907">
        <v>20.14</v>
      </c>
      <c r="AR67" s="907">
        <v>20.23</v>
      </c>
      <c r="AS67" s="907">
        <v>20.274999999999999</v>
      </c>
      <c r="AT67" s="907">
        <v>20.32</v>
      </c>
      <c r="AU67" s="907">
        <v>20.385000000000002</v>
      </c>
      <c r="AV67" s="907">
        <v>20.45</v>
      </c>
      <c r="AW67" s="907">
        <v>20.594999999999999</v>
      </c>
      <c r="AX67" s="907">
        <v>20.68</v>
      </c>
      <c r="AY67" s="907">
        <v>20.784999999999997</v>
      </c>
      <c r="AZ67" s="907">
        <v>20.89</v>
      </c>
      <c r="BA67" s="907">
        <v>21</v>
      </c>
      <c r="BB67" s="907">
        <v>21.115000000000002</v>
      </c>
      <c r="BC67" s="907">
        <v>21.244999999999997</v>
      </c>
      <c r="BD67" s="907">
        <v>21.37</v>
      </c>
      <c r="BE67" s="907">
        <v>21.490000000000002</v>
      </c>
      <c r="BF67" s="907">
        <v>21.615000000000002</v>
      </c>
      <c r="BG67" s="907">
        <v>21.74</v>
      </c>
      <c r="BH67" s="907">
        <v>21.865000000000002</v>
      </c>
      <c r="BI67" s="907">
        <v>21.984999999999999</v>
      </c>
      <c r="BJ67" s="907">
        <v>22.11</v>
      </c>
      <c r="BK67" s="907">
        <v>22.23</v>
      </c>
      <c r="BL67" s="907">
        <v>22.35</v>
      </c>
      <c r="BM67" s="907">
        <v>22.47</v>
      </c>
      <c r="BN67" s="907">
        <v>22.594999999999999</v>
      </c>
      <c r="BO67" s="907">
        <v>22.715</v>
      </c>
      <c r="BP67" s="907">
        <v>22.835000000000001</v>
      </c>
      <c r="BQ67" s="907">
        <v>22.954999999999998</v>
      </c>
      <c r="BR67" s="907">
        <v>23.065000000000001</v>
      </c>
      <c r="BS67" s="907">
        <v>23.185000000000002</v>
      </c>
      <c r="BT67" s="908">
        <v>23.305</v>
      </c>
      <c r="BU67" s="907">
        <v>23.424999999999997</v>
      </c>
      <c r="BV67" s="907">
        <v>23.54</v>
      </c>
      <c r="BW67" s="907">
        <v>23.655000000000001</v>
      </c>
      <c r="BX67" s="907">
        <v>23.77</v>
      </c>
      <c r="BY67" s="907">
        <v>23.884999999999998</v>
      </c>
      <c r="BZ67" s="907">
        <v>24</v>
      </c>
      <c r="CA67" s="907">
        <v>24.11</v>
      </c>
      <c r="CB67" s="907">
        <v>24.23</v>
      </c>
      <c r="CC67" s="907">
        <v>24.34</v>
      </c>
      <c r="CD67" s="907">
        <v>24.450000000000003</v>
      </c>
      <c r="CE67" s="907">
        <v>24.56</v>
      </c>
      <c r="CF67" s="907">
        <v>24.67</v>
      </c>
      <c r="CG67" s="907">
        <v>24.78</v>
      </c>
      <c r="CH67" s="907">
        <v>24.89</v>
      </c>
      <c r="CI67" s="907">
        <v>25</v>
      </c>
      <c r="CJ67" s="907">
        <v>25.11</v>
      </c>
      <c r="CK67" s="907">
        <v>25.22</v>
      </c>
      <c r="CL67" s="907">
        <v>25.325000000000003</v>
      </c>
      <c r="CM67" s="907">
        <v>25.434999999999999</v>
      </c>
      <c r="CN67" s="907">
        <v>25.54</v>
      </c>
      <c r="CO67" s="907">
        <v>25.645</v>
      </c>
      <c r="CP67" s="907">
        <v>25.754999999999999</v>
      </c>
      <c r="CQ67" s="907">
        <v>25.855</v>
      </c>
      <c r="CR67" s="907">
        <v>25.954999999999998</v>
      </c>
      <c r="CS67" s="907">
        <v>26.064999999999998</v>
      </c>
      <c r="CT67" s="907">
        <v>26.164999999999999</v>
      </c>
      <c r="CU67" s="907">
        <v>26.265000000000001</v>
      </c>
      <c r="CV67" s="907">
        <v>26.37</v>
      </c>
      <c r="CW67" s="907">
        <v>26.47</v>
      </c>
      <c r="CX67" s="907">
        <v>26.57</v>
      </c>
      <c r="CY67" s="907">
        <v>26.67</v>
      </c>
      <c r="CZ67" s="907">
        <v>26.77</v>
      </c>
      <c r="DA67" s="907">
        <v>26.869999999999997</v>
      </c>
      <c r="DB67" s="907">
        <v>26.97</v>
      </c>
      <c r="DC67" s="907">
        <v>27.060000000000002</v>
      </c>
      <c r="DD67" s="907">
        <v>27.16</v>
      </c>
      <c r="DE67" s="907">
        <v>27.255000000000003</v>
      </c>
      <c r="DF67" s="907">
        <v>27.35</v>
      </c>
      <c r="DG67" s="907">
        <v>27.445</v>
      </c>
      <c r="DH67" s="907">
        <v>27.54</v>
      </c>
      <c r="DI67" s="907">
        <v>27.634999999999998</v>
      </c>
      <c r="DJ67" s="907">
        <v>27.725000000000001</v>
      </c>
      <c r="DK67" s="907">
        <v>27.815000000000001</v>
      </c>
      <c r="DL67" s="907">
        <v>27.91</v>
      </c>
      <c r="DM67" s="907">
        <v>28</v>
      </c>
      <c r="DN67" s="907">
        <v>28.09</v>
      </c>
      <c r="DO67" s="907">
        <v>28.18</v>
      </c>
      <c r="DP67" s="907">
        <v>28.270000000000003</v>
      </c>
      <c r="DQ67" s="907">
        <v>28.36</v>
      </c>
      <c r="DR67" s="907">
        <v>28.450000000000003</v>
      </c>
    </row>
    <row r="68" spans="1:122" s="127" customFormat="1" ht="12.75">
      <c r="A68" s="911">
        <v>66</v>
      </c>
      <c r="B68" s="907"/>
      <c r="C68" s="907"/>
      <c r="D68" s="907"/>
      <c r="E68" s="907"/>
      <c r="F68" s="907"/>
      <c r="G68" s="907"/>
      <c r="H68" s="907"/>
      <c r="I68" s="907"/>
      <c r="J68" s="907"/>
      <c r="K68" s="907"/>
      <c r="L68" s="907"/>
      <c r="M68" s="907"/>
      <c r="N68" s="907"/>
      <c r="O68" s="907"/>
      <c r="P68" s="907"/>
      <c r="Q68" s="907"/>
      <c r="R68" s="907"/>
      <c r="S68" s="907"/>
      <c r="T68" s="907"/>
      <c r="U68" s="907"/>
      <c r="V68" s="907"/>
      <c r="W68" s="907">
        <v>16.355</v>
      </c>
      <c r="X68" s="907">
        <v>16.515000000000001</v>
      </c>
      <c r="Y68" s="907">
        <v>16.66</v>
      </c>
      <c r="Z68" s="907">
        <v>16.844999999999999</v>
      </c>
      <c r="AA68" s="907">
        <v>16.984999999999999</v>
      </c>
      <c r="AB68" s="907">
        <v>17.155000000000001</v>
      </c>
      <c r="AC68" s="907">
        <v>17.254999999999999</v>
      </c>
      <c r="AD68" s="907">
        <v>17.324999999999999</v>
      </c>
      <c r="AE68" s="907">
        <v>17.47</v>
      </c>
      <c r="AF68" s="907">
        <v>17.669999999999998</v>
      </c>
      <c r="AG68" s="907">
        <v>17.82</v>
      </c>
      <c r="AH68" s="907">
        <v>18.004999999999999</v>
      </c>
      <c r="AI68" s="907">
        <v>18.18</v>
      </c>
      <c r="AJ68" s="907">
        <v>18.36</v>
      </c>
      <c r="AK68" s="907">
        <v>18.555</v>
      </c>
      <c r="AL68" s="907">
        <v>18.77</v>
      </c>
      <c r="AM68" s="907">
        <v>18.95</v>
      </c>
      <c r="AN68" s="907">
        <v>19.094999999999999</v>
      </c>
      <c r="AO68" s="907">
        <v>19.204999999999998</v>
      </c>
      <c r="AP68" s="907">
        <v>19.28</v>
      </c>
      <c r="AQ68" s="907">
        <v>19.365000000000002</v>
      </c>
      <c r="AR68" s="907">
        <v>19.45</v>
      </c>
      <c r="AS68" s="907">
        <v>19.504999999999999</v>
      </c>
      <c r="AT68" s="907">
        <v>19.545000000000002</v>
      </c>
      <c r="AU68" s="907">
        <v>19.615000000000002</v>
      </c>
      <c r="AV68" s="907">
        <v>19.685000000000002</v>
      </c>
      <c r="AW68" s="907">
        <v>19.829999999999998</v>
      </c>
      <c r="AX68" s="907">
        <v>19.905000000000001</v>
      </c>
      <c r="AY68" s="907">
        <v>20.015000000000001</v>
      </c>
      <c r="AZ68" s="907">
        <v>20.130000000000003</v>
      </c>
      <c r="BA68" s="907">
        <v>20.234999999999999</v>
      </c>
      <c r="BB68" s="907">
        <v>20.354999999999997</v>
      </c>
      <c r="BC68" s="907">
        <v>20.48</v>
      </c>
      <c r="BD68" s="907">
        <v>20.6</v>
      </c>
      <c r="BE68" s="907">
        <v>20.725000000000001</v>
      </c>
      <c r="BF68" s="907">
        <v>20.84</v>
      </c>
      <c r="BG68" s="907">
        <v>20.96</v>
      </c>
      <c r="BH68" s="907">
        <v>21.085000000000001</v>
      </c>
      <c r="BI68" s="907">
        <v>21.204999999999998</v>
      </c>
      <c r="BJ68" s="907">
        <v>21.324999999999999</v>
      </c>
      <c r="BK68" s="907">
        <v>21.44</v>
      </c>
      <c r="BL68" s="907">
        <v>21.560000000000002</v>
      </c>
      <c r="BM68" s="907">
        <v>21.68</v>
      </c>
      <c r="BN68" s="907">
        <v>21.795000000000002</v>
      </c>
      <c r="BO68" s="907">
        <v>21.914999999999999</v>
      </c>
      <c r="BP68" s="907">
        <v>22.03</v>
      </c>
      <c r="BQ68" s="907">
        <v>22.145</v>
      </c>
      <c r="BR68" s="907">
        <v>22.265000000000001</v>
      </c>
      <c r="BS68" s="907">
        <v>22.375</v>
      </c>
      <c r="BT68" s="908">
        <v>22.490000000000002</v>
      </c>
      <c r="BU68" s="907">
        <v>22.61</v>
      </c>
      <c r="BV68" s="907">
        <v>22.72</v>
      </c>
      <c r="BW68" s="907">
        <v>22.83</v>
      </c>
      <c r="BX68" s="907">
        <v>22.945</v>
      </c>
      <c r="BY68" s="907">
        <v>23.055</v>
      </c>
      <c r="BZ68" s="907">
        <v>23.164999999999999</v>
      </c>
      <c r="CA68" s="907">
        <v>23.285</v>
      </c>
      <c r="CB68" s="907">
        <v>23.39</v>
      </c>
      <c r="CC68" s="907">
        <v>23.5</v>
      </c>
      <c r="CD68" s="907">
        <v>23.61</v>
      </c>
      <c r="CE68" s="907">
        <v>23.72</v>
      </c>
      <c r="CF68" s="907">
        <v>23.83</v>
      </c>
      <c r="CG68" s="907">
        <v>23.939999999999998</v>
      </c>
      <c r="CH68" s="907">
        <v>24.045000000000002</v>
      </c>
      <c r="CI68" s="907">
        <v>24.15</v>
      </c>
      <c r="CJ68" s="907">
        <v>24.255000000000003</v>
      </c>
      <c r="CK68" s="907">
        <v>24.365000000000002</v>
      </c>
      <c r="CL68" s="907">
        <v>24.465</v>
      </c>
      <c r="CM68" s="907">
        <v>24.575000000000003</v>
      </c>
      <c r="CN68" s="907">
        <v>24.68</v>
      </c>
      <c r="CO68" s="907">
        <v>24.78</v>
      </c>
      <c r="CP68" s="907">
        <v>24.885000000000002</v>
      </c>
      <c r="CQ68" s="907">
        <v>24.990000000000002</v>
      </c>
      <c r="CR68" s="907">
        <v>25.09</v>
      </c>
      <c r="CS68" s="907">
        <v>25.189999999999998</v>
      </c>
      <c r="CT68" s="907">
        <v>25.29</v>
      </c>
      <c r="CU68" s="907">
        <v>25.39</v>
      </c>
      <c r="CV68" s="907">
        <v>25.495000000000001</v>
      </c>
      <c r="CW68" s="907">
        <v>25.594999999999999</v>
      </c>
      <c r="CX68" s="907">
        <v>25.684999999999999</v>
      </c>
      <c r="CY68" s="907">
        <v>25.784999999999997</v>
      </c>
      <c r="CZ68" s="907">
        <v>25.884999999999998</v>
      </c>
      <c r="DA68" s="907">
        <v>25.98</v>
      </c>
      <c r="DB68" s="907">
        <v>26.08</v>
      </c>
      <c r="DC68" s="907">
        <v>26.17</v>
      </c>
      <c r="DD68" s="907">
        <v>26.27</v>
      </c>
      <c r="DE68" s="907">
        <v>26.36</v>
      </c>
      <c r="DF68" s="907">
        <v>26.454999999999998</v>
      </c>
      <c r="DG68" s="907">
        <v>26.545000000000002</v>
      </c>
      <c r="DH68" s="907">
        <v>26.645</v>
      </c>
      <c r="DI68" s="907">
        <v>26.734999999999999</v>
      </c>
      <c r="DJ68" s="907">
        <v>26.824999999999999</v>
      </c>
      <c r="DK68" s="907">
        <v>26.914999999999999</v>
      </c>
      <c r="DL68" s="907">
        <v>27.01</v>
      </c>
      <c r="DM68" s="907">
        <v>27.094999999999999</v>
      </c>
      <c r="DN68" s="907">
        <v>27.185000000000002</v>
      </c>
      <c r="DO68" s="907">
        <v>27.274999999999999</v>
      </c>
      <c r="DP68" s="907">
        <v>27.365000000000002</v>
      </c>
      <c r="DQ68" s="907">
        <v>27.445</v>
      </c>
      <c r="DR68" s="907">
        <v>27.535</v>
      </c>
    </row>
    <row r="69" spans="1:122" s="127" customFormat="1" ht="12.75">
      <c r="A69" s="911">
        <v>67</v>
      </c>
      <c r="B69" s="907"/>
      <c r="C69" s="907"/>
      <c r="D69" s="907"/>
      <c r="E69" s="907"/>
      <c r="F69" s="907"/>
      <c r="G69" s="907"/>
      <c r="H69" s="907"/>
      <c r="I69" s="907"/>
      <c r="J69" s="907"/>
      <c r="K69" s="907"/>
      <c r="L69" s="907"/>
      <c r="M69" s="907"/>
      <c r="N69" s="907"/>
      <c r="O69" s="907"/>
      <c r="P69" s="907"/>
      <c r="Q69" s="907"/>
      <c r="R69" s="907"/>
      <c r="S69" s="907"/>
      <c r="T69" s="907"/>
      <c r="U69" s="907"/>
      <c r="V69" s="907"/>
      <c r="W69" s="907">
        <v>15.675000000000001</v>
      </c>
      <c r="X69" s="907">
        <v>15.835000000000001</v>
      </c>
      <c r="Y69" s="907">
        <v>15.984999999999999</v>
      </c>
      <c r="Z69" s="907">
        <v>16.170000000000002</v>
      </c>
      <c r="AA69" s="907">
        <v>16.299999999999997</v>
      </c>
      <c r="AB69" s="907">
        <v>16.465</v>
      </c>
      <c r="AC69" s="907">
        <v>16.57</v>
      </c>
      <c r="AD69" s="907">
        <v>16.64</v>
      </c>
      <c r="AE69" s="907">
        <v>16.785</v>
      </c>
      <c r="AF69" s="907">
        <v>16.965</v>
      </c>
      <c r="AG69" s="907">
        <v>17.119999999999997</v>
      </c>
      <c r="AH69" s="907">
        <v>17.295000000000002</v>
      </c>
      <c r="AI69" s="907">
        <v>17.46</v>
      </c>
      <c r="AJ69" s="907">
        <v>17.63</v>
      </c>
      <c r="AK69" s="907">
        <v>17.825000000000003</v>
      </c>
      <c r="AL69" s="907">
        <v>18.03</v>
      </c>
      <c r="AM69" s="907">
        <v>18.204999999999998</v>
      </c>
      <c r="AN69" s="907">
        <v>18.335000000000001</v>
      </c>
      <c r="AO69" s="907">
        <v>18.440000000000001</v>
      </c>
      <c r="AP69" s="907">
        <v>18.520000000000003</v>
      </c>
      <c r="AQ69" s="907">
        <v>18.600000000000001</v>
      </c>
      <c r="AR69" s="907">
        <v>18.68</v>
      </c>
      <c r="AS69" s="907">
        <v>18.734999999999999</v>
      </c>
      <c r="AT69" s="907">
        <v>18.785</v>
      </c>
      <c r="AU69" s="907">
        <v>18.850000000000001</v>
      </c>
      <c r="AV69" s="907">
        <v>18.925000000000001</v>
      </c>
      <c r="AW69" s="907">
        <v>19.064999999999998</v>
      </c>
      <c r="AX69" s="907">
        <v>19.149999999999999</v>
      </c>
      <c r="AY69" s="907">
        <v>19.260000000000002</v>
      </c>
      <c r="AZ69" s="907">
        <v>19.369999999999997</v>
      </c>
      <c r="BA69" s="907">
        <v>19.484999999999999</v>
      </c>
      <c r="BB69" s="907">
        <v>19.600000000000001</v>
      </c>
      <c r="BC69" s="907">
        <v>19.72</v>
      </c>
      <c r="BD69" s="907">
        <v>19.84</v>
      </c>
      <c r="BE69" s="907">
        <v>19.96</v>
      </c>
      <c r="BF69" s="907">
        <v>20.074999999999999</v>
      </c>
      <c r="BG69" s="907">
        <v>20.195</v>
      </c>
      <c r="BH69" s="907">
        <v>20.310000000000002</v>
      </c>
      <c r="BI69" s="907">
        <v>20.43</v>
      </c>
      <c r="BJ69" s="907">
        <v>20.545000000000002</v>
      </c>
      <c r="BK69" s="907">
        <v>20.66</v>
      </c>
      <c r="BL69" s="907">
        <v>20.774999999999999</v>
      </c>
      <c r="BM69" s="907">
        <v>20.89</v>
      </c>
      <c r="BN69" s="907">
        <v>21</v>
      </c>
      <c r="BO69" s="907">
        <v>21.12</v>
      </c>
      <c r="BP69" s="907">
        <v>21.234999999999999</v>
      </c>
      <c r="BQ69" s="907">
        <v>21.344999999999999</v>
      </c>
      <c r="BR69" s="907">
        <v>21.46</v>
      </c>
      <c r="BS69" s="907">
        <v>21.57</v>
      </c>
      <c r="BT69" s="908">
        <v>21.68</v>
      </c>
      <c r="BU69" s="907">
        <v>21.795000000000002</v>
      </c>
      <c r="BV69" s="907">
        <v>21.905000000000001</v>
      </c>
      <c r="BW69" s="907">
        <v>22.015000000000001</v>
      </c>
      <c r="BX69" s="907">
        <v>22.125</v>
      </c>
      <c r="BY69" s="907">
        <v>22.234999999999999</v>
      </c>
      <c r="BZ69" s="907">
        <v>22.35</v>
      </c>
      <c r="CA69" s="907">
        <v>22.454999999999998</v>
      </c>
      <c r="CB69" s="907">
        <v>22.565000000000001</v>
      </c>
      <c r="CC69" s="907">
        <v>22.67</v>
      </c>
      <c r="CD69" s="907">
        <v>22.774999999999999</v>
      </c>
      <c r="CE69" s="907">
        <v>22.884999999999998</v>
      </c>
      <c r="CF69" s="907">
        <v>22.99</v>
      </c>
      <c r="CG69" s="907">
        <v>23.1</v>
      </c>
      <c r="CH69" s="907">
        <v>23.2</v>
      </c>
      <c r="CI69" s="907">
        <v>23.305</v>
      </c>
      <c r="CJ69" s="907">
        <v>23.405000000000001</v>
      </c>
      <c r="CK69" s="907">
        <v>23.515000000000001</v>
      </c>
      <c r="CL69" s="907">
        <v>23.614999999999998</v>
      </c>
      <c r="CM69" s="907">
        <v>23.72</v>
      </c>
      <c r="CN69" s="907">
        <v>23.82</v>
      </c>
      <c r="CO69" s="907">
        <v>23.92</v>
      </c>
      <c r="CP69" s="907">
        <v>24.024999999999999</v>
      </c>
      <c r="CQ69" s="907">
        <v>24.125</v>
      </c>
      <c r="CR69" s="907">
        <v>24.225000000000001</v>
      </c>
      <c r="CS69" s="907">
        <v>24.325000000000003</v>
      </c>
      <c r="CT69" s="907">
        <v>24.42</v>
      </c>
      <c r="CU69" s="907">
        <v>24.52</v>
      </c>
      <c r="CV69" s="907">
        <v>24.62</v>
      </c>
      <c r="CW69" s="907">
        <v>24.715</v>
      </c>
      <c r="CX69" s="907">
        <v>24.81</v>
      </c>
      <c r="CY69" s="907">
        <v>24.905000000000001</v>
      </c>
      <c r="CZ69" s="907">
        <v>25.005000000000003</v>
      </c>
      <c r="DA69" s="907">
        <v>25.094999999999999</v>
      </c>
      <c r="DB69" s="907">
        <v>25.189999999999998</v>
      </c>
      <c r="DC69" s="907">
        <v>25.285</v>
      </c>
      <c r="DD69" s="907">
        <v>25.380000000000003</v>
      </c>
      <c r="DE69" s="907">
        <v>25.47</v>
      </c>
      <c r="DF69" s="907">
        <v>25.564999999999998</v>
      </c>
      <c r="DG69" s="907">
        <v>25.655000000000001</v>
      </c>
      <c r="DH69" s="907">
        <v>25.744999999999997</v>
      </c>
      <c r="DI69" s="907">
        <v>25.835000000000001</v>
      </c>
      <c r="DJ69" s="907">
        <v>25.925000000000001</v>
      </c>
      <c r="DK69" s="907">
        <v>26.015000000000001</v>
      </c>
      <c r="DL69" s="907">
        <v>26.105</v>
      </c>
      <c r="DM69" s="907">
        <v>26.195</v>
      </c>
      <c r="DN69" s="907">
        <v>26.28</v>
      </c>
      <c r="DO69" s="907">
        <v>26.364999999999998</v>
      </c>
      <c r="DP69" s="907">
        <v>26.450000000000003</v>
      </c>
      <c r="DQ69" s="907">
        <v>26.54</v>
      </c>
      <c r="DR69" s="907">
        <v>26.625</v>
      </c>
    </row>
    <row r="70" spans="1:122" s="127" customFormat="1" ht="12.75">
      <c r="A70" s="911">
        <v>68</v>
      </c>
      <c r="B70" s="907"/>
      <c r="C70" s="907"/>
      <c r="D70" s="907"/>
      <c r="E70" s="907"/>
      <c r="F70" s="907"/>
      <c r="G70" s="907"/>
      <c r="H70" s="907"/>
      <c r="I70" s="907"/>
      <c r="J70" s="907"/>
      <c r="K70" s="907"/>
      <c r="L70" s="907"/>
      <c r="M70" s="907"/>
      <c r="N70" s="907"/>
      <c r="O70" s="907"/>
      <c r="P70" s="907"/>
      <c r="Q70" s="907"/>
      <c r="R70" s="907"/>
      <c r="S70" s="907"/>
      <c r="T70" s="907"/>
      <c r="U70" s="907"/>
      <c r="V70" s="907"/>
      <c r="W70" s="907">
        <v>15.015000000000001</v>
      </c>
      <c r="X70" s="907">
        <v>15.175000000000001</v>
      </c>
      <c r="Y70" s="907">
        <v>15.32</v>
      </c>
      <c r="Z70" s="907">
        <v>15.505000000000001</v>
      </c>
      <c r="AA70" s="907">
        <v>15.629999999999999</v>
      </c>
      <c r="AB70" s="907">
        <v>15.79</v>
      </c>
      <c r="AC70" s="907">
        <v>15.895</v>
      </c>
      <c r="AD70" s="907">
        <v>15.969999999999999</v>
      </c>
      <c r="AE70" s="907">
        <v>16.094999999999999</v>
      </c>
      <c r="AF70" s="907">
        <v>16.274999999999999</v>
      </c>
      <c r="AG70" s="907">
        <v>16.420000000000002</v>
      </c>
      <c r="AH70" s="907">
        <v>16.59</v>
      </c>
      <c r="AI70" s="907">
        <v>16.744999999999997</v>
      </c>
      <c r="AJ70" s="907">
        <v>16.91</v>
      </c>
      <c r="AK70" s="907">
        <v>17.100000000000001</v>
      </c>
      <c r="AL70" s="907">
        <v>17.29</v>
      </c>
      <c r="AM70" s="907">
        <v>17.46</v>
      </c>
      <c r="AN70" s="907">
        <v>17.585000000000001</v>
      </c>
      <c r="AO70" s="907">
        <v>17.68</v>
      </c>
      <c r="AP70" s="907">
        <v>17.760000000000002</v>
      </c>
      <c r="AQ70" s="907">
        <v>17.840000000000003</v>
      </c>
      <c r="AR70" s="907">
        <v>17.914999999999999</v>
      </c>
      <c r="AS70" s="907">
        <v>17.975000000000001</v>
      </c>
      <c r="AT70" s="907">
        <v>18.03</v>
      </c>
      <c r="AU70" s="907">
        <v>18.094999999999999</v>
      </c>
      <c r="AV70" s="907">
        <v>18.174999999999997</v>
      </c>
      <c r="AW70" s="907">
        <v>18.314999999999998</v>
      </c>
      <c r="AX70" s="907">
        <v>18.405000000000001</v>
      </c>
      <c r="AY70" s="907">
        <v>18.509999999999998</v>
      </c>
      <c r="AZ70" s="907">
        <v>18.625</v>
      </c>
      <c r="BA70" s="907">
        <v>18.740000000000002</v>
      </c>
      <c r="BB70" s="907">
        <v>18.86</v>
      </c>
      <c r="BC70" s="907">
        <v>18.975000000000001</v>
      </c>
      <c r="BD70" s="907">
        <v>19.09</v>
      </c>
      <c r="BE70" s="907">
        <v>19.2</v>
      </c>
      <c r="BF70" s="907">
        <v>19.314999999999998</v>
      </c>
      <c r="BG70" s="907">
        <v>19.43</v>
      </c>
      <c r="BH70" s="907">
        <v>19.545000000000002</v>
      </c>
      <c r="BI70" s="907">
        <v>19.655000000000001</v>
      </c>
      <c r="BJ70" s="907">
        <v>19.77</v>
      </c>
      <c r="BK70" s="907">
        <v>19.880000000000003</v>
      </c>
      <c r="BL70" s="907">
        <v>19.994999999999997</v>
      </c>
      <c r="BM70" s="907">
        <v>20.105</v>
      </c>
      <c r="BN70" s="907">
        <v>20.22</v>
      </c>
      <c r="BO70" s="907">
        <v>20.329999999999998</v>
      </c>
      <c r="BP70" s="907">
        <v>20.439999999999998</v>
      </c>
      <c r="BQ70" s="907">
        <v>20.555</v>
      </c>
      <c r="BR70" s="907">
        <v>20.66</v>
      </c>
      <c r="BS70" s="907">
        <v>20.770000000000003</v>
      </c>
      <c r="BT70" s="908">
        <v>20.88</v>
      </c>
      <c r="BU70" s="907">
        <v>20.984999999999999</v>
      </c>
      <c r="BV70" s="907">
        <v>21.094999999999999</v>
      </c>
      <c r="BW70" s="907">
        <v>21.204999999999998</v>
      </c>
      <c r="BX70" s="907">
        <v>21.310000000000002</v>
      </c>
      <c r="BY70" s="907">
        <v>21.42</v>
      </c>
      <c r="BZ70" s="907">
        <v>21.524999999999999</v>
      </c>
      <c r="CA70" s="907">
        <v>21.63</v>
      </c>
      <c r="CB70" s="907">
        <v>21.740000000000002</v>
      </c>
      <c r="CC70" s="907">
        <v>21.84</v>
      </c>
      <c r="CD70" s="907">
        <v>21.945</v>
      </c>
      <c r="CE70" s="907">
        <v>22.055</v>
      </c>
      <c r="CF70" s="907">
        <v>22.155000000000001</v>
      </c>
      <c r="CG70" s="907">
        <v>22.259999999999998</v>
      </c>
      <c r="CH70" s="907">
        <v>22.36</v>
      </c>
      <c r="CI70" s="907">
        <v>22.465</v>
      </c>
      <c r="CJ70" s="907">
        <v>22.564999999999998</v>
      </c>
      <c r="CK70" s="907">
        <v>22.664999999999999</v>
      </c>
      <c r="CL70" s="907">
        <v>22.77</v>
      </c>
      <c r="CM70" s="907">
        <v>22.869999999999997</v>
      </c>
      <c r="CN70" s="907">
        <v>22.965</v>
      </c>
      <c r="CO70" s="907">
        <v>23.064999999999998</v>
      </c>
      <c r="CP70" s="907">
        <v>23.164999999999999</v>
      </c>
      <c r="CQ70" s="907">
        <v>23.259999999999998</v>
      </c>
      <c r="CR70" s="907">
        <v>23.36</v>
      </c>
      <c r="CS70" s="907">
        <v>23.46</v>
      </c>
      <c r="CT70" s="907">
        <v>23.555</v>
      </c>
      <c r="CU70" s="907">
        <v>23.655000000000001</v>
      </c>
      <c r="CV70" s="907">
        <v>23.744999999999997</v>
      </c>
      <c r="CW70" s="907">
        <v>23.84</v>
      </c>
      <c r="CX70" s="907">
        <v>23.939999999999998</v>
      </c>
      <c r="CY70" s="907">
        <v>24.03</v>
      </c>
      <c r="CZ70" s="907">
        <v>24.125</v>
      </c>
      <c r="DA70" s="907">
        <v>24.215</v>
      </c>
      <c r="DB70" s="907">
        <v>24.310000000000002</v>
      </c>
      <c r="DC70" s="907">
        <v>24.4</v>
      </c>
      <c r="DD70" s="907">
        <v>24.490000000000002</v>
      </c>
      <c r="DE70" s="907">
        <v>24.585000000000001</v>
      </c>
      <c r="DF70" s="907">
        <v>24.675000000000001</v>
      </c>
      <c r="DG70" s="907">
        <v>24.765000000000001</v>
      </c>
      <c r="DH70" s="907">
        <v>24.85</v>
      </c>
      <c r="DI70" s="907">
        <v>24.939999999999998</v>
      </c>
      <c r="DJ70" s="907">
        <v>25.03</v>
      </c>
      <c r="DK70" s="907">
        <v>25.115000000000002</v>
      </c>
      <c r="DL70" s="907">
        <v>25.204999999999998</v>
      </c>
      <c r="DM70" s="907">
        <v>25.29</v>
      </c>
      <c r="DN70" s="907">
        <v>25.375</v>
      </c>
      <c r="DO70" s="907">
        <v>25.46</v>
      </c>
      <c r="DP70" s="907">
        <v>25.545000000000002</v>
      </c>
      <c r="DQ70" s="907">
        <v>25.63</v>
      </c>
      <c r="DR70" s="907">
        <v>25.71</v>
      </c>
    </row>
    <row r="71" spans="1:122" s="127" customFormat="1" ht="12.75">
      <c r="A71" s="911">
        <v>69</v>
      </c>
      <c r="B71" s="907"/>
      <c r="C71" s="907"/>
      <c r="D71" s="907"/>
      <c r="E71" s="907"/>
      <c r="F71" s="907"/>
      <c r="G71" s="907"/>
      <c r="H71" s="907"/>
      <c r="I71" s="907"/>
      <c r="J71" s="907"/>
      <c r="K71" s="907"/>
      <c r="L71" s="907"/>
      <c r="M71" s="907"/>
      <c r="N71" s="907"/>
      <c r="O71" s="907"/>
      <c r="P71" s="907"/>
      <c r="Q71" s="907"/>
      <c r="R71" s="907"/>
      <c r="S71" s="907"/>
      <c r="T71" s="907"/>
      <c r="U71" s="907"/>
      <c r="V71" s="907"/>
      <c r="W71" s="907">
        <v>14.375</v>
      </c>
      <c r="X71" s="907">
        <v>14.525</v>
      </c>
      <c r="Y71" s="907">
        <v>14.664999999999999</v>
      </c>
      <c r="Z71" s="907">
        <v>14.85</v>
      </c>
      <c r="AA71" s="907">
        <v>14.965</v>
      </c>
      <c r="AB71" s="907">
        <v>15.12</v>
      </c>
      <c r="AC71" s="907">
        <v>15.239999999999998</v>
      </c>
      <c r="AD71" s="907">
        <v>15.3</v>
      </c>
      <c r="AE71" s="907">
        <v>15.42</v>
      </c>
      <c r="AF71" s="907">
        <v>15.594999999999999</v>
      </c>
      <c r="AG71" s="907">
        <v>15.734999999999999</v>
      </c>
      <c r="AH71" s="907">
        <v>15.89</v>
      </c>
      <c r="AI71" s="907">
        <v>16.04</v>
      </c>
      <c r="AJ71" s="907">
        <v>16.21</v>
      </c>
      <c r="AK71" s="907">
        <v>16.38</v>
      </c>
      <c r="AL71" s="907">
        <v>16.555</v>
      </c>
      <c r="AM71" s="907">
        <v>16.72</v>
      </c>
      <c r="AN71" s="907">
        <v>16.835000000000001</v>
      </c>
      <c r="AO71" s="907">
        <v>16.93</v>
      </c>
      <c r="AP71" s="907">
        <v>17.009999999999998</v>
      </c>
      <c r="AQ71" s="907">
        <v>17.085000000000001</v>
      </c>
      <c r="AR71" s="907">
        <v>17.164999999999999</v>
      </c>
      <c r="AS71" s="907">
        <v>17.225000000000001</v>
      </c>
      <c r="AT71" s="907">
        <v>17.29</v>
      </c>
      <c r="AU71" s="907">
        <v>17.350000000000001</v>
      </c>
      <c r="AV71" s="907">
        <v>17.439999999999998</v>
      </c>
      <c r="AW71" s="907">
        <v>17.574999999999999</v>
      </c>
      <c r="AX71" s="907">
        <v>17.670000000000002</v>
      </c>
      <c r="AY71" s="907">
        <v>17.78</v>
      </c>
      <c r="AZ71" s="907">
        <v>17.89</v>
      </c>
      <c r="BA71" s="907">
        <v>18.004999999999999</v>
      </c>
      <c r="BB71" s="907">
        <v>18.114999999999998</v>
      </c>
      <c r="BC71" s="907">
        <v>18.225000000000001</v>
      </c>
      <c r="BD71" s="907">
        <v>18.34</v>
      </c>
      <c r="BE71" s="907">
        <v>18.45</v>
      </c>
      <c r="BF71" s="907">
        <v>18.560000000000002</v>
      </c>
      <c r="BG71" s="907">
        <v>18.674999999999997</v>
      </c>
      <c r="BH71" s="907">
        <v>18.78</v>
      </c>
      <c r="BI71" s="907">
        <v>18.89</v>
      </c>
      <c r="BJ71" s="907">
        <v>19.005000000000003</v>
      </c>
      <c r="BK71" s="907">
        <v>19.11</v>
      </c>
      <c r="BL71" s="907">
        <v>19.22</v>
      </c>
      <c r="BM71" s="907">
        <v>19.329999999999998</v>
      </c>
      <c r="BN71" s="907">
        <v>19.439999999999998</v>
      </c>
      <c r="BO71" s="907">
        <v>19.55</v>
      </c>
      <c r="BP71" s="907">
        <v>19.655000000000001</v>
      </c>
      <c r="BQ71" s="907">
        <v>19.765000000000001</v>
      </c>
      <c r="BR71" s="907">
        <v>19.87</v>
      </c>
      <c r="BS71" s="907">
        <v>19.975000000000001</v>
      </c>
      <c r="BT71" s="908">
        <v>20.085000000000001</v>
      </c>
      <c r="BU71" s="907">
        <v>20.190000000000001</v>
      </c>
      <c r="BV71" s="907">
        <v>20.29</v>
      </c>
      <c r="BW71" s="907">
        <v>20.395</v>
      </c>
      <c r="BX71" s="907">
        <v>20.505000000000003</v>
      </c>
      <c r="BY71" s="907">
        <v>20.61</v>
      </c>
      <c r="BZ71" s="907">
        <v>20.71</v>
      </c>
      <c r="CA71" s="907">
        <v>20.814999999999998</v>
      </c>
      <c r="CB71" s="907">
        <v>20.914999999999999</v>
      </c>
      <c r="CC71" s="907">
        <v>21.02</v>
      </c>
      <c r="CD71" s="907">
        <v>21.12</v>
      </c>
      <c r="CE71" s="907">
        <v>21.225000000000001</v>
      </c>
      <c r="CF71" s="907">
        <v>21.324999999999999</v>
      </c>
      <c r="CG71" s="907">
        <v>21.425000000000001</v>
      </c>
      <c r="CH71" s="907">
        <v>21.524999999999999</v>
      </c>
      <c r="CI71" s="907">
        <v>21.625</v>
      </c>
      <c r="CJ71" s="907">
        <v>21.725000000000001</v>
      </c>
      <c r="CK71" s="907">
        <v>21.82</v>
      </c>
      <c r="CL71" s="907">
        <v>21.92</v>
      </c>
      <c r="CM71" s="907">
        <v>22.02</v>
      </c>
      <c r="CN71" s="907">
        <v>22.115000000000002</v>
      </c>
      <c r="CO71" s="907">
        <v>22.215</v>
      </c>
      <c r="CP71" s="907">
        <v>22.31</v>
      </c>
      <c r="CQ71" s="907">
        <v>22.405000000000001</v>
      </c>
      <c r="CR71" s="907">
        <v>22.505000000000003</v>
      </c>
      <c r="CS71" s="907">
        <v>22.594999999999999</v>
      </c>
      <c r="CT71" s="907">
        <v>22.689999999999998</v>
      </c>
      <c r="CU71" s="907">
        <v>22.785</v>
      </c>
      <c r="CV71" s="907">
        <v>22.875</v>
      </c>
      <c r="CW71" s="907">
        <v>22.975000000000001</v>
      </c>
      <c r="CX71" s="907">
        <v>23.064999999999998</v>
      </c>
      <c r="CY71" s="907">
        <v>23.16</v>
      </c>
      <c r="CZ71" s="907">
        <v>23.25</v>
      </c>
      <c r="DA71" s="907">
        <v>23.335000000000001</v>
      </c>
      <c r="DB71" s="907">
        <v>23.43</v>
      </c>
      <c r="DC71" s="907">
        <v>23.520000000000003</v>
      </c>
      <c r="DD71" s="907">
        <v>23.61</v>
      </c>
      <c r="DE71" s="907">
        <v>23.695</v>
      </c>
      <c r="DF71" s="907">
        <v>23.785</v>
      </c>
      <c r="DG71" s="907">
        <v>23.875</v>
      </c>
      <c r="DH71" s="907">
        <v>23.96</v>
      </c>
      <c r="DI71" s="907">
        <v>24.045000000000002</v>
      </c>
      <c r="DJ71" s="907">
        <v>24.134999999999998</v>
      </c>
      <c r="DK71" s="907">
        <v>24.22</v>
      </c>
      <c r="DL71" s="907">
        <v>24.310000000000002</v>
      </c>
      <c r="DM71" s="907">
        <v>24.39</v>
      </c>
      <c r="DN71" s="907">
        <v>24.475000000000001</v>
      </c>
      <c r="DO71" s="907">
        <v>24.560000000000002</v>
      </c>
      <c r="DP71" s="907">
        <v>24.64</v>
      </c>
      <c r="DQ71" s="907">
        <v>24.725000000000001</v>
      </c>
      <c r="DR71" s="907">
        <v>24.805</v>
      </c>
    </row>
    <row r="72" spans="1:122" s="127" customFormat="1" ht="12.75">
      <c r="A72" s="911">
        <v>70</v>
      </c>
      <c r="B72" s="907"/>
      <c r="C72" s="907"/>
      <c r="D72" s="907"/>
      <c r="E72" s="907"/>
      <c r="F72" s="907"/>
      <c r="G72" s="907"/>
      <c r="H72" s="907"/>
      <c r="I72" s="907"/>
      <c r="J72" s="907"/>
      <c r="K72" s="907"/>
      <c r="L72" s="907"/>
      <c r="M72" s="907"/>
      <c r="N72" s="907"/>
      <c r="O72" s="907"/>
      <c r="P72" s="907"/>
      <c r="Q72" s="907"/>
      <c r="R72" s="907"/>
      <c r="S72" s="907"/>
      <c r="T72" s="907"/>
      <c r="U72" s="907"/>
      <c r="V72" s="907"/>
      <c r="W72" s="907">
        <v>13.74</v>
      </c>
      <c r="X72" s="907">
        <v>13.885</v>
      </c>
      <c r="Y72" s="907">
        <v>14.025</v>
      </c>
      <c r="Z72" s="907">
        <v>14.205</v>
      </c>
      <c r="AA72" s="907">
        <v>14.315000000000001</v>
      </c>
      <c r="AB72" s="907">
        <v>14.48</v>
      </c>
      <c r="AC72" s="907">
        <v>14.58</v>
      </c>
      <c r="AD72" s="907">
        <v>14.64</v>
      </c>
      <c r="AE72" s="907">
        <v>14.76</v>
      </c>
      <c r="AF72" s="907">
        <v>14.914999999999999</v>
      </c>
      <c r="AG72" s="907">
        <v>15.044999999999998</v>
      </c>
      <c r="AH72" s="907">
        <v>15.195</v>
      </c>
      <c r="AI72" s="907">
        <v>15.344999999999999</v>
      </c>
      <c r="AJ72" s="907">
        <v>15.504999999999999</v>
      </c>
      <c r="AK72" s="907">
        <v>15.67</v>
      </c>
      <c r="AL72" s="907">
        <v>15.835000000000001</v>
      </c>
      <c r="AM72" s="907">
        <v>15.984999999999999</v>
      </c>
      <c r="AN72" s="907">
        <v>16.100000000000001</v>
      </c>
      <c r="AO72" s="907">
        <v>16.195</v>
      </c>
      <c r="AP72" s="907">
        <v>16.265000000000001</v>
      </c>
      <c r="AQ72" s="907">
        <v>16.344999999999999</v>
      </c>
      <c r="AR72" s="907">
        <v>16.425000000000001</v>
      </c>
      <c r="AS72" s="907">
        <v>16.490000000000002</v>
      </c>
      <c r="AT72" s="907">
        <v>16.545000000000002</v>
      </c>
      <c r="AU72" s="907">
        <v>16.614999999999998</v>
      </c>
      <c r="AV72" s="907">
        <v>16.71</v>
      </c>
      <c r="AW72" s="907">
        <v>16.844999999999999</v>
      </c>
      <c r="AX72" s="907">
        <v>16.95</v>
      </c>
      <c r="AY72" s="907">
        <v>17.055</v>
      </c>
      <c r="AZ72" s="907">
        <v>17.164999999999999</v>
      </c>
      <c r="BA72" s="907">
        <v>17.27</v>
      </c>
      <c r="BB72" s="907">
        <v>17.38</v>
      </c>
      <c r="BC72" s="907">
        <v>17.490000000000002</v>
      </c>
      <c r="BD72" s="907">
        <v>17.594999999999999</v>
      </c>
      <c r="BE72" s="907">
        <v>17.704999999999998</v>
      </c>
      <c r="BF72" s="907">
        <v>17.814999999999998</v>
      </c>
      <c r="BG72" s="907">
        <v>17.920000000000002</v>
      </c>
      <c r="BH72" s="907">
        <v>18.024999999999999</v>
      </c>
      <c r="BI72" s="907">
        <v>18.134999999999998</v>
      </c>
      <c r="BJ72" s="907">
        <v>18.240000000000002</v>
      </c>
      <c r="BK72" s="907">
        <v>18.344999999999999</v>
      </c>
      <c r="BL72" s="907">
        <v>18.450000000000003</v>
      </c>
      <c r="BM72" s="907">
        <v>18.555</v>
      </c>
      <c r="BN72" s="907">
        <v>18.664999999999999</v>
      </c>
      <c r="BO72" s="907">
        <v>18.770000000000003</v>
      </c>
      <c r="BP72" s="907">
        <v>18.875</v>
      </c>
      <c r="BQ72" s="907">
        <v>18.975000000000001</v>
      </c>
      <c r="BR72" s="907">
        <v>19.079999999999998</v>
      </c>
      <c r="BS72" s="907">
        <v>19.184999999999999</v>
      </c>
      <c r="BT72" s="908">
        <v>19.29</v>
      </c>
      <c r="BU72" s="907">
        <v>19.39</v>
      </c>
      <c r="BV72" s="907">
        <v>19.495000000000001</v>
      </c>
      <c r="BW72" s="907">
        <v>19.594999999999999</v>
      </c>
      <c r="BX72" s="907">
        <v>19.7</v>
      </c>
      <c r="BY72" s="907">
        <v>19.795000000000002</v>
      </c>
      <c r="BZ72" s="907">
        <v>19.899999999999999</v>
      </c>
      <c r="CA72" s="907">
        <v>20</v>
      </c>
      <c r="CB72" s="907">
        <v>20.100000000000001</v>
      </c>
      <c r="CC72" s="907">
        <v>20.200000000000003</v>
      </c>
      <c r="CD72" s="907">
        <v>20.3</v>
      </c>
      <c r="CE72" s="907">
        <v>20.399999999999999</v>
      </c>
      <c r="CF72" s="907">
        <v>20.495000000000001</v>
      </c>
      <c r="CG72" s="907">
        <v>20.594999999999999</v>
      </c>
      <c r="CH72" s="907">
        <v>20.689999999999998</v>
      </c>
      <c r="CI72" s="907">
        <v>20.79</v>
      </c>
      <c r="CJ72" s="907">
        <v>20.884999999999998</v>
      </c>
      <c r="CK72" s="907">
        <v>20.98</v>
      </c>
      <c r="CL72" s="907">
        <v>21.08</v>
      </c>
      <c r="CM72" s="907">
        <v>21.175000000000001</v>
      </c>
      <c r="CN72" s="907">
        <v>21.27</v>
      </c>
      <c r="CO72" s="907">
        <v>21.365000000000002</v>
      </c>
      <c r="CP72" s="907">
        <v>21.454999999999998</v>
      </c>
      <c r="CQ72" s="907">
        <v>21.555</v>
      </c>
      <c r="CR72" s="907">
        <v>21.645</v>
      </c>
      <c r="CS72" s="907">
        <v>21.740000000000002</v>
      </c>
      <c r="CT72" s="907">
        <v>21.835000000000001</v>
      </c>
      <c r="CU72" s="907">
        <v>21.92</v>
      </c>
      <c r="CV72" s="907">
        <v>22.009999999999998</v>
      </c>
      <c r="CW72" s="907">
        <v>22.105</v>
      </c>
      <c r="CX72" s="907">
        <v>22.195</v>
      </c>
      <c r="CY72" s="907">
        <v>22.285</v>
      </c>
      <c r="CZ72" s="907">
        <v>22.375</v>
      </c>
      <c r="DA72" s="907">
        <v>22.465</v>
      </c>
      <c r="DB72" s="907">
        <v>22.555</v>
      </c>
      <c r="DC72" s="907">
        <v>22.64</v>
      </c>
      <c r="DD72" s="907">
        <v>22.73</v>
      </c>
      <c r="DE72" s="907">
        <v>22.815000000000001</v>
      </c>
      <c r="DF72" s="907">
        <v>22.9</v>
      </c>
      <c r="DG72" s="907">
        <v>22.990000000000002</v>
      </c>
      <c r="DH72" s="907">
        <v>23.074999999999999</v>
      </c>
      <c r="DI72" s="907">
        <v>23.155000000000001</v>
      </c>
      <c r="DJ72" s="907">
        <v>23.24</v>
      </c>
      <c r="DK72" s="907">
        <v>23.33</v>
      </c>
      <c r="DL72" s="907">
        <v>23.41</v>
      </c>
      <c r="DM72" s="907">
        <v>23.494999999999997</v>
      </c>
      <c r="DN72" s="907">
        <v>23.58</v>
      </c>
      <c r="DO72" s="907">
        <v>23.66</v>
      </c>
      <c r="DP72" s="907">
        <v>23.744999999999997</v>
      </c>
      <c r="DQ72" s="907">
        <v>23.82</v>
      </c>
      <c r="DR72" s="907">
        <v>23.9</v>
      </c>
    </row>
    <row r="73" spans="1:122" s="127" customFormat="1" ht="12.75">
      <c r="A73" s="911">
        <v>71</v>
      </c>
      <c r="B73" s="907"/>
      <c r="C73" s="907"/>
      <c r="D73" s="907"/>
      <c r="E73" s="907"/>
      <c r="F73" s="907"/>
      <c r="G73" s="907"/>
      <c r="H73" s="907"/>
      <c r="I73" s="907"/>
      <c r="J73" s="907"/>
      <c r="K73" s="907"/>
      <c r="L73" s="907"/>
      <c r="M73" s="907"/>
      <c r="N73" s="907"/>
      <c r="O73" s="907"/>
      <c r="P73" s="907"/>
      <c r="Q73" s="907"/>
      <c r="R73" s="907"/>
      <c r="S73" s="907"/>
      <c r="T73" s="907"/>
      <c r="U73" s="907"/>
      <c r="V73" s="907"/>
      <c r="W73" s="907">
        <v>13.115</v>
      </c>
      <c r="X73" s="907">
        <v>13.260000000000002</v>
      </c>
      <c r="Y73" s="907">
        <v>13.395</v>
      </c>
      <c r="Z73" s="907">
        <v>13.58</v>
      </c>
      <c r="AA73" s="907">
        <v>13.68</v>
      </c>
      <c r="AB73" s="907">
        <v>13.824999999999999</v>
      </c>
      <c r="AC73" s="907">
        <v>13.93</v>
      </c>
      <c r="AD73" s="907">
        <v>13.984999999999999</v>
      </c>
      <c r="AE73" s="907">
        <v>14.094999999999999</v>
      </c>
      <c r="AF73" s="907">
        <v>14.25</v>
      </c>
      <c r="AG73" s="907">
        <v>14.365</v>
      </c>
      <c r="AH73" s="907">
        <v>14.52</v>
      </c>
      <c r="AI73" s="907">
        <v>14.654999999999999</v>
      </c>
      <c r="AJ73" s="907">
        <v>14.81</v>
      </c>
      <c r="AK73" s="907">
        <v>14.95</v>
      </c>
      <c r="AL73" s="907">
        <v>15.114999999999998</v>
      </c>
      <c r="AM73" s="907">
        <v>15.254999999999999</v>
      </c>
      <c r="AN73" s="907">
        <v>15.370000000000001</v>
      </c>
      <c r="AO73" s="907">
        <v>15.465</v>
      </c>
      <c r="AP73" s="907">
        <v>15.535</v>
      </c>
      <c r="AQ73" s="907">
        <v>15.615</v>
      </c>
      <c r="AR73" s="907">
        <v>15.695</v>
      </c>
      <c r="AS73" s="907">
        <v>15.75</v>
      </c>
      <c r="AT73" s="907">
        <v>15.824999999999999</v>
      </c>
      <c r="AU73" s="907">
        <v>15.904999999999999</v>
      </c>
      <c r="AV73" s="907">
        <v>16.004999999999999</v>
      </c>
      <c r="AW73" s="907">
        <v>16.13</v>
      </c>
      <c r="AX73" s="907">
        <v>16.23</v>
      </c>
      <c r="AY73" s="907">
        <v>16.335000000000001</v>
      </c>
      <c r="AZ73" s="907">
        <v>16.440000000000001</v>
      </c>
      <c r="BA73" s="907">
        <v>16.544999999999998</v>
      </c>
      <c r="BB73" s="907">
        <v>16.649999999999999</v>
      </c>
      <c r="BC73" s="907">
        <v>16.755000000000003</v>
      </c>
      <c r="BD73" s="907">
        <v>16.86</v>
      </c>
      <c r="BE73" s="907">
        <v>16.965</v>
      </c>
      <c r="BF73" s="907">
        <v>17.07</v>
      </c>
      <c r="BG73" s="907">
        <v>17.175000000000001</v>
      </c>
      <c r="BH73" s="907">
        <v>17.28</v>
      </c>
      <c r="BI73" s="907">
        <v>17.375</v>
      </c>
      <c r="BJ73" s="907">
        <v>17.48</v>
      </c>
      <c r="BK73" s="907">
        <v>17.585000000000001</v>
      </c>
      <c r="BL73" s="907">
        <v>17.689999999999998</v>
      </c>
      <c r="BM73" s="907">
        <v>17.79</v>
      </c>
      <c r="BN73" s="907">
        <v>17.895</v>
      </c>
      <c r="BO73" s="907">
        <v>17.995000000000001</v>
      </c>
      <c r="BP73" s="907">
        <v>18.094999999999999</v>
      </c>
      <c r="BQ73" s="907">
        <v>18.2</v>
      </c>
      <c r="BR73" s="907">
        <v>18.295000000000002</v>
      </c>
      <c r="BS73" s="907">
        <v>18.399999999999999</v>
      </c>
      <c r="BT73" s="908">
        <v>18.5</v>
      </c>
      <c r="BU73" s="907">
        <v>18.594999999999999</v>
      </c>
      <c r="BV73" s="907">
        <v>18.700000000000003</v>
      </c>
      <c r="BW73" s="907">
        <v>18.795000000000002</v>
      </c>
      <c r="BX73" s="907">
        <v>18.895000000000003</v>
      </c>
      <c r="BY73" s="907">
        <v>18.990000000000002</v>
      </c>
      <c r="BZ73" s="907">
        <v>19.094999999999999</v>
      </c>
      <c r="CA73" s="907">
        <v>19.189999999999998</v>
      </c>
      <c r="CB73" s="907">
        <v>19.29</v>
      </c>
      <c r="CC73" s="907">
        <v>19.384999999999998</v>
      </c>
      <c r="CD73" s="907">
        <v>19.48</v>
      </c>
      <c r="CE73" s="907">
        <v>19.579999999999998</v>
      </c>
      <c r="CF73" s="907">
        <v>19.675000000000001</v>
      </c>
      <c r="CG73" s="907">
        <v>19.770000000000003</v>
      </c>
      <c r="CH73" s="907">
        <v>19.865000000000002</v>
      </c>
      <c r="CI73" s="907">
        <v>19.954999999999998</v>
      </c>
      <c r="CJ73" s="907">
        <v>20.049999999999997</v>
      </c>
      <c r="CK73" s="907">
        <v>20.149999999999999</v>
      </c>
      <c r="CL73" s="907">
        <v>20.244999999999997</v>
      </c>
      <c r="CM73" s="907">
        <v>20.335000000000001</v>
      </c>
      <c r="CN73" s="907">
        <v>20.425000000000001</v>
      </c>
      <c r="CO73" s="907">
        <v>20.515000000000001</v>
      </c>
      <c r="CP73" s="907">
        <v>20.61</v>
      </c>
      <c r="CQ73" s="907">
        <v>20.700000000000003</v>
      </c>
      <c r="CR73" s="907">
        <v>20.795000000000002</v>
      </c>
      <c r="CS73" s="907">
        <v>20.884999999999998</v>
      </c>
      <c r="CT73" s="907">
        <v>20.97</v>
      </c>
      <c r="CU73" s="907">
        <v>21.064999999999998</v>
      </c>
      <c r="CV73" s="907">
        <v>21.155000000000001</v>
      </c>
      <c r="CW73" s="907">
        <v>21.240000000000002</v>
      </c>
      <c r="CX73" s="907">
        <v>21.33</v>
      </c>
      <c r="CY73" s="907">
        <v>21.414999999999999</v>
      </c>
      <c r="CZ73" s="907">
        <v>21.504999999999999</v>
      </c>
      <c r="DA73" s="907">
        <v>21.594999999999999</v>
      </c>
      <c r="DB73" s="907">
        <v>21.674999999999997</v>
      </c>
      <c r="DC73" s="907">
        <v>21.765000000000001</v>
      </c>
      <c r="DD73" s="907">
        <v>21.85</v>
      </c>
      <c r="DE73" s="907">
        <v>21.935000000000002</v>
      </c>
      <c r="DF73" s="907">
        <v>22.02</v>
      </c>
      <c r="DG73" s="907">
        <v>22.105</v>
      </c>
      <c r="DH73" s="907">
        <v>22.185000000000002</v>
      </c>
      <c r="DI73" s="907">
        <v>22.27</v>
      </c>
      <c r="DJ73" s="907">
        <v>22.354999999999997</v>
      </c>
      <c r="DK73" s="907">
        <v>22.434999999999999</v>
      </c>
      <c r="DL73" s="907">
        <v>22.52</v>
      </c>
      <c r="DM73" s="907">
        <v>22.6</v>
      </c>
      <c r="DN73" s="907">
        <v>22.68</v>
      </c>
      <c r="DO73" s="907">
        <v>22.759999999999998</v>
      </c>
      <c r="DP73" s="907">
        <v>22.84</v>
      </c>
      <c r="DQ73" s="907">
        <v>22.92</v>
      </c>
      <c r="DR73" s="907">
        <v>23</v>
      </c>
    </row>
    <row r="74" spans="1:122" s="127" customFormat="1" ht="12.75">
      <c r="A74" s="911">
        <v>72</v>
      </c>
      <c r="B74" s="907"/>
      <c r="C74" s="907"/>
      <c r="D74" s="907"/>
      <c r="E74" s="907"/>
      <c r="F74" s="907"/>
      <c r="G74" s="907"/>
      <c r="H74" s="907"/>
      <c r="I74" s="907"/>
      <c r="J74" s="907"/>
      <c r="K74" s="907"/>
      <c r="L74" s="907"/>
      <c r="M74" s="907"/>
      <c r="N74" s="907"/>
      <c r="O74" s="907"/>
      <c r="P74" s="907"/>
      <c r="Q74" s="907"/>
      <c r="R74" s="907"/>
      <c r="S74" s="907"/>
      <c r="T74" s="907"/>
      <c r="U74" s="907"/>
      <c r="V74" s="907"/>
      <c r="W74" s="907">
        <v>12.51</v>
      </c>
      <c r="X74" s="907">
        <v>12.645</v>
      </c>
      <c r="Y74" s="907">
        <v>12.775</v>
      </c>
      <c r="Z74" s="907">
        <v>12.965</v>
      </c>
      <c r="AA74" s="907">
        <v>13.05</v>
      </c>
      <c r="AB74" s="907">
        <v>13.19</v>
      </c>
      <c r="AC74" s="907">
        <v>13.29</v>
      </c>
      <c r="AD74" s="907">
        <v>13.34</v>
      </c>
      <c r="AE74" s="907">
        <v>13.434999999999999</v>
      </c>
      <c r="AF74" s="907">
        <v>13.59</v>
      </c>
      <c r="AG74" s="907">
        <v>13.705</v>
      </c>
      <c r="AH74" s="907">
        <v>13.844999999999999</v>
      </c>
      <c r="AI74" s="907">
        <v>13.97</v>
      </c>
      <c r="AJ74" s="907">
        <v>14.114999999999998</v>
      </c>
      <c r="AK74" s="907">
        <v>14.25</v>
      </c>
      <c r="AL74" s="907">
        <v>14.405000000000001</v>
      </c>
      <c r="AM74" s="907">
        <v>14.545</v>
      </c>
      <c r="AN74" s="907">
        <v>14.645</v>
      </c>
      <c r="AO74" s="907">
        <v>14.74</v>
      </c>
      <c r="AP74" s="907">
        <v>14.815</v>
      </c>
      <c r="AQ74" s="907">
        <v>14.89</v>
      </c>
      <c r="AR74" s="907">
        <v>14.965</v>
      </c>
      <c r="AS74" s="907">
        <v>15.040000000000001</v>
      </c>
      <c r="AT74" s="907">
        <v>15.110000000000001</v>
      </c>
      <c r="AU74" s="907">
        <v>15.200000000000001</v>
      </c>
      <c r="AV74" s="907">
        <v>15.31</v>
      </c>
      <c r="AW74" s="907">
        <v>15.414999999999999</v>
      </c>
      <c r="AX74" s="907">
        <v>15.515000000000001</v>
      </c>
      <c r="AY74" s="907">
        <v>15.620000000000001</v>
      </c>
      <c r="AZ74" s="907">
        <v>15.719999999999999</v>
      </c>
      <c r="BA74" s="907">
        <v>15.824999999999999</v>
      </c>
      <c r="BB74" s="907">
        <v>15.925000000000001</v>
      </c>
      <c r="BC74" s="907">
        <v>16.03</v>
      </c>
      <c r="BD74" s="907">
        <v>16.125</v>
      </c>
      <c r="BE74" s="907">
        <v>16.23</v>
      </c>
      <c r="BF74" s="907">
        <v>16.329999999999998</v>
      </c>
      <c r="BG74" s="907">
        <v>16.43</v>
      </c>
      <c r="BH74" s="907">
        <v>16.53</v>
      </c>
      <c r="BI74" s="907">
        <v>16.63</v>
      </c>
      <c r="BJ74" s="907">
        <v>16.73</v>
      </c>
      <c r="BK74" s="907">
        <v>16.829999999999998</v>
      </c>
      <c r="BL74" s="907">
        <v>16.93</v>
      </c>
      <c r="BM74" s="907">
        <v>17.03</v>
      </c>
      <c r="BN74" s="907">
        <v>17.125</v>
      </c>
      <c r="BO74" s="907">
        <v>17.225000000000001</v>
      </c>
      <c r="BP74" s="907">
        <v>17.325000000000003</v>
      </c>
      <c r="BQ74" s="907">
        <v>17.420000000000002</v>
      </c>
      <c r="BR74" s="907">
        <v>17.515000000000001</v>
      </c>
      <c r="BS74" s="907">
        <v>17.619999999999997</v>
      </c>
      <c r="BT74" s="908">
        <v>17.715000000000003</v>
      </c>
      <c r="BU74" s="907">
        <v>17.810000000000002</v>
      </c>
      <c r="BV74" s="907">
        <v>17.905000000000001</v>
      </c>
      <c r="BW74" s="907">
        <v>18.005000000000003</v>
      </c>
      <c r="BX74" s="907">
        <v>18.100000000000001</v>
      </c>
      <c r="BY74" s="907">
        <v>18.195</v>
      </c>
      <c r="BZ74" s="907">
        <v>18.29</v>
      </c>
      <c r="CA74" s="907">
        <v>18.384999999999998</v>
      </c>
      <c r="CB74" s="907">
        <v>18.48</v>
      </c>
      <c r="CC74" s="907">
        <v>18.575000000000003</v>
      </c>
      <c r="CD74" s="907">
        <v>18.664999999999999</v>
      </c>
      <c r="CE74" s="907">
        <v>18.759999999999998</v>
      </c>
      <c r="CF74" s="907">
        <v>18.854999999999997</v>
      </c>
      <c r="CG74" s="907">
        <v>18.95</v>
      </c>
      <c r="CH74" s="907">
        <v>19.04</v>
      </c>
      <c r="CI74" s="907">
        <v>19.134999999999998</v>
      </c>
      <c r="CJ74" s="907">
        <v>19.225000000000001</v>
      </c>
      <c r="CK74" s="907">
        <v>19.315000000000001</v>
      </c>
      <c r="CL74" s="907">
        <v>19.405000000000001</v>
      </c>
      <c r="CM74" s="907">
        <v>19.5</v>
      </c>
      <c r="CN74" s="907">
        <v>19.585000000000001</v>
      </c>
      <c r="CO74" s="907">
        <v>19.68</v>
      </c>
      <c r="CP74" s="907">
        <v>19.77</v>
      </c>
      <c r="CQ74" s="907">
        <v>19.855</v>
      </c>
      <c r="CR74" s="907">
        <v>19.945</v>
      </c>
      <c r="CS74" s="907">
        <v>20.035</v>
      </c>
      <c r="CT74" s="907">
        <v>20.12</v>
      </c>
      <c r="CU74" s="907">
        <v>20.21</v>
      </c>
      <c r="CV74" s="907">
        <v>20.295000000000002</v>
      </c>
      <c r="CW74" s="907">
        <v>20.380000000000003</v>
      </c>
      <c r="CX74" s="907">
        <v>20.47</v>
      </c>
      <c r="CY74" s="907">
        <v>20.555</v>
      </c>
      <c r="CZ74" s="907">
        <v>20.64</v>
      </c>
      <c r="DA74" s="907">
        <v>20.725000000000001</v>
      </c>
      <c r="DB74" s="907">
        <v>20.805</v>
      </c>
      <c r="DC74" s="907">
        <v>20.89</v>
      </c>
      <c r="DD74" s="907">
        <v>20.975000000000001</v>
      </c>
      <c r="DE74" s="907">
        <v>21.06</v>
      </c>
      <c r="DF74" s="907">
        <v>21.14</v>
      </c>
      <c r="DG74" s="907">
        <v>21.225000000000001</v>
      </c>
      <c r="DH74" s="907">
        <v>21.305</v>
      </c>
      <c r="DI74" s="907">
        <v>21.39</v>
      </c>
      <c r="DJ74" s="907">
        <v>21.47</v>
      </c>
      <c r="DK74" s="907">
        <v>21.549999999999997</v>
      </c>
      <c r="DL74" s="907">
        <v>21.63</v>
      </c>
      <c r="DM74" s="907">
        <v>21.71</v>
      </c>
      <c r="DN74" s="907">
        <v>21.79</v>
      </c>
      <c r="DO74" s="907">
        <v>21.87</v>
      </c>
      <c r="DP74" s="907">
        <v>21.945</v>
      </c>
      <c r="DQ74" s="907">
        <v>22.024999999999999</v>
      </c>
      <c r="DR74" s="907">
        <v>22.1</v>
      </c>
    </row>
    <row r="75" spans="1:122" s="127" customFormat="1" ht="12.75">
      <c r="A75" s="911">
        <v>73</v>
      </c>
      <c r="B75" s="907"/>
      <c r="C75" s="907"/>
      <c r="D75" s="907"/>
      <c r="E75" s="907"/>
      <c r="F75" s="907"/>
      <c r="G75" s="907"/>
      <c r="H75" s="907"/>
      <c r="I75" s="907"/>
      <c r="J75" s="907"/>
      <c r="K75" s="907"/>
      <c r="L75" s="907"/>
      <c r="M75" s="907"/>
      <c r="N75" s="907"/>
      <c r="O75" s="907"/>
      <c r="P75" s="907"/>
      <c r="Q75" s="907"/>
      <c r="R75" s="907"/>
      <c r="S75" s="907"/>
      <c r="T75" s="907"/>
      <c r="U75" s="907"/>
      <c r="V75" s="907"/>
      <c r="W75" s="907">
        <v>11.925000000000001</v>
      </c>
      <c r="X75" s="907">
        <v>12.045</v>
      </c>
      <c r="Y75" s="907">
        <v>12.185</v>
      </c>
      <c r="Z75" s="907">
        <v>12.35</v>
      </c>
      <c r="AA75" s="907">
        <v>12.434999999999999</v>
      </c>
      <c r="AB75" s="907">
        <v>12.57</v>
      </c>
      <c r="AC75" s="907">
        <v>12.654999999999999</v>
      </c>
      <c r="AD75" s="907">
        <v>12.695</v>
      </c>
      <c r="AE75" s="907">
        <v>12.795</v>
      </c>
      <c r="AF75" s="907">
        <v>12.945</v>
      </c>
      <c r="AG75" s="907">
        <v>13.05</v>
      </c>
      <c r="AH75" s="907">
        <v>13.175000000000001</v>
      </c>
      <c r="AI75" s="907">
        <v>13.295</v>
      </c>
      <c r="AJ75" s="907">
        <v>13.425000000000001</v>
      </c>
      <c r="AK75" s="907">
        <v>13.56</v>
      </c>
      <c r="AL75" s="907">
        <v>13.705</v>
      </c>
      <c r="AM75" s="907">
        <v>13.835000000000001</v>
      </c>
      <c r="AN75" s="907">
        <v>13.94</v>
      </c>
      <c r="AO75" s="907">
        <v>14.03</v>
      </c>
      <c r="AP75" s="907">
        <v>14.105</v>
      </c>
      <c r="AQ75" s="907">
        <v>14.175000000000001</v>
      </c>
      <c r="AR75" s="907">
        <v>14.265000000000001</v>
      </c>
      <c r="AS75" s="907">
        <v>14.33</v>
      </c>
      <c r="AT75" s="907">
        <v>14.41</v>
      </c>
      <c r="AU75" s="907">
        <v>14.504999999999999</v>
      </c>
      <c r="AV75" s="907">
        <v>14.62</v>
      </c>
      <c r="AW75" s="907">
        <v>14.715</v>
      </c>
      <c r="AX75" s="907">
        <v>14.815</v>
      </c>
      <c r="AY75" s="907">
        <v>14.914999999999999</v>
      </c>
      <c r="AZ75" s="907">
        <v>15.01</v>
      </c>
      <c r="BA75" s="907">
        <v>15.11</v>
      </c>
      <c r="BB75" s="907">
        <v>15.205000000000002</v>
      </c>
      <c r="BC75" s="907">
        <v>15.305</v>
      </c>
      <c r="BD75" s="907">
        <v>15.399999999999999</v>
      </c>
      <c r="BE75" s="907">
        <v>15.494999999999999</v>
      </c>
      <c r="BF75" s="907">
        <v>15.594999999999999</v>
      </c>
      <c r="BG75" s="907">
        <v>15.690000000000001</v>
      </c>
      <c r="BH75" s="907">
        <v>15.79</v>
      </c>
      <c r="BI75" s="907">
        <v>15.885</v>
      </c>
      <c r="BJ75" s="907">
        <v>15.984999999999999</v>
      </c>
      <c r="BK75" s="907">
        <v>16.080000000000002</v>
      </c>
      <c r="BL75" s="907">
        <v>16.175000000000001</v>
      </c>
      <c r="BM75" s="907">
        <v>16.27</v>
      </c>
      <c r="BN75" s="907">
        <v>16.365000000000002</v>
      </c>
      <c r="BO75" s="907">
        <v>16.46</v>
      </c>
      <c r="BP75" s="907">
        <v>16.555</v>
      </c>
      <c r="BQ75" s="907">
        <v>16.649999999999999</v>
      </c>
      <c r="BR75" s="907">
        <v>16.745000000000001</v>
      </c>
      <c r="BS75" s="907">
        <v>16.84</v>
      </c>
      <c r="BT75" s="908">
        <v>16.934999999999999</v>
      </c>
      <c r="BU75" s="907">
        <v>17.03</v>
      </c>
      <c r="BV75" s="907">
        <v>17.125</v>
      </c>
      <c r="BW75" s="907">
        <v>17.215</v>
      </c>
      <c r="BX75" s="907">
        <v>17.305</v>
      </c>
      <c r="BY75" s="907">
        <v>17.399999999999999</v>
      </c>
      <c r="BZ75" s="907">
        <v>17.495000000000001</v>
      </c>
      <c r="CA75" s="907">
        <v>17.585000000000001</v>
      </c>
      <c r="CB75" s="907">
        <v>17.674999999999997</v>
      </c>
      <c r="CC75" s="907">
        <v>17.77</v>
      </c>
      <c r="CD75" s="907">
        <v>17.86</v>
      </c>
      <c r="CE75" s="907">
        <v>17.950000000000003</v>
      </c>
      <c r="CF75" s="907">
        <v>18.04</v>
      </c>
      <c r="CG75" s="907">
        <v>18.134999999999998</v>
      </c>
      <c r="CH75" s="907">
        <v>18.22</v>
      </c>
      <c r="CI75" s="907">
        <v>18.314999999999998</v>
      </c>
      <c r="CJ75" s="907">
        <v>18.399999999999999</v>
      </c>
      <c r="CK75" s="907">
        <v>18.490000000000002</v>
      </c>
      <c r="CL75" s="907">
        <v>18.579999999999998</v>
      </c>
      <c r="CM75" s="907">
        <v>18.664999999999999</v>
      </c>
      <c r="CN75" s="907">
        <v>18.755000000000003</v>
      </c>
      <c r="CO75" s="907">
        <v>18.84</v>
      </c>
      <c r="CP75" s="907">
        <v>18.925000000000001</v>
      </c>
      <c r="CQ75" s="907">
        <v>19.015000000000001</v>
      </c>
      <c r="CR75" s="907">
        <v>19.100000000000001</v>
      </c>
      <c r="CS75" s="907">
        <v>19.185000000000002</v>
      </c>
      <c r="CT75" s="907">
        <v>19.270000000000003</v>
      </c>
      <c r="CU75" s="907">
        <v>19.355</v>
      </c>
      <c r="CV75" s="907">
        <v>19.440000000000001</v>
      </c>
      <c r="CW75" s="907">
        <v>19.524999999999999</v>
      </c>
      <c r="CX75" s="907">
        <v>19.61</v>
      </c>
      <c r="CY75" s="907">
        <v>19.695</v>
      </c>
      <c r="CZ75" s="907">
        <v>19.774999999999999</v>
      </c>
      <c r="DA75" s="907">
        <v>19.86</v>
      </c>
      <c r="DB75" s="907">
        <v>19.945</v>
      </c>
      <c r="DC75" s="907">
        <v>20.024999999999999</v>
      </c>
      <c r="DD75" s="907">
        <v>20.11</v>
      </c>
      <c r="DE75" s="907">
        <v>20.184999999999999</v>
      </c>
      <c r="DF75" s="907">
        <v>20.27</v>
      </c>
      <c r="DG75" s="907">
        <v>20.350000000000001</v>
      </c>
      <c r="DH75" s="907">
        <v>20.43</v>
      </c>
      <c r="DI75" s="907">
        <v>20.509999999999998</v>
      </c>
      <c r="DJ75" s="907">
        <v>20.585000000000001</v>
      </c>
      <c r="DK75" s="907">
        <v>20.67</v>
      </c>
      <c r="DL75" s="907">
        <v>20.744999999999997</v>
      </c>
      <c r="DM75" s="907">
        <v>20.824999999999999</v>
      </c>
      <c r="DN75" s="907">
        <v>20.9</v>
      </c>
      <c r="DO75" s="907">
        <v>20.975000000000001</v>
      </c>
      <c r="DP75" s="907">
        <v>21.055</v>
      </c>
      <c r="DQ75" s="907">
        <v>21.130000000000003</v>
      </c>
      <c r="DR75" s="907">
        <v>21.204999999999998</v>
      </c>
    </row>
    <row r="76" spans="1:122" s="127" customFormat="1" ht="12.75">
      <c r="A76" s="911">
        <v>74</v>
      </c>
      <c r="B76" s="907"/>
      <c r="C76" s="907"/>
      <c r="D76" s="907"/>
      <c r="E76" s="907"/>
      <c r="F76" s="907"/>
      <c r="G76" s="907"/>
      <c r="H76" s="907"/>
      <c r="I76" s="907"/>
      <c r="J76" s="907"/>
      <c r="K76" s="907"/>
      <c r="L76" s="907"/>
      <c r="M76" s="907"/>
      <c r="N76" s="907"/>
      <c r="O76" s="907"/>
      <c r="P76" s="907"/>
      <c r="Q76" s="907"/>
      <c r="R76" s="907"/>
      <c r="S76" s="907"/>
      <c r="T76" s="907"/>
      <c r="U76" s="907"/>
      <c r="V76" s="907"/>
      <c r="W76" s="907">
        <v>11.34</v>
      </c>
      <c r="X76" s="907">
        <v>11.465</v>
      </c>
      <c r="Y76" s="907">
        <v>11.59</v>
      </c>
      <c r="Z76" s="907">
        <v>11.745000000000001</v>
      </c>
      <c r="AA76" s="907">
        <v>11.83</v>
      </c>
      <c r="AB76" s="907">
        <v>11.945</v>
      </c>
      <c r="AC76" s="907">
        <v>12.025</v>
      </c>
      <c r="AD76" s="907">
        <v>12.06</v>
      </c>
      <c r="AE76" s="907">
        <v>12.17</v>
      </c>
      <c r="AF76" s="907">
        <v>12.305</v>
      </c>
      <c r="AG76" s="907">
        <v>12.404999999999999</v>
      </c>
      <c r="AH76" s="907">
        <v>12.504999999999999</v>
      </c>
      <c r="AI76" s="907">
        <v>12.620000000000001</v>
      </c>
      <c r="AJ76" s="907">
        <v>12.754999999999999</v>
      </c>
      <c r="AK76" s="907">
        <v>12.885</v>
      </c>
      <c r="AL76" s="907">
        <v>13.01</v>
      </c>
      <c r="AM76" s="907">
        <v>13.135</v>
      </c>
      <c r="AN76" s="907">
        <v>13.234999999999999</v>
      </c>
      <c r="AO76" s="907">
        <v>13.335000000000001</v>
      </c>
      <c r="AP76" s="907">
        <v>13.395</v>
      </c>
      <c r="AQ76" s="907">
        <v>13.48</v>
      </c>
      <c r="AR76" s="907">
        <v>13.559999999999999</v>
      </c>
      <c r="AS76" s="907">
        <v>13.635</v>
      </c>
      <c r="AT76" s="907">
        <v>13.73</v>
      </c>
      <c r="AU76" s="907">
        <v>13.83</v>
      </c>
      <c r="AV76" s="907">
        <v>13.92</v>
      </c>
      <c r="AW76" s="907">
        <v>14.02</v>
      </c>
      <c r="AX76" s="907">
        <v>14.115</v>
      </c>
      <c r="AY76" s="907">
        <v>14.205</v>
      </c>
      <c r="AZ76" s="907">
        <v>14.305</v>
      </c>
      <c r="BA76" s="907">
        <v>14.395</v>
      </c>
      <c r="BB76" s="907">
        <v>14.49</v>
      </c>
      <c r="BC76" s="907">
        <v>14.585000000000001</v>
      </c>
      <c r="BD76" s="907">
        <v>14.68</v>
      </c>
      <c r="BE76" s="907">
        <v>14.77</v>
      </c>
      <c r="BF76" s="907">
        <v>14.865</v>
      </c>
      <c r="BG76" s="907">
        <v>14.96</v>
      </c>
      <c r="BH76" s="907">
        <v>15.05</v>
      </c>
      <c r="BI76" s="907">
        <v>15.145</v>
      </c>
      <c r="BJ76" s="907">
        <v>15.24</v>
      </c>
      <c r="BK76" s="907">
        <v>15.335000000000001</v>
      </c>
      <c r="BL76" s="907">
        <v>15.425000000000001</v>
      </c>
      <c r="BM76" s="907">
        <v>15.52</v>
      </c>
      <c r="BN76" s="907">
        <v>15.61</v>
      </c>
      <c r="BO76" s="907">
        <v>15.7</v>
      </c>
      <c r="BP76" s="907">
        <v>15.795000000000002</v>
      </c>
      <c r="BQ76" s="907">
        <v>15.89</v>
      </c>
      <c r="BR76" s="907">
        <v>15.975</v>
      </c>
      <c r="BS76" s="907">
        <v>16.07</v>
      </c>
      <c r="BT76" s="908">
        <v>16.16</v>
      </c>
      <c r="BU76" s="907">
        <v>16.25</v>
      </c>
      <c r="BV76" s="907">
        <v>16.34</v>
      </c>
      <c r="BW76" s="907">
        <v>16.435000000000002</v>
      </c>
      <c r="BX76" s="907">
        <v>16.52</v>
      </c>
      <c r="BY76" s="907">
        <v>16.614999999999998</v>
      </c>
      <c r="BZ76" s="907">
        <v>16.7</v>
      </c>
      <c r="CA76" s="907">
        <v>16.795000000000002</v>
      </c>
      <c r="CB76" s="907">
        <v>16.88</v>
      </c>
      <c r="CC76" s="907">
        <v>16.965</v>
      </c>
      <c r="CD76" s="907">
        <v>17.060000000000002</v>
      </c>
      <c r="CE76" s="907">
        <v>17.145</v>
      </c>
      <c r="CF76" s="907">
        <v>17.23</v>
      </c>
      <c r="CG76" s="907">
        <v>17.325000000000003</v>
      </c>
      <c r="CH76" s="907">
        <v>17.41</v>
      </c>
      <c r="CI76" s="907">
        <v>17.495000000000001</v>
      </c>
      <c r="CJ76" s="907">
        <v>17.579999999999998</v>
      </c>
      <c r="CK76" s="907">
        <v>17.664999999999999</v>
      </c>
      <c r="CL76" s="907">
        <v>17.754999999999999</v>
      </c>
      <c r="CM76" s="907">
        <v>17.84</v>
      </c>
      <c r="CN76" s="907">
        <v>17.925000000000001</v>
      </c>
      <c r="CO76" s="907">
        <v>18.010000000000002</v>
      </c>
      <c r="CP76" s="907">
        <v>18.094999999999999</v>
      </c>
      <c r="CQ76" s="907">
        <v>18.18</v>
      </c>
      <c r="CR76" s="907">
        <v>18.265000000000001</v>
      </c>
      <c r="CS76" s="907">
        <v>18.350000000000001</v>
      </c>
      <c r="CT76" s="907">
        <v>18.435000000000002</v>
      </c>
      <c r="CU76" s="907">
        <v>18.509999999999998</v>
      </c>
      <c r="CV76" s="907">
        <v>18.594999999999999</v>
      </c>
      <c r="CW76" s="907">
        <v>18.68</v>
      </c>
      <c r="CX76" s="907">
        <v>18.759999999999998</v>
      </c>
      <c r="CY76" s="907">
        <v>18.84</v>
      </c>
      <c r="CZ76" s="907">
        <v>18.920000000000002</v>
      </c>
      <c r="DA76" s="907">
        <v>19.005000000000003</v>
      </c>
      <c r="DB76" s="907">
        <v>19.079999999999998</v>
      </c>
      <c r="DC76" s="907">
        <v>19.164999999999999</v>
      </c>
      <c r="DD76" s="907">
        <v>19.240000000000002</v>
      </c>
      <c r="DE76" s="907">
        <v>19.324999999999999</v>
      </c>
      <c r="DF76" s="907">
        <v>19.399999999999999</v>
      </c>
      <c r="DG76" s="907">
        <v>19.479999999999997</v>
      </c>
      <c r="DH76" s="907">
        <v>19.555</v>
      </c>
      <c r="DI76" s="907">
        <v>19.634999999999998</v>
      </c>
      <c r="DJ76" s="907">
        <v>19.715</v>
      </c>
      <c r="DK76" s="907">
        <v>19.79</v>
      </c>
      <c r="DL76" s="907">
        <v>19.864999999999998</v>
      </c>
      <c r="DM76" s="907">
        <v>19.939999999999998</v>
      </c>
      <c r="DN76" s="907">
        <v>20.02</v>
      </c>
      <c r="DO76" s="907">
        <v>20.094999999999999</v>
      </c>
      <c r="DP76" s="907">
        <v>20.170000000000002</v>
      </c>
      <c r="DQ76" s="907">
        <v>20.244999999999997</v>
      </c>
      <c r="DR76" s="907">
        <v>20.32</v>
      </c>
    </row>
    <row r="77" spans="1:122" s="127" customFormat="1" ht="12.75">
      <c r="A77" s="911">
        <v>75</v>
      </c>
      <c r="B77" s="907"/>
      <c r="C77" s="907"/>
      <c r="D77" s="907"/>
      <c r="E77" s="907"/>
      <c r="F77" s="907"/>
      <c r="G77" s="907"/>
      <c r="H77" s="907"/>
      <c r="I77" s="907"/>
      <c r="J77" s="907"/>
      <c r="K77" s="907"/>
      <c r="L77" s="907"/>
      <c r="M77" s="907"/>
      <c r="N77" s="907"/>
      <c r="O77" s="907"/>
      <c r="P77" s="907"/>
      <c r="Q77" s="907"/>
      <c r="R77" s="907"/>
      <c r="S77" s="907"/>
      <c r="T77" s="907"/>
      <c r="U77" s="907"/>
      <c r="V77" s="907"/>
      <c r="W77" s="907">
        <v>10.785</v>
      </c>
      <c r="X77" s="907">
        <v>10.895</v>
      </c>
      <c r="Y77" s="907">
        <v>11.004999999999999</v>
      </c>
      <c r="Z77" s="907">
        <v>11.155000000000001</v>
      </c>
      <c r="AA77" s="907">
        <v>11.219999999999999</v>
      </c>
      <c r="AB77" s="907">
        <v>11.33</v>
      </c>
      <c r="AC77" s="907">
        <v>11.404999999999999</v>
      </c>
      <c r="AD77" s="907">
        <v>11.45</v>
      </c>
      <c r="AE77" s="907">
        <v>11.545</v>
      </c>
      <c r="AF77" s="907">
        <v>11.67</v>
      </c>
      <c r="AG77" s="907">
        <v>11.76</v>
      </c>
      <c r="AH77" s="907">
        <v>11.850000000000001</v>
      </c>
      <c r="AI77" s="907">
        <v>11.965</v>
      </c>
      <c r="AJ77" s="907">
        <v>12.09</v>
      </c>
      <c r="AK77" s="907">
        <v>12.215</v>
      </c>
      <c r="AL77" s="907">
        <v>12.335000000000001</v>
      </c>
      <c r="AM77" s="907">
        <v>12.455</v>
      </c>
      <c r="AN77" s="907">
        <v>12.55</v>
      </c>
      <c r="AO77" s="907">
        <v>12.635</v>
      </c>
      <c r="AP77" s="907">
        <v>12.715</v>
      </c>
      <c r="AQ77" s="907">
        <v>12.79</v>
      </c>
      <c r="AR77" s="907">
        <v>12.875</v>
      </c>
      <c r="AS77" s="907">
        <v>12.96</v>
      </c>
      <c r="AT77" s="907">
        <v>13.05</v>
      </c>
      <c r="AU77" s="907">
        <v>13.14</v>
      </c>
      <c r="AV77" s="907">
        <v>13.239999999999998</v>
      </c>
      <c r="AW77" s="907">
        <v>13.33</v>
      </c>
      <c r="AX77" s="907">
        <v>13.42</v>
      </c>
      <c r="AY77" s="907">
        <v>13.510000000000002</v>
      </c>
      <c r="AZ77" s="907">
        <v>13.595000000000001</v>
      </c>
      <c r="BA77" s="907">
        <v>13.690000000000001</v>
      </c>
      <c r="BB77" s="907">
        <v>13.780000000000001</v>
      </c>
      <c r="BC77" s="907">
        <v>13.870000000000001</v>
      </c>
      <c r="BD77" s="907">
        <v>13.965</v>
      </c>
      <c r="BE77" s="907">
        <v>14.055</v>
      </c>
      <c r="BF77" s="907">
        <v>14.14</v>
      </c>
      <c r="BG77" s="907">
        <v>14.234999999999999</v>
      </c>
      <c r="BH77" s="907">
        <v>14.324999999999999</v>
      </c>
      <c r="BI77" s="907">
        <v>14.41</v>
      </c>
      <c r="BJ77" s="907">
        <v>14.504999999999999</v>
      </c>
      <c r="BK77" s="907">
        <v>14.594999999999999</v>
      </c>
      <c r="BL77" s="907">
        <v>14.68</v>
      </c>
      <c r="BM77" s="907">
        <v>14.774999999999999</v>
      </c>
      <c r="BN77" s="907">
        <v>14.86</v>
      </c>
      <c r="BO77" s="907">
        <v>14.95</v>
      </c>
      <c r="BP77" s="907">
        <v>15.035</v>
      </c>
      <c r="BQ77" s="907">
        <v>15.129999999999999</v>
      </c>
      <c r="BR77" s="907">
        <v>15.215</v>
      </c>
      <c r="BS77" s="907">
        <v>15.305</v>
      </c>
      <c r="BT77" s="908">
        <v>15.39</v>
      </c>
      <c r="BU77" s="907">
        <v>15.48</v>
      </c>
      <c r="BV77" s="907">
        <v>15.57</v>
      </c>
      <c r="BW77" s="907">
        <v>15.654999999999999</v>
      </c>
      <c r="BX77" s="907">
        <v>15.74</v>
      </c>
      <c r="BY77" s="907">
        <v>15.83</v>
      </c>
      <c r="BZ77" s="907">
        <v>15.914999999999999</v>
      </c>
      <c r="CA77" s="907">
        <v>16</v>
      </c>
      <c r="CB77" s="907">
        <v>16.09</v>
      </c>
      <c r="CC77" s="907">
        <v>16.175000000000001</v>
      </c>
      <c r="CD77" s="907">
        <v>16.265000000000001</v>
      </c>
      <c r="CE77" s="907">
        <v>16.350000000000001</v>
      </c>
      <c r="CF77" s="907">
        <v>16.435000000000002</v>
      </c>
      <c r="CG77" s="907">
        <v>16.52</v>
      </c>
      <c r="CH77" s="907">
        <v>16.600000000000001</v>
      </c>
      <c r="CI77" s="907">
        <v>16.684999999999999</v>
      </c>
      <c r="CJ77" s="907">
        <v>16.77</v>
      </c>
      <c r="CK77" s="907">
        <v>16.855</v>
      </c>
      <c r="CL77" s="907">
        <v>16.935000000000002</v>
      </c>
      <c r="CM77" s="907">
        <v>17.02</v>
      </c>
      <c r="CN77" s="907">
        <v>17.105</v>
      </c>
      <c r="CO77" s="907">
        <v>17.184999999999999</v>
      </c>
      <c r="CP77" s="907">
        <v>17.27</v>
      </c>
      <c r="CQ77" s="907">
        <v>17.350000000000001</v>
      </c>
      <c r="CR77" s="907">
        <v>17.43</v>
      </c>
      <c r="CS77" s="907">
        <v>17.515000000000001</v>
      </c>
      <c r="CT77" s="907">
        <v>17.594999999999999</v>
      </c>
      <c r="CU77" s="907">
        <v>17.674999999999997</v>
      </c>
      <c r="CV77" s="907">
        <v>17.754999999999999</v>
      </c>
      <c r="CW77" s="907">
        <v>17.835000000000001</v>
      </c>
      <c r="CX77" s="907">
        <v>17.914999999999999</v>
      </c>
      <c r="CY77" s="907">
        <v>17.994999999999997</v>
      </c>
      <c r="CZ77" s="907">
        <v>18.075000000000003</v>
      </c>
      <c r="DA77" s="907">
        <v>18.149999999999999</v>
      </c>
      <c r="DB77" s="907">
        <v>18.229999999999997</v>
      </c>
      <c r="DC77" s="907">
        <v>18.310000000000002</v>
      </c>
      <c r="DD77" s="907">
        <v>18.384999999999998</v>
      </c>
      <c r="DE77" s="907">
        <v>18.46</v>
      </c>
      <c r="DF77" s="907">
        <v>18.54</v>
      </c>
      <c r="DG77" s="907">
        <v>18.614999999999998</v>
      </c>
      <c r="DH77" s="907">
        <v>18.695</v>
      </c>
      <c r="DI77" s="907">
        <v>18.77</v>
      </c>
      <c r="DJ77" s="907">
        <v>18.844999999999999</v>
      </c>
      <c r="DK77" s="907">
        <v>18.920000000000002</v>
      </c>
      <c r="DL77" s="907">
        <v>18.994999999999997</v>
      </c>
      <c r="DM77" s="907">
        <v>19.07</v>
      </c>
      <c r="DN77" s="907">
        <v>19.14</v>
      </c>
      <c r="DO77" s="907">
        <v>19.215</v>
      </c>
      <c r="DP77" s="907">
        <v>19.285</v>
      </c>
      <c r="DQ77" s="907">
        <v>19.36</v>
      </c>
      <c r="DR77" s="907">
        <v>19.43</v>
      </c>
    </row>
    <row r="78" spans="1:122" s="127" customFormat="1" ht="12.75">
      <c r="A78" s="911">
        <v>76</v>
      </c>
      <c r="B78" s="907"/>
      <c r="C78" s="907"/>
      <c r="D78" s="907"/>
      <c r="E78" s="907"/>
      <c r="F78" s="907"/>
      <c r="G78" s="907"/>
      <c r="H78" s="907"/>
      <c r="I78" s="907"/>
      <c r="J78" s="907"/>
      <c r="K78" s="907"/>
      <c r="L78" s="907"/>
      <c r="M78" s="907"/>
      <c r="N78" s="907"/>
      <c r="O78" s="907"/>
      <c r="P78" s="907"/>
      <c r="Q78" s="907"/>
      <c r="R78" s="907"/>
      <c r="S78" s="907"/>
      <c r="T78" s="907"/>
      <c r="U78" s="907"/>
      <c r="V78" s="907"/>
      <c r="W78" s="907">
        <v>10.23</v>
      </c>
      <c r="X78" s="907">
        <v>10.324999999999999</v>
      </c>
      <c r="Y78" s="907">
        <v>10.435</v>
      </c>
      <c r="Z78" s="907">
        <v>10.565000000000001</v>
      </c>
      <c r="AA78" s="907">
        <v>10.629999999999999</v>
      </c>
      <c r="AB78" s="907">
        <v>10.725000000000001</v>
      </c>
      <c r="AC78" s="907">
        <v>10.809999999999999</v>
      </c>
      <c r="AD78" s="907">
        <v>10.85</v>
      </c>
      <c r="AE78" s="907">
        <v>10.925000000000001</v>
      </c>
      <c r="AF78" s="907">
        <v>11.04</v>
      </c>
      <c r="AG78" s="907">
        <v>11.120000000000001</v>
      </c>
      <c r="AH78" s="907">
        <v>11.215</v>
      </c>
      <c r="AI78" s="907">
        <v>11.32</v>
      </c>
      <c r="AJ78" s="907">
        <v>11.435</v>
      </c>
      <c r="AK78" s="907">
        <v>11.555</v>
      </c>
      <c r="AL78" s="907">
        <v>11.675000000000001</v>
      </c>
      <c r="AM78" s="907">
        <v>11.79</v>
      </c>
      <c r="AN78" s="907">
        <v>11.870000000000001</v>
      </c>
      <c r="AO78" s="907">
        <v>11.965</v>
      </c>
      <c r="AP78" s="907">
        <v>12.035</v>
      </c>
      <c r="AQ78" s="907">
        <v>12.115</v>
      </c>
      <c r="AR78" s="907">
        <v>12.205</v>
      </c>
      <c r="AS78" s="907">
        <v>12.29</v>
      </c>
      <c r="AT78" s="907">
        <v>12.379999999999999</v>
      </c>
      <c r="AU78" s="907">
        <v>12.469999999999999</v>
      </c>
      <c r="AV78" s="907">
        <v>12.55</v>
      </c>
      <c r="AW78" s="907">
        <v>12.64</v>
      </c>
      <c r="AX78" s="907">
        <v>12.73</v>
      </c>
      <c r="AY78" s="907">
        <v>12.815000000000001</v>
      </c>
      <c r="AZ78" s="907">
        <v>12.905000000000001</v>
      </c>
      <c r="BA78" s="907">
        <v>12.995000000000001</v>
      </c>
      <c r="BB78" s="907">
        <v>13.074999999999999</v>
      </c>
      <c r="BC78" s="907">
        <v>13.164999999999999</v>
      </c>
      <c r="BD78" s="907">
        <v>13.25</v>
      </c>
      <c r="BE78" s="907">
        <v>13.34</v>
      </c>
      <c r="BF78" s="907">
        <v>13.425000000000001</v>
      </c>
      <c r="BG78" s="907">
        <v>13.510000000000002</v>
      </c>
      <c r="BH78" s="907">
        <v>13.600000000000001</v>
      </c>
      <c r="BI78" s="907">
        <v>13.685</v>
      </c>
      <c r="BJ78" s="907">
        <v>13.77</v>
      </c>
      <c r="BK78" s="907">
        <v>13.86</v>
      </c>
      <c r="BL78" s="907">
        <v>13.945</v>
      </c>
      <c r="BM78" s="907">
        <v>14.030000000000001</v>
      </c>
      <c r="BN78" s="907">
        <v>14.120000000000001</v>
      </c>
      <c r="BO78" s="907">
        <v>14.205</v>
      </c>
      <c r="BP78" s="907">
        <v>14.29</v>
      </c>
      <c r="BQ78" s="907">
        <v>14.375</v>
      </c>
      <c r="BR78" s="907">
        <v>14.465</v>
      </c>
      <c r="BS78" s="907">
        <v>14.545</v>
      </c>
      <c r="BT78" s="908">
        <v>14.629999999999999</v>
      </c>
      <c r="BU78" s="907">
        <v>14.715</v>
      </c>
      <c r="BV78" s="907">
        <v>14.8</v>
      </c>
      <c r="BW78" s="907">
        <v>14.885000000000002</v>
      </c>
      <c r="BX78" s="907">
        <v>14.97</v>
      </c>
      <c r="BY78" s="907">
        <v>15.05</v>
      </c>
      <c r="BZ78" s="907">
        <v>15.135000000000002</v>
      </c>
      <c r="CA78" s="907">
        <v>15.219999999999999</v>
      </c>
      <c r="CB78" s="907">
        <v>15.305</v>
      </c>
      <c r="CC78" s="907">
        <v>15.385</v>
      </c>
      <c r="CD78" s="907">
        <v>15.47</v>
      </c>
      <c r="CE78" s="907">
        <v>15.555</v>
      </c>
      <c r="CF78" s="907">
        <v>15.64</v>
      </c>
      <c r="CG78" s="907">
        <v>15.719999999999999</v>
      </c>
      <c r="CH78" s="907">
        <v>15.8</v>
      </c>
      <c r="CI78" s="907">
        <v>15.879999999999999</v>
      </c>
      <c r="CJ78" s="907">
        <v>15.965</v>
      </c>
      <c r="CK78" s="907">
        <v>16.049999999999997</v>
      </c>
      <c r="CL78" s="907">
        <v>16.125</v>
      </c>
      <c r="CM78" s="907">
        <v>16.21</v>
      </c>
      <c r="CN78" s="907">
        <v>16.285</v>
      </c>
      <c r="CO78" s="907">
        <v>16.369999999999997</v>
      </c>
      <c r="CP78" s="907">
        <v>16.45</v>
      </c>
      <c r="CQ78" s="907">
        <v>16.524999999999999</v>
      </c>
      <c r="CR78" s="907">
        <v>16.61</v>
      </c>
      <c r="CS78" s="907">
        <v>16.684999999999999</v>
      </c>
      <c r="CT78" s="907">
        <v>16.759999999999998</v>
      </c>
      <c r="CU78" s="907">
        <v>16.844999999999999</v>
      </c>
      <c r="CV78" s="907">
        <v>16.920000000000002</v>
      </c>
      <c r="CW78" s="907">
        <v>16.994999999999997</v>
      </c>
      <c r="CX78" s="907">
        <v>17.075000000000003</v>
      </c>
      <c r="CY78" s="907">
        <v>17.155000000000001</v>
      </c>
      <c r="CZ78" s="907">
        <v>17.23</v>
      </c>
      <c r="DA78" s="907">
        <v>17.305</v>
      </c>
      <c r="DB78" s="907">
        <v>17.384999999999998</v>
      </c>
      <c r="DC78" s="907">
        <v>17.46</v>
      </c>
      <c r="DD78" s="907">
        <v>17.535</v>
      </c>
      <c r="DE78" s="907">
        <v>17.61</v>
      </c>
      <c r="DF78" s="907">
        <v>17.685000000000002</v>
      </c>
      <c r="DG78" s="907">
        <v>17.760000000000002</v>
      </c>
      <c r="DH78" s="907">
        <v>17.835000000000001</v>
      </c>
      <c r="DI78" s="907">
        <v>17.905000000000001</v>
      </c>
      <c r="DJ78" s="907">
        <v>17.98</v>
      </c>
      <c r="DK78" s="907">
        <v>18.05</v>
      </c>
      <c r="DL78" s="907">
        <v>18.125</v>
      </c>
      <c r="DM78" s="907">
        <v>18.200000000000003</v>
      </c>
      <c r="DN78" s="907">
        <v>18.27</v>
      </c>
      <c r="DO78" s="907">
        <v>18.34</v>
      </c>
      <c r="DP78" s="907">
        <v>18.414999999999999</v>
      </c>
      <c r="DQ78" s="907">
        <v>18.48</v>
      </c>
      <c r="DR78" s="907">
        <v>18.555</v>
      </c>
    </row>
    <row r="79" spans="1:122" s="127" customFormat="1" ht="12.75">
      <c r="A79" s="911">
        <v>77</v>
      </c>
      <c r="B79" s="907"/>
      <c r="C79" s="907"/>
      <c r="D79" s="907"/>
      <c r="E79" s="907"/>
      <c r="F79" s="907"/>
      <c r="G79" s="907"/>
      <c r="H79" s="907"/>
      <c r="I79" s="907"/>
      <c r="J79" s="907"/>
      <c r="K79" s="907"/>
      <c r="L79" s="907"/>
      <c r="M79" s="907"/>
      <c r="N79" s="907"/>
      <c r="O79" s="907"/>
      <c r="P79" s="907"/>
      <c r="Q79" s="907"/>
      <c r="R79" s="907"/>
      <c r="S79" s="907"/>
      <c r="T79" s="907"/>
      <c r="U79" s="907"/>
      <c r="V79" s="907"/>
      <c r="W79" s="907">
        <v>9.6850000000000005</v>
      </c>
      <c r="X79" s="907">
        <v>9.7800000000000011</v>
      </c>
      <c r="Y79" s="907">
        <v>9.870000000000001</v>
      </c>
      <c r="Z79" s="907">
        <v>9.9849999999999994</v>
      </c>
      <c r="AA79" s="907">
        <v>10.045</v>
      </c>
      <c r="AB79" s="907">
        <v>10.145</v>
      </c>
      <c r="AC79" s="907">
        <v>10.215</v>
      </c>
      <c r="AD79" s="907">
        <v>10.25</v>
      </c>
      <c r="AE79" s="907">
        <v>10.32</v>
      </c>
      <c r="AF79" s="907">
        <v>10.42</v>
      </c>
      <c r="AG79" s="907">
        <v>10.5</v>
      </c>
      <c r="AH79" s="907">
        <v>10.59</v>
      </c>
      <c r="AI79" s="907">
        <v>10.69</v>
      </c>
      <c r="AJ79" s="907">
        <v>10.8</v>
      </c>
      <c r="AK79" s="907">
        <v>10.914999999999999</v>
      </c>
      <c r="AL79" s="907">
        <v>11.035</v>
      </c>
      <c r="AM79" s="907">
        <v>11.125</v>
      </c>
      <c r="AN79" s="907">
        <v>11.215</v>
      </c>
      <c r="AO79" s="907">
        <v>11.3</v>
      </c>
      <c r="AP79" s="907">
        <v>11.38</v>
      </c>
      <c r="AQ79" s="907">
        <v>11.465</v>
      </c>
      <c r="AR79" s="907">
        <v>11.545</v>
      </c>
      <c r="AS79" s="907">
        <v>11.625</v>
      </c>
      <c r="AT79" s="907">
        <v>11.71</v>
      </c>
      <c r="AU79" s="907">
        <v>11.795</v>
      </c>
      <c r="AV79" s="907">
        <v>11.879999999999999</v>
      </c>
      <c r="AW79" s="907">
        <v>11.96</v>
      </c>
      <c r="AX79" s="907">
        <v>12.05</v>
      </c>
      <c r="AY79" s="907">
        <v>12.129999999999999</v>
      </c>
      <c r="AZ79" s="907">
        <v>12.215</v>
      </c>
      <c r="BA79" s="907">
        <v>12.3</v>
      </c>
      <c r="BB79" s="907">
        <v>12.385000000000002</v>
      </c>
      <c r="BC79" s="907">
        <v>12.465</v>
      </c>
      <c r="BD79" s="907">
        <v>12.55</v>
      </c>
      <c r="BE79" s="907">
        <v>12.635000000000002</v>
      </c>
      <c r="BF79" s="907">
        <v>12.715</v>
      </c>
      <c r="BG79" s="907">
        <v>12.805</v>
      </c>
      <c r="BH79" s="907">
        <v>12.885000000000002</v>
      </c>
      <c r="BI79" s="907">
        <v>12.97</v>
      </c>
      <c r="BJ79" s="907">
        <v>13.055</v>
      </c>
      <c r="BK79" s="907">
        <v>13.135</v>
      </c>
      <c r="BL79" s="907">
        <v>13.219999999999999</v>
      </c>
      <c r="BM79" s="907">
        <v>13.3</v>
      </c>
      <c r="BN79" s="907">
        <v>13.385</v>
      </c>
      <c r="BO79" s="907">
        <v>13.465</v>
      </c>
      <c r="BP79" s="907">
        <v>13.55</v>
      </c>
      <c r="BQ79" s="907">
        <v>13.635</v>
      </c>
      <c r="BR79" s="907">
        <v>13.715</v>
      </c>
      <c r="BS79" s="907">
        <v>13.8</v>
      </c>
      <c r="BT79" s="908">
        <v>13.879999999999999</v>
      </c>
      <c r="BU79" s="907">
        <v>13.965</v>
      </c>
      <c r="BV79" s="907">
        <v>14.04</v>
      </c>
      <c r="BW79" s="907">
        <v>14.125</v>
      </c>
      <c r="BX79" s="907">
        <v>14.205</v>
      </c>
      <c r="BY79" s="907">
        <v>14.29</v>
      </c>
      <c r="BZ79" s="907">
        <v>14.370000000000001</v>
      </c>
      <c r="CA79" s="907">
        <v>14.445</v>
      </c>
      <c r="CB79" s="907">
        <v>14.530000000000001</v>
      </c>
      <c r="CC79" s="907">
        <v>14.61</v>
      </c>
      <c r="CD79" s="907">
        <v>14.69</v>
      </c>
      <c r="CE79" s="907">
        <v>14.77</v>
      </c>
      <c r="CF79" s="907">
        <v>14.85</v>
      </c>
      <c r="CG79" s="907">
        <v>14.93</v>
      </c>
      <c r="CH79" s="907">
        <v>15.01</v>
      </c>
      <c r="CI79" s="907">
        <v>15.085000000000001</v>
      </c>
      <c r="CJ79" s="907">
        <v>15.17</v>
      </c>
      <c r="CK79" s="907">
        <v>15.245000000000001</v>
      </c>
      <c r="CL79" s="907">
        <v>15.324999999999999</v>
      </c>
      <c r="CM79" s="907">
        <v>15.399999999999999</v>
      </c>
      <c r="CN79" s="907">
        <v>15.48</v>
      </c>
      <c r="CO79" s="907">
        <v>15.56</v>
      </c>
      <c r="CP79" s="907">
        <v>15.635000000000002</v>
      </c>
      <c r="CQ79" s="907">
        <v>15.715</v>
      </c>
      <c r="CR79" s="907">
        <v>15.79</v>
      </c>
      <c r="CS79" s="907">
        <v>15.865</v>
      </c>
      <c r="CT79" s="907">
        <v>15.940000000000001</v>
      </c>
      <c r="CU79" s="907">
        <v>16.02</v>
      </c>
      <c r="CV79" s="907">
        <v>16.094999999999999</v>
      </c>
      <c r="CW79" s="907">
        <v>16.170000000000002</v>
      </c>
      <c r="CX79" s="907">
        <v>16.245000000000001</v>
      </c>
      <c r="CY79" s="907">
        <v>16.32</v>
      </c>
      <c r="CZ79" s="907">
        <v>16.395</v>
      </c>
      <c r="DA79" s="907">
        <v>16.47</v>
      </c>
      <c r="DB79" s="907">
        <v>16.545000000000002</v>
      </c>
      <c r="DC79" s="907">
        <v>16.615000000000002</v>
      </c>
      <c r="DD79" s="907">
        <v>16.690000000000001</v>
      </c>
      <c r="DE79" s="907">
        <v>16.765000000000001</v>
      </c>
      <c r="DF79" s="907">
        <v>16.84</v>
      </c>
      <c r="DG79" s="907">
        <v>16.905000000000001</v>
      </c>
      <c r="DH79" s="907">
        <v>16.98</v>
      </c>
      <c r="DI79" s="907">
        <v>17.055</v>
      </c>
      <c r="DJ79" s="907">
        <v>17.119999999999997</v>
      </c>
      <c r="DK79" s="907">
        <v>17.195</v>
      </c>
      <c r="DL79" s="907">
        <v>17.265000000000001</v>
      </c>
      <c r="DM79" s="907">
        <v>17.335000000000001</v>
      </c>
      <c r="DN79" s="907">
        <v>17.405000000000001</v>
      </c>
      <c r="DO79" s="907">
        <v>17.475000000000001</v>
      </c>
      <c r="DP79" s="907">
        <v>17.545000000000002</v>
      </c>
      <c r="DQ79" s="907">
        <v>17.61</v>
      </c>
      <c r="DR79" s="907">
        <v>17.685000000000002</v>
      </c>
    </row>
    <row r="80" spans="1:122" s="127" customFormat="1" ht="12.75">
      <c r="A80" s="911">
        <v>78</v>
      </c>
      <c r="B80" s="907"/>
      <c r="C80" s="907"/>
      <c r="D80" s="907"/>
      <c r="E80" s="907"/>
      <c r="F80" s="907"/>
      <c r="G80" s="907"/>
      <c r="H80" s="907"/>
      <c r="I80" s="907"/>
      <c r="J80" s="907"/>
      <c r="K80" s="907"/>
      <c r="L80" s="907"/>
      <c r="M80" s="907"/>
      <c r="N80" s="907"/>
      <c r="O80" s="907"/>
      <c r="P80" s="907"/>
      <c r="Q80" s="907"/>
      <c r="R80" s="907"/>
      <c r="S80" s="907"/>
      <c r="T80" s="907"/>
      <c r="U80" s="907"/>
      <c r="V80" s="907"/>
      <c r="W80" s="907">
        <v>9.1549999999999994</v>
      </c>
      <c r="X80" s="907">
        <v>9.23</v>
      </c>
      <c r="Y80" s="907">
        <v>9.3049999999999997</v>
      </c>
      <c r="Z80" s="907">
        <v>9.42</v>
      </c>
      <c r="AA80" s="907">
        <v>9.48</v>
      </c>
      <c r="AB80" s="907">
        <v>9.57</v>
      </c>
      <c r="AC80" s="907">
        <v>9.629999999999999</v>
      </c>
      <c r="AD80" s="907">
        <v>9.6649999999999991</v>
      </c>
      <c r="AE80" s="907">
        <v>9.7199999999999989</v>
      </c>
      <c r="AF80" s="907">
        <v>9.82</v>
      </c>
      <c r="AG80" s="907">
        <v>9.9</v>
      </c>
      <c r="AH80" s="907">
        <v>9.9749999999999996</v>
      </c>
      <c r="AI80" s="907">
        <v>10.074999999999999</v>
      </c>
      <c r="AJ80" s="907">
        <v>10.18</v>
      </c>
      <c r="AK80" s="907">
        <v>10.295000000000002</v>
      </c>
      <c r="AL80" s="907">
        <v>10.39</v>
      </c>
      <c r="AM80" s="907">
        <v>10.49</v>
      </c>
      <c r="AN80" s="907">
        <v>10.57</v>
      </c>
      <c r="AO80" s="907">
        <v>10.655000000000001</v>
      </c>
      <c r="AP80" s="907">
        <v>10.73</v>
      </c>
      <c r="AQ80" s="907">
        <v>10.809999999999999</v>
      </c>
      <c r="AR80" s="907">
        <v>10.895</v>
      </c>
      <c r="AS80" s="907">
        <v>10.975</v>
      </c>
      <c r="AT80" s="907">
        <v>11.055</v>
      </c>
      <c r="AU80" s="907">
        <v>11.135</v>
      </c>
      <c r="AV80" s="907">
        <v>11.219999999999999</v>
      </c>
      <c r="AW80" s="907">
        <v>11.3</v>
      </c>
      <c r="AX80" s="907">
        <v>11.379999999999999</v>
      </c>
      <c r="AY80" s="907">
        <v>11.46</v>
      </c>
      <c r="AZ80" s="907">
        <v>11.54</v>
      </c>
      <c r="BA80" s="907">
        <v>11.620000000000001</v>
      </c>
      <c r="BB80" s="907">
        <v>11.695</v>
      </c>
      <c r="BC80" s="907">
        <v>11.775</v>
      </c>
      <c r="BD80" s="907">
        <v>11.86</v>
      </c>
      <c r="BE80" s="907">
        <v>11.940000000000001</v>
      </c>
      <c r="BF80" s="907">
        <v>12.02</v>
      </c>
      <c r="BG80" s="907">
        <v>12.1</v>
      </c>
      <c r="BH80" s="907">
        <v>12.18</v>
      </c>
      <c r="BI80" s="907">
        <v>12.26</v>
      </c>
      <c r="BJ80" s="907">
        <v>12.34</v>
      </c>
      <c r="BK80" s="907">
        <v>12.42</v>
      </c>
      <c r="BL80" s="907">
        <v>12.5</v>
      </c>
      <c r="BM80" s="907">
        <v>12.585000000000001</v>
      </c>
      <c r="BN80" s="907">
        <v>12.66</v>
      </c>
      <c r="BO80" s="907">
        <v>12.74</v>
      </c>
      <c r="BP80" s="907">
        <v>12.82</v>
      </c>
      <c r="BQ80" s="907">
        <v>12.895</v>
      </c>
      <c r="BR80" s="907">
        <v>12.98</v>
      </c>
      <c r="BS80" s="907">
        <v>13.06</v>
      </c>
      <c r="BT80" s="908">
        <v>13.135</v>
      </c>
      <c r="BU80" s="907">
        <v>13.215</v>
      </c>
      <c r="BV80" s="907">
        <v>13.295</v>
      </c>
      <c r="BW80" s="907">
        <v>13.370000000000001</v>
      </c>
      <c r="BX80" s="907">
        <v>13.455</v>
      </c>
      <c r="BY80" s="907">
        <v>13.530000000000001</v>
      </c>
      <c r="BZ80" s="907">
        <v>13.61</v>
      </c>
      <c r="CA80" s="907">
        <v>13.685</v>
      </c>
      <c r="CB80" s="907">
        <v>13.765000000000001</v>
      </c>
      <c r="CC80" s="907">
        <v>13.84</v>
      </c>
      <c r="CD80" s="907">
        <v>13.92</v>
      </c>
      <c r="CE80" s="907">
        <v>13.994999999999999</v>
      </c>
      <c r="CF80" s="907">
        <v>14.074999999999999</v>
      </c>
      <c r="CG80" s="907">
        <v>14.149999999999999</v>
      </c>
      <c r="CH80" s="907">
        <v>14.225</v>
      </c>
      <c r="CI80" s="907">
        <v>14.305</v>
      </c>
      <c r="CJ80" s="907">
        <v>14.379999999999999</v>
      </c>
      <c r="CK80" s="907">
        <v>14.455</v>
      </c>
      <c r="CL80" s="907">
        <v>14.530000000000001</v>
      </c>
      <c r="CM80" s="907">
        <v>14.61</v>
      </c>
      <c r="CN80" s="907">
        <v>14.684999999999999</v>
      </c>
      <c r="CO80" s="907">
        <v>14.76</v>
      </c>
      <c r="CP80" s="907">
        <v>14.835000000000001</v>
      </c>
      <c r="CQ80" s="907">
        <v>14.905000000000001</v>
      </c>
      <c r="CR80" s="907">
        <v>14.98</v>
      </c>
      <c r="CS80" s="907">
        <v>15.055</v>
      </c>
      <c r="CT80" s="907">
        <v>15.129999999999999</v>
      </c>
      <c r="CU80" s="907">
        <v>15.205</v>
      </c>
      <c r="CV80" s="907">
        <v>15.275</v>
      </c>
      <c r="CW80" s="907">
        <v>15.35</v>
      </c>
      <c r="CX80" s="907">
        <v>15.425000000000001</v>
      </c>
      <c r="CY80" s="907">
        <v>15.495000000000001</v>
      </c>
      <c r="CZ80" s="907">
        <v>15.57</v>
      </c>
      <c r="DA80" s="907">
        <v>15.645</v>
      </c>
      <c r="DB80" s="907">
        <v>15.71</v>
      </c>
      <c r="DC80" s="907">
        <v>15.785</v>
      </c>
      <c r="DD80" s="907">
        <v>15.855</v>
      </c>
      <c r="DE80" s="907">
        <v>15.925000000000001</v>
      </c>
      <c r="DF80" s="907">
        <v>15.995000000000001</v>
      </c>
      <c r="DG80" s="907">
        <v>16.07</v>
      </c>
      <c r="DH80" s="907">
        <v>16.134999999999998</v>
      </c>
      <c r="DI80" s="907">
        <v>16.204999999999998</v>
      </c>
      <c r="DJ80" s="907">
        <v>16.274999999999999</v>
      </c>
      <c r="DK80" s="907">
        <v>16.344999999999999</v>
      </c>
      <c r="DL80" s="907">
        <v>16.41</v>
      </c>
      <c r="DM80" s="907">
        <v>16.484999999999999</v>
      </c>
      <c r="DN80" s="907">
        <v>16.55</v>
      </c>
      <c r="DO80" s="907">
        <v>16.62</v>
      </c>
      <c r="DP80" s="907">
        <v>16.685000000000002</v>
      </c>
      <c r="DQ80" s="907">
        <v>16.75</v>
      </c>
      <c r="DR80" s="907">
        <v>16.814999999999998</v>
      </c>
    </row>
    <row r="81" spans="1:122" s="127" customFormat="1" ht="12.75">
      <c r="A81" s="911">
        <v>79</v>
      </c>
      <c r="B81" s="907"/>
      <c r="C81" s="907"/>
      <c r="D81" s="907"/>
      <c r="E81" s="907"/>
      <c r="F81" s="907"/>
      <c r="G81" s="907"/>
      <c r="H81" s="907"/>
      <c r="I81" s="907"/>
      <c r="J81" s="907"/>
      <c r="K81" s="907"/>
      <c r="L81" s="907"/>
      <c r="M81" s="907"/>
      <c r="N81" s="907"/>
      <c r="O81" s="907"/>
      <c r="P81" s="907"/>
      <c r="Q81" s="907"/>
      <c r="R81" s="907"/>
      <c r="S81" s="907"/>
      <c r="T81" s="907"/>
      <c r="U81" s="907"/>
      <c r="V81" s="907"/>
      <c r="W81" s="907">
        <v>8.6349999999999998</v>
      </c>
      <c r="X81" s="907">
        <v>8.6850000000000005</v>
      </c>
      <c r="Y81" s="907">
        <v>8.77</v>
      </c>
      <c r="Z81" s="907">
        <v>8.879999999999999</v>
      </c>
      <c r="AA81" s="907">
        <v>8.9250000000000007</v>
      </c>
      <c r="AB81" s="907">
        <v>9</v>
      </c>
      <c r="AC81" s="907">
        <v>9.06</v>
      </c>
      <c r="AD81" s="907">
        <v>9.08</v>
      </c>
      <c r="AE81" s="907">
        <v>9.1449999999999996</v>
      </c>
      <c r="AF81" s="907">
        <v>9.2399999999999984</v>
      </c>
      <c r="AG81" s="907">
        <v>9.3099999999999987</v>
      </c>
      <c r="AH81" s="907">
        <v>9.3849999999999998</v>
      </c>
      <c r="AI81" s="907">
        <v>9.48</v>
      </c>
      <c r="AJ81" s="907">
        <v>9.58</v>
      </c>
      <c r="AK81" s="907">
        <v>9.67</v>
      </c>
      <c r="AL81" s="907">
        <v>9.7750000000000004</v>
      </c>
      <c r="AM81" s="907">
        <v>9.86</v>
      </c>
      <c r="AN81" s="907">
        <v>9.9450000000000003</v>
      </c>
      <c r="AO81" s="907">
        <v>10.025</v>
      </c>
      <c r="AP81" s="907">
        <v>10.100000000000001</v>
      </c>
      <c r="AQ81" s="907">
        <v>10.18</v>
      </c>
      <c r="AR81" s="907">
        <v>10.254999999999999</v>
      </c>
      <c r="AS81" s="907">
        <v>10.335000000000001</v>
      </c>
      <c r="AT81" s="907">
        <v>10.41</v>
      </c>
      <c r="AU81" s="907">
        <v>10.49</v>
      </c>
      <c r="AV81" s="907">
        <v>10.559999999999999</v>
      </c>
      <c r="AW81" s="907">
        <v>10.64</v>
      </c>
      <c r="AX81" s="907">
        <v>10.715</v>
      </c>
      <c r="AY81" s="907">
        <v>10.795</v>
      </c>
      <c r="AZ81" s="907">
        <v>10.870000000000001</v>
      </c>
      <c r="BA81" s="907">
        <v>10.95</v>
      </c>
      <c r="BB81" s="907">
        <v>11.025</v>
      </c>
      <c r="BC81" s="907">
        <v>11.100000000000001</v>
      </c>
      <c r="BD81" s="907">
        <v>11.18</v>
      </c>
      <c r="BE81" s="907">
        <v>11.254999999999999</v>
      </c>
      <c r="BF81" s="907">
        <v>11.335000000000001</v>
      </c>
      <c r="BG81" s="907">
        <v>11.41</v>
      </c>
      <c r="BH81" s="907">
        <v>11.489999999999998</v>
      </c>
      <c r="BI81" s="907">
        <v>11.565</v>
      </c>
      <c r="BJ81" s="907">
        <v>11.64</v>
      </c>
      <c r="BK81" s="907">
        <v>11.715</v>
      </c>
      <c r="BL81" s="907">
        <v>11.795</v>
      </c>
      <c r="BM81" s="907">
        <v>11.870000000000001</v>
      </c>
      <c r="BN81" s="907">
        <v>11.95</v>
      </c>
      <c r="BO81" s="907">
        <v>12.025</v>
      </c>
      <c r="BP81" s="907">
        <v>12.105</v>
      </c>
      <c r="BQ81" s="907">
        <v>12.175000000000001</v>
      </c>
      <c r="BR81" s="907">
        <v>12.254999999999999</v>
      </c>
      <c r="BS81" s="907">
        <v>12.33</v>
      </c>
      <c r="BT81" s="908">
        <v>12.405000000000001</v>
      </c>
      <c r="BU81" s="907">
        <v>12.484999999999999</v>
      </c>
      <c r="BV81" s="907">
        <v>12.56</v>
      </c>
      <c r="BW81" s="907">
        <v>12.629999999999999</v>
      </c>
      <c r="BX81" s="907">
        <v>12.71</v>
      </c>
      <c r="BY81" s="907">
        <v>12.785</v>
      </c>
      <c r="BZ81" s="907">
        <v>12.86</v>
      </c>
      <c r="CA81" s="907">
        <v>12.94</v>
      </c>
      <c r="CB81" s="907">
        <v>13.01</v>
      </c>
      <c r="CC81" s="907">
        <v>13.085000000000001</v>
      </c>
      <c r="CD81" s="907">
        <v>13.16</v>
      </c>
      <c r="CE81" s="907">
        <v>13.234999999999999</v>
      </c>
      <c r="CF81" s="907">
        <v>13.31</v>
      </c>
      <c r="CG81" s="907">
        <v>13.385000000000002</v>
      </c>
      <c r="CH81" s="907">
        <v>13.46</v>
      </c>
      <c r="CI81" s="907">
        <v>13.530000000000001</v>
      </c>
      <c r="CJ81" s="907">
        <v>13.605</v>
      </c>
      <c r="CK81" s="907">
        <v>13.68</v>
      </c>
      <c r="CL81" s="907">
        <v>13.75</v>
      </c>
      <c r="CM81" s="907">
        <v>13.824999999999999</v>
      </c>
      <c r="CN81" s="907">
        <v>13.899999999999999</v>
      </c>
      <c r="CO81" s="907">
        <v>13.969999999999999</v>
      </c>
      <c r="CP81" s="907">
        <v>14.045</v>
      </c>
      <c r="CQ81" s="907">
        <v>14.115</v>
      </c>
      <c r="CR81" s="907">
        <v>14.190000000000001</v>
      </c>
      <c r="CS81" s="907">
        <v>14.254999999999999</v>
      </c>
      <c r="CT81" s="907">
        <v>14.33</v>
      </c>
      <c r="CU81" s="907">
        <v>14.399999999999999</v>
      </c>
      <c r="CV81" s="907">
        <v>14.475</v>
      </c>
      <c r="CW81" s="907">
        <v>14.54</v>
      </c>
      <c r="CX81" s="907">
        <v>14.61</v>
      </c>
      <c r="CY81" s="907">
        <v>14.684999999999999</v>
      </c>
      <c r="CZ81" s="907">
        <v>14.754999999999999</v>
      </c>
      <c r="DA81" s="907">
        <v>14.824999999999999</v>
      </c>
      <c r="DB81" s="907">
        <v>14.895</v>
      </c>
      <c r="DC81" s="907">
        <v>14.96</v>
      </c>
      <c r="DD81" s="907">
        <v>15.03</v>
      </c>
      <c r="DE81" s="907">
        <v>15.1</v>
      </c>
      <c r="DF81" s="907">
        <v>15.17</v>
      </c>
      <c r="DG81" s="907">
        <v>15.234999999999999</v>
      </c>
      <c r="DH81" s="907">
        <v>15.305</v>
      </c>
      <c r="DI81" s="907">
        <v>15.370000000000001</v>
      </c>
      <c r="DJ81" s="907">
        <v>15.435</v>
      </c>
      <c r="DK81" s="907">
        <v>15.504999999999999</v>
      </c>
      <c r="DL81" s="907">
        <v>15.574999999999999</v>
      </c>
      <c r="DM81" s="907">
        <v>15.64</v>
      </c>
      <c r="DN81" s="907">
        <v>15.705</v>
      </c>
      <c r="DO81" s="907">
        <v>15.775</v>
      </c>
      <c r="DP81" s="907">
        <v>15.835000000000001</v>
      </c>
      <c r="DQ81" s="907">
        <v>15.9</v>
      </c>
      <c r="DR81" s="907">
        <v>15.965</v>
      </c>
    </row>
    <row r="82" spans="1:122" s="127" customFormat="1" ht="12.75">
      <c r="A82" s="911">
        <v>80</v>
      </c>
      <c r="B82" s="907"/>
      <c r="C82" s="907"/>
      <c r="D82" s="907"/>
      <c r="E82" s="907"/>
      <c r="F82" s="907"/>
      <c r="G82" s="907"/>
      <c r="H82" s="907"/>
      <c r="I82" s="907"/>
      <c r="J82" s="907"/>
      <c r="K82" s="907"/>
      <c r="L82" s="907"/>
      <c r="M82" s="907"/>
      <c r="N82" s="907"/>
      <c r="O82" s="907"/>
      <c r="P82" s="907"/>
      <c r="Q82" s="907"/>
      <c r="R82" s="907"/>
      <c r="S82" s="907"/>
      <c r="T82" s="907"/>
      <c r="U82" s="907"/>
      <c r="V82" s="907"/>
      <c r="W82" s="907">
        <v>8.1150000000000002</v>
      </c>
      <c r="X82" s="907">
        <v>8.16</v>
      </c>
      <c r="Y82" s="907">
        <v>8.25</v>
      </c>
      <c r="Z82" s="907">
        <v>8.3450000000000006</v>
      </c>
      <c r="AA82" s="907">
        <v>8.379999999999999</v>
      </c>
      <c r="AB82" s="907">
        <v>8.4450000000000003</v>
      </c>
      <c r="AC82" s="907">
        <v>8.49</v>
      </c>
      <c r="AD82" s="907">
        <v>8.52</v>
      </c>
      <c r="AE82" s="907">
        <v>8.59</v>
      </c>
      <c r="AF82" s="907">
        <v>8.67</v>
      </c>
      <c r="AG82" s="907">
        <v>8.74</v>
      </c>
      <c r="AH82" s="907">
        <v>8.8099999999999987</v>
      </c>
      <c r="AI82" s="907">
        <v>8.91</v>
      </c>
      <c r="AJ82" s="907">
        <v>8.9899999999999984</v>
      </c>
      <c r="AK82" s="907">
        <v>9.08</v>
      </c>
      <c r="AL82" s="907">
        <v>9.17</v>
      </c>
      <c r="AM82" s="907">
        <v>9.26</v>
      </c>
      <c r="AN82" s="907">
        <v>9.3449999999999989</v>
      </c>
      <c r="AO82" s="907">
        <v>9.4149999999999991</v>
      </c>
      <c r="AP82" s="907">
        <v>9.4849999999999994</v>
      </c>
      <c r="AQ82" s="907">
        <v>9.5549999999999997</v>
      </c>
      <c r="AR82" s="907">
        <v>9.6300000000000008</v>
      </c>
      <c r="AS82" s="907">
        <v>9.7050000000000001</v>
      </c>
      <c r="AT82" s="907">
        <v>9.7799999999999994</v>
      </c>
      <c r="AU82" s="907">
        <v>9.8550000000000004</v>
      </c>
      <c r="AV82" s="907">
        <v>9.9250000000000007</v>
      </c>
      <c r="AW82" s="907">
        <v>9.995000000000001</v>
      </c>
      <c r="AX82" s="907">
        <v>10.074999999999999</v>
      </c>
      <c r="AY82" s="907">
        <v>10.145</v>
      </c>
      <c r="AZ82" s="907">
        <v>10.215</v>
      </c>
      <c r="BA82" s="907">
        <v>10.295000000000002</v>
      </c>
      <c r="BB82" s="907">
        <v>10.364999999999998</v>
      </c>
      <c r="BC82" s="907">
        <v>10.44</v>
      </c>
      <c r="BD82" s="907">
        <v>10.515000000000001</v>
      </c>
      <c r="BE82" s="907">
        <v>10.59</v>
      </c>
      <c r="BF82" s="907">
        <v>10.66</v>
      </c>
      <c r="BG82" s="907">
        <v>10.734999999999999</v>
      </c>
      <c r="BH82" s="907">
        <v>10.81</v>
      </c>
      <c r="BI82" s="907">
        <v>10.885000000000002</v>
      </c>
      <c r="BJ82" s="907">
        <v>10.955</v>
      </c>
      <c r="BK82" s="907">
        <v>11.030000000000001</v>
      </c>
      <c r="BL82" s="907">
        <v>11.105</v>
      </c>
      <c r="BM82" s="907">
        <v>11.18</v>
      </c>
      <c r="BN82" s="907">
        <v>11.25</v>
      </c>
      <c r="BO82" s="907">
        <v>11.324999999999999</v>
      </c>
      <c r="BP82" s="907">
        <v>11.395</v>
      </c>
      <c r="BQ82" s="907">
        <v>11.469999999999999</v>
      </c>
      <c r="BR82" s="907">
        <v>11.545</v>
      </c>
      <c r="BS82" s="907">
        <v>11.620000000000001</v>
      </c>
      <c r="BT82" s="908">
        <v>11.690000000000001</v>
      </c>
      <c r="BU82" s="907">
        <v>11.765000000000001</v>
      </c>
      <c r="BV82" s="907">
        <v>11.835000000000001</v>
      </c>
      <c r="BW82" s="907">
        <v>11.91</v>
      </c>
      <c r="BX82" s="907">
        <v>11.98</v>
      </c>
      <c r="BY82" s="907">
        <v>12.055</v>
      </c>
      <c r="BZ82" s="907">
        <v>12.125</v>
      </c>
      <c r="CA82" s="907">
        <v>12.2</v>
      </c>
      <c r="CB82" s="907">
        <v>12.27</v>
      </c>
      <c r="CC82" s="907">
        <v>12.34</v>
      </c>
      <c r="CD82" s="907">
        <v>12.414999999999999</v>
      </c>
      <c r="CE82" s="907">
        <v>12.484999999999999</v>
      </c>
      <c r="CF82" s="907">
        <v>12.559999999999999</v>
      </c>
      <c r="CG82" s="907">
        <v>12.629999999999999</v>
      </c>
      <c r="CH82" s="907">
        <v>12.7</v>
      </c>
      <c r="CI82" s="907">
        <v>12.775</v>
      </c>
      <c r="CJ82" s="907">
        <v>12.84</v>
      </c>
      <c r="CK82" s="907">
        <v>12.91</v>
      </c>
      <c r="CL82" s="907">
        <v>12.984999999999999</v>
      </c>
      <c r="CM82" s="907">
        <v>13.055</v>
      </c>
      <c r="CN82" s="907">
        <v>13.120000000000001</v>
      </c>
      <c r="CO82" s="907">
        <v>13.195</v>
      </c>
      <c r="CP82" s="907">
        <v>13.265000000000001</v>
      </c>
      <c r="CQ82" s="907">
        <v>13.335000000000001</v>
      </c>
      <c r="CR82" s="907">
        <v>13.4</v>
      </c>
      <c r="CS82" s="907">
        <v>13.475000000000001</v>
      </c>
      <c r="CT82" s="907">
        <v>13.54</v>
      </c>
      <c r="CU82" s="907">
        <v>13.61</v>
      </c>
      <c r="CV82" s="907">
        <v>13.68</v>
      </c>
      <c r="CW82" s="907">
        <v>13.745000000000001</v>
      </c>
      <c r="CX82" s="907">
        <v>13.815000000000001</v>
      </c>
      <c r="CY82" s="907">
        <v>13.885</v>
      </c>
      <c r="CZ82" s="907">
        <v>13.95</v>
      </c>
      <c r="DA82" s="907">
        <v>14.02</v>
      </c>
      <c r="DB82" s="907">
        <v>14.085000000000001</v>
      </c>
      <c r="DC82" s="907">
        <v>14.154999999999999</v>
      </c>
      <c r="DD82" s="907">
        <v>14.219999999999999</v>
      </c>
      <c r="DE82" s="907">
        <v>14.285</v>
      </c>
      <c r="DF82" s="907">
        <v>14.355</v>
      </c>
      <c r="DG82" s="907">
        <v>14.42</v>
      </c>
      <c r="DH82" s="907">
        <v>14.484999999999999</v>
      </c>
      <c r="DI82" s="907">
        <v>14.545</v>
      </c>
      <c r="DJ82" s="907">
        <v>14.61</v>
      </c>
      <c r="DK82" s="907">
        <v>14.68</v>
      </c>
      <c r="DL82" s="907">
        <v>14.745000000000001</v>
      </c>
      <c r="DM82" s="907">
        <v>14.81</v>
      </c>
      <c r="DN82" s="907">
        <v>14.870000000000001</v>
      </c>
      <c r="DO82" s="907">
        <v>14.934999999999999</v>
      </c>
      <c r="DP82" s="907">
        <v>15</v>
      </c>
      <c r="DQ82" s="907">
        <v>15.06</v>
      </c>
      <c r="DR82" s="907">
        <v>15.125</v>
      </c>
    </row>
    <row r="83" spans="1:122" s="127" customFormat="1" ht="12.75">
      <c r="A83" s="911">
        <v>81</v>
      </c>
      <c r="B83" s="907"/>
      <c r="C83" s="907"/>
      <c r="D83" s="907"/>
      <c r="E83" s="907"/>
      <c r="F83" s="907"/>
      <c r="G83" s="907"/>
      <c r="H83" s="907"/>
      <c r="I83" s="907"/>
      <c r="J83" s="907"/>
      <c r="K83" s="907"/>
      <c r="L83" s="907"/>
      <c r="M83" s="907"/>
      <c r="N83" s="907"/>
      <c r="O83" s="907"/>
      <c r="P83" s="907"/>
      <c r="Q83" s="907"/>
      <c r="R83" s="907"/>
      <c r="S83" s="907"/>
      <c r="T83" s="907"/>
      <c r="U83" s="907"/>
      <c r="V83" s="907"/>
      <c r="W83" s="907">
        <v>7.6199999999999992</v>
      </c>
      <c r="X83" s="907">
        <v>7.6749999999999998</v>
      </c>
      <c r="Y83" s="907">
        <v>7.74</v>
      </c>
      <c r="Z83" s="907">
        <v>7.82</v>
      </c>
      <c r="AA83" s="907">
        <v>7.8449999999999998</v>
      </c>
      <c r="AB83" s="907">
        <v>7.91</v>
      </c>
      <c r="AC83" s="907">
        <v>7.9550000000000001</v>
      </c>
      <c r="AD83" s="907">
        <v>7.9850000000000003</v>
      </c>
      <c r="AE83" s="907">
        <v>8.0350000000000001</v>
      </c>
      <c r="AF83" s="907">
        <v>8.1199999999999992</v>
      </c>
      <c r="AG83" s="907">
        <v>8.1850000000000005</v>
      </c>
      <c r="AH83" s="907">
        <v>8.254999999999999</v>
      </c>
      <c r="AI83" s="907">
        <v>8.3350000000000009</v>
      </c>
      <c r="AJ83" s="907">
        <v>8.4250000000000007</v>
      </c>
      <c r="AK83" s="907">
        <v>8.504999999999999</v>
      </c>
      <c r="AL83" s="907">
        <v>8.5949999999999989</v>
      </c>
      <c r="AM83" s="907">
        <v>8.6750000000000007</v>
      </c>
      <c r="AN83" s="907">
        <v>8.745000000000001</v>
      </c>
      <c r="AO83" s="907">
        <v>8.8150000000000013</v>
      </c>
      <c r="AP83" s="907">
        <v>8.8849999999999998</v>
      </c>
      <c r="AQ83" s="907">
        <v>8.9550000000000001</v>
      </c>
      <c r="AR83" s="907">
        <v>9.0250000000000004</v>
      </c>
      <c r="AS83" s="907">
        <v>9.0949999999999989</v>
      </c>
      <c r="AT83" s="907">
        <v>9.1649999999999991</v>
      </c>
      <c r="AU83" s="907">
        <v>9.2349999999999994</v>
      </c>
      <c r="AV83" s="907">
        <v>9.3000000000000007</v>
      </c>
      <c r="AW83" s="907">
        <v>9.370000000000001</v>
      </c>
      <c r="AX83" s="907">
        <v>9.4400000000000013</v>
      </c>
      <c r="AY83" s="907">
        <v>9.51</v>
      </c>
      <c r="AZ83" s="907">
        <v>9.5850000000000009</v>
      </c>
      <c r="BA83" s="907">
        <v>9.6550000000000011</v>
      </c>
      <c r="BB83" s="907">
        <v>9.7249999999999996</v>
      </c>
      <c r="BC83" s="907">
        <v>9.7949999999999999</v>
      </c>
      <c r="BD83" s="907">
        <v>9.8650000000000002</v>
      </c>
      <c r="BE83" s="907">
        <v>9.9350000000000005</v>
      </c>
      <c r="BF83" s="907">
        <v>10.004999999999999</v>
      </c>
      <c r="BG83" s="907">
        <v>10.074999999999999</v>
      </c>
      <c r="BH83" s="907">
        <v>10.145</v>
      </c>
      <c r="BI83" s="907">
        <v>10.219999999999999</v>
      </c>
      <c r="BJ83" s="907">
        <v>10.29</v>
      </c>
      <c r="BK83" s="907">
        <v>10.36</v>
      </c>
      <c r="BL83" s="907">
        <v>10.43</v>
      </c>
      <c r="BM83" s="907">
        <v>10.5</v>
      </c>
      <c r="BN83" s="907">
        <v>10.57</v>
      </c>
      <c r="BO83" s="907">
        <v>10.64</v>
      </c>
      <c r="BP83" s="907">
        <v>10.715</v>
      </c>
      <c r="BQ83" s="907">
        <v>10.78</v>
      </c>
      <c r="BR83" s="907">
        <v>10.85</v>
      </c>
      <c r="BS83" s="907">
        <v>10.92</v>
      </c>
      <c r="BT83" s="908">
        <v>10.99</v>
      </c>
      <c r="BU83" s="907">
        <v>11.06</v>
      </c>
      <c r="BV83" s="907">
        <v>11.129999999999999</v>
      </c>
      <c r="BW83" s="907">
        <v>11.2</v>
      </c>
      <c r="BX83" s="907">
        <v>11.27</v>
      </c>
      <c r="BY83" s="907">
        <v>11.34</v>
      </c>
      <c r="BZ83" s="907">
        <v>11.41</v>
      </c>
      <c r="CA83" s="907">
        <v>11.475000000000001</v>
      </c>
      <c r="CB83" s="907">
        <v>11.545</v>
      </c>
      <c r="CC83" s="907">
        <v>11.614999999999998</v>
      </c>
      <c r="CD83" s="907">
        <v>11.684999999999999</v>
      </c>
      <c r="CE83" s="907">
        <v>11.754999999999999</v>
      </c>
      <c r="CF83" s="907">
        <v>11.824999999999999</v>
      </c>
      <c r="CG83" s="907">
        <v>11.895</v>
      </c>
      <c r="CH83" s="907">
        <v>11.96</v>
      </c>
      <c r="CI83" s="907">
        <v>12.030000000000001</v>
      </c>
      <c r="CJ83" s="907">
        <v>12.094999999999999</v>
      </c>
      <c r="CK83" s="907">
        <v>12.164999999999999</v>
      </c>
      <c r="CL83" s="907">
        <v>12.234999999999999</v>
      </c>
      <c r="CM83" s="907">
        <v>12.3</v>
      </c>
      <c r="CN83" s="907">
        <v>12.370000000000001</v>
      </c>
      <c r="CO83" s="907">
        <v>12.435</v>
      </c>
      <c r="CP83" s="907">
        <v>12.504999999999999</v>
      </c>
      <c r="CQ83" s="907">
        <v>12.57</v>
      </c>
      <c r="CR83" s="907">
        <v>12.635</v>
      </c>
      <c r="CS83" s="907">
        <v>12.705</v>
      </c>
      <c r="CT83" s="907">
        <v>12.77</v>
      </c>
      <c r="CU83" s="907">
        <v>12.835000000000001</v>
      </c>
      <c r="CV83" s="907">
        <v>12.899999999999999</v>
      </c>
      <c r="CW83" s="907">
        <v>12.965</v>
      </c>
      <c r="CX83" s="907">
        <v>13.030000000000001</v>
      </c>
      <c r="CY83" s="907">
        <v>13.1</v>
      </c>
      <c r="CZ83" s="907">
        <v>13.164999999999999</v>
      </c>
      <c r="DA83" s="907">
        <v>13.225</v>
      </c>
      <c r="DB83" s="907">
        <v>13.29</v>
      </c>
      <c r="DC83" s="907">
        <v>13.355</v>
      </c>
      <c r="DD83" s="907">
        <v>13.425000000000001</v>
      </c>
      <c r="DE83" s="907">
        <v>13.484999999999999</v>
      </c>
      <c r="DF83" s="907">
        <v>13.55</v>
      </c>
      <c r="DG83" s="907">
        <v>13.614999999999998</v>
      </c>
      <c r="DH83" s="907">
        <v>13.675000000000001</v>
      </c>
      <c r="DI83" s="907">
        <v>13.74</v>
      </c>
      <c r="DJ83" s="907">
        <v>13.8</v>
      </c>
      <c r="DK83" s="907">
        <v>13.865</v>
      </c>
      <c r="DL83" s="907">
        <v>13.93</v>
      </c>
      <c r="DM83" s="907">
        <v>13.99</v>
      </c>
      <c r="DN83" s="907">
        <v>14.05</v>
      </c>
      <c r="DO83" s="907">
        <v>14.11</v>
      </c>
      <c r="DP83" s="907">
        <v>14.175000000000001</v>
      </c>
      <c r="DQ83" s="907">
        <v>14.234999999999999</v>
      </c>
      <c r="DR83" s="907">
        <v>14.295</v>
      </c>
    </row>
    <row r="84" spans="1:122" s="127" customFormat="1" ht="12.75">
      <c r="A84" s="911">
        <v>82</v>
      </c>
      <c r="B84" s="907"/>
      <c r="C84" s="907"/>
      <c r="D84" s="907"/>
      <c r="E84" s="907"/>
      <c r="F84" s="907"/>
      <c r="G84" s="907"/>
      <c r="H84" s="907"/>
      <c r="I84" s="907"/>
      <c r="J84" s="907"/>
      <c r="K84" s="907"/>
      <c r="L84" s="907"/>
      <c r="M84" s="907"/>
      <c r="N84" s="907"/>
      <c r="O84" s="907"/>
      <c r="P84" s="907"/>
      <c r="Q84" s="907"/>
      <c r="R84" s="907"/>
      <c r="S84" s="907"/>
      <c r="T84" s="907"/>
      <c r="U84" s="907"/>
      <c r="V84" s="907"/>
      <c r="W84" s="907">
        <v>7.15</v>
      </c>
      <c r="X84" s="907">
        <v>7.1850000000000005</v>
      </c>
      <c r="Y84" s="907">
        <v>7.2449999999999992</v>
      </c>
      <c r="Z84" s="907">
        <v>7.3100000000000005</v>
      </c>
      <c r="AA84" s="907">
        <v>7.33</v>
      </c>
      <c r="AB84" s="907">
        <v>7.3949999999999996</v>
      </c>
      <c r="AC84" s="907">
        <v>7.4399999999999995</v>
      </c>
      <c r="AD84" s="907">
        <v>7.4600000000000009</v>
      </c>
      <c r="AE84" s="907">
        <v>7.51</v>
      </c>
      <c r="AF84" s="907">
        <v>7.5849999999999991</v>
      </c>
      <c r="AG84" s="907">
        <v>7.665</v>
      </c>
      <c r="AH84" s="907">
        <v>7.7100000000000009</v>
      </c>
      <c r="AI84" s="907">
        <v>7.8049999999999997</v>
      </c>
      <c r="AJ84" s="907">
        <v>7.875</v>
      </c>
      <c r="AK84" s="907">
        <v>7.9649999999999999</v>
      </c>
      <c r="AL84" s="907">
        <v>8.0399999999999991</v>
      </c>
      <c r="AM84" s="907">
        <v>8.1050000000000004</v>
      </c>
      <c r="AN84" s="907">
        <v>8.1750000000000007</v>
      </c>
      <c r="AO84" s="907">
        <v>8.24</v>
      </c>
      <c r="AP84" s="907">
        <v>8.3049999999999997</v>
      </c>
      <c r="AQ84" s="907">
        <v>8.375</v>
      </c>
      <c r="AR84" s="907">
        <v>8.44</v>
      </c>
      <c r="AS84" s="907">
        <v>8.5</v>
      </c>
      <c r="AT84" s="907">
        <v>8.57</v>
      </c>
      <c r="AU84" s="907">
        <v>8.6349999999999998</v>
      </c>
      <c r="AV84" s="907">
        <v>8.7050000000000001</v>
      </c>
      <c r="AW84" s="907">
        <v>8.77</v>
      </c>
      <c r="AX84" s="907">
        <v>8.8350000000000009</v>
      </c>
      <c r="AY84" s="907">
        <v>8.9050000000000011</v>
      </c>
      <c r="AZ84" s="907">
        <v>8.9699999999999989</v>
      </c>
      <c r="BA84" s="907">
        <v>9.0350000000000001</v>
      </c>
      <c r="BB84" s="907">
        <v>9.1050000000000004</v>
      </c>
      <c r="BC84" s="907">
        <v>9.1750000000000007</v>
      </c>
      <c r="BD84" s="907">
        <v>9.2349999999999994</v>
      </c>
      <c r="BE84" s="907">
        <v>9.3049999999999997</v>
      </c>
      <c r="BF84" s="907">
        <v>9.375</v>
      </c>
      <c r="BG84" s="907">
        <v>9.4400000000000013</v>
      </c>
      <c r="BH84" s="907">
        <v>9.504999999999999</v>
      </c>
      <c r="BI84" s="907">
        <v>9.57</v>
      </c>
      <c r="BJ84" s="907">
        <v>9.64</v>
      </c>
      <c r="BK84" s="907">
        <v>9.7100000000000009</v>
      </c>
      <c r="BL84" s="907">
        <v>9.7750000000000004</v>
      </c>
      <c r="BM84" s="907">
        <v>9.84</v>
      </c>
      <c r="BN84" s="907">
        <v>9.91</v>
      </c>
      <c r="BO84" s="907">
        <v>9.9749999999999996</v>
      </c>
      <c r="BP84" s="907">
        <v>10.045</v>
      </c>
      <c r="BQ84" s="907">
        <v>10.11</v>
      </c>
      <c r="BR84" s="907">
        <v>10.175000000000001</v>
      </c>
      <c r="BS84" s="907">
        <v>10.245000000000001</v>
      </c>
      <c r="BT84" s="908">
        <v>10.309999999999999</v>
      </c>
      <c r="BU84" s="907">
        <v>10.379999999999999</v>
      </c>
      <c r="BV84" s="907">
        <v>10.445</v>
      </c>
      <c r="BW84" s="907">
        <v>10.510000000000002</v>
      </c>
      <c r="BX84" s="907">
        <v>10.574999999999999</v>
      </c>
      <c r="BY84" s="907">
        <v>10.645</v>
      </c>
      <c r="BZ84" s="907">
        <v>10.71</v>
      </c>
      <c r="CA84" s="907">
        <v>10.780000000000001</v>
      </c>
      <c r="CB84" s="907">
        <v>10.84</v>
      </c>
      <c r="CC84" s="907">
        <v>10.91</v>
      </c>
      <c r="CD84" s="907">
        <v>10.975</v>
      </c>
      <c r="CE84" s="907">
        <v>11.04</v>
      </c>
      <c r="CF84" s="907">
        <v>11.105</v>
      </c>
      <c r="CG84" s="907">
        <v>11.17</v>
      </c>
      <c r="CH84" s="907">
        <v>11.24</v>
      </c>
      <c r="CI84" s="907">
        <v>11.305</v>
      </c>
      <c r="CJ84" s="907">
        <v>11.365</v>
      </c>
      <c r="CK84" s="907">
        <v>11.434999999999999</v>
      </c>
      <c r="CL84" s="907">
        <v>11.5</v>
      </c>
      <c r="CM84" s="907">
        <v>11.56</v>
      </c>
      <c r="CN84" s="907">
        <v>11.625</v>
      </c>
      <c r="CO84" s="907">
        <v>11.695</v>
      </c>
      <c r="CP84" s="907">
        <v>11.754999999999999</v>
      </c>
      <c r="CQ84" s="907">
        <v>11.82</v>
      </c>
      <c r="CR84" s="907">
        <v>11.885000000000002</v>
      </c>
      <c r="CS84" s="907">
        <v>11.945</v>
      </c>
      <c r="CT84" s="907">
        <v>12.015000000000001</v>
      </c>
      <c r="CU84" s="907">
        <v>12.08</v>
      </c>
      <c r="CV84" s="907">
        <v>12.14</v>
      </c>
      <c r="CW84" s="907">
        <v>12.205</v>
      </c>
      <c r="CX84" s="907">
        <v>12.265000000000001</v>
      </c>
      <c r="CY84" s="907">
        <v>12.33</v>
      </c>
      <c r="CZ84" s="907">
        <v>12.39</v>
      </c>
      <c r="DA84" s="907">
        <v>12.455</v>
      </c>
      <c r="DB84" s="907">
        <v>12.515000000000001</v>
      </c>
      <c r="DC84" s="907">
        <v>12.58</v>
      </c>
      <c r="DD84" s="907">
        <v>12.64</v>
      </c>
      <c r="DE84" s="907">
        <v>12.705</v>
      </c>
      <c r="DF84" s="907">
        <v>12.765000000000001</v>
      </c>
      <c r="DG84" s="907">
        <v>12.82</v>
      </c>
      <c r="DH84" s="907">
        <v>12.885</v>
      </c>
      <c r="DI84" s="907">
        <v>12.945</v>
      </c>
      <c r="DJ84" s="907">
        <v>13.005000000000001</v>
      </c>
      <c r="DK84" s="907">
        <v>13.07</v>
      </c>
      <c r="DL84" s="907">
        <v>13.125</v>
      </c>
      <c r="DM84" s="907">
        <v>13.185</v>
      </c>
      <c r="DN84" s="907">
        <v>13.245000000000001</v>
      </c>
      <c r="DO84" s="907">
        <v>13.305</v>
      </c>
      <c r="DP84" s="907">
        <v>13.365</v>
      </c>
      <c r="DQ84" s="907">
        <v>13.42</v>
      </c>
      <c r="DR84" s="907">
        <v>13.48</v>
      </c>
    </row>
    <row r="85" spans="1:122" s="127" customFormat="1" ht="12.75">
      <c r="A85" s="911">
        <v>83</v>
      </c>
      <c r="B85" s="907"/>
      <c r="C85" s="907"/>
      <c r="D85" s="907"/>
      <c r="E85" s="907"/>
      <c r="F85" s="907"/>
      <c r="G85" s="907"/>
      <c r="H85" s="907"/>
      <c r="I85" s="907"/>
      <c r="J85" s="907"/>
      <c r="K85" s="907"/>
      <c r="L85" s="907"/>
      <c r="M85" s="907"/>
      <c r="N85" s="907"/>
      <c r="O85" s="907"/>
      <c r="P85" s="907"/>
      <c r="Q85" s="907"/>
      <c r="R85" s="907"/>
      <c r="S85" s="907"/>
      <c r="T85" s="907"/>
      <c r="U85" s="907"/>
      <c r="V85" s="907"/>
      <c r="W85" s="907">
        <v>6.6850000000000005</v>
      </c>
      <c r="X85" s="907">
        <v>6.71</v>
      </c>
      <c r="Y85" s="907">
        <v>6.76</v>
      </c>
      <c r="Z85" s="907">
        <v>6.8100000000000005</v>
      </c>
      <c r="AA85" s="907">
        <v>6.84</v>
      </c>
      <c r="AB85" s="907">
        <v>6.91</v>
      </c>
      <c r="AC85" s="907">
        <v>6.93</v>
      </c>
      <c r="AD85" s="907">
        <v>6.96</v>
      </c>
      <c r="AE85" s="907">
        <v>7.0049999999999999</v>
      </c>
      <c r="AF85" s="907">
        <v>7.09</v>
      </c>
      <c r="AG85" s="907">
        <v>7.1449999999999996</v>
      </c>
      <c r="AH85" s="907">
        <v>7.2</v>
      </c>
      <c r="AI85" s="907">
        <v>7.28</v>
      </c>
      <c r="AJ85" s="907">
        <v>7.36</v>
      </c>
      <c r="AK85" s="907">
        <v>7.4350000000000005</v>
      </c>
      <c r="AL85" s="907">
        <v>7.5</v>
      </c>
      <c r="AM85" s="907">
        <v>7.5600000000000005</v>
      </c>
      <c r="AN85" s="907">
        <v>7.6199999999999992</v>
      </c>
      <c r="AO85" s="907">
        <v>7.6850000000000005</v>
      </c>
      <c r="AP85" s="907">
        <v>7.75</v>
      </c>
      <c r="AQ85" s="907">
        <v>7.8100000000000005</v>
      </c>
      <c r="AR85" s="907">
        <v>7.875</v>
      </c>
      <c r="AS85" s="907">
        <v>7.9349999999999996</v>
      </c>
      <c r="AT85" s="907">
        <v>8</v>
      </c>
      <c r="AU85" s="907">
        <v>8.06</v>
      </c>
      <c r="AV85" s="907">
        <v>8.125</v>
      </c>
      <c r="AW85" s="907">
        <v>8.1849999999999987</v>
      </c>
      <c r="AX85" s="907">
        <v>8.25</v>
      </c>
      <c r="AY85" s="907">
        <v>8.3149999999999995</v>
      </c>
      <c r="AZ85" s="907">
        <v>8.375</v>
      </c>
      <c r="BA85" s="907">
        <v>8.44</v>
      </c>
      <c r="BB85" s="907">
        <v>8.504999999999999</v>
      </c>
      <c r="BC85" s="907">
        <v>8.5649999999999995</v>
      </c>
      <c r="BD85" s="907">
        <v>8.6300000000000008</v>
      </c>
      <c r="BE85" s="907">
        <v>8.6950000000000003</v>
      </c>
      <c r="BF85" s="907">
        <v>8.76</v>
      </c>
      <c r="BG85" s="907">
        <v>8.82</v>
      </c>
      <c r="BH85" s="907">
        <v>8.8850000000000016</v>
      </c>
      <c r="BI85" s="907">
        <v>8.9499999999999993</v>
      </c>
      <c r="BJ85" s="907">
        <v>9.01</v>
      </c>
      <c r="BK85" s="907">
        <v>9.08</v>
      </c>
      <c r="BL85" s="907">
        <v>9.14</v>
      </c>
      <c r="BM85" s="907">
        <v>9.2049999999999983</v>
      </c>
      <c r="BN85" s="907">
        <v>9.27</v>
      </c>
      <c r="BO85" s="907">
        <v>9.3350000000000009</v>
      </c>
      <c r="BP85" s="907">
        <v>9.3949999999999996</v>
      </c>
      <c r="BQ85" s="907">
        <v>9.4600000000000009</v>
      </c>
      <c r="BR85" s="907">
        <v>9.5249999999999986</v>
      </c>
      <c r="BS85" s="907">
        <v>9.5850000000000009</v>
      </c>
      <c r="BT85" s="908">
        <v>9.65</v>
      </c>
      <c r="BU85" s="907">
        <v>9.7149999999999999</v>
      </c>
      <c r="BV85" s="907">
        <v>9.7799999999999994</v>
      </c>
      <c r="BW85" s="907">
        <v>9.84</v>
      </c>
      <c r="BX85" s="907">
        <v>9.9050000000000011</v>
      </c>
      <c r="BY85" s="907">
        <v>9.9700000000000006</v>
      </c>
      <c r="BZ85" s="907">
        <v>10.035</v>
      </c>
      <c r="CA85" s="907">
        <v>10.094999999999999</v>
      </c>
      <c r="CB85" s="907">
        <v>10.155000000000001</v>
      </c>
      <c r="CC85" s="907">
        <v>10.219999999999999</v>
      </c>
      <c r="CD85" s="907">
        <v>10.285</v>
      </c>
      <c r="CE85" s="907">
        <v>10.35</v>
      </c>
      <c r="CF85" s="907">
        <v>10.41</v>
      </c>
      <c r="CG85" s="907">
        <v>10.475</v>
      </c>
      <c r="CH85" s="907">
        <v>10.535</v>
      </c>
      <c r="CI85" s="907">
        <v>10.594999999999999</v>
      </c>
      <c r="CJ85" s="907">
        <v>10.66</v>
      </c>
      <c r="CK85" s="907">
        <v>10.719999999999999</v>
      </c>
      <c r="CL85" s="907">
        <v>10.785</v>
      </c>
      <c r="CM85" s="907">
        <v>10.845000000000001</v>
      </c>
      <c r="CN85" s="907">
        <v>10.904999999999999</v>
      </c>
      <c r="CO85" s="907">
        <v>10.969999999999999</v>
      </c>
      <c r="CP85" s="907">
        <v>11.030000000000001</v>
      </c>
      <c r="CQ85" s="907">
        <v>11.09</v>
      </c>
      <c r="CR85" s="907">
        <v>11.154999999999999</v>
      </c>
      <c r="CS85" s="907">
        <v>11.215</v>
      </c>
      <c r="CT85" s="907">
        <v>11.275</v>
      </c>
      <c r="CU85" s="907">
        <v>11.34</v>
      </c>
      <c r="CV85" s="907">
        <v>11.399999999999999</v>
      </c>
      <c r="CW85" s="907">
        <v>11.46</v>
      </c>
      <c r="CX85" s="907">
        <v>11.515000000000001</v>
      </c>
      <c r="CY85" s="907">
        <v>11.58</v>
      </c>
      <c r="CZ85" s="907">
        <v>11.64</v>
      </c>
      <c r="DA85" s="907">
        <v>11.7</v>
      </c>
      <c r="DB85" s="907">
        <v>11.754999999999999</v>
      </c>
      <c r="DC85" s="907">
        <v>11.815000000000001</v>
      </c>
      <c r="DD85" s="907">
        <v>11.879999999999999</v>
      </c>
      <c r="DE85" s="907">
        <v>11.94</v>
      </c>
      <c r="DF85" s="907">
        <v>11.995000000000001</v>
      </c>
      <c r="DG85" s="907">
        <v>12.055</v>
      </c>
      <c r="DH85" s="907">
        <v>12.11</v>
      </c>
      <c r="DI85" s="907">
        <v>12.17</v>
      </c>
      <c r="DJ85" s="907">
        <v>12.225000000000001</v>
      </c>
      <c r="DK85" s="907">
        <v>12.285</v>
      </c>
      <c r="DL85" s="907">
        <v>12.344999999999999</v>
      </c>
      <c r="DM85" s="907">
        <v>12.4</v>
      </c>
      <c r="DN85" s="907">
        <v>12.455</v>
      </c>
      <c r="DO85" s="907">
        <v>12.515000000000001</v>
      </c>
      <c r="DP85" s="907">
        <v>12.57</v>
      </c>
      <c r="DQ85" s="907">
        <v>12.629999999999999</v>
      </c>
      <c r="DR85" s="907">
        <v>12.684999999999999</v>
      </c>
    </row>
    <row r="86" spans="1:122" s="127" customFormat="1" ht="12.75">
      <c r="A86" s="911">
        <v>84</v>
      </c>
      <c r="B86" s="907"/>
      <c r="C86" s="907"/>
      <c r="D86" s="907"/>
      <c r="E86" s="907"/>
      <c r="F86" s="907"/>
      <c r="G86" s="907"/>
      <c r="H86" s="907"/>
      <c r="I86" s="907"/>
      <c r="J86" s="907"/>
      <c r="K86" s="907"/>
      <c r="L86" s="907"/>
      <c r="M86" s="907"/>
      <c r="N86" s="907"/>
      <c r="O86" s="907"/>
      <c r="P86" s="907"/>
      <c r="Q86" s="907"/>
      <c r="R86" s="907"/>
      <c r="S86" s="907"/>
      <c r="T86" s="907"/>
      <c r="U86" s="907"/>
      <c r="V86" s="907"/>
      <c r="W86" s="907">
        <v>6.24</v>
      </c>
      <c r="X86" s="907">
        <v>6.2549999999999999</v>
      </c>
      <c r="Y86" s="907">
        <v>6.29</v>
      </c>
      <c r="Z86" s="907">
        <v>6.34</v>
      </c>
      <c r="AA86" s="907">
        <v>6.3699999999999992</v>
      </c>
      <c r="AB86" s="907">
        <v>6.4250000000000007</v>
      </c>
      <c r="AC86" s="907">
        <v>6.45</v>
      </c>
      <c r="AD86" s="907">
        <v>6.48</v>
      </c>
      <c r="AE86" s="907">
        <v>6.54</v>
      </c>
      <c r="AF86" s="907">
        <v>6.5949999999999998</v>
      </c>
      <c r="AG86" s="907">
        <v>6.66</v>
      </c>
      <c r="AH86" s="907">
        <v>6.7050000000000001</v>
      </c>
      <c r="AI86" s="907">
        <v>6.79</v>
      </c>
      <c r="AJ86" s="907">
        <v>6.86</v>
      </c>
      <c r="AK86" s="907">
        <v>6.92</v>
      </c>
      <c r="AL86" s="907">
        <v>6.98</v>
      </c>
      <c r="AM86" s="907">
        <v>7.0350000000000001</v>
      </c>
      <c r="AN86" s="907">
        <v>7.1</v>
      </c>
      <c r="AO86" s="907">
        <v>7.1549999999999994</v>
      </c>
      <c r="AP86" s="907">
        <v>7.2149999999999999</v>
      </c>
      <c r="AQ86" s="907">
        <v>7.27</v>
      </c>
      <c r="AR86" s="907">
        <v>7.335</v>
      </c>
      <c r="AS86" s="907">
        <v>7.39</v>
      </c>
      <c r="AT86" s="907">
        <v>7.45</v>
      </c>
      <c r="AU86" s="907">
        <v>7.51</v>
      </c>
      <c r="AV86" s="907">
        <v>7.57</v>
      </c>
      <c r="AW86" s="907">
        <v>7.63</v>
      </c>
      <c r="AX86" s="907">
        <v>7.69</v>
      </c>
      <c r="AY86" s="907">
        <v>7.75</v>
      </c>
      <c r="AZ86" s="907">
        <v>7.8100000000000005</v>
      </c>
      <c r="BA86" s="907">
        <v>7.87</v>
      </c>
      <c r="BB86" s="907">
        <v>7.93</v>
      </c>
      <c r="BC86" s="907">
        <v>7.99</v>
      </c>
      <c r="BD86" s="907">
        <v>8.0500000000000007</v>
      </c>
      <c r="BE86" s="907">
        <v>8.11</v>
      </c>
      <c r="BF86" s="907">
        <v>8.17</v>
      </c>
      <c r="BG86" s="907">
        <v>8.23</v>
      </c>
      <c r="BH86" s="907">
        <v>8.2899999999999991</v>
      </c>
      <c r="BI86" s="907">
        <v>8.3500000000000014</v>
      </c>
      <c r="BJ86" s="907">
        <v>8.41</v>
      </c>
      <c r="BK86" s="907">
        <v>8.4699999999999989</v>
      </c>
      <c r="BL86" s="907">
        <v>8.5300000000000011</v>
      </c>
      <c r="BM86" s="907">
        <v>8.59</v>
      </c>
      <c r="BN86" s="907">
        <v>8.6499999999999986</v>
      </c>
      <c r="BO86" s="907">
        <v>8.7149999999999999</v>
      </c>
      <c r="BP86" s="907">
        <v>8.7750000000000004</v>
      </c>
      <c r="BQ86" s="907">
        <v>8.8350000000000009</v>
      </c>
      <c r="BR86" s="907">
        <v>8.8949999999999996</v>
      </c>
      <c r="BS86" s="907">
        <v>8.9550000000000001</v>
      </c>
      <c r="BT86" s="908">
        <v>9.0150000000000006</v>
      </c>
      <c r="BU86" s="907">
        <v>9.0749999999999993</v>
      </c>
      <c r="BV86" s="907">
        <v>9.1349999999999998</v>
      </c>
      <c r="BW86" s="907">
        <v>9.1950000000000003</v>
      </c>
      <c r="BX86" s="907">
        <v>9.26</v>
      </c>
      <c r="BY86" s="907">
        <v>9.32</v>
      </c>
      <c r="BZ86" s="907">
        <v>9.379999999999999</v>
      </c>
      <c r="CA86" s="907">
        <v>9.4400000000000013</v>
      </c>
      <c r="CB86" s="907">
        <v>9.5</v>
      </c>
      <c r="CC86" s="907">
        <v>9.5599999999999987</v>
      </c>
      <c r="CD86" s="907">
        <v>9.6150000000000002</v>
      </c>
      <c r="CE86" s="907">
        <v>9.6750000000000007</v>
      </c>
      <c r="CF86" s="907">
        <v>9.7349999999999994</v>
      </c>
      <c r="CG86" s="907">
        <v>9.7949999999999999</v>
      </c>
      <c r="CH86" s="907">
        <v>9.86</v>
      </c>
      <c r="CI86" s="907">
        <v>9.92</v>
      </c>
      <c r="CJ86" s="907">
        <v>9.9750000000000014</v>
      </c>
      <c r="CK86" s="907">
        <v>10.035</v>
      </c>
      <c r="CL86" s="907">
        <v>10.094999999999999</v>
      </c>
      <c r="CM86" s="907">
        <v>10.155000000000001</v>
      </c>
      <c r="CN86" s="907">
        <v>10.210000000000001</v>
      </c>
      <c r="CO86" s="907">
        <v>10.27</v>
      </c>
      <c r="CP86" s="907">
        <v>10.33</v>
      </c>
      <c r="CQ86" s="907">
        <v>10.39</v>
      </c>
      <c r="CR86" s="907">
        <v>10.445</v>
      </c>
      <c r="CS86" s="907">
        <v>10.504999999999999</v>
      </c>
      <c r="CT86" s="907">
        <v>10.565000000000001</v>
      </c>
      <c r="CU86" s="907">
        <v>10.62</v>
      </c>
      <c r="CV86" s="907">
        <v>10.68</v>
      </c>
      <c r="CW86" s="907">
        <v>10.734999999999999</v>
      </c>
      <c r="CX86" s="907">
        <v>10.795</v>
      </c>
      <c r="CY86" s="907">
        <v>10.85</v>
      </c>
      <c r="CZ86" s="907">
        <v>10.91</v>
      </c>
      <c r="DA86" s="907">
        <v>10.969999999999999</v>
      </c>
      <c r="DB86" s="907">
        <v>11.02</v>
      </c>
      <c r="DC86" s="907">
        <v>11.074999999999999</v>
      </c>
      <c r="DD86" s="907">
        <v>11.135</v>
      </c>
      <c r="DE86" s="907">
        <v>11.190000000000001</v>
      </c>
      <c r="DF86" s="907">
        <v>11.25</v>
      </c>
      <c r="DG86" s="907">
        <v>11.305</v>
      </c>
      <c r="DH86" s="907">
        <v>11.36</v>
      </c>
      <c r="DI86" s="907">
        <v>11.414999999999999</v>
      </c>
      <c r="DJ86" s="907">
        <v>11.469999999999999</v>
      </c>
      <c r="DK86" s="907">
        <v>11.525</v>
      </c>
      <c r="DL86" s="907">
        <v>11.58</v>
      </c>
      <c r="DM86" s="907">
        <v>11.635</v>
      </c>
      <c r="DN86" s="907">
        <v>11.690000000000001</v>
      </c>
      <c r="DO86" s="907">
        <v>11.739999999999998</v>
      </c>
      <c r="DP86" s="907">
        <v>11.8</v>
      </c>
      <c r="DQ86" s="907">
        <v>11.855</v>
      </c>
      <c r="DR86" s="907">
        <v>11.904999999999999</v>
      </c>
    </row>
    <row r="87" spans="1:122" s="127" customFormat="1" ht="12.75">
      <c r="A87" s="911">
        <v>85</v>
      </c>
      <c r="B87" s="907"/>
      <c r="C87" s="907"/>
      <c r="D87" s="907"/>
      <c r="E87" s="907"/>
      <c r="F87" s="907"/>
      <c r="G87" s="907"/>
      <c r="H87" s="907"/>
      <c r="I87" s="907"/>
      <c r="J87" s="907"/>
      <c r="K87" s="907"/>
      <c r="L87" s="907"/>
      <c r="M87" s="907"/>
      <c r="N87" s="907"/>
      <c r="O87" s="907"/>
      <c r="P87" s="907"/>
      <c r="Q87" s="907"/>
      <c r="R87" s="907"/>
      <c r="S87" s="907"/>
      <c r="T87" s="907"/>
      <c r="U87" s="907"/>
      <c r="V87" s="907"/>
      <c r="W87" s="907">
        <v>5.8049999999999997</v>
      </c>
      <c r="X87" s="907">
        <v>5.8000000000000007</v>
      </c>
      <c r="Y87" s="907">
        <v>5.84</v>
      </c>
      <c r="Z87" s="907">
        <v>5.8949999999999996</v>
      </c>
      <c r="AA87" s="907">
        <v>5.915</v>
      </c>
      <c r="AB87" s="907">
        <v>5.9649999999999999</v>
      </c>
      <c r="AC87" s="907">
        <v>5.9950000000000001</v>
      </c>
      <c r="AD87" s="907">
        <v>6.0350000000000001</v>
      </c>
      <c r="AE87" s="907">
        <v>6.07</v>
      </c>
      <c r="AF87" s="907">
        <v>6.15</v>
      </c>
      <c r="AG87" s="907">
        <v>6.1899999999999995</v>
      </c>
      <c r="AH87" s="907">
        <v>6.24</v>
      </c>
      <c r="AI87" s="907">
        <v>6.3249999999999993</v>
      </c>
      <c r="AJ87" s="907">
        <v>6.375</v>
      </c>
      <c r="AK87" s="907">
        <v>6.4350000000000005</v>
      </c>
      <c r="AL87" s="907">
        <v>6.4850000000000003</v>
      </c>
      <c r="AM87" s="907">
        <v>6.5449999999999999</v>
      </c>
      <c r="AN87" s="907">
        <v>6.6</v>
      </c>
      <c r="AO87" s="907">
        <v>6.6549999999999994</v>
      </c>
      <c r="AP87" s="907">
        <v>6.71</v>
      </c>
      <c r="AQ87" s="907">
        <v>6.7650000000000006</v>
      </c>
      <c r="AR87" s="907">
        <v>6.8149999999999995</v>
      </c>
      <c r="AS87" s="907">
        <v>6.875</v>
      </c>
      <c r="AT87" s="907">
        <v>6.93</v>
      </c>
      <c r="AU87" s="907">
        <v>6.99</v>
      </c>
      <c r="AV87" s="907">
        <v>7.04</v>
      </c>
      <c r="AW87" s="907">
        <v>7.1</v>
      </c>
      <c r="AX87" s="907">
        <v>7.1550000000000002</v>
      </c>
      <c r="AY87" s="907">
        <v>7.21</v>
      </c>
      <c r="AZ87" s="907">
        <v>7.27</v>
      </c>
      <c r="BA87" s="907">
        <v>7.3250000000000002</v>
      </c>
      <c r="BB87" s="907">
        <v>7.38</v>
      </c>
      <c r="BC87" s="907">
        <v>7.4399999999999995</v>
      </c>
      <c r="BD87" s="907">
        <v>7.4950000000000001</v>
      </c>
      <c r="BE87" s="907">
        <v>7.5550000000000006</v>
      </c>
      <c r="BF87" s="907">
        <v>7.6099999999999994</v>
      </c>
      <c r="BG87" s="907">
        <v>7.665</v>
      </c>
      <c r="BH87" s="907">
        <v>7.7250000000000005</v>
      </c>
      <c r="BI87" s="907">
        <v>7.7799999999999994</v>
      </c>
      <c r="BJ87" s="907">
        <v>7.835</v>
      </c>
      <c r="BK87" s="907">
        <v>7.8950000000000005</v>
      </c>
      <c r="BL87" s="907">
        <v>7.9499999999999993</v>
      </c>
      <c r="BM87" s="907">
        <v>8.01</v>
      </c>
      <c r="BN87" s="907">
        <v>8.0650000000000013</v>
      </c>
      <c r="BO87" s="907">
        <v>8.1199999999999992</v>
      </c>
      <c r="BP87" s="907">
        <v>8.18</v>
      </c>
      <c r="BQ87" s="907">
        <v>8.24</v>
      </c>
      <c r="BR87" s="907">
        <v>8.2899999999999991</v>
      </c>
      <c r="BS87" s="907">
        <v>8.35</v>
      </c>
      <c r="BT87" s="908">
        <v>8.41</v>
      </c>
      <c r="BU87" s="907">
        <v>8.4649999999999999</v>
      </c>
      <c r="BV87" s="907">
        <v>8.52</v>
      </c>
      <c r="BW87" s="907">
        <v>8.58</v>
      </c>
      <c r="BX87" s="907">
        <v>8.6349999999999998</v>
      </c>
      <c r="BY87" s="907">
        <v>8.6950000000000003</v>
      </c>
      <c r="BZ87" s="907">
        <v>8.75</v>
      </c>
      <c r="CA87" s="907">
        <v>8.8049999999999997</v>
      </c>
      <c r="CB87" s="907">
        <v>8.8650000000000002</v>
      </c>
      <c r="CC87" s="907">
        <v>8.92</v>
      </c>
      <c r="CD87" s="907">
        <v>8.98</v>
      </c>
      <c r="CE87" s="907">
        <v>9.0350000000000001</v>
      </c>
      <c r="CF87" s="907">
        <v>9.09</v>
      </c>
      <c r="CG87" s="907">
        <v>9.15</v>
      </c>
      <c r="CH87" s="907">
        <v>9.2050000000000001</v>
      </c>
      <c r="CI87" s="907">
        <v>9.26</v>
      </c>
      <c r="CJ87" s="907">
        <v>9.3149999999999995</v>
      </c>
      <c r="CK87" s="907">
        <v>9.375</v>
      </c>
      <c r="CL87" s="907">
        <v>9.4250000000000007</v>
      </c>
      <c r="CM87" s="907">
        <v>9.4849999999999994</v>
      </c>
      <c r="CN87" s="907">
        <v>9.5399999999999991</v>
      </c>
      <c r="CO87" s="907">
        <v>9.6000000000000014</v>
      </c>
      <c r="CP87" s="907">
        <v>9.6499999999999986</v>
      </c>
      <c r="CQ87" s="907">
        <v>9.7050000000000001</v>
      </c>
      <c r="CR87" s="907">
        <v>9.7650000000000006</v>
      </c>
      <c r="CS87" s="907">
        <v>9.8149999999999995</v>
      </c>
      <c r="CT87" s="907">
        <v>9.875</v>
      </c>
      <c r="CU87" s="907">
        <v>9.93</v>
      </c>
      <c r="CV87" s="907">
        <v>9.98</v>
      </c>
      <c r="CW87" s="907">
        <v>10.039999999999999</v>
      </c>
      <c r="CX87" s="907">
        <v>10.095000000000001</v>
      </c>
      <c r="CY87" s="907">
        <v>10.145</v>
      </c>
      <c r="CZ87" s="907">
        <v>10.199999999999999</v>
      </c>
      <c r="DA87" s="907">
        <v>10.254999999999999</v>
      </c>
      <c r="DB87" s="907">
        <v>10.309999999999999</v>
      </c>
      <c r="DC87" s="907">
        <v>10.365</v>
      </c>
      <c r="DD87" s="907">
        <v>10.414999999999999</v>
      </c>
      <c r="DE87" s="907">
        <v>10.469999999999999</v>
      </c>
      <c r="DF87" s="907">
        <v>10.525</v>
      </c>
      <c r="DG87" s="907">
        <v>10.58</v>
      </c>
      <c r="DH87" s="907">
        <v>10.629999999999999</v>
      </c>
      <c r="DI87" s="907">
        <v>10.684999999999999</v>
      </c>
      <c r="DJ87" s="907">
        <v>10.734999999999999</v>
      </c>
      <c r="DK87" s="907">
        <v>10.79</v>
      </c>
      <c r="DL87" s="907">
        <v>10.84</v>
      </c>
      <c r="DM87" s="907">
        <v>10.89</v>
      </c>
      <c r="DN87" s="907">
        <v>10.945</v>
      </c>
      <c r="DO87" s="907">
        <v>10.995000000000001</v>
      </c>
      <c r="DP87" s="907">
        <v>11.05</v>
      </c>
      <c r="DQ87" s="907">
        <v>11.1</v>
      </c>
      <c r="DR87" s="907">
        <v>11.15</v>
      </c>
    </row>
    <row r="88" spans="1:122" s="127" customFormat="1" ht="12.75">
      <c r="A88" s="911">
        <v>86</v>
      </c>
      <c r="B88" s="907"/>
      <c r="C88" s="907"/>
      <c r="D88" s="907"/>
      <c r="E88" s="907"/>
      <c r="F88" s="907"/>
      <c r="G88" s="907"/>
      <c r="H88" s="907"/>
      <c r="I88" s="907"/>
      <c r="J88" s="907"/>
      <c r="K88" s="907"/>
      <c r="L88" s="907"/>
      <c r="M88" s="907"/>
      <c r="N88" s="907"/>
      <c r="O88" s="907"/>
      <c r="P88" s="907"/>
      <c r="Q88" s="907"/>
      <c r="R88" s="907"/>
      <c r="S88" s="907"/>
      <c r="T88" s="907"/>
      <c r="U88" s="907"/>
      <c r="V88" s="907"/>
      <c r="W88" s="907">
        <v>5.3800000000000008</v>
      </c>
      <c r="X88" s="907">
        <v>5.3800000000000008</v>
      </c>
      <c r="Y88" s="907">
        <v>5.43</v>
      </c>
      <c r="Z88" s="907">
        <v>5.46</v>
      </c>
      <c r="AA88" s="907">
        <v>5.4849999999999994</v>
      </c>
      <c r="AB88" s="907">
        <v>5.5350000000000001</v>
      </c>
      <c r="AC88" s="907">
        <v>5.58</v>
      </c>
      <c r="AD88" s="907">
        <v>5.5949999999999998</v>
      </c>
      <c r="AE88" s="907">
        <v>5.6449999999999996</v>
      </c>
      <c r="AF88" s="907">
        <v>5.7</v>
      </c>
      <c r="AG88" s="907">
        <v>5.76</v>
      </c>
      <c r="AH88" s="907">
        <v>5.8100000000000005</v>
      </c>
      <c r="AI88" s="907">
        <v>5.8650000000000002</v>
      </c>
      <c r="AJ88" s="907">
        <v>5.92</v>
      </c>
      <c r="AK88" s="907">
        <v>5.9700000000000006</v>
      </c>
      <c r="AL88" s="907">
        <v>6.0250000000000004</v>
      </c>
      <c r="AM88" s="907">
        <v>6.07</v>
      </c>
      <c r="AN88" s="907">
        <v>6.125</v>
      </c>
      <c r="AO88" s="907">
        <v>6.18</v>
      </c>
      <c r="AP88" s="907">
        <v>6.23</v>
      </c>
      <c r="AQ88" s="907">
        <v>6.2850000000000001</v>
      </c>
      <c r="AR88" s="907">
        <v>6.335</v>
      </c>
      <c r="AS88" s="907">
        <v>6.3900000000000006</v>
      </c>
      <c r="AT88" s="907">
        <v>6.4399999999999995</v>
      </c>
      <c r="AU88" s="907">
        <v>6.49</v>
      </c>
      <c r="AV88" s="907">
        <v>6.5449999999999999</v>
      </c>
      <c r="AW88" s="907">
        <v>6.6</v>
      </c>
      <c r="AX88" s="907">
        <v>6.65</v>
      </c>
      <c r="AY88" s="907">
        <v>6.7050000000000001</v>
      </c>
      <c r="AZ88" s="907">
        <v>6.7550000000000008</v>
      </c>
      <c r="BA88" s="907">
        <v>6.8100000000000005</v>
      </c>
      <c r="BB88" s="907">
        <v>6.8650000000000002</v>
      </c>
      <c r="BC88" s="907">
        <v>6.915</v>
      </c>
      <c r="BD88" s="907">
        <v>6.9700000000000006</v>
      </c>
      <c r="BE88" s="907">
        <v>7.0250000000000004</v>
      </c>
      <c r="BF88" s="907">
        <v>7.0749999999999993</v>
      </c>
      <c r="BG88" s="907">
        <v>7.1349999999999998</v>
      </c>
      <c r="BH88" s="907">
        <v>7.1850000000000005</v>
      </c>
      <c r="BI88" s="907">
        <v>7.2349999999999994</v>
      </c>
      <c r="BJ88" s="907">
        <v>7.2949999999999999</v>
      </c>
      <c r="BK88" s="907">
        <v>7.3450000000000006</v>
      </c>
      <c r="BL88" s="907">
        <v>7.3949999999999996</v>
      </c>
      <c r="BM88" s="907">
        <v>7.4550000000000001</v>
      </c>
      <c r="BN88" s="907">
        <v>7.5049999999999999</v>
      </c>
      <c r="BO88" s="907">
        <v>7.5549999999999997</v>
      </c>
      <c r="BP88" s="907">
        <v>7.6150000000000002</v>
      </c>
      <c r="BQ88" s="907">
        <v>7.6649999999999991</v>
      </c>
      <c r="BR88" s="907">
        <v>7.7249999999999996</v>
      </c>
      <c r="BS88" s="907">
        <v>7.7750000000000004</v>
      </c>
      <c r="BT88" s="908">
        <v>7.8249999999999993</v>
      </c>
      <c r="BU88" s="907">
        <v>7.8849999999999998</v>
      </c>
      <c r="BV88" s="907">
        <v>7.9350000000000005</v>
      </c>
      <c r="BW88" s="907">
        <v>7.99</v>
      </c>
      <c r="BX88" s="907">
        <v>8.0449999999999999</v>
      </c>
      <c r="BY88" s="907">
        <v>8.0949999999999989</v>
      </c>
      <c r="BZ88" s="907">
        <v>8.15</v>
      </c>
      <c r="CA88" s="907">
        <v>8.1999999999999993</v>
      </c>
      <c r="CB88" s="907">
        <v>8.26</v>
      </c>
      <c r="CC88" s="907">
        <v>8.31</v>
      </c>
      <c r="CD88" s="907">
        <v>8.3650000000000002</v>
      </c>
      <c r="CE88" s="907">
        <v>8.42</v>
      </c>
      <c r="CF88" s="907">
        <v>8.4700000000000006</v>
      </c>
      <c r="CG88" s="907">
        <v>8.5249999999999986</v>
      </c>
      <c r="CH88" s="907">
        <v>8.5749999999999993</v>
      </c>
      <c r="CI88" s="907">
        <v>8.629999999999999</v>
      </c>
      <c r="CJ88" s="907">
        <v>8.6849999999999987</v>
      </c>
      <c r="CK88" s="907">
        <v>8.7349999999999994</v>
      </c>
      <c r="CL88" s="907">
        <v>8.7899999999999991</v>
      </c>
      <c r="CM88" s="907">
        <v>8.84</v>
      </c>
      <c r="CN88" s="907">
        <v>8.8949999999999996</v>
      </c>
      <c r="CO88" s="907">
        <v>8.9499999999999993</v>
      </c>
      <c r="CP88" s="907">
        <v>9</v>
      </c>
      <c r="CQ88" s="907">
        <v>9.0549999999999997</v>
      </c>
      <c r="CR88" s="907">
        <v>9.1050000000000004</v>
      </c>
      <c r="CS88" s="907">
        <v>9.1550000000000011</v>
      </c>
      <c r="CT88" s="907">
        <v>9.2100000000000009</v>
      </c>
      <c r="CU88" s="907">
        <v>9.26</v>
      </c>
      <c r="CV88" s="907">
        <v>9.31</v>
      </c>
      <c r="CW88" s="907">
        <v>9.3649999999999984</v>
      </c>
      <c r="CX88" s="907">
        <v>9.4149999999999991</v>
      </c>
      <c r="CY88" s="907">
        <v>9.4649999999999999</v>
      </c>
      <c r="CZ88" s="907">
        <v>9.5150000000000006</v>
      </c>
      <c r="DA88" s="907">
        <v>9.57</v>
      </c>
      <c r="DB88" s="907">
        <v>9.620000000000001</v>
      </c>
      <c r="DC88" s="907">
        <v>9.67</v>
      </c>
      <c r="DD88" s="907">
        <v>9.7200000000000006</v>
      </c>
      <c r="DE88" s="907">
        <v>9.7749999999999986</v>
      </c>
      <c r="DF88" s="907">
        <v>9.8249999999999993</v>
      </c>
      <c r="DG88" s="907">
        <v>9.875</v>
      </c>
      <c r="DH88" s="907">
        <v>9.9250000000000007</v>
      </c>
      <c r="DI88" s="907">
        <v>9.9750000000000014</v>
      </c>
      <c r="DJ88" s="907">
        <v>10.025</v>
      </c>
      <c r="DK88" s="907">
        <v>10.074999999999999</v>
      </c>
      <c r="DL88" s="907">
        <v>10.125</v>
      </c>
      <c r="DM88" s="907">
        <v>10.175000000000001</v>
      </c>
      <c r="DN88" s="907">
        <v>10.219999999999999</v>
      </c>
      <c r="DO88" s="907">
        <v>10.27</v>
      </c>
      <c r="DP88" s="907">
        <v>10.32</v>
      </c>
      <c r="DQ88" s="907">
        <v>10.370000000000001</v>
      </c>
      <c r="DR88" s="907">
        <v>10.414999999999999</v>
      </c>
    </row>
    <row r="89" spans="1:122" s="127" customFormat="1" ht="12.75">
      <c r="A89" s="911">
        <v>87</v>
      </c>
      <c r="B89" s="907"/>
      <c r="C89" s="907"/>
      <c r="D89" s="907"/>
      <c r="E89" s="907"/>
      <c r="F89" s="907"/>
      <c r="G89" s="907"/>
      <c r="H89" s="907"/>
      <c r="I89" s="907"/>
      <c r="J89" s="907"/>
      <c r="K89" s="907"/>
      <c r="L89" s="907"/>
      <c r="M89" s="907"/>
      <c r="N89" s="907"/>
      <c r="O89" s="907"/>
      <c r="P89" s="907"/>
      <c r="Q89" s="907"/>
      <c r="R89" s="907"/>
      <c r="S89" s="907"/>
      <c r="T89" s="907"/>
      <c r="U89" s="907"/>
      <c r="V89" s="907"/>
      <c r="W89" s="907">
        <v>4.9949999999999992</v>
      </c>
      <c r="X89" s="907">
        <v>4.99</v>
      </c>
      <c r="Y89" s="907">
        <v>5.0199999999999996</v>
      </c>
      <c r="Z89" s="907">
        <v>5.0549999999999997</v>
      </c>
      <c r="AA89" s="907">
        <v>5.085</v>
      </c>
      <c r="AB89" s="907">
        <v>5.15</v>
      </c>
      <c r="AC89" s="907">
        <v>5.1550000000000002</v>
      </c>
      <c r="AD89" s="907">
        <v>5.2</v>
      </c>
      <c r="AE89" s="907">
        <v>5.2249999999999996</v>
      </c>
      <c r="AF89" s="907">
        <v>5.3</v>
      </c>
      <c r="AG89" s="907">
        <v>5.35</v>
      </c>
      <c r="AH89" s="907">
        <v>5.3949999999999996</v>
      </c>
      <c r="AI89" s="907">
        <v>5.4450000000000003</v>
      </c>
      <c r="AJ89" s="907">
        <v>5.49</v>
      </c>
      <c r="AK89" s="907">
        <v>5.5350000000000001</v>
      </c>
      <c r="AL89" s="907">
        <v>5.59</v>
      </c>
      <c r="AM89" s="907">
        <v>5.6349999999999998</v>
      </c>
      <c r="AN89" s="907">
        <v>5.6850000000000005</v>
      </c>
      <c r="AO89" s="907">
        <v>5.7349999999999994</v>
      </c>
      <c r="AP89" s="907">
        <v>5.7850000000000001</v>
      </c>
      <c r="AQ89" s="907">
        <v>5.83</v>
      </c>
      <c r="AR89" s="907">
        <v>5.88</v>
      </c>
      <c r="AS89" s="907">
        <v>5.93</v>
      </c>
      <c r="AT89" s="907">
        <v>5.9749999999999996</v>
      </c>
      <c r="AU89" s="907">
        <v>6.0250000000000004</v>
      </c>
      <c r="AV89" s="907">
        <v>6.0749999999999993</v>
      </c>
      <c r="AW89" s="907">
        <v>6.125</v>
      </c>
      <c r="AX89" s="907">
        <v>6.1750000000000007</v>
      </c>
      <c r="AY89" s="907">
        <v>6.2249999999999996</v>
      </c>
      <c r="AZ89" s="907">
        <v>6.2750000000000004</v>
      </c>
      <c r="BA89" s="907">
        <v>6.3249999999999993</v>
      </c>
      <c r="BB89" s="907">
        <v>6.375</v>
      </c>
      <c r="BC89" s="907">
        <v>6.4250000000000007</v>
      </c>
      <c r="BD89" s="907">
        <v>6.4700000000000006</v>
      </c>
      <c r="BE89" s="907">
        <v>6.52</v>
      </c>
      <c r="BF89" s="907">
        <v>6.57</v>
      </c>
      <c r="BG89" s="907">
        <v>6.6199999999999992</v>
      </c>
      <c r="BH89" s="907">
        <v>6.67</v>
      </c>
      <c r="BI89" s="907">
        <v>6.7200000000000006</v>
      </c>
      <c r="BJ89" s="907">
        <v>6.77</v>
      </c>
      <c r="BK89" s="907">
        <v>6.82</v>
      </c>
      <c r="BL89" s="907">
        <v>6.8699999999999992</v>
      </c>
      <c r="BM89" s="907">
        <v>6.92</v>
      </c>
      <c r="BN89" s="907">
        <v>6.9749999999999996</v>
      </c>
      <c r="BO89" s="907">
        <v>7.0250000000000004</v>
      </c>
      <c r="BP89" s="907">
        <v>7.08</v>
      </c>
      <c r="BQ89" s="907">
        <v>7.1300000000000008</v>
      </c>
      <c r="BR89" s="907">
        <v>7.18</v>
      </c>
      <c r="BS89" s="907">
        <v>7.23</v>
      </c>
      <c r="BT89" s="908">
        <v>7.2799999999999994</v>
      </c>
      <c r="BU89" s="907">
        <v>7.33</v>
      </c>
      <c r="BV89" s="907">
        <v>7.3800000000000008</v>
      </c>
      <c r="BW89" s="907">
        <v>7.43</v>
      </c>
      <c r="BX89" s="907">
        <v>7.48</v>
      </c>
      <c r="BY89" s="907">
        <v>7.5299999999999994</v>
      </c>
      <c r="BZ89" s="907">
        <v>7.58</v>
      </c>
      <c r="CA89" s="907">
        <v>7.63</v>
      </c>
      <c r="CB89" s="907">
        <v>7.68</v>
      </c>
      <c r="CC89" s="907">
        <v>7.73</v>
      </c>
      <c r="CD89" s="907">
        <v>7.7799999999999994</v>
      </c>
      <c r="CE89" s="907">
        <v>7.8250000000000002</v>
      </c>
      <c r="CF89" s="907">
        <v>7.875</v>
      </c>
      <c r="CG89" s="907">
        <v>7.93</v>
      </c>
      <c r="CH89" s="907">
        <v>7.9799999999999995</v>
      </c>
      <c r="CI89" s="907">
        <v>8.0299999999999994</v>
      </c>
      <c r="CJ89" s="907">
        <v>8.08</v>
      </c>
      <c r="CK89" s="907">
        <v>8.129999999999999</v>
      </c>
      <c r="CL89" s="907">
        <v>8.18</v>
      </c>
      <c r="CM89" s="907">
        <v>8.23</v>
      </c>
      <c r="CN89" s="907">
        <v>8.2799999999999994</v>
      </c>
      <c r="CO89" s="907">
        <v>8.3249999999999993</v>
      </c>
      <c r="CP89" s="907">
        <v>8.375</v>
      </c>
      <c r="CQ89" s="907">
        <v>8.4250000000000007</v>
      </c>
      <c r="CR89" s="907">
        <v>8.4749999999999996</v>
      </c>
      <c r="CS89" s="907">
        <v>8.5250000000000004</v>
      </c>
      <c r="CT89" s="907">
        <v>8.5749999999999993</v>
      </c>
      <c r="CU89" s="907">
        <v>8.620000000000001</v>
      </c>
      <c r="CV89" s="907">
        <v>8.6700000000000017</v>
      </c>
      <c r="CW89" s="907">
        <v>8.7199999999999989</v>
      </c>
      <c r="CX89" s="907">
        <v>8.77</v>
      </c>
      <c r="CY89" s="907">
        <v>8.8149999999999995</v>
      </c>
      <c r="CZ89" s="907">
        <v>8.8650000000000002</v>
      </c>
      <c r="DA89" s="907">
        <v>8.9149999999999991</v>
      </c>
      <c r="DB89" s="907">
        <v>8.9600000000000009</v>
      </c>
      <c r="DC89" s="907">
        <v>9.0100000000000016</v>
      </c>
      <c r="DD89" s="907">
        <v>9.0599999999999987</v>
      </c>
      <c r="DE89" s="907">
        <v>9.1000000000000014</v>
      </c>
      <c r="DF89" s="907">
        <v>9.1499999999999986</v>
      </c>
      <c r="DG89" s="907">
        <v>9.1999999999999993</v>
      </c>
      <c r="DH89" s="907">
        <v>9.245000000000001</v>
      </c>
      <c r="DI89" s="907">
        <v>9.2949999999999999</v>
      </c>
      <c r="DJ89" s="907">
        <v>9.34</v>
      </c>
      <c r="DK89" s="907">
        <v>9.39</v>
      </c>
      <c r="DL89" s="907">
        <v>9.43</v>
      </c>
      <c r="DM89" s="907">
        <v>9.48</v>
      </c>
      <c r="DN89" s="907">
        <v>9.5250000000000004</v>
      </c>
      <c r="DO89" s="907">
        <v>9.5749999999999993</v>
      </c>
      <c r="DP89" s="907">
        <v>9.620000000000001</v>
      </c>
      <c r="DQ89" s="907">
        <v>9.6649999999999991</v>
      </c>
      <c r="DR89" s="907">
        <v>9.7100000000000009</v>
      </c>
    </row>
    <row r="90" spans="1:122" s="127" customFormat="1" ht="12.75">
      <c r="A90" s="911">
        <v>88</v>
      </c>
      <c r="B90" s="907"/>
      <c r="C90" s="907"/>
      <c r="D90" s="907"/>
      <c r="E90" s="907"/>
      <c r="F90" s="907"/>
      <c r="G90" s="907"/>
      <c r="H90" s="907"/>
      <c r="I90" s="907"/>
      <c r="J90" s="907"/>
      <c r="K90" s="907"/>
      <c r="L90" s="907"/>
      <c r="M90" s="907"/>
      <c r="N90" s="907"/>
      <c r="O90" s="907"/>
      <c r="P90" s="907"/>
      <c r="Q90" s="907"/>
      <c r="R90" s="907"/>
      <c r="S90" s="907"/>
      <c r="T90" s="907"/>
      <c r="U90" s="907"/>
      <c r="V90" s="907"/>
      <c r="W90" s="907">
        <v>4.6399999999999997</v>
      </c>
      <c r="X90" s="907">
        <v>4.6099999999999994</v>
      </c>
      <c r="Y90" s="907">
        <v>4.6500000000000004</v>
      </c>
      <c r="Z90" s="907">
        <v>4.68</v>
      </c>
      <c r="AA90" s="907">
        <v>4.72</v>
      </c>
      <c r="AB90" s="907">
        <v>4.75</v>
      </c>
      <c r="AC90" s="907">
        <v>4.79</v>
      </c>
      <c r="AD90" s="907">
        <v>4.8100000000000005</v>
      </c>
      <c r="AE90" s="907">
        <v>4.8550000000000004</v>
      </c>
      <c r="AF90" s="907">
        <v>4.91</v>
      </c>
      <c r="AG90" s="907">
        <v>4.96</v>
      </c>
      <c r="AH90" s="907">
        <v>5.0049999999999999</v>
      </c>
      <c r="AI90" s="907">
        <v>5.0449999999999999</v>
      </c>
      <c r="AJ90" s="907">
        <v>5.09</v>
      </c>
      <c r="AK90" s="907">
        <v>5.1349999999999998</v>
      </c>
      <c r="AL90" s="907">
        <v>5.18</v>
      </c>
      <c r="AM90" s="907">
        <v>5.2249999999999996</v>
      </c>
      <c r="AN90" s="907">
        <v>5.27</v>
      </c>
      <c r="AO90" s="907">
        <v>5.32</v>
      </c>
      <c r="AP90" s="907">
        <v>5.3650000000000002</v>
      </c>
      <c r="AQ90" s="907">
        <v>5.4050000000000002</v>
      </c>
      <c r="AR90" s="907">
        <v>5.4550000000000001</v>
      </c>
      <c r="AS90" s="907">
        <v>5.5</v>
      </c>
      <c r="AT90" s="907">
        <v>5.5449999999999999</v>
      </c>
      <c r="AU90" s="907">
        <v>5.59</v>
      </c>
      <c r="AV90" s="907">
        <v>5.6400000000000006</v>
      </c>
      <c r="AW90" s="907">
        <v>5.68</v>
      </c>
      <c r="AX90" s="907">
        <v>5.73</v>
      </c>
      <c r="AY90" s="907">
        <v>5.7750000000000004</v>
      </c>
      <c r="AZ90" s="907">
        <v>5.82</v>
      </c>
      <c r="BA90" s="907">
        <v>5.8650000000000002</v>
      </c>
      <c r="BB90" s="907">
        <v>5.915</v>
      </c>
      <c r="BC90" s="907">
        <v>5.9550000000000001</v>
      </c>
      <c r="BD90" s="907">
        <v>6.0050000000000008</v>
      </c>
      <c r="BE90" s="907">
        <v>6.0549999999999997</v>
      </c>
      <c r="BF90" s="907">
        <v>6.0950000000000006</v>
      </c>
      <c r="BG90" s="907">
        <v>6.1449999999999996</v>
      </c>
      <c r="BH90" s="907">
        <v>6.1950000000000003</v>
      </c>
      <c r="BI90" s="907">
        <v>6.24</v>
      </c>
      <c r="BJ90" s="907">
        <v>6.2850000000000001</v>
      </c>
      <c r="BK90" s="907">
        <v>6.335</v>
      </c>
      <c r="BL90" s="907">
        <v>6.3800000000000008</v>
      </c>
      <c r="BM90" s="907">
        <v>6.4250000000000007</v>
      </c>
      <c r="BN90" s="907">
        <v>6.4749999999999996</v>
      </c>
      <c r="BO90" s="907">
        <v>6.52</v>
      </c>
      <c r="BP90" s="907">
        <v>6.5649999999999995</v>
      </c>
      <c r="BQ90" s="907">
        <v>6.6150000000000002</v>
      </c>
      <c r="BR90" s="907">
        <v>6.66</v>
      </c>
      <c r="BS90" s="907">
        <v>6.71</v>
      </c>
      <c r="BT90" s="908">
        <v>6.7550000000000008</v>
      </c>
      <c r="BU90" s="907">
        <v>6.8000000000000007</v>
      </c>
      <c r="BV90" s="907">
        <v>6.85</v>
      </c>
      <c r="BW90" s="907">
        <v>6.8949999999999996</v>
      </c>
      <c r="BX90" s="907">
        <v>6.9450000000000003</v>
      </c>
      <c r="BY90" s="907">
        <v>6.99</v>
      </c>
      <c r="BZ90" s="907">
        <v>7.0350000000000001</v>
      </c>
      <c r="CA90" s="907">
        <v>7.085</v>
      </c>
      <c r="CB90" s="907">
        <v>7.1300000000000008</v>
      </c>
      <c r="CC90" s="907">
        <v>7.1750000000000007</v>
      </c>
      <c r="CD90" s="907">
        <v>7.2249999999999996</v>
      </c>
      <c r="CE90" s="907">
        <v>7.27</v>
      </c>
      <c r="CF90" s="907">
        <v>7.3149999999999995</v>
      </c>
      <c r="CG90" s="907">
        <v>7.3650000000000002</v>
      </c>
      <c r="CH90" s="907">
        <v>7.41</v>
      </c>
      <c r="CI90" s="907">
        <v>7.4550000000000001</v>
      </c>
      <c r="CJ90" s="907">
        <v>7.5</v>
      </c>
      <c r="CK90" s="907">
        <v>7.5500000000000007</v>
      </c>
      <c r="CL90" s="907">
        <v>7.5949999999999998</v>
      </c>
      <c r="CM90" s="907">
        <v>7.6400000000000006</v>
      </c>
      <c r="CN90" s="907">
        <v>7.6899999999999995</v>
      </c>
      <c r="CO90" s="907">
        <v>7.7349999999999994</v>
      </c>
      <c r="CP90" s="907">
        <v>7.78</v>
      </c>
      <c r="CQ90" s="907">
        <v>7.8250000000000002</v>
      </c>
      <c r="CR90" s="907">
        <v>7.875</v>
      </c>
      <c r="CS90" s="907">
        <v>7.915</v>
      </c>
      <c r="CT90" s="907">
        <v>7.9649999999999999</v>
      </c>
      <c r="CU90" s="907">
        <v>8.01</v>
      </c>
      <c r="CV90" s="907">
        <v>8.0549999999999997</v>
      </c>
      <c r="CW90" s="907">
        <v>8.1</v>
      </c>
      <c r="CX90" s="907">
        <v>8.15</v>
      </c>
      <c r="CY90" s="907">
        <v>8.19</v>
      </c>
      <c r="CZ90" s="907">
        <v>8.2349999999999994</v>
      </c>
      <c r="DA90" s="907">
        <v>8.2799999999999994</v>
      </c>
      <c r="DB90" s="907">
        <v>8.3249999999999993</v>
      </c>
      <c r="DC90" s="907">
        <v>8.375</v>
      </c>
      <c r="DD90" s="907">
        <v>8.4149999999999991</v>
      </c>
      <c r="DE90" s="907">
        <v>8.4600000000000009</v>
      </c>
      <c r="DF90" s="907">
        <v>8.504999999999999</v>
      </c>
      <c r="DG90" s="907">
        <v>8.5500000000000007</v>
      </c>
      <c r="DH90" s="907">
        <v>8.59</v>
      </c>
      <c r="DI90" s="907">
        <v>8.64</v>
      </c>
      <c r="DJ90" s="907">
        <v>8.68</v>
      </c>
      <c r="DK90" s="907">
        <v>8.7250000000000014</v>
      </c>
      <c r="DL90" s="907">
        <v>8.7650000000000006</v>
      </c>
      <c r="DM90" s="907">
        <v>8.8150000000000013</v>
      </c>
      <c r="DN90" s="907">
        <v>8.8550000000000004</v>
      </c>
      <c r="DO90" s="907">
        <v>8.9</v>
      </c>
      <c r="DP90" s="907">
        <v>8.94</v>
      </c>
      <c r="DQ90" s="907">
        <v>8.9849999999999994</v>
      </c>
      <c r="DR90" s="907">
        <v>9.0250000000000004</v>
      </c>
    </row>
    <row r="91" spans="1:122" s="127" customFormat="1" ht="12.75">
      <c r="A91" s="911">
        <v>89</v>
      </c>
      <c r="B91" s="907"/>
      <c r="C91" s="907"/>
      <c r="D91" s="907"/>
      <c r="E91" s="907"/>
      <c r="F91" s="907"/>
      <c r="G91" s="907"/>
      <c r="H91" s="907"/>
      <c r="I91" s="907"/>
      <c r="J91" s="907"/>
      <c r="K91" s="907"/>
      <c r="L91" s="907"/>
      <c r="M91" s="907"/>
      <c r="N91" s="907"/>
      <c r="O91" s="907"/>
      <c r="P91" s="907"/>
      <c r="Q91" s="907"/>
      <c r="R91" s="907"/>
      <c r="S91" s="907"/>
      <c r="T91" s="907"/>
      <c r="U91" s="907"/>
      <c r="V91" s="907"/>
      <c r="W91" s="907">
        <v>4.2750000000000004</v>
      </c>
      <c r="X91" s="907">
        <v>4.2549999999999999</v>
      </c>
      <c r="Y91" s="907">
        <v>4.2949999999999999</v>
      </c>
      <c r="Z91" s="907">
        <v>4.3499999999999996</v>
      </c>
      <c r="AA91" s="907">
        <v>4.3499999999999996</v>
      </c>
      <c r="AB91" s="907">
        <v>4.4049999999999994</v>
      </c>
      <c r="AC91" s="907">
        <v>4.42</v>
      </c>
      <c r="AD91" s="907">
        <v>4.4649999999999999</v>
      </c>
      <c r="AE91" s="907">
        <v>4.5149999999999997</v>
      </c>
      <c r="AF91" s="907">
        <v>4.5549999999999997</v>
      </c>
      <c r="AG91" s="907">
        <v>4.5950000000000006</v>
      </c>
      <c r="AH91" s="907">
        <v>4.6400000000000006</v>
      </c>
      <c r="AI91" s="907">
        <v>4.6750000000000007</v>
      </c>
      <c r="AJ91" s="907">
        <v>4.7200000000000006</v>
      </c>
      <c r="AK91" s="907">
        <v>4.76</v>
      </c>
      <c r="AL91" s="907">
        <v>4.8</v>
      </c>
      <c r="AM91" s="907">
        <v>4.8449999999999998</v>
      </c>
      <c r="AN91" s="907">
        <v>4.8899999999999997</v>
      </c>
      <c r="AO91" s="907">
        <v>4.93</v>
      </c>
      <c r="AP91" s="907">
        <v>4.97</v>
      </c>
      <c r="AQ91" s="907">
        <v>5.0150000000000006</v>
      </c>
      <c r="AR91" s="907">
        <v>5.0549999999999997</v>
      </c>
      <c r="AS91" s="907">
        <v>5.0950000000000006</v>
      </c>
      <c r="AT91" s="907">
        <v>5.1400000000000006</v>
      </c>
      <c r="AU91" s="907">
        <v>5.18</v>
      </c>
      <c r="AV91" s="907">
        <v>5.2200000000000006</v>
      </c>
      <c r="AW91" s="907">
        <v>5.27</v>
      </c>
      <c r="AX91" s="907">
        <v>5.3100000000000005</v>
      </c>
      <c r="AY91" s="907">
        <v>5.35</v>
      </c>
      <c r="AZ91" s="907">
        <v>5.3949999999999996</v>
      </c>
      <c r="BA91" s="907">
        <v>5.4350000000000005</v>
      </c>
      <c r="BB91" s="907">
        <v>5.48</v>
      </c>
      <c r="BC91" s="907">
        <v>5.5250000000000004</v>
      </c>
      <c r="BD91" s="907">
        <v>5.5649999999999995</v>
      </c>
      <c r="BE91" s="907">
        <v>5.6050000000000004</v>
      </c>
      <c r="BF91" s="907">
        <v>5.6549999999999994</v>
      </c>
      <c r="BG91" s="907">
        <v>5.6950000000000003</v>
      </c>
      <c r="BH91" s="907">
        <v>5.74</v>
      </c>
      <c r="BI91" s="907">
        <v>5.7850000000000001</v>
      </c>
      <c r="BJ91" s="907">
        <v>5.8249999999999993</v>
      </c>
      <c r="BK91" s="907">
        <v>5.8699999999999992</v>
      </c>
      <c r="BL91" s="907">
        <v>5.9149999999999991</v>
      </c>
      <c r="BM91" s="907">
        <v>5.9550000000000001</v>
      </c>
      <c r="BN91" s="907">
        <v>6</v>
      </c>
      <c r="BO91" s="907">
        <v>6.0449999999999999</v>
      </c>
      <c r="BP91" s="907">
        <v>6.0850000000000009</v>
      </c>
      <c r="BQ91" s="907">
        <v>6.1300000000000008</v>
      </c>
      <c r="BR91" s="907">
        <v>6.1750000000000007</v>
      </c>
      <c r="BS91" s="907">
        <v>6.2200000000000006</v>
      </c>
      <c r="BT91" s="908">
        <v>6.26</v>
      </c>
      <c r="BU91" s="907">
        <v>6.3049999999999997</v>
      </c>
      <c r="BV91" s="907">
        <v>6.35</v>
      </c>
      <c r="BW91" s="907">
        <v>6.3900000000000006</v>
      </c>
      <c r="BX91" s="907">
        <v>6.4350000000000005</v>
      </c>
      <c r="BY91" s="907">
        <v>6.48</v>
      </c>
      <c r="BZ91" s="907">
        <v>6.52</v>
      </c>
      <c r="CA91" s="907">
        <v>6.5649999999999995</v>
      </c>
      <c r="CB91" s="907">
        <v>6.6099999999999994</v>
      </c>
      <c r="CC91" s="907">
        <v>6.6549999999999994</v>
      </c>
      <c r="CD91" s="907">
        <v>6.6950000000000003</v>
      </c>
      <c r="CE91" s="907">
        <v>6.7349999999999994</v>
      </c>
      <c r="CF91" s="907">
        <v>6.7850000000000001</v>
      </c>
      <c r="CG91" s="907">
        <v>6.8249999999999993</v>
      </c>
      <c r="CH91" s="907">
        <v>6.8650000000000002</v>
      </c>
      <c r="CI91" s="907">
        <v>6.9149999999999991</v>
      </c>
      <c r="CJ91" s="907">
        <v>6.9550000000000001</v>
      </c>
      <c r="CK91" s="907">
        <v>6.9949999999999992</v>
      </c>
      <c r="CL91" s="907">
        <v>7.04</v>
      </c>
      <c r="CM91" s="907">
        <v>7.0850000000000009</v>
      </c>
      <c r="CN91" s="907">
        <v>7.125</v>
      </c>
      <c r="CO91" s="907">
        <v>7.17</v>
      </c>
      <c r="CP91" s="907">
        <v>7.21</v>
      </c>
      <c r="CQ91" s="907">
        <v>7.2549999999999999</v>
      </c>
      <c r="CR91" s="907">
        <v>7.3000000000000007</v>
      </c>
      <c r="CS91" s="907">
        <v>7.34</v>
      </c>
      <c r="CT91" s="907">
        <v>7.3849999999999998</v>
      </c>
      <c r="CU91" s="907">
        <v>7.4249999999999998</v>
      </c>
      <c r="CV91" s="907">
        <v>7.4649999999999999</v>
      </c>
      <c r="CW91" s="907">
        <v>7.5049999999999999</v>
      </c>
      <c r="CX91" s="907">
        <v>7.5549999999999997</v>
      </c>
      <c r="CY91" s="907">
        <v>7.5950000000000006</v>
      </c>
      <c r="CZ91" s="907">
        <v>7.6349999999999998</v>
      </c>
      <c r="DA91" s="907">
        <v>7.68</v>
      </c>
      <c r="DB91" s="907">
        <v>7.72</v>
      </c>
      <c r="DC91" s="907">
        <v>7.76</v>
      </c>
      <c r="DD91" s="907">
        <v>7.8</v>
      </c>
      <c r="DE91" s="907">
        <v>7.8450000000000006</v>
      </c>
      <c r="DF91" s="907">
        <v>7.8849999999999998</v>
      </c>
      <c r="DG91" s="907">
        <v>7.9250000000000007</v>
      </c>
      <c r="DH91" s="907">
        <v>7.9649999999999999</v>
      </c>
      <c r="DI91" s="907">
        <v>8.01</v>
      </c>
      <c r="DJ91" s="907">
        <v>8.0500000000000007</v>
      </c>
      <c r="DK91" s="907">
        <v>8.09</v>
      </c>
      <c r="DL91" s="907">
        <v>8.129999999999999</v>
      </c>
      <c r="DM91" s="907">
        <v>8.17</v>
      </c>
      <c r="DN91" s="907">
        <v>8.2100000000000009</v>
      </c>
      <c r="DO91" s="907">
        <v>8.254999999999999</v>
      </c>
      <c r="DP91" s="907">
        <v>8.2949999999999999</v>
      </c>
      <c r="DQ91" s="907">
        <v>8.3349999999999991</v>
      </c>
      <c r="DR91" s="907">
        <v>8.370000000000001</v>
      </c>
    </row>
    <row r="92" spans="1:122" s="127" customFormat="1" ht="12.75">
      <c r="A92" s="911">
        <v>90</v>
      </c>
      <c r="B92" s="907"/>
      <c r="C92" s="907"/>
      <c r="D92" s="907"/>
      <c r="E92" s="907"/>
      <c r="F92" s="907"/>
      <c r="G92" s="907"/>
      <c r="H92" s="907"/>
      <c r="I92" s="907"/>
      <c r="J92" s="907"/>
      <c r="K92" s="907"/>
      <c r="L92" s="907"/>
      <c r="M92" s="907"/>
      <c r="N92" s="907"/>
      <c r="O92" s="907"/>
      <c r="P92" s="907"/>
      <c r="Q92" s="907"/>
      <c r="R92" s="907"/>
      <c r="S92" s="907"/>
      <c r="T92" s="907"/>
      <c r="U92" s="907"/>
      <c r="V92" s="907"/>
      <c r="W92" s="907">
        <v>3.9550000000000001</v>
      </c>
      <c r="X92" s="907">
        <v>3.9299999999999997</v>
      </c>
      <c r="Y92" s="907">
        <v>3.9950000000000001</v>
      </c>
      <c r="Z92" s="907">
        <v>4</v>
      </c>
      <c r="AA92" s="907">
        <v>4.0299999999999994</v>
      </c>
      <c r="AB92" s="907">
        <v>4.0649999999999995</v>
      </c>
      <c r="AC92" s="907">
        <v>4.0999999999999996</v>
      </c>
      <c r="AD92" s="907">
        <v>4.1450000000000005</v>
      </c>
      <c r="AE92" s="907">
        <v>4.1850000000000005</v>
      </c>
      <c r="AF92" s="907">
        <v>4.2200000000000006</v>
      </c>
      <c r="AG92" s="907">
        <v>4.26</v>
      </c>
      <c r="AH92" s="907">
        <v>4.2949999999999999</v>
      </c>
      <c r="AI92" s="907">
        <v>4.335</v>
      </c>
      <c r="AJ92" s="907">
        <v>4.375</v>
      </c>
      <c r="AK92" s="907">
        <v>4.415</v>
      </c>
      <c r="AL92" s="907">
        <v>4.45</v>
      </c>
      <c r="AM92" s="907">
        <v>4.49</v>
      </c>
      <c r="AN92" s="907">
        <v>4.5250000000000004</v>
      </c>
      <c r="AO92" s="907">
        <v>4.5649999999999995</v>
      </c>
      <c r="AP92" s="907">
        <v>4.5999999999999996</v>
      </c>
      <c r="AQ92" s="907">
        <v>4.6400000000000006</v>
      </c>
      <c r="AR92" s="907">
        <v>4.68</v>
      </c>
      <c r="AS92" s="907">
        <v>4.7200000000000006</v>
      </c>
      <c r="AT92" s="907">
        <v>4.76</v>
      </c>
      <c r="AU92" s="907">
        <v>4.8000000000000007</v>
      </c>
      <c r="AV92" s="907">
        <v>4.8350000000000009</v>
      </c>
      <c r="AW92" s="907">
        <v>4.875</v>
      </c>
      <c r="AX92" s="907">
        <v>4.9149999999999991</v>
      </c>
      <c r="AY92" s="907">
        <v>4.9550000000000001</v>
      </c>
      <c r="AZ92" s="907">
        <v>4.9949999999999992</v>
      </c>
      <c r="BA92" s="907">
        <v>5.0350000000000001</v>
      </c>
      <c r="BB92" s="907">
        <v>5.0749999999999993</v>
      </c>
      <c r="BC92" s="907">
        <v>5.1150000000000002</v>
      </c>
      <c r="BD92" s="907">
        <v>5.1549999999999994</v>
      </c>
      <c r="BE92" s="907">
        <v>5.1950000000000003</v>
      </c>
      <c r="BF92" s="907">
        <v>5.23</v>
      </c>
      <c r="BG92" s="907">
        <v>5.27</v>
      </c>
      <c r="BH92" s="907">
        <v>5.3100000000000005</v>
      </c>
      <c r="BI92" s="907">
        <v>5.35</v>
      </c>
      <c r="BJ92" s="907">
        <v>5.3900000000000006</v>
      </c>
      <c r="BK92" s="907">
        <v>5.43</v>
      </c>
      <c r="BL92" s="907">
        <v>5.4700000000000006</v>
      </c>
      <c r="BM92" s="907">
        <v>5.51</v>
      </c>
      <c r="BN92" s="907">
        <v>5.5500000000000007</v>
      </c>
      <c r="BO92" s="907">
        <v>5.59</v>
      </c>
      <c r="BP92" s="907">
        <v>5.6349999999999998</v>
      </c>
      <c r="BQ92" s="907">
        <v>5.6749999999999998</v>
      </c>
      <c r="BR92" s="907">
        <v>5.7149999999999999</v>
      </c>
      <c r="BS92" s="907">
        <v>5.7549999999999999</v>
      </c>
      <c r="BT92" s="908">
        <v>5.7949999999999999</v>
      </c>
      <c r="BU92" s="907">
        <v>5.835</v>
      </c>
      <c r="BV92" s="907">
        <v>5.875</v>
      </c>
      <c r="BW92" s="907">
        <v>5.915</v>
      </c>
      <c r="BX92" s="907">
        <v>5.9550000000000001</v>
      </c>
      <c r="BY92" s="907">
        <v>5.9950000000000001</v>
      </c>
      <c r="BZ92" s="907">
        <v>6.0350000000000001</v>
      </c>
      <c r="CA92" s="907">
        <v>6.0750000000000002</v>
      </c>
      <c r="CB92" s="907">
        <v>6.1150000000000002</v>
      </c>
      <c r="CC92" s="907">
        <v>6.1549999999999994</v>
      </c>
      <c r="CD92" s="907">
        <v>6.1950000000000003</v>
      </c>
      <c r="CE92" s="907">
        <v>6.2349999999999994</v>
      </c>
      <c r="CF92" s="907">
        <v>6.27</v>
      </c>
      <c r="CG92" s="907">
        <v>6.3149999999999995</v>
      </c>
      <c r="CH92" s="907">
        <v>6.3550000000000004</v>
      </c>
      <c r="CI92" s="907">
        <v>6.3949999999999996</v>
      </c>
      <c r="CJ92" s="907">
        <v>6.4350000000000005</v>
      </c>
      <c r="CK92" s="907">
        <v>6.4749999999999996</v>
      </c>
      <c r="CL92" s="907">
        <v>6.5150000000000006</v>
      </c>
      <c r="CM92" s="907">
        <v>6.5549999999999997</v>
      </c>
      <c r="CN92" s="907">
        <v>6.5950000000000006</v>
      </c>
      <c r="CO92" s="907">
        <v>6.6349999999999998</v>
      </c>
      <c r="CP92" s="907">
        <v>6.6750000000000007</v>
      </c>
      <c r="CQ92" s="907">
        <v>6.7149999999999999</v>
      </c>
      <c r="CR92" s="907">
        <v>6.75</v>
      </c>
      <c r="CS92" s="907">
        <v>6.79</v>
      </c>
      <c r="CT92" s="907">
        <v>6.83</v>
      </c>
      <c r="CU92" s="907">
        <v>6.8699999999999992</v>
      </c>
      <c r="CV92" s="907">
        <v>6.91</v>
      </c>
      <c r="CW92" s="907">
        <v>6.9450000000000003</v>
      </c>
      <c r="CX92" s="907">
        <v>6.98</v>
      </c>
      <c r="CY92" s="907">
        <v>7.02</v>
      </c>
      <c r="CZ92" s="907">
        <v>7.0600000000000005</v>
      </c>
      <c r="DA92" s="907">
        <v>7.1</v>
      </c>
      <c r="DB92" s="907">
        <v>7.1400000000000006</v>
      </c>
      <c r="DC92" s="907">
        <v>7.1749999999999998</v>
      </c>
      <c r="DD92" s="907">
        <v>7.2149999999999999</v>
      </c>
      <c r="DE92" s="907">
        <v>7.2549999999999999</v>
      </c>
      <c r="DF92" s="907">
        <v>7.2949999999999999</v>
      </c>
      <c r="DG92" s="907">
        <v>7.33</v>
      </c>
      <c r="DH92" s="907">
        <v>7.37</v>
      </c>
      <c r="DI92" s="907">
        <v>7.41</v>
      </c>
      <c r="DJ92" s="907">
        <v>7.4399999999999995</v>
      </c>
      <c r="DK92" s="907">
        <v>7.48</v>
      </c>
      <c r="DL92" s="907">
        <v>7.52</v>
      </c>
      <c r="DM92" s="907">
        <v>7.5549999999999997</v>
      </c>
      <c r="DN92" s="907">
        <v>7.5949999999999998</v>
      </c>
      <c r="DO92" s="907">
        <v>7.63</v>
      </c>
      <c r="DP92" s="907">
        <v>7.665</v>
      </c>
      <c r="DQ92" s="907">
        <v>7.7050000000000001</v>
      </c>
      <c r="DR92" s="907">
        <v>7.74</v>
      </c>
    </row>
    <row r="93" spans="1:122" s="127" customFormat="1" ht="12.75">
      <c r="A93" s="911">
        <v>91</v>
      </c>
      <c r="B93" s="907"/>
      <c r="C93" s="907"/>
      <c r="D93" s="907"/>
      <c r="E93" s="907"/>
      <c r="F93" s="907"/>
      <c r="G93" s="907"/>
      <c r="H93" s="907"/>
      <c r="I93" s="907"/>
      <c r="J93" s="907"/>
      <c r="K93" s="907"/>
      <c r="L93" s="907"/>
      <c r="M93" s="907"/>
      <c r="N93" s="907"/>
      <c r="O93" s="907"/>
      <c r="P93" s="907"/>
      <c r="Q93" s="907"/>
      <c r="R93" s="907"/>
      <c r="S93" s="907"/>
      <c r="T93" s="907"/>
      <c r="U93" s="907"/>
      <c r="V93" s="907"/>
      <c r="W93" s="907">
        <v>3.66</v>
      </c>
      <c r="X93" s="907">
        <v>3.645</v>
      </c>
      <c r="Y93" s="907">
        <v>3.665</v>
      </c>
      <c r="Z93" s="907">
        <v>3.7</v>
      </c>
      <c r="AA93" s="907">
        <v>3.71</v>
      </c>
      <c r="AB93" s="907">
        <v>3.7699999999999996</v>
      </c>
      <c r="AC93" s="907">
        <v>3.8149999999999999</v>
      </c>
      <c r="AD93" s="907">
        <v>3.84</v>
      </c>
      <c r="AE93" s="907">
        <v>3.875</v>
      </c>
      <c r="AF93" s="907">
        <v>3.91</v>
      </c>
      <c r="AG93" s="907">
        <v>3.9450000000000003</v>
      </c>
      <c r="AH93" s="907">
        <v>3.9799999999999995</v>
      </c>
      <c r="AI93" s="907">
        <v>4.0149999999999997</v>
      </c>
      <c r="AJ93" s="907">
        <v>4.05</v>
      </c>
      <c r="AK93" s="907">
        <v>4.085</v>
      </c>
      <c r="AL93" s="907">
        <v>4.12</v>
      </c>
      <c r="AM93" s="907">
        <v>4.1549999999999994</v>
      </c>
      <c r="AN93" s="907">
        <v>4.1950000000000003</v>
      </c>
      <c r="AO93" s="907">
        <v>4.2249999999999996</v>
      </c>
      <c r="AP93" s="907">
        <v>4.2650000000000006</v>
      </c>
      <c r="AQ93" s="907">
        <v>4.3</v>
      </c>
      <c r="AR93" s="907">
        <v>4.335</v>
      </c>
      <c r="AS93" s="907">
        <v>4.37</v>
      </c>
      <c r="AT93" s="907">
        <v>4.41</v>
      </c>
      <c r="AU93" s="907">
        <v>4.4399999999999995</v>
      </c>
      <c r="AV93" s="907">
        <v>4.4800000000000004</v>
      </c>
      <c r="AW93" s="907">
        <v>4.5150000000000006</v>
      </c>
      <c r="AX93" s="907">
        <v>4.5500000000000007</v>
      </c>
      <c r="AY93" s="907">
        <v>4.585</v>
      </c>
      <c r="AZ93" s="907">
        <v>4.625</v>
      </c>
      <c r="BA93" s="907">
        <v>4.66</v>
      </c>
      <c r="BB93" s="907">
        <v>4.6950000000000003</v>
      </c>
      <c r="BC93" s="907">
        <v>4.7349999999999994</v>
      </c>
      <c r="BD93" s="907">
        <v>4.7650000000000006</v>
      </c>
      <c r="BE93" s="907">
        <v>4.8049999999999997</v>
      </c>
      <c r="BF93" s="907">
        <v>4.84</v>
      </c>
      <c r="BG93" s="907">
        <v>4.875</v>
      </c>
      <c r="BH93" s="907">
        <v>4.915</v>
      </c>
      <c r="BI93" s="907">
        <v>4.95</v>
      </c>
      <c r="BJ93" s="907">
        <v>4.9849999999999994</v>
      </c>
      <c r="BK93" s="907">
        <v>5.0250000000000004</v>
      </c>
      <c r="BL93" s="907">
        <v>5.0600000000000005</v>
      </c>
      <c r="BM93" s="907">
        <v>5.0999999999999996</v>
      </c>
      <c r="BN93" s="907">
        <v>5.1349999999999998</v>
      </c>
      <c r="BO93" s="907">
        <v>5.17</v>
      </c>
      <c r="BP93" s="907">
        <v>5.21</v>
      </c>
      <c r="BQ93" s="907">
        <v>5.2450000000000001</v>
      </c>
      <c r="BR93" s="907">
        <v>5.28</v>
      </c>
      <c r="BS93" s="907">
        <v>5.32</v>
      </c>
      <c r="BT93" s="908">
        <v>5.3550000000000004</v>
      </c>
      <c r="BU93" s="907">
        <v>5.39</v>
      </c>
      <c r="BV93" s="907">
        <v>5.43</v>
      </c>
      <c r="BW93" s="907">
        <v>5.4649999999999999</v>
      </c>
      <c r="BX93" s="907">
        <v>5.5</v>
      </c>
      <c r="BY93" s="907">
        <v>5.54</v>
      </c>
      <c r="BZ93" s="907">
        <v>5.5750000000000002</v>
      </c>
      <c r="CA93" s="907">
        <v>5.61</v>
      </c>
      <c r="CB93" s="907">
        <v>5.65</v>
      </c>
      <c r="CC93" s="907">
        <v>5.6850000000000005</v>
      </c>
      <c r="CD93" s="907">
        <v>5.72</v>
      </c>
      <c r="CE93" s="907">
        <v>5.76</v>
      </c>
      <c r="CF93" s="907">
        <v>5.7949999999999999</v>
      </c>
      <c r="CG93" s="907">
        <v>5.83</v>
      </c>
      <c r="CH93" s="907">
        <v>5.8650000000000002</v>
      </c>
      <c r="CI93" s="907">
        <v>5.9050000000000002</v>
      </c>
      <c r="CJ93" s="907">
        <v>5.9399999999999995</v>
      </c>
      <c r="CK93" s="907">
        <v>5.9749999999999996</v>
      </c>
      <c r="CL93" s="907">
        <v>6.0150000000000006</v>
      </c>
      <c r="CM93" s="907">
        <v>6.0449999999999999</v>
      </c>
      <c r="CN93" s="907">
        <v>6.085</v>
      </c>
      <c r="CO93" s="907">
        <v>6.125</v>
      </c>
      <c r="CP93" s="907">
        <v>6.1550000000000002</v>
      </c>
      <c r="CQ93" s="907">
        <v>6.1950000000000003</v>
      </c>
      <c r="CR93" s="907">
        <v>6.23</v>
      </c>
      <c r="CS93" s="907">
        <v>6.2650000000000006</v>
      </c>
      <c r="CT93" s="907">
        <v>6.3000000000000007</v>
      </c>
      <c r="CU93" s="907">
        <v>6.34</v>
      </c>
      <c r="CV93" s="907">
        <v>6.37</v>
      </c>
      <c r="CW93" s="907">
        <v>6.41</v>
      </c>
      <c r="CX93" s="907">
        <v>6.4450000000000003</v>
      </c>
      <c r="CY93" s="907">
        <v>6.48</v>
      </c>
      <c r="CZ93" s="907">
        <v>6.5150000000000006</v>
      </c>
      <c r="DA93" s="907">
        <v>6.5500000000000007</v>
      </c>
      <c r="DB93" s="907">
        <v>6.585</v>
      </c>
      <c r="DC93" s="907">
        <v>6.625</v>
      </c>
      <c r="DD93" s="907">
        <v>6.6549999999999994</v>
      </c>
      <c r="DE93" s="907">
        <v>6.6899999999999995</v>
      </c>
      <c r="DF93" s="907">
        <v>6.7249999999999996</v>
      </c>
      <c r="DG93" s="907">
        <v>6.76</v>
      </c>
      <c r="DH93" s="907">
        <v>6.7949999999999999</v>
      </c>
      <c r="DI93" s="907">
        <v>6.83</v>
      </c>
      <c r="DJ93" s="907">
        <v>6.8650000000000002</v>
      </c>
      <c r="DK93" s="907">
        <v>6.9</v>
      </c>
      <c r="DL93" s="907">
        <v>6.9350000000000005</v>
      </c>
      <c r="DM93" s="907">
        <v>6.9649999999999999</v>
      </c>
      <c r="DN93" s="907">
        <v>7.0049999999999999</v>
      </c>
      <c r="DO93" s="907">
        <v>7.0350000000000001</v>
      </c>
      <c r="DP93" s="907">
        <v>7.07</v>
      </c>
      <c r="DQ93" s="907">
        <v>7.1</v>
      </c>
      <c r="DR93" s="907">
        <v>7.1349999999999998</v>
      </c>
    </row>
    <row r="94" spans="1:122" s="127" customFormat="1" ht="12.75">
      <c r="A94" s="911">
        <v>92</v>
      </c>
      <c r="B94" s="907"/>
      <c r="C94" s="907"/>
      <c r="D94" s="907"/>
      <c r="E94" s="907"/>
      <c r="F94" s="907"/>
      <c r="G94" s="907"/>
      <c r="H94" s="907"/>
      <c r="I94" s="907"/>
      <c r="J94" s="907"/>
      <c r="K94" s="907"/>
      <c r="L94" s="907"/>
      <c r="M94" s="907"/>
      <c r="N94" s="907"/>
      <c r="O94" s="907"/>
      <c r="P94" s="907"/>
      <c r="Q94" s="907"/>
      <c r="R94" s="907"/>
      <c r="S94" s="907"/>
      <c r="T94" s="907"/>
      <c r="U94" s="907"/>
      <c r="V94" s="907"/>
      <c r="W94" s="907">
        <v>3.415</v>
      </c>
      <c r="X94" s="907">
        <v>3.35</v>
      </c>
      <c r="Y94" s="907">
        <v>3.41</v>
      </c>
      <c r="Z94" s="907">
        <v>3.4050000000000002</v>
      </c>
      <c r="AA94" s="907">
        <v>3.4450000000000003</v>
      </c>
      <c r="AB94" s="907">
        <v>3.4950000000000001</v>
      </c>
      <c r="AC94" s="907">
        <v>3.5300000000000002</v>
      </c>
      <c r="AD94" s="907">
        <v>3.5649999999999999</v>
      </c>
      <c r="AE94" s="907">
        <v>3.59</v>
      </c>
      <c r="AF94" s="907">
        <v>3.625</v>
      </c>
      <c r="AG94" s="907">
        <v>3.66</v>
      </c>
      <c r="AH94" s="907">
        <v>3.6850000000000001</v>
      </c>
      <c r="AI94" s="907">
        <v>3.72</v>
      </c>
      <c r="AJ94" s="907">
        <v>3.7549999999999999</v>
      </c>
      <c r="AK94" s="907">
        <v>3.7849999999999997</v>
      </c>
      <c r="AL94" s="907">
        <v>3.8149999999999995</v>
      </c>
      <c r="AM94" s="907">
        <v>3.8449999999999998</v>
      </c>
      <c r="AN94" s="907">
        <v>3.88</v>
      </c>
      <c r="AO94" s="907">
        <v>3.915</v>
      </c>
      <c r="AP94" s="907">
        <v>3.9450000000000003</v>
      </c>
      <c r="AQ94" s="907">
        <v>3.9799999999999995</v>
      </c>
      <c r="AR94" s="907">
        <v>4.01</v>
      </c>
      <c r="AS94" s="907">
        <v>4.04</v>
      </c>
      <c r="AT94" s="907">
        <v>4.08</v>
      </c>
      <c r="AU94" s="907">
        <v>4.1100000000000003</v>
      </c>
      <c r="AV94" s="907">
        <v>4.1399999999999997</v>
      </c>
      <c r="AW94" s="907">
        <v>4.1749999999999998</v>
      </c>
      <c r="AX94" s="907">
        <v>4.2050000000000001</v>
      </c>
      <c r="AY94" s="907">
        <v>4.24</v>
      </c>
      <c r="AZ94" s="907">
        <v>4.2750000000000004</v>
      </c>
      <c r="BA94" s="907">
        <v>4.3049999999999997</v>
      </c>
      <c r="BB94" s="907">
        <v>4.34</v>
      </c>
      <c r="BC94" s="907">
        <v>4.375</v>
      </c>
      <c r="BD94" s="907">
        <v>4.4050000000000002</v>
      </c>
      <c r="BE94" s="907">
        <v>4.4399999999999995</v>
      </c>
      <c r="BF94" s="907">
        <v>4.4749999999999996</v>
      </c>
      <c r="BG94" s="907">
        <v>4.5049999999999999</v>
      </c>
      <c r="BH94" s="907">
        <v>4.54</v>
      </c>
      <c r="BI94" s="907">
        <v>4.5750000000000002</v>
      </c>
      <c r="BJ94" s="907">
        <v>4.6050000000000004</v>
      </c>
      <c r="BK94" s="907">
        <v>4.6400000000000006</v>
      </c>
      <c r="BL94" s="907">
        <v>4.6749999999999998</v>
      </c>
      <c r="BM94" s="907">
        <v>4.7050000000000001</v>
      </c>
      <c r="BN94" s="907">
        <v>4.74</v>
      </c>
      <c r="BO94" s="907">
        <v>4.7699999999999996</v>
      </c>
      <c r="BP94" s="907">
        <v>4.8049999999999997</v>
      </c>
      <c r="BQ94" s="907">
        <v>4.84</v>
      </c>
      <c r="BR94" s="907">
        <v>4.875</v>
      </c>
      <c r="BS94" s="907">
        <v>4.9050000000000002</v>
      </c>
      <c r="BT94" s="908">
        <v>4.9399999999999995</v>
      </c>
      <c r="BU94" s="907">
        <v>4.9749999999999996</v>
      </c>
      <c r="BV94" s="907">
        <v>5.0049999999999999</v>
      </c>
      <c r="BW94" s="907">
        <v>5.04</v>
      </c>
      <c r="BX94" s="907">
        <v>5.0750000000000002</v>
      </c>
      <c r="BY94" s="907">
        <v>5.1050000000000004</v>
      </c>
      <c r="BZ94" s="907">
        <v>5.1400000000000006</v>
      </c>
      <c r="CA94" s="907">
        <v>5.1749999999999998</v>
      </c>
      <c r="CB94" s="907">
        <v>5.2050000000000001</v>
      </c>
      <c r="CC94" s="907">
        <v>5.24</v>
      </c>
      <c r="CD94" s="907">
        <v>5.2750000000000004</v>
      </c>
      <c r="CE94" s="907">
        <v>5.3049999999999997</v>
      </c>
      <c r="CF94" s="907">
        <v>5.34</v>
      </c>
      <c r="CG94" s="907">
        <v>5.375</v>
      </c>
      <c r="CH94" s="907">
        <v>5.4050000000000002</v>
      </c>
      <c r="CI94" s="907">
        <v>5.4350000000000005</v>
      </c>
      <c r="CJ94" s="907">
        <v>5.4749999999999996</v>
      </c>
      <c r="CK94" s="907">
        <v>5.5049999999999999</v>
      </c>
      <c r="CL94" s="907">
        <v>5.5350000000000001</v>
      </c>
      <c r="CM94" s="907">
        <v>5.5750000000000002</v>
      </c>
      <c r="CN94" s="907">
        <v>5.6050000000000004</v>
      </c>
      <c r="CO94" s="907">
        <v>5.6349999999999998</v>
      </c>
      <c r="CP94" s="907">
        <v>5.67</v>
      </c>
      <c r="CQ94" s="907">
        <v>5.7</v>
      </c>
      <c r="CR94" s="907">
        <v>5.7350000000000003</v>
      </c>
      <c r="CS94" s="907">
        <v>5.77</v>
      </c>
      <c r="CT94" s="907">
        <v>5.8</v>
      </c>
      <c r="CU94" s="907">
        <v>5.83</v>
      </c>
      <c r="CV94" s="907">
        <v>5.8650000000000002</v>
      </c>
      <c r="CW94" s="907">
        <v>5.9</v>
      </c>
      <c r="CX94" s="907">
        <v>5.93</v>
      </c>
      <c r="CY94" s="907">
        <v>5.96</v>
      </c>
      <c r="CZ94" s="907">
        <v>5.9950000000000001</v>
      </c>
      <c r="DA94" s="907">
        <v>6.0250000000000004</v>
      </c>
      <c r="DB94" s="907">
        <v>6.0549999999999997</v>
      </c>
      <c r="DC94" s="907">
        <v>6.085</v>
      </c>
      <c r="DD94" s="907">
        <v>6.125</v>
      </c>
      <c r="DE94" s="907">
        <v>6.1550000000000002</v>
      </c>
      <c r="DF94" s="907">
        <v>6.1850000000000005</v>
      </c>
      <c r="DG94" s="907">
        <v>6.2149999999999999</v>
      </c>
      <c r="DH94" s="907">
        <v>6.25</v>
      </c>
      <c r="DI94" s="907">
        <v>6.2799999999999994</v>
      </c>
      <c r="DJ94" s="907">
        <v>6.3100000000000005</v>
      </c>
      <c r="DK94" s="907">
        <v>6.34</v>
      </c>
      <c r="DL94" s="907">
        <v>6.37</v>
      </c>
      <c r="DM94" s="907">
        <v>6.4049999999999994</v>
      </c>
      <c r="DN94" s="907">
        <v>6.4350000000000005</v>
      </c>
      <c r="DO94" s="907">
        <v>6.4649999999999999</v>
      </c>
      <c r="DP94" s="907">
        <v>6.4949999999999992</v>
      </c>
      <c r="DQ94" s="907">
        <v>6.5250000000000004</v>
      </c>
      <c r="DR94" s="907">
        <v>6.5549999999999997</v>
      </c>
    </row>
    <row r="95" spans="1:122" s="127" customFormat="1" ht="12.75">
      <c r="A95" s="911">
        <v>93</v>
      </c>
      <c r="B95" s="907"/>
      <c r="C95" s="907"/>
      <c r="D95" s="907"/>
      <c r="E95" s="907"/>
      <c r="F95" s="907"/>
      <c r="G95" s="907"/>
      <c r="H95" s="907"/>
      <c r="I95" s="907"/>
      <c r="J95" s="907"/>
      <c r="K95" s="907"/>
      <c r="L95" s="907"/>
      <c r="M95" s="907"/>
      <c r="N95" s="907"/>
      <c r="O95" s="907"/>
      <c r="P95" s="907"/>
      <c r="Q95" s="907"/>
      <c r="R95" s="907"/>
      <c r="S95" s="907"/>
      <c r="T95" s="907"/>
      <c r="U95" s="907"/>
      <c r="V95" s="907"/>
      <c r="W95" s="907">
        <v>3.1550000000000002</v>
      </c>
      <c r="X95" s="907">
        <v>3.12</v>
      </c>
      <c r="Y95" s="907">
        <v>3.1349999999999998</v>
      </c>
      <c r="Z95" s="907">
        <v>3.1749999999999998</v>
      </c>
      <c r="AA95" s="907">
        <v>3.2149999999999999</v>
      </c>
      <c r="AB95" s="907">
        <v>3.2450000000000001</v>
      </c>
      <c r="AC95" s="907">
        <v>3.27</v>
      </c>
      <c r="AD95" s="907">
        <v>3.3049999999999997</v>
      </c>
      <c r="AE95" s="907">
        <v>3.33</v>
      </c>
      <c r="AF95" s="907">
        <v>3.36</v>
      </c>
      <c r="AG95" s="907">
        <v>3.3899999999999997</v>
      </c>
      <c r="AH95" s="907">
        <v>3.42</v>
      </c>
      <c r="AI95" s="907">
        <v>3.4450000000000003</v>
      </c>
      <c r="AJ95" s="907">
        <v>3.4750000000000001</v>
      </c>
      <c r="AK95" s="907">
        <v>3.5049999999999999</v>
      </c>
      <c r="AL95" s="907">
        <v>3.5300000000000002</v>
      </c>
      <c r="AM95" s="907">
        <v>3.5599999999999996</v>
      </c>
      <c r="AN95" s="907">
        <v>3.59</v>
      </c>
      <c r="AO95" s="907">
        <v>3.62</v>
      </c>
      <c r="AP95" s="907">
        <v>3.6500000000000004</v>
      </c>
      <c r="AQ95" s="907">
        <v>3.6799999999999997</v>
      </c>
      <c r="AR95" s="907">
        <v>3.71</v>
      </c>
      <c r="AS95" s="907">
        <v>3.74</v>
      </c>
      <c r="AT95" s="907">
        <v>3.77</v>
      </c>
      <c r="AU95" s="907">
        <v>3.7949999999999999</v>
      </c>
      <c r="AV95" s="907">
        <v>3.8250000000000002</v>
      </c>
      <c r="AW95" s="907">
        <v>3.86</v>
      </c>
      <c r="AX95" s="907">
        <v>3.89</v>
      </c>
      <c r="AY95" s="907">
        <v>3.92</v>
      </c>
      <c r="AZ95" s="907">
        <v>3.95</v>
      </c>
      <c r="BA95" s="907">
        <v>3.98</v>
      </c>
      <c r="BB95" s="907">
        <v>4.01</v>
      </c>
      <c r="BC95" s="907">
        <v>4.04</v>
      </c>
      <c r="BD95" s="907">
        <v>4.07</v>
      </c>
      <c r="BE95" s="907">
        <v>4.0999999999999996</v>
      </c>
      <c r="BF95" s="907">
        <v>4.13</v>
      </c>
      <c r="BG95" s="907">
        <v>4.16</v>
      </c>
      <c r="BH95" s="907">
        <v>4.1899999999999995</v>
      </c>
      <c r="BI95" s="907">
        <v>4.2200000000000006</v>
      </c>
      <c r="BJ95" s="907">
        <v>4.25</v>
      </c>
      <c r="BK95" s="907">
        <v>4.2799999999999994</v>
      </c>
      <c r="BL95" s="907">
        <v>4.3100000000000005</v>
      </c>
      <c r="BM95" s="907">
        <v>4.34</v>
      </c>
      <c r="BN95" s="907">
        <v>4.3699999999999992</v>
      </c>
      <c r="BO95" s="907">
        <v>4.4000000000000004</v>
      </c>
      <c r="BP95" s="907">
        <v>4.43</v>
      </c>
      <c r="BQ95" s="907">
        <v>4.4600000000000009</v>
      </c>
      <c r="BR95" s="907">
        <v>4.49</v>
      </c>
      <c r="BS95" s="907">
        <v>4.5199999999999996</v>
      </c>
      <c r="BT95" s="908">
        <v>4.5500000000000007</v>
      </c>
      <c r="BU95" s="907">
        <v>4.58</v>
      </c>
      <c r="BV95" s="907">
        <v>4.6099999999999994</v>
      </c>
      <c r="BW95" s="907">
        <v>4.6400000000000006</v>
      </c>
      <c r="BX95" s="907">
        <v>4.67</v>
      </c>
      <c r="BY95" s="907">
        <v>4.6999999999999993</v>
      </c>
      <c r="BZ95" s="907">
        <v>4.7300000000000004</v>
      </c>
      <c r="CA95" s="907">
        <v>4.76</v>
      </c>
      <c r="CB95" s="907">
        <v>4.7899999999999991</v>
      </c>
      <c r="CC95" s="907">
        <v>4.82</v>
      </c>
      <c r="CD95" s="907">
        <v>4.8499999999999996</v>
      </c>
      <c r="CE95" s="907">
        <v>4.8800000000000008</v>
      </c>
      <c r="CF95" s="907">
        <v>4.91</v>
      </c>
      <c r="CG95" s="907">
        <v>4.9399999999999995</v>
      </c>
      <c r="CH95" s="907">
        <v>4.9700000000000006</v>
      </c>
      <c r="CI95" s="907">
        <v>5</v>
      </c>
      <c r="CJ95" s="907">
        <v>5.0299999999999994</v>
      </c>
      <c r="CK95" s="907">
        <v>5.0549999999999997</v>
      </c>
      <c r="CL95" s="907">
        <v>5.085</v>
      </c>
      <c r="CM95" s="907">
        <v>5.1150000000000002</v>
      </c>
      <c r="CN95" s="907">
        <v>5.1449999999999996</v>
      </c>
      <c r="CO95" s="907">
        <v>5.1750000000000007</v>
      </c>
      <c r="CP95" s="907">
        <v>5.2050000000000001</v>
      </c>
      <c r="CQ95" s="907">
        <v>5.2349999999999994</v>
      </c>
      <c r="CR95" s="907">
        <v>5.2650000000000006</v>
      </c>
      <c r="CS95" s="907">
        <v>5.2949999999999999</v>
      </c>
      <c r="CT95" s="907">
        <v>5.3249999999999993</v>
      </c>
      <c r="CU95" s="907">
        <v>5.35</v>
      </c>
      <c r="CV95" s="907">
        <v>5.38</v>
      </c>
      <c r="CW95" s="907">
        <v>5.41</v>
      </c>
      <c r="CX95" s="907">
        <v>5.4399999999999995</v>
      </c>
      <c r="CY95" s="907">
        <v>5.4700000000000006</v>
      </c>
      <c r="CZ95" s="907">
        <v>5.5</v>
      </c>
      <c r="DA95" s="907">
        <v>5.5250000000000004</v>
      </c>
      <c r="DB95" s="907">
        <v>5.5549999999999997</v>
      </c>
      <c r="DC95" s="907">
        <v>5.585</v>
      </c>
      <c r="DD95" s="907">
        <v>5.6150000000000002</v>
      </c>
      <c r="DE95" s="907">
        <v>5.6349999999999998</v>
      </c>
      <c r="DF95" s="907">
        <v>5.665</v>
      </c>
      <c r="DG95" s="907">
        <v>5.6950000000000003</v>
      </c>
      <c r="DH95" s="907">
        <v>5.7249999999999996</v>
      </c>
      <c r="DI95" s="907">
        <v>5.75</v>
      </c>
      <c r="DJ95" s="907">
        <v>5.78</v>
      </c>
      <c r="DK95" s="907">
        <v>5.81</v>
      </c>
      <c r="DL95" s="907">
        <v>5.84</v>
      </c>
      <c r="DM95" s="907">
        <v>5.86</v>
      </c>
      <c r="DN95" s="907">
        <v>5.89</v>
      </c>
      <c r="DO95" s="907">
        <v>5.92</v>
      </c>
      <c r="DP95" s="907">
        <v>5.9450000000000003</v>
      </c>
      <c r="DQ95" s="907">
        <v>5.9749999999999996</v>
      </c>
      <c r="DR95" s="907">
        <v>6.0049999999999999</v>
      </c>
    </row>
    <row r="96" spans="1:122" s="127" customFormat="1" ht="12.75">
      <c r="A96" s="911">
        <v>94</v>
      </c>
      <c r="B96" s="907"/>
      <c r="C96" s="907"/>
      <c r="D96" s="907"/>
      <c r="E96" s="907"/>
      <c r="F96" s="907"/>
      <c r="G96" s="907"/>
      <c r="H96" s="907"/>
      <c r="I96" s="907"/>
      <c r="J96" s="907"/>
      <c r="K96" s="907"/>
      <c r="L96" s="907"/>
      <c r="M96" s="907"/>
      <c r="N96" s="907"/>
      <c r="O96" s="907"/>
      <c r="P96" s="907"/>
      <c r="Q96" s="907"/>
      <c r="R96" s="907"/>
      <c r="S96" s="907"/>
      <c r="T96" s="907"/>
      <c r="U96" s="907"/>
      <c r="V96" s="907"/>
      <c r="W96" s="907">
        <v>2.9699999999999998</v>
      </c>
      <c r="X96" s="907">
        <v>2.86</v>
      </c>
      <c r="Y96" s="907">
        <v>2.915</v>
      </c>
      <c r="Z96" s="907">
        <v>2.9649999999999999</v>
      </c>
      <c r="AA96" s="907">
        <v>2.9850000000000003</v>
      </c>
      <c r="AB96" s="907">
        <v>3.01</v>
      </c>
      <c r="AC96" s="907">
        <v>3.04</v>
      </c>
      <c r="AD96" s="907">
        <v>3.0649999999999999</v>
      </c>
      <c r="AE96" s="907">
        <v>3.09</v>
      </c>
      <c r="AF96" s="907">
        <v>3.1150000000000002</v>
      </c>
      <c r="AG96" s="907">
        <v>3.1399999999999997</v>
      </c>
      <c r="AH96" s="907">
        <v>3.17</v>
      </c>
      <c r="AI96" s="907">
        <v>3.1950000000000003</v>
      </c>
      <c r="AJ96" s="907">
        <v>3.22</v>
      </c>
      <c r="AK96" s="907">
        <v>3.2450000000000001</v>
      </c>
      <c r="AL96" s="907">
        <v>3.2749999999999999</v>
      </c>
      <c r="AM96" s="907">
        <v>3.3</v>
      </c>
      <c r="AN96" s="907">
        <v>3.3250000000000002</v>
      </c>
      <c r="AO96" s="907">
        <v>3.3499999999999996</v>
      </c>
      <c r="AP96" s="907">
        <v>3.38</v>
      </c>
      <c r="AQ96" s="907">
        <v>3.4050000000000002</v>
      </c>
      <c r="AR96" s="907">
        <v>3.4299999999999997</v>
      </c>
      <c r="AS96" s="907">
        <v>3.46</v>
      </c>
      <c r="AT96" s="907">
        <v>3.4850000000000003</v>
      </c>
      <c r="AU96" s="907">
        <v>3.51</v>
      </c>
      <c r="AV96" s="907">
        <v>3.54</v>
      </c>
      <c r="AW96" s="907">
        <v>3.5649999999999999</v>
      </c>
      <c r="AX96" s="907">
        <v>3.59</v>
      </c>
      <c r="AY96" s="907">
        <v>3.62</v>
      </c>
      <c r="AZ96" s="907">
        <v>3.645</v>
      </c>
      <c r="BA96" s="907">
        <v>3.67</v>
      </c>
      <c r="BB96" s="907">
        <v>3.7</v>
      </c>
      <c r="BC96" s="907">
        <v>3.7250000000000001</v>
      </c>
      <c r="BD96" s="907">
        <v>3.75</v>
      </c>
      <c r="BE96" s="907">
        <v>3.78</v>
      </c>
      <c r="BF96" s="907">
        <v>3.8049999999999997</v>
      </c>
      <c r="BG96" s="907">
        <v>3.835</v>
      </c>
      <c r="BH96" s="907">
        <v>3.86</v>
      </c>
      <c r="BI96" s="907">
        <v>3.8849999999999998</v>
      </c>
      <c r="BJ96" s="907">
        <v>3.915</v>
      </c>
      <c r="BK96" s="907">
        <v>3.94</v>
      </c>
      <c r="BL96" s="907">
        <v>3.9699999999999998</v>
      </c>
      <c r="BM96" s="907">
        <v>3.9950000000000001</v>
      </c>
      <c r="BN96" s="907">
        <v>4.0199999999999996</v>
      </c>
      <c r="BO96" s="907">
        <v>4.05</v>
      </c>
      <c r="BP96" s="907">
        <v>4.0750000000000002</v>
      </c>
      <c r="BQ96" s="907">
        <v>4.1049999999999995</v>
      </c>
      <c r="BR96" s="907">
        <v>4.13</v>
      </c>
      <c r="BS96" s="907">
        <v>4.1550000000000002</v>
      </c>
      <c r="BT96" s="908">
        <v>4.1849999999999996</v>
      </c>
      <c r="BU96" s="907">
        <v>4.21</v>
      </c>
      <c r="BV96" s="907">
        <v>4.2350000000000003</v>
      </c>
      <c r="BW96" s="907">
        <v>4.2649999999999997</v>
      </c>
      <c r="BX96" s="907">
        <v>4.29</v>
      </c>
      <c r="BY96" s="907">
        <v>4.32</v>
      </c>
      <c r="BZ96" s="907">
        <v>4.3449999999999998</v>
      </c>
      <c r="CA96" s="907">
        <v>4.37</v>
      </c>
      <c r="CB96" s="907">
        <v>4.4000000000000004</v>
      </c>
      <c r="CC96" s="907">
        <v>4.42</v>
      </c>
      <c r="CD96" s="907">
        <v>4.45</v>
      </c>
      <c r="CE96" s="907">
        <v>4.4800000000000004</v>
      </c>
      <c r="CF96" s="907">
        <v>4.5</v>
      </c>
      <c r="CG96" s="907">
        <v>4.5299999999999994</v>
      </c>
      <c r="CH96" s="907">
        <v>4.5600000000000005</v>
      </c>
      <c r="CI96" s="907">
        <v>4.58</v>
      </c>
      <c r="CJ96" s="907">
        <v>4.6099999999999994</v>
      </c>
      <c r="CK96" s="907">
        <v>4.6349999999999998</v>
      </c>
      <c r="CL96" s="907">
        <v>4.66</v>
      </c>
      <c r="CM96" s="907">
        <v>4.6899999999999995</v>
      </c>
      <c r="CN96" s="907">
        <v>4.7149999999999999</v>
      </c>
      <c r="CO96" s="907">
        <v>4.74</v>
      </c>
      <c r="CP96" s="907">
        <v>4.7650000000000006</v>
      </c>
      <c r="CQ96" s="907">
        <v>4.7949999999999999</v>
      </c>
      <c r="CR96" s="907">
        <v>4.8149999999999995</v>
      </c>
      <c r="CS96" s="907">
        <v>4.8450000000000006</v>
      </c>
      <c r="CT96" s="907">
        <v>4.8699999999999992</v>
      </c>
      <c r="CU96" s="907">
        <v>4.8949999999999996</v>
      </c>
      <c r="CV96" s="907">
        <v>4.92</v>
      </c>
      <c r="CW96" s="907">
        <v>4.9499999999999993</v>
      </c>
      <c r="CX96" s="907">
        <v>4.9700000000000006</v>
      </c>
      <c r="CY96" s="907">
        <v>5</v>
      </c>
      <c r="CZ96" s="907">
        <v>5.0199999999999996</v>
      </c>
      <c r="DA96" s="907">
        <v>5.0500000000000007</v>
      </c>
      <c r="DB96" s="907">
        <v>5.0749999999999993</v>
      </c>
      <c r="DC96" s="907">
        <v>5.0999999999999996</v>
      </c>
      <c r="DD96" s="907">
        <v>5.125</v>
      </c>
      <c r="DE96" s="907">
        <v>5.15</v>
      </c>
      <c r="DF96" s="907">
        <v>5.1750000000000007</v>
      </c>
      <c r="DG96" s="907">
        <v>5.1999999999999993</v>
      </c>
      <c r="DH96" s="907">
        <v>5.2249999999999996</v>
      </c>
      <c r="DI96" s="907">
        <v>5.25</v>
      </c>
      <c r="DJ96" s="907">
        <v>5.2750000000000004</v>
      </c>
      <c r="DK96" s="907">
        <v>5.3</v>
      </c>
      <c r="DL96" s="907">
        <v>5.3249999999999993</v>
      </c>
      <c r="DM96" s="907">
        <v>5.35</v>
      </c>
      <c r="DN96" s="907">
        <v>5.37</v>
      </c>
      <c r="DO96" s="907">
        <v>5.4</v>
      </c>
      <c r="DP96" s="907">
        <v>5.42</v>
      </c>
      <c r="DQ96" s="907">
        <v>5.4450000000000003</v>
      </c>
      <c r="DR96" s="907">
        <v>5.4700000000000006</v>
      </c>
    </row>
    <row r="97" spans="1:122" s="127" customFormat="1" ht="12.75">
      <c r="A97" s="911">
        <v>95</v>
      </c>
      <c r="B97" s="907"/>
      <c r="C97" s="907"/>
      <c r="D97" s="907"/>
      <c r="E97" s="907"/>
      <c r="F97" s="907"/>
      <c r="G97" s="907"/>
      <c r="H97" s="907"/>
      <c r="I97" s="907"/>
      <c r="J97" s="907"/>
      <c r="K97" s="907"/>
      <c r="L97" s="907"/>
      <c r="M97" s="907"/>
      <c r="N97" s="907"/>
      <c r="O97" s="907"/>
      <c r="P97" s="907"/>
      <c r="Q97" s="907"/>
      <c r="R97" s="907"/>
      <c r="S97" s="907"/>
      <c r="T97" s="907"/>
      <c r="U97" s="907"/>
      <c r="V97" s="907"/>
      <c r="W97" s="907">
        <v>2.76</v>
      </c>
      <c r="X97" s="907">
        <v>2.66</v>
      </c>
      <c r="Y97" s="907">
        <v>2.7050000000000001</v>
      </c>
      <c r="Z97" s="907">
        <v>2.7549999999999999</v>
      </c>
      <c r="AA97" s="907">
        <v>2.7750000000000004</v>
      </c>
      <c r="AB97" s="907">
        <v>2.8</v>
      </c>
      <c r="AC97" s="907">
        <v>2.8200000000000003</v>
      </c>
      <c r="AD97" s="907">
        <v>2.8449999999999998</v>
      </c>
      <c r="AE97" s="907">
        <v>2.87</v>
      </c>
      <c r="AF97" s="907">
        <v>2.89</v>
      </c>
      <c r="AG97" s="907">
        <v>2.915</v>
      </c>
      <c r="AH97" s="907">
        <v>2.9400000000000004</v>
      </c>
      <c r="AI97" s="907">
        <v>2.96</v>
      </c>
      <c r="AJ97" s="907">
        <v>2.9849999999999999</v>
      </c>
      <c r="AK97" s="907">
        <v>3.01</v>
      </c>
      <c r="AL97" s="907">
        <v>3.0300000000000002</v>
      </c>
      <c r="AM97" s="907">
        <v>3.0549999999999997</v>
      </c>
      <c r="AN97" s="907">
        <v>3.08</v>
      </c>
      <c r="AO97" s="907">
        <v>3.105</v>
      </c>
      <c r="AP97" s="907">
        <v>3.125</v>
      </c>
      <c r="AQ97" s="907">
        <v>3.15</v>
      </c>
      <c r="AR97" s="907">
        <v>3.1749999999999998</v>
      </c>
      <c r="AS97" s="907">
        <v>3.1950000000000003</v>
      </c>
      <c r="AT97" s="907">
        <v>3.2199999999999998</v>
      </c>
      <c r="AU97" s="907">
        <v>3.2450000000000001</v>
      </c>
      <c r="AV97" s="907">
        <v>3.2649999999999997</v>
      </c>
      <c r="AW97" s="907">
        <v>3.2949999999999999</v>
      </c>
      <c r="AX97" s="907">
        <v>3.3149999999999999</v>
      </c>
      <c r="AY97" s="907">
        <v>3.335</v>
      </c>
      <c r="AZ97" s="907">
        <v>3.3650000000000002</v>
      </c>
      <c r="BA97" s="907">
        <v>3.3849999999999998</v>
      </c>
      <c r="BB97" s="907">
        <v>3.415</v>
      </c>
      <c r="BC97" s="907">
        <v>3.4350000000000001</v>
      </c>
      <c r="BD97" s="907">
        <v>3.4550000000000001</v>
      </c>
      <c r="BE97" s="907">
        <v>3.4850000000000003</v>
      </c>
      <c r="BF97" s="907">
        <v>3.5049999999999999</v>
      </c>
      <c r="BG97" s="907">
        <v>3.5250000000000004</v>
      </c>
      <c r="BH97" s="907">
        <v>3.5549999999999997</v>
      </c>
      <c r="BI97" s="907">
        <v>3.5750000000000002</v>
      </c>
      <c r="BJ97" s="907">
        <v>3.605</v>
      </c>
      <c r="BK97" s="907">
        <v>3.625</v>
      </c>
      <c r="BL97" s="907">
        <v>3.645</v>
      </c>
      <c r="BM97" s="907">
        <v>3.6749999999999998</v>
      </c>
      <c r="BN97" s="907">
        <v>3.6950000000000003</v>
      </c>
      <c r="BO97" s="907">
        <v>3.7149999999999999</v>
      </c>
      <c r="BP97" s="907">
        <v>3.7450000000000001</v>
      </c>
      <c r="BQ97" s="907">
        <v>3.7649999999999997</v>
      </c>
      <c r="BR97" s="907">
        <v>3.79</v>
      </c>
      <c r="BS97" s="907">
        <v>3.8150000000000004</v>
      </c>
      <c r="BT97" s="908">
        <v>3.835</v>
      </c>
      <c r="BU97" s="907">
        <v>3.8650000000000002</v>
      </c>
      <c r="BV97" s="907">
        <v>3.8849999999999998</v>
      </c>
      <c r="BW97" s="907">
        <v>3.9050000000000002</v>
      </c>
      <c r="BX97" s="907">
        <v>3.9350000000000005</v>
      </c>
      <c r="BY97" s="907">
        <v>3.9550000000000001</v>
      </c>
      <c r="BZ97" s="907">
        <v>3.9800000000000004</v>
      </c>
      <c r="CA97" s="907">
        <v>4</v>
      </c>
      <c r="CB97" s="907">
        <v>4.0250000000000004</v>
      </c>
      <c r="CC97" s="907">
        <v>4.05</v>
      </c>
      <c r="CD97" s="907">
        <v>4.07</v>
      </c>
      <c r="CE97" s="907">
        <v>4.0949999999999998</v>
      </c>
      <c r="CF97" s="907">
        <v>4.12</v>
      </c>
      <c r="CG97" s="907">
        <v>4.1399999999999997</v>
      </c>
      <c r="CH97" s="907">
        <v>4.17</v>
      </c>
      <c r="CI97" s="907">
        <v>4.1900000000000004</v>
      </c>
      <c r="CJ97" s="907">
        <v>4.21</v>
      </c>
      <c r="CK97" s="907">
        <v>4.2350000000000003</v>
      </c>
      <c r="CL97" s="907">
        <v>4.26</v>
      </c>
      <c r="CM97" s="907">
        <v>4.28</v>
      </c>
      <c r="CN97" s="907">
        <v>4.3049999999999997</v>
      </c>
      <c r="CO97" s="907">
        <v>4.3250000000000002</v>
      </c>
      <c r="CP97" s="907">
        <v>4.3499999999999996</v>
      </c>
      <c r="CQ97" s="907">
        <v>4.375</v>
      </c>
      <c r="CR97" s="907">
        <v>4.3949999999999996</v>
      </c>
      <c r="CS97" s="907">
        <v>4.415</v>
      </c>
      <c r="CT97" s="907">
        <v>4.4350000000000005</v>
      </c>
      <c r="CU97" s="907">
        <v>4.4649999999999999</v>
      </c>
      <c r="CV97" s="907">
        <v>4.4850000000000003</v>
      </c>
      <c r="CW97" s="907">
        <v>4.5049999999999999</v>
      </c>
      <c r="CX97" s="907">
        <v>4.53</v>
      </c>
      <c r="CY97" s="907">
        <v>4.55</v>
      </c>
      <c r="CZ97" s="907">
        <v>4.57</v>
      </c>
      <c r="DA97" s="907">
        <v>4.5949999999999998</v>
      </c>
      <c r="DB97" s="907">
        <v>4.62</v>
      </c>
      <c r="DC97" s="907">
        <v>4.6400000000000006</v>
      </c>
      <c r="DD97" s="907">
        <v>4.66</v>
      </c>
      <c r="DE97" s="907">
        <v>4.68</v>
      </c>
      <c r="DF97" s="907">
        <v>4.7050000000000001</v>
      </c>
      <c r="DG97" s="907">
        <v>4.7249999999999996</v>
      </c>
      <c r="DH97" s="907">
        <v>4.7450000000000001</v>
      </c>
      <c r="DI97" s="907">
        <v>4.7650000000000006</v>
      </c>
      <c r="DJ97" s="907">
        <v>4.7949999999999999</v>
      </c>
      <c r="DK97" s="907">
        <v>4.8149999999999995</v>
      </c>
      <c r="DL97" s="907">
        <v>4.835</v>
      </c>
      <c r="DM97" s="907">
        <v>4.8550000000000004</v>
      </c>
      <c r="DN97" s="907">
        <v>4.875</v>
      </c>
      <c r="DO97" s="907">
        <v>4.9000000000000004</v>
      </c>
      <c r="DP97" s="907">
        <v>4.92</v>
      </c>
      <c r="DQ97" s="907">
        <v>4.9399999999999995</v>
      </c>
      <c r="DR97" s="907">
        <v>4.96</v>
      </c>
    </row>
    <row r="98" spans="1:122" s="127" customFormat="1" ht="12.75">
      <c r="A98" s="911">
        <v>96</v>
      </c>
      <c r="B98" s="907"/>
      <c r="C98" s="907"/>
      <c r="D98" s="907"/>
      <c r="E98" s="907"/>
      <c r="F98" s="907"/>
      <c r="G98" s="907"/>
      <c r="H98" s="907"/>
      <c r="I98" s="907"/>
      <c r="J98" s="907"/>
      <c r="K98" s="907"/>
      <c r="L98" s="907"/>
      <c r="M98" s="907"/>
      <c r="N98" s="907"/>
      <c r="O98" s="907"/>
      <c r="P98" s="907"/>
      <c r="Q98" s="907"/>
      <c r="R98" s="907"/>
      <c r="S98" s="907"/>
      <c r="T98" s="907"/>
      <c r="U98" s="907"/>
      <c r="V98" s="907"/>
      <c r="W98" s="907">
        <v>2.5750000000000002</v>
      </c>
      <c r="X98" s="907">
        <v>2.4850000000000003</v>
      </c>
      <c r="Y98" s="907">
        <v>2.5300000000000002</v>
      </c>
      <c r="Z98" s="907">
        <v>2.5700000000000003</v>
      </c>
      <c r="AA98" s="907">
        <v>2.585</v>
      </c>
      <c r="AB98" s="907">
        <v>2.6100000000000003</v>
      </c>
      <c r="AC98" s="907">
        <v>2.625</v>
      </c>
      <c r="AD98" s="907">
        <v>2.65</v>
      </c>
      <c r="AE98" s="907">
        <v>2.67</v>
      </c>
      <c r="AF98" s="907">
        <v>2.69</v>
      </c>
      <c r="AG98" s="907">
        <v>2.7149999999999999</v>
      </c>
      <c r="AH98" s="907">
        <v>2.73</v>
      </c>
      <c r="AI98" s="907">
        <v>2.75</v>
      </c>
      <c r="AJ98" s="907">
        <v>2.7749999999999999</v>
      </c>
      <c r="AK98" s="907">
        <v>2.7949999999999999</v>
      </c>
      <c r="AL98" s="907">
        <v>2.82</v>
      </c>
      <c r="AM98" s="907">
        <v>2.84</v>
      </c>
      <c r="AN98" s="907">
        <v>2.86</v>
      </c>
      <c r="AO98" s="907">
        <v>2.88</v>
      </c>
      <c r="AP98" s="907">
        <v>2.9</v>
      </c>
      <c r="AQ98" s="907">
        <v>2.92</v>
      </c>
      <c r="AR98" s="907">
        <v>2.94</v>
      </c>
      <c r="AS98" s="907">
        <v>2.9649999999999999</v>
      </c>
      <c r="AT98" s="907">
        <v>2.9850000000000003</v>
      </c>
      <c r="AU98" s="907">
        <v>3.0049999999999999</v>
      </c>
      <c r="AV98" s="907">
        <v>3.0300000000000002</v>
      </c>
      <c r="AW98" s="907">
        <v>3.05</v>
      </c>
      <c r="AX98" s="907">
        <v>3.07</v>
      </c>
      <c r="AY98" s="907">
        <v>3.09</v>
      </c>
      <c r="AZ98" s="907">
        <v>3.11</v>
      </c>
      <c r="BA98" s="907">
        <v>3.1349999999999998</v>
      </c>
      <c r="BB98" s="907">
        <v>3.1550000000000002</v>
      </c>
      <c r="BC98" s="907">
        <v>3.1749999999999998</v>
      </c>
      <c r="BD98" s="907">
        <v>3.1950000000000003</v>
      </c>
      <c r="BE98" s="907">
        <v>3.2199999999999998</v>
      </c>
      <c r="BF98" s="907">
        <v>3.24</v>
      </c>
      <c r="BG98" s="907">
        <v>3.26</v>
      </c>
      <c r="BH98" s="907">
        <v>3.2800000000000002</v>
      </c>
      <c r="BI98" s="907">
        <v>3.3</v>
      </c>
      <c r="BJ98" s="907">
        <v>3.3250000000000002</v>
      </c>
      <c r="BK98" s="907">
        <v>3.3449999999999998</v>
      </c>
      <c r="BL98" s="907">
        <v>3.3650000000000002</v>
      </c>
      <c r="BM98" s="907">
        <v>3.39</v>
      </c>
      <c r="BN98" s="907">
        <v>3.41</v>
      </c>
      <c r="BO98" s="907">
        <v>3.43</v>
      </c>
      <c r="BP98" s="907">
        <v>3.45</v>
      </c>
      <c r="BQ98" s="907">
        <v>3.4699999999999998</v>
      </c>
      <c r="BR98" s="907">
        <v>3.49</v>
      </c>
      <c r="BS98" s="907">
        <v>3.51</v>
      </c>
      <c r="BT98" s="908">
        <v>3.5300000000000002</v>
      </c>
      <c r="BU98" s="907">
        <v>3.5550000000000002</v>
      </c>
      <c r="BV98" s="907">
        <v>3.5750000000000002</v>
      </c>
      <c r="BW98" s="907">
        <v>3.6</v>
      </c>
      <c r="BX98" s="907">
        <v>3.62</v>
      </c>
      <c r="BY98" s="907">
        <v>3.64</v>
      </c>
      <c r="BZ98" s="907">
        <v>3.66</v>
      </c>
      <c r="CA98" s="907">
        <v>3.68</v>
      </c>
      <c r="CB98" s="907">
        <v>3.7</v>
      </c>
      <c r="CC98" s="907">
        <v>3.7199999999999998</v>
      </c>
      <c r="CD98" s="907">
        <v>3.74</v>
      </c>
      <c r="CE98" s="907">
        <v>3.7650000000000001</v>
      </c>
      <c r="CF98" s="907">
        <v>3.7850000000000001</v>
      </c>
      <c r="CG98" s="907">
        <v>3.8050000000000002</v>
      </c>
      <c r="CH98" s="907">
        <v>3.8250000000000002</v>
      </c>
      <c r="CI98" s="907">
        <v>3.8450000000000002</v>
      </c>
      <c r="CJ98" s="907">
        <v>3.8650000000000002</v>
      </c>
      <c r="CK98" s="907">
        <v>3.8850000000000002</v>
      </c>
      <c r="CL98" s="907">
        <v>3.9050000000000002</v>
      </c>
      <c r="CM98" s="907">
        <v>3.9250000000000003</v>
      </c>
      <c r="CN98" s="907">
        <v>3.9449999999999998</v>
      </c>
      <c r="CO98" s="907">
        <v>3.9649999999999999</v>
      </c>
      <c r="CP98" s="907">
        <v>3.9849999999999999</v>
      </c>
      <c r="CQ98" s="907">
        <v>4</v>
      </c>
      <c r="CR98" s="907">
        <v>4.0199999999999996</v>
      </c>
      <c r="CS98" s="907">
        <v>4.04</v>
      </c>
      <c r="CT98" s="907">
        <v>4.0600000000000005</v>
      </c>
      <c r="CU98" s="907">
        <v>4.08</v>
      </c>
      <c r="CV98" s="907">
        <v>4.0999999999999996</v>
      </c>
      <c r="CW98" s="907">
        <v>4.12</v>
      </c>
      <c r="CX98" s="907">
        <v>4.1400000000000006</v>
      </c>
      <c r="CY98" s="907">
        <v>4.16</v>
      </c>
      <c r="CZ98" s="907">
        <v>4.18</v>
      </c>
      <c r="DA98" s="907">
        <v>4.1999999999999993</v>
      </c>
      <c r="DB98" s="907">
        <v>4.2149999999999999</v>
      </c>
      <c r="DC98" s="907">
        <v>4.2349999999999994</v>
      </c>
      <c r="DD98" s="907">
        <v>4.2549999999999999</v>
      </c>
      <c r="DE98" s="907">
        <v>4.2750000000000004</v>
      </c>
      <c r="DF98" s="907">
        <v>4.2949999999999999</v>
      </c>
      <c r="DG98" s="907">
        <v>4.3149999999999995</v>
      </c>
      <c r="DH98" s="907">
        <v>4.33</v>
      </c>
      <c r="DI98" s="907">
        <v>4.3499999999999996</v>
      </c>
      <c r="DJ98" s="907">
        <v>4.37</v>
      </c>
      <c r="DK98" s="907">
        <v>4.3899999999999997</v>
      </c>
      <c r="DL98" s="907">
        <v>4.41</v>
      </c>
      <c r="DM98" s="907">
        <v>4.4249999999999998</v>
      </c>
      <c r="DN98" s="907">
        <v>4.4450000000000003</v>
      </c>
      <c r="DO98" s="907">
        <v>4.4649999999999999</v>
      </c>
      <c r="DP98" s="907">
        <v>4.4850000000000003</v>
      </c>
      <c r="DQ98" s="907">
        <v>4.4950000000000001</v>
      </c>
      <c r="DR98" s="907">
        <v>4.5149999999999997</v>
      </c>
    </row>
    <row r="99" spans="1:122" s="127" customFormat="1" ht="12.75">
      <c r="A99" s="911">
        <v>97</v>
      </c>
      <c r="B99" s="907"/>
      <c r="C99" s="907"/>
      <c r="D99" s="907"/>
      <c r="E99" s="907"/>
      <c r="F99" s="907"/>
      <c r="G99" s="907"/>
      <c r="H99" s="907"/>
      <c r="I99" s="907"/>
      <c r="J99" s="907"/>
      <c r="K99" s="907"/>
      <c r="L99" s="907"/>
      <c r="M99" s="907"/>
      <c r="N99" s="907"/>
      <c r="O99" s="907"/>
      <c r="P99" s="907"/>
      <c r="Q99" s="907"/>
      <c r="R99" s="907"/>
      <c r="S99" s="907"/>
      <c r="T99" s="907"/>
      <c r="U99" s="907"/>
      <c r="V99" s="907"/>
      <c r="W99" s="907">
        <v>2.4</v>
      </c>
      <c r="X99" s="907">
        <v>2.3200000000000003</v>
      </c>
      <c r="Y99" s="907">
        <v>2.3650000000000002</v>
      </c>
      <c r="Z99" s="907">
        <v>2.4</v>
      </c>
      <c r="AA99" s="907">
        <v>2.415</v>
      </c>
      <c r="AB99" s="907">
        <v>2.4350000000000001</v>
      </c>
      <c r="AC99" s="907">
        <v>2.4550000000000001</v>
      </c>
      <c r="AD99" s="907">
        <v>2.4699999999999998</v>
      </c>
      <c r="AE99" s="907">
        <v>2.4900000000000002</v>
      </c>
      <c r="AF99" s="907">
        <v>2.5099999999999998</v>
      </c>
      <c r="AG99" s="907">
        <v>2.5300000000000002</v>
      </c>
      <c r="AH99" s="907">
        <v>2.5499999999999998</v>
      </c>
      <c r="AI99" s="907">
        <v>2.5649999999999999</v>
      </c>
      <c r="AJ99" s="907">
        <v>2.585</v>
      </c>
      <c r="AK99" s="907">
        <v>2.605</v>
      </c>
      <c r="AL99" s="907">
        <v>2.625</v>
      </c>
      <c r="AM99" s="907">
        <v>2.64</v>
      </c>
      <c r="AN99" s="907">
        <v>2.66</v>
      </c>
      <c r="AO99" s="907">
        <v>2.6799999999999997</v>
      </c>
      <c r="AP99" s="907">
        <v>2.7</v>
      </c>
      <c r="AQ99" s="907">
        <v>2.7199999999999998</v>
      </c>
      <c r="AR99" s="907">
        <v>2.74</v>
      </c>
      <c r="AS99" s="907">
        <v>2.7549999999999999</v>
      </c>
      <c r="AT99" s="907">
        <v>2.7750000000000004</v>
      </c>
      <c r="AU99" s="907">
        <v>2.7949999999999999</v>
      </c>
      <c r="AV99" s="907">
        <v>2.8150000000000004</v>
      </c>
      <c r="AW99" s="907">
        <v>2.83</v>
      </c>
      <c r="AX99" s="907">
        <v>2.85</v>
      </c>
      <c r="AY99" s="907">
        <v>2.87</v>
      </c>
      <c r="AZ99" s="907">
        <v>2.89</v>
      </c>
      <c r="BA99" s="907">
        <v>2.91</v>
      </c>
      <c r="BB99" s="907">
        <v>2.9299999999999997</v>
      </c>
      <c r="BC99" s="907">
        <v>2.95</v>
      </c>
      <c r="BD99" s="907">
        <v>2.9649999999999999</v>
      </c>
      <c r="BE99" s="907">
        <v>2.9850000000000003</v>
      </c>
      <c r="BF99" s="907">
        <v>3</v>
      </c>
      <c r="BG99" s="907">
        <v>3.02</v>
      </c>
      <c r="BH99" s="907">
        <v>3.04</v>
      </c>
      <c r="BI99" s="907">
        <v>3.06</v>
      </c>
      <c r="BJ99" s="907">
        <v>3.08</v>
      </c>
      <c r="BK99" s="907">
        <v>3.1</v>
      </c>
      <c r="BL99" s="907">
        <v>3.12</v>
      </c>
      <c r="BM99" s="907">
        <v>3.14</v>
      </c>
      <c r="BN99" s="907">
        <v>3.15</v>
      </c>
      <c r="BO99" s="907">
        <v>3.17</v>
      </c>
      <c r="BP99" s="907">
        <v>3.19</v>
      </c>
      <c r="BQ99" s="907">
        <v>3.21</v>
      </c>
      <c r="BR99" s="907">
        <v>3.23</v>
      </c>
      <c r="BS99" s="907">
        <v>3.25</v>
      </c>
      <c r="BT99" s="908">
        <v>3.2650000000000001</v>
      </c>
      <c r="BU99" s="907">
        <v>3.2850000000000001</v>
      </c>
      <c r="BV99" s="907">
        <v>3.3050000000000002</v>
      </c>
      <c r="BW99" s="907">
        <v>3.3200000000000003</v>
      </c>
      <c r="BX99" s="907">
        <v>3.34</v>
      </c>
      <c r="BY99" s="907">
        <v>3.36</v>
      </c>
      <c r="BZ99" s="907">
        <v>3.375</v>
      </c>
      <c r="CA99" s="907">
        <v>3.395</v>
      </c>
      <c r="CB99" s="907">
        <v>3.415</v>
      </c>
      <c r="CC99" s="907">
        <v>3.4350000000000001</v>
      </c>
      <c r="CD99" s="907">
        <v>3.4550000000000001</v>
      </c>
      <c r="CE99" s="907">
        <v>3.4649999999999999</v>
      </c>
      <c r="CF99" s="907">
        <v>3.4849999999999999</v>
      </c>
      <c r="CG99" s="907">
        <v>3.5049999999999999</v>
      </c>
      <c r="CH99" s="907">
        <v>3.5249999999999999</v>
      </c>
      <c r="CI99" s="907">
        <v>3.54</v>
      </c>
      <c r="CJ99" s="907">
        <v>3.56</v>
      </c>
      <c r="CK99" s="907">
        <v>3.5750000000000002</v>
      </c>
      <c r="CL99" s="907">
        <v>3.5949999999999998</v>
      </c>
      <c r="CM99" s="907">
        <v>3.6100000000000003</v>
      </c>
      <c r="CN99" s="907">
        <v>3.63</v>
      </c>
      <c r="CO99" s="907">
        <v>3.6500000000000004</v>
      </c>
      <c r="CP99" s="907">
        <v>3.67</v>
      </c>
      <c r="CQ99" s="907">
        <v>3.6799999999999997</v>
      </c>
      <c r="CR99" s="907">
        <v>3.7</v>
      </c>
      <c r="CS99" s="907">
        <v>3.7199999999999998</v>
      </c>
      <c r="CT99" s="907">
        <v>3.7350000000000003</v>
      </c>
      <c r="CU99" s="907">
        <v>3.7549999999999999</v>
      </c>
      <c r="CV99" s="907">
        <v>3.77</v>
      </c>
      <c r="CW99" s="907">
        <v>3.7850000000000001</v>
      </c>
      <c r="CX99" s="907">
        <v>3.8049999999999997</v>
      </c>
      <c r="CY99" s="907">
        <v>3.8250000000000002</v>
      </c>
      <c r="CZ99" s="907">
        <v>3.835</v>
      </c>
      <c r="DA99" s="907">
        <v>3.855</v>
      </c>
      <c r="DB99" s="907">
        <v>3.875</v>
      </c>
      <c r="DC99" s="907">
        <v>3.89</v>
      </c>
      <c r="DD99" s="907">
        <v>3.9049999999999998</v>
      </c>
      <c r="DE99" s="907">
        <v>3.9249999999999998</v>
      </c>
      <c r="DF99" s="907">
        <v>3.94</v>
      </c>
      <c r="DG99" s="907">
        <v>3.96</v>
      </c>
      <c r="DH99" s="907">
        <v>3.9699999999999998</v>
      </c>
      <c r="DI99" s="907">
        <v>3.9899999999999998</v>
      </c>
      <c r="DJ99" s="907">
        <v>4.01</v>
      </c>
      <c r="DK99" s="907">
        <v>4.0250000000000004</v>
      </c>
      <c r="DL99" s="907">
        <v>4.04</v>
      </c>
      <c r="DM99" s="907">
        <v>4.0549999999999997</v>
      </c>
      <c r="DN99" s="907">
        <v>4.0750000000000002</v>
      </c>
      <c r="DO99" s="907">
        <v>4.085</v>
      </c>
      <c r="DP99" s="907">
        <v>4.1050000000000004</v>
      </c>
      <c r="DQ99" s="907">
        <v>4.12</v>
      </c>
      <c r="DR99" s="907">
        <v>4.1349999999999998</v>
      </c>
    </row>
    <row r="100" spans="1:122" s="127" customFormat="1" ht="12.75">
      <c r="A100" s="911">
        <v>98</v>
      </c>
      <c r="B100" s="907"/>
      <c r="C100" s="907"/>
      <c r="D100" s="907"/>
      <c r="E100" s="907"/>
      <c r="F100" s="907"/>
      <c r="G100" s="907"/>
      <c r="H100" s="907"/>
      <c r="I100" s="907"/>
      <c r="J100" s="907"/>
      <c r="K100" s="907"/>
      <c r="L100" s="907"/>
      <c r="M100" s="907"/>
      <c r="N100" s="907"/>
      <c r="O100" s="907"/>
      <c r="P100" s="907"/>
      <c r="Q100" s="907"/>
      <c r="R100" s="907"/>
      <c r="S100" s="907"/>
      <c r="T100" s="907"/>
      <c r="U100" s="907"/>
      <c r="V100" s="907"/>
      <c r="W100" s="907">
        <v>2.2549999999999999</v>
      </c>
      <c r="X100" s="907">
        <v>2.1799999999999997</v>
      </c>
      <c r="Y100" s="907">
        <v>2.2149999999999999</v>
      </c>
      <c r="Z100" s="907">
        <v>2.25</v>
      </c>
      <c r="AA100" s="907">
        <v>2.2599999999999998</v>
      </c>
      <c r="AB100" s="907">
        <v>2.2800000000000002</v>
      </c>
      <c r="AC100" s="907">
        <v>2.2949999999999999</v>
      </c>
      <c r="AD100" s="907">
        <v>2.3150000000000004</v>
      </c>
      <c r="AE100" s="907">
        <v>2.33</v>
      </c>
      <c r="AF100" s="907">
        <v>2.35</v>
      </c>
      <c r="AG100" s="907">
        <v>2.3650000000000002</v>
      </c>
      <c r="AH100" s="907">
        <v>2.3849999999999998</v>
      </c>
      <c r="AI100" s="907">
        <v>2.4</v>
      </c>
      <c r="AJ100" s="907">
        <v>2.42</v>
      </c>
      <c r="AK100" s="907">
        <v>2.4349999999999996</v>
      </c>
      <c r="AL100" s="907">
        <v>2.4550000000000001</v>
      </c>
      <c r="AM100" s="907">
        <v>2.4699999999999998</v>
      </c>
      <c r="AN100" s="907">
        <v>2.4850000000000003</v>
      </c>
      <c r="AO100" s="907">
        <v>2.5049999999999999</v>
      </c>
      <c r="AP100" s="907">
        <v>2.5250000000000004</v>
      </c>
      <c r="AQ100" s="907">
        <v>2.5350000000000001</v>
      </c>
      <c r="AR100" s="907">
        <v>2.5549999999999997</v>
      </c>
      <c r="AS100" s="907">
        <v>2.5750000000000002</v>
      </c>
      <c r="AT100" s="907">
        <v>2.59</v>
      </c>
      <c r="AU100" s="907">
        <v>2.605</v>
      </c>
      <c r="AV100" s="907">
        <v>2.625</v>
      </c>
      <c r="AW100" s="907">
        <v>2.645</v>
      </c>
      <c r="AX100" s="907">
        <v>2.6550000000000002</v>
      </c>
      <c r="AY100" s="907">
        <v>2.6749999999999998</v>
      </c>
      <c r="AZ100" s="907">
        <v>2.6950000000000003</v>
      </c>
      <c r="BA100" s="907">
        <v>2.71</v>
      </c>
      <c r="BB100" s="907">
        <v>2.7249999999999996</v>
      </c>
      <c r="BC100" s="907">
        <v>2.7450000000000001</v>
      </c>
      <c r="BD100" s="907">
        <v>2.76</v>
      </c>
      <c r="BE100" s="907">
        <v>2.7800000000000002</v>
      </c>
      <c r="BF100" s="907">
        <v>2.7949999999999999</v>
      </c>
      <c r="BG100" s="907">
        <v>2.8150000000000004</v>
      </c>
      <c r="BH100" s="907">
        <v>2.83</v>
      </c>
      <c r="BI100" s="907">
        <v>2.8449999999999998</v>
      </c>
      <c r="BJ100" s="907">
        <v>2.8650000000000002</v>
      </c>
      <c r="BK100" s="907">
        <v>2.88</v>
      </c>
      <c r="BL100" s="907">
        <v>2.9</v>
      </c>
      <c r="BM100" s="907">
        <v>2.915</v>
      </c>
      <c r="BN100" s="907">
        <v>2.9299999999999997</v>
      </c>
      <c r="BO100" s="907">
        <v>2.95</v>
      </c>
      <c r="BP100" s="907">
        <v>2.9649999999999999</v>
      </c>
      <c r="BQ100" s="907">
        <v>2.98</v>
      </c>
      <c r="BR100" s="907">
        <v>3</v>
      </c>
      <c r="BS100" s="907">
        <v>3.01</v>
      </c>
      <c r="BT100" s="908">
        <v>3.0300000000000002</v>
      </c>
      <c r="BU100" s="907">
        <v>3.05</v>
      </c>
      <c r="BV100" s="907">
        <v>3.0649999999999999</v>
      </c>
      <c r="BW100" s="907">
        <v>3.08</v>
      </c>
      <c r="BX100" s="907">
        <v>3.1</v>
      </c>
      <c r="BY100" s="907">
        <v>3.1150000000000002</v>
      </c>
      <c r="BZ100" s="907">
        <v>3.13</v>
      </c>
      <c r="CA100" s="907">
        <v>3.145</v>
      </c>
      <c r="CB100" s="907">
        <v>3.165</v>
      </c>
      <c r="CC100" s="907">
        <v>3.1799999999999997</v>
      </c>
      <c r="CD100" s="907">
        <v>3.1949999999999998</v>
      </c>
      <c r="CE100" s="907">
        <v>3.2149999999999999</v>
      </c>
      <c r="CF100" s="907">
        <v>3.2250000000000001</v>
      </c>
      <c r="CG100" s="907">
        <v>3.2450000000000001</v>
      </c>
      <c r="CH100" s="907">
        <v>3.2650000000000001</v>
      </c>
      <c r="CI100" s="907">
        <v>3.2749999999999999</v>
      </c>
      <c r="CJ100" s="907">
        <v>3.2949999999999999</v>
      </c>
      <c r="CK100" s="907">
        <v>3.31</v>
      </c>
      <c r="CL100" s="907">
        <v>3.3250000000000002</v>
      </c>
      <c r="CM100" s="907">
        <v>3.34</v>
      </c>
      <c r="CN100" s="907">
        <v>3.3600000000000003</v>
      </c>
      <c r="CO100" s="907">
        <v>3.37</v>
      </c>
      <c r="CP100" s="907">
        <v>3.3899999999999997</v>
      </c>
      <c r="CQ100" s="907">
        <v>3.4</v>
      </c>
      <c r="CR100" s="907">
        <v>3.42</v>
      </c>
      <c r="CS100" s="907">
        <v>3.4349999999999996</v>
      </c>
      <c r="CT100" s="907">
        <v>3.45</v>
      </c>
      <c r="CU100" s="907">
        <v>3.4649999999999999</v>
      </c>
      <c r="CV100" s="907">
        <v>3.48</v>
      </c>
      <c r="CW100" s="907">
        <v>3.4950000000000001</v>
      </c>
      <c r="CX100" s="907">
        <v>3.5149999999999997</v>
      </c>
      <c r="CY100" s="907">
        <v>3.5250000000000004</v>
      </c>
      <c r="CZ100" s="907">
        <v>3.5449999999999999</v>
      </c>
      <c r="DA100" s="907">
        <v>3.5549999999999997</v>
      </c>
      <c r="DB100" s="907">
        <v>3.5750000000000002</v>
      </c>
      <c r="DC100" s="907">
        <v>3.585</v>
      </c>
      <c r="DD100" s="907">
        <v>3.6050000000000004</v>
      </c>
      <c r="DE100" s="907">
        <v>3.6150000000000002</v>
      </c>
      <c r="DF100" s="907">
        <v>3.63</v>
      </c>
      <c r="DG100" s="907">
        <v>3.65</v>
      </c>
      <c r="DH100" s="907">
        <v>3.66</v>
      </c>
      <c r="DI100" s="907">
        <v>3.6799999999999997</v>
      </c>
      <c r="DJ100" s="907">
        <v>3.69</v>
      </c>
      <c r="DK100" s="907">
        <v>3.7050000000000001</v>
      </c>
      <c r="DL100" s="907">
        <v>3.7199999999999998</v>
      </c>
      <c r="DM100" s="907">
        <v>3.7349999999999999</v>
      </c>
      <c r="DN100" s="907">
        <v>3.75</v>
      </c>
      <c r="DO100" s="907">
        <v>3.7650000000000001</v>
      </c>
      <c r="DP100" s="907">
        <v>3.7749999999999999</v>
      </c>
      <c r="DQ100" s="907">
        <v>3.7949999999999999</v>
      </c>
      <c r="DR100" s="907">
        <v>3.8050000000000002</v>
      </c>
    </row>
    <row r="101" spans="1:122" s="127" customFormat="1" ht="12.75">
      <c r="A101" s="911">
        <v>99</v>
      </c>
      <c r="B101" s="907"/>
      <c r="C101" s="907"/>
      <c r="D101" s="907"/>
      <c r="E101" s="907"/>
      <c r="F101" s="907"/>
      <c r="G101" s="907"/>
      <c r="H101" s="907"/>
      <c r="I101" s="907"/>
      <c r="J101" s="907"/>
      <c r="K101" s="907"/>
      <c r="L101" s="907"/>
      <c r="M101" s="907"/>
      <c r="N101" s="907"/>
      <c r="O101" s="907"/>
      <c r="P101" s="907"/>
      <c r="Q101" s="907"/>
      <c r="R101" s="907"/>
      <c r="S101" s="907"/>
      <c r="T101" s="907"/>
      <c r="U101" s="907"/>
      <c r="V101" s="907"/>
      <c r="W101" s="907">
        <v>2.12</v>
      </c>
      <c r="X101" s="907">
        <v>2.0549999999999997</v>
      </c>
      <c r="Y101" s="907">
        <v>2.08</v>
      </c>
      <c r="Z101" s="907">
        <v>2.1150000000000002</v>
      </c>
      <c r="AA101" s="907">
        <v>2.13</v>
      </c>
      <c r="AB101" s="907">
        <v>2.1399999999999997</v>
      </c>
      <c r="AC101" s="907">
        <v>2.16</v>
      </c>
      <c r="AD101" s="907">
        <v>2.1749999999999998</v>
      </c>
      <c r="AE101" s="907">
        <v>2.1949999999999998</v>
      </c>
      <c r="AF101" s="907">
        <v>2.2050000000000001</v>
      </c>
      <c r="AG101" s="907">
        <v>2.2199999999999998</v>
      </c>
      <c r="AH101" s="907">
        <v>2.2400000000000002</v>
      </c>
      <c r="AI101" s="907">
        <v>2.2549999999999999</v>
      </c>
      <c r="AJ101" s="907">
        <v>2.27</v>
      </c>
      <c r="AK101" s="907">
        <v>2.2850000000000001</v>
      </c>
      <c r="AL101" s="907">
        <v>2.2999999999999998</v>
      </c>
      <c r="AM101" s="907">
        <v>2.3200000000000003</v>
      </c>
      <c r="AN101" s="907">
        <v>2.33</v>
      </c>
      <c r="AO101" s="907">
        <v>2.35</v>
      </c>
      <c r="AP101" s="907">
        <v>2.3600000000000003</v>
      </c>
      <c r="AQ101" s="907">
        <v>2.38</v>
      </c>
      <c r="AR101" s="907">
        <v>2.3949999999999996</v>
      </c>
      <c r="AS101" s="907">
        <v>2.41</v>
      </c>
      <c r="AT101" s="907">
        <v>2.4249999999999998</v>
      </c>
      <c r="AU101" s="907">
        <v>2.44</v>
      </c>
      <c r="AV101" s="907">
        <v>2.46</v>
      </c>
      <c r="AW101" s="907">
        <v>2.4699999999999998</v>
      </c>
      <c r="AX101" s="907">
        <v>2.4900000000000002</v>
      </c>
      <c r="AY101" s="907">
        <v>2.5049999999999999</v>
      </c>
      <c r="AZ101" s="907">
        <v>2.52</v>
      </c>
      <c r="BA101" s="907">
        <v>2.5350000000000001</v>
      </c>
      <c r="BB101" s="907">
        <v>2.5499999999999998</v>
      </c>
      <c r="BC101" s="907">
        <v>2.5650000000000004</v>
      </c>
      <c r="BD101" s="907">
        <v>2.58</v>
      </c>
      <c r="BE101" s="907">
        <v>2.5949999999999998</v>
      </c>
      <c r="BF101" s="907">
        <v>2.6100000000000003</v>
      </c>
      <c r="BG101" s="907">
        <v>2.625</v>
      </c>
      <c r="BH101" s="907">
        <v>2.6449999999999996</v>
      </c>
      <c r="BI101" s="907">
        <v>2.6550000000000002</v>
      </c>
      <c r="BJ101" s="907">
        <v>2.6749999999999998</v>
      </c>
      <c r="BK101" s="907">
        <v>2.6849999999999996</v>
      </c>
      <c r="BL101" s="907">
        <v>2.7050000000000001</v>
      </c>
      <c r="BM101" s="907">
        <v>2.7149999999999999</v>
      </c>
      <c r="BN101" s="907">
        <v>2.7350000000000003</v>
      </c>
      <c r="BO101" s="907">
        <v>2.75</v>
      </c>
      <c r="BP101" s="907">
        <v>2.7649999999999997</v>
      </c>
      <c r="BQ101" s="907">
        <v>2.7800000000000002</v>
      </c>
      <c r="BR101" s="907">
        <v>2.7949999999999999</v>
      </c>
      <c r="BS101" s="907">
        <v>2.81</v>
      </c>
      <c r="BT101" s="908">
        <v>2.8250000000000002</v>
      </c>
      <c r="BU101" s="907">
        <v>2.84</v>
      </c>
      <c r="BV101" s="907">
        <v>2.8550000000000004</v>
      </c>
      <c r="BW101" s="907">
        <v>2.87</v>
      </c>
      <c r="BX101" s="907">
        <v>2.8849999999999998</v>
      </c>
      <c r="BY101" s="907">
        <v>2.9</v>
      </c>
      <c r="BZ101" s="907">
        <v>2.915</v>
      </c>
      <c r="CA101" s="907">
        <v>2.9299999999999997</v>
      </c>
      <c r="CB101" s="907">
        <v>2.94</v>
      </c>
      <c r="CC101" s="907">
        <v>2.96</v>
      </c>
      <c r="CD101" s="907">
        <v>2.9699999999999998</v>
      </c>
      <c r="CE101" s="907">
        <v>2.99</v>
      </c>
      <c r="CF101" s="907">
        <v>3</v>
      </c>
      <c r="CG101" s="907">
        <v>3.02</v>
      </c>
      <c r="CH101" s="907">
        <v>3.0300000000000002</v>
      </c>
      <c r="CI101" s="907">
        <v>3.0449999999999999</v>
      </c>
      <c r="CJ101" s="907">
        <v>3.06</v>
      </c>
      <c r="CK101" s="907">
        <v>3.0750000000000002</v>
      </c>
      <c r="CL101" s="907">
        <v>3.085</v>
      </c>
      <c r="CM101" s="907">
        <v>3.105</v>
      </c>
      <c r="CN101" s="907">
        <v>3.1150000000000002</v>
      </c>
      <c r="CO101" s="907">
        <v>3.1349999999999998</v>
      </c>
      <c r="CP101" s="907">
        <v>3.145</v>
      </c>
      <c r="CQ101" s="907">
        <v>3.16</v>
      </c>
      <c r="CR101" s="907">
        <v>3.1749999999999998</v>
      </c>
      <c r="CS101" s="907">
        <v>3.19</v>
      </c>
      <c r="CT101" s="907">
        <v>3.2</v>
      </c>
      <c r="CU101" s="907">
        <v>3.2149999999999999</v>
      </c>
      <c r="CV101" s="907">
        <v>3.23</v>
      </c>
      <c r="CW101" s="907">
        <v>3.24</v>
      </c>
      <c r="CX101" s="907">
        <v>3.26</v>
      </c>
      <c r="CY101" s="907">
        <v>3.27</v>
      </c>
      <c r="CZ101" s="907">
        <v>3.2850000000000001</v>
      </c>
      <c r="DA101" s="907">
        <v>3.3</v>
      </c>
      <c r="DB101" s="907">
        <v>3.31</v>
      </c>
      <c r="DC101" s="907">
        <v>3.3250000000000002</v>
      </c>
      <c r="DD101" s="907">
        <v>3.335</v>
      </c>
      <c r="DE101" s="907">
        <v>3.35</v>
      </c>
      <c r="DF101" s="907">
        <v>3.3650000000000002</v>
      </c>
      <c r="DG101" s="907">
        <v>3.375</v>
      </c>
      <c r="DH101" s="907">
        <v>3.3899999999999997</v>
      </c>
      <c r="DI101" s="907">
        <v>3.4050000000000002</v>
      </c>
      <c r="DJ101" s="907">
        <v>3.415</v>
      </c>
      <c r="DK101" s="907">
        <v>3.4299999999999997</v>
      </c>
      <c r="DL101" s="907">
        <v>3.44</v>
      </c>
      <c r="DM101" s="907">
        <v>3.4550000000000001</v>
      </c>
      <c r="DN101" s="907">
        <v>3.4699999999999998</v>
      </c>
      <c r="DO101" s="907">
        <v>3.48</v>
      </c>
      <c r="DP101" s="907">
        <v>3.49</v>
      </c>
      <c r="DQ101" s="907">
        <v>3.5049999999999999</v>
      </c>
      <c r="DR101" s="907">
        <v>3.52</v>
      </c>
    </row>
    <row r="102" spans="1:122" s="127" customFormat="1" ht="12.75">
      <c r="A102" s="911">
        <v>100</v>
      </c>
      <c r="B102" s="907"/>
      <c r="C102" s="907"/>
      <c r="D102" s="907"/>
      <c r="E102" s="907"/>
      <c r="F102" s="907"/>
      <c r="G102" s="907"/>
      <c r="H102" s="907"/>
      <c r="I102" s="907"/>
      <c r="J102" s="907"/>
      <c r="K102" s="907"/>
      <c r="L102" s="907"/>
      <c r="M102" s="907"/>
      <c r="N102" s="907"/>
      <c r="O102" s="907"/>
      <c r="P102" s="907"/>
      <c r="Q102" s="907"/>
      <c r="R102" s="907"/>
      <c r="S102" s="907"/>
      <c r="T102" s="907"/>
      <c r="U102" s="907"/>
      <c r="V102" s="907"/>
      <c r="W102" s="907">
        <v>2</v>
      </c>
      <c r="X102" s="907">
        <v>1.9350000000000001</v>
      </c>
      <c r="Y102" s="907">
        <v>1.97</v>
      </c>
      <c r="Z102" s="907">
        <v>1.9949999999999999</v>
      </c>
      <c r="AA102" s="907">
        <v>2.0049999999999999</v>
      </c>
      <c r="AB102" s="907">
        <v>2.02</v>
      </c>
      <c r="AC102" s="907">
        <v>2.04</v>
      </c>
      <c r="AD102" s="907">
        <v>2.0499999999999998</v>
      </c>
      <c r="AE102" s="907">
        <v>2.0649999999999999</v>
      </c>
      <c r="AF102" s="907">
        <v>2.08</v>
      </c>
      <c r="AG102" s="907">
        <v>2.0949999999999998</v>
      </c>
      <c r="AH102" s="907">
        <v>2.11</v>
      </c>
      <c r="AI102" s="907">
        <v>2.12</v>
      </c>
      <c r="AJ102" s="907">
        <v>2.1349999999999998</v>
      </c>
      <c r="AK102" s="907">
        <v>2.1549999999999998</v>
      </c>
      <c r="AL102" s="907">
        <v>2.165</v>
      </c>
      <c r="AM102" s="907">
        <v>2.1799999999999997</v>
      </c>
      <c r="AN102" s="907">
        <v>2.1949999999999998</v>
      </c>
      <c r="AO102" s="907">
        <v>2.2050000000000001</v>
      </c>
      <c r="AP102" s="907">
        <v>2.2250000000000001</v>
      </c>
      <c r="AQ102" s="907">
        <v>2.2349999999999999</v>
      </c>
      <c r="AR102" s="907">
        <v>2.2549999999999999</v>
      </c>
      <c r="AS102" s="907">
        <v>2.2650000000000001</v>
      </c>
      <c r="AT102" s="907">
        <v>2.2800000000000002</v>
      </c>
      <c r="AU102" s="907">
        <v>2.2949999999999999</v>
      </c>
      <c r="AV102" s="907">
        <v>2.3050000000000002</v>
      </c>
      <c r="AW102" s="907">
        <v>2.3250000000000002</v>
      </c>
      <c r="AX102" s="907">
        <v>2.335</v>
      </c>
      <c r="AY102" s="907">
        <v>2.355</v>
      </c>
      <c r="AZ102" s="907">
        <v>2.3650000000000002</v>
      </c>
      <c r="BA102" s="907">
        <v>2.38</v>
      </c>
      <c r="BB102" s="907">
        <v>2.395</v>
      </c>
      <c r="BC102" s="907">
        <v>2.4049999999999998</v>
      </c>
      <c r="BD102" s="907">
        <v>2.4249999999999998</v>
      </c>
      <c r="BE102" s="907">
        <v>2.4350000000000001</v>
      </c>
      <c r="BF102" s="907">
        <v>2.4500000000000002</v>
      </c>
      <c r="BG102" s="907">
        <v>2.4649999999999999</v>
      </c>
      <c r="BH102" s="907">
        <v>2.48</v>
      </c>
      <c r="BI102" s="907">
        <v>2.4900000000000002</v>
      </c>
      <c r="BJ102" s="907">
        <v>2.5049999999999999</v>
      </c>
      <c r="BK102" s="907">
        <v>2.52</v>
      </c>
      <c r="BL102" s="907">
        <v>2.5350000000000001</v>
      </c>
      <c r="BM102" s="907">
        <v>2.5499999999999998</v>
      </c>
      <c r="BN102" s="907">
        <v>2.56</v>
      </c>
      <c r="BO102" s="907">
        <v>2.58</v>
      </c>
      <c r="BP102" s="907">
        <v>2.59</v>
      </c>
      <c r="BQ102" s="907">
        <v>2.6</v>
      </c>
      <c r="BR102" s="907">
        <v>2.62</v>
      </c>
      <c r="BS102" s="907">
        <v>2.63</v>
      </c>
      <c r="BT102" s="908">
        <v>2.6449999999999996</v>
      </c>
      <c r="BU102" s="907">
        <v>2.66</v>
      </c>
      <c r="BV102" s="907">
        <v>2.67</v>
      </c>
      <c r="BW102" s="907">
        <v>2.6849999999999996</v>
      </c>
      <c r="BX102" s="907">
        <v>2.7</v>
      </c>
      <c r="BY102" s="907">
        <v>2.7149999999999999</v>
      </c>
      <c r="BZ102" s="907">
        <v>2.7249999999999996</v>
      </c>
      <c r="CA102" s="907">
        <v>2.7350000000000003</v>
      </c>
      <c r="CB102" s="907">
        <v>2.7549999999999999</v>
      </c>
      <c r="CC102" s="907">
        <v>2.7649999999999997</v>
      </c>
      <c r="CD102" s="907">
        <v>2.7750000000000004</v>
      </c>
      <c r="CE102" s="907">
        <v>2.7949999999999999</v>
      </c>
      <c r="CF102" s="907">
        <v>2.8049999999999997</v>
      </c>
      <c r="CG102" s="907">
        <v>2.8150000000000004</v>
      </c>
      <c r="CH102" s="907">
        <v>2.83</v>
      </c>
      <c r="CI102" s="907">
        <v>2.8449999999999998</v>
      </c>
      <c r="CJ102" s="907">
        <v>2.8600000000000003</v>
      </c>
      <c r="CK102" s="907">
        <v>2.87</v>
      </c>
      <c r="CL102" s="907">
        <v>2.88</v>
      </c>
      <c r="CM102" s="907">
        <v>2.9</v>
      </c>
      <c r="CN102" s="907">
        <v>2.91</v>
      </c>
      <c r="CO102" s="907">
        <v>2.92</v>
      </c>
      <c r="CP102" s="907">
        <v>2.9350000000000001</v>
      </c>
      <c r="CQ102" s="907">
        <v>2.95</v>
      </c>
      <c r="CR102" s="907">
        <v>2.96</v>
      </c>
      <c r="CS102" s="907">
        <v>2.9699999999999998</v>
      </c>
      <c r="CT102" s="907">
        <v>2.9849999999999999</v>
      </c>
      <c r="CU102" s="907">
        <v>2.9950000000000001</v>
      </c>
      <c r="CV102" s="907">
        <v>3.01</v>
      </c>
      <c r="CW102" s="907">
        <v>3.0249999999999999</v>
      </c>
      <c r="CX102" s="907">
        <v>3.0350000000000001</v>
      </c>
      <c r="CY102" s="907">
        <v>3.0449999999999999</v>
      </c>
      <c r="CZ102" s="907">
        <v>3.0550000000000002</v>
      </c>
      <c r="DA102" s="907">
        <v>3.0700000000000003</v>
      </c>
      <c r="DB102" s="907">
        <v>3.085</v>
      </c>
      <c r="DC102" s="907">
        <v>3.0950000000000002</v>
      </c>
      <c r="DD102" s="907">
        <v>3.11</v>
      </c>
      <c r="DE102" s="907">
        <v>3.12</v>
      </c>
      <c r="DF102" s="907">
        <v>3.13</v>
      </c>
      <c r="DG102" s="907">
        <v>3.14</v>
      </c>
      <c r="DH102" s="907">
        <v>3.15</v>
      </c>
      <c r="DI102" s="907">
        <v>3.165</v>
      </c>
      <c r="DJ102" s="907">
        <v>3.1799999999999997</v>
      </c>
      <c r="DK102" s="907">
        <v>3.19</v>
      </c>
      <c r="DL102" s="907">
        <v>3.2</v>
      </c>
      <c r="DM102" s="907">
        <v>3.2149999999999999</v>
      </c>
      <c r="DN102" s="907">
        <v>3.2249999999999996</v>
      </c>
      <c r="DO102" s="907">
        <v>3.2350000000000003</v>
      </c>
      <c r="DP102" s="907">
        <v>3.2450000000000001</v>
      </c>
      <c r="DQ102" s="907">
        <v>3.2549999999999999</v>
      </c>
      <c r="DR102" s="907">
        <v>3.27</v>
      </c>
    </row>
    <row r="103" spans="1:122" s="127" customFormat="1" ht="12.75">
      <c r="A103" s="344"/>
      <c r="BT103" s="909"/>
    </row>
    <row r="104" spans="1:122" s="127" customFormat="1" ht="12.75">
      <c r="A104" s="344"/>
      <c r="BT104" s="909"/>
    </row>
    <row r="105" spans="1:122" s="127" customFormat="1" ht="12.75">
      <c r="A105" s="344"/>
      <c r="BT105" s="909"/>
    </row>
    <row r="106" spans="1:122" s="127" customFormat="1" ht="12.75">
      <c r="A106" s="344"/>
      <c r="BT106" s="909"/>
    </row>
    <row r="107" spans="1:122" s="127" customFormat="1" ht="12.75">
      <c r="A107" s="344"/>
      <c r="BT107" s="909"/>
    </row>
    <row r="108" spans="1:122" s="127" customFormat="1" ht="12.75">
      <c r="A108" s="344"/>
      <c r="BT108" s="909"/>
    </row>
    <row r="109" spans="1:122" s="127" customFormat="1" ht="12.75">
      <c r="A109" s="344"/>
      <c r="BT109" s="909"/>
    </row>
    <row r="110" spans="1:122" s="127" customFormat="1" ht="12.75">
      <c r="A110" s="344"/>
      <c r="BT110" s="909"/>
    </row>
    <row r="111" spans="1:122" s="127" customFormat="1" ht="12.75">
      <c r="A111" s="344"/>
      <c r="BT111" s="909"/>
    </row>
    <row r="112" spans="1:122" s="127" customFormat="1" ht="12.75">
      <c r="A112" s="344"/>
      <c r="BT112" s="909"/>
    </row>
    <row r="113" spans="1:72" s="127" customFormat="1" ht="12.75">
      <c r="A113" s="344"/>
      <c r="BT113" s="909"/>
    </row>
    <row r="114" spans="1:72" s="127" customFormat="1" ht="12.75">
      <c r="A114" s="344"/>
      <c r="BT114" s="909"/>
    </row>
    <row r="115" spans="1:72" s="127" customFormat="1" ht="12.75">
      <c r="A115" s="344"/>
      <c r="BT115" s="909"/>
    </row>
    <row r="116" spans="1:72" s="127" customFormat="1" ht="12.75">
      <c r="A116" s="344"/>
      <c r="BT116" s="909"/>
    </row>
    <row r="117" spans="1:72" s="127" customFormat="1" ht="12.75">
      <c r="A117" s="344"/>
      <c r="BT117" s="909"/>
    </row>
    <row r="118" spans="1:72" s="127" customFormat="1" ht="12.75">
      <c r="A118" s="344"/>
      <c r="BT118" s="909"/>
    </row>
    <row r="119" spans="1:72" s="127" customFormat="1" ht="12.75">
      <c r="A119" s="344"/>
      <c r="BT119" s="909"/>
    </row>
    <row r="120" spans="1:72" s="127" customFormat="1" ht="12.75">
      <c r="A120" s="344"/>
      <c r="BT120" s="909"/>
    </row>
    <row r="121" spans="1:72" s="127" customFormat="1" ht="12.75">
      <c r="A121" s="344"/>
      <c r="BT121" s="909"/>
    </row>
    <row r="122" spans="1:72" s="127" customFormat="1" ht="12.75">
      <c r="A122" s="344"/>
      <c r="BT122" s="909"/>
    </row>
    <row r="123" spans="1:72" s="127" customFormat="1" ht="12.75">
      <c r="A123" s="344"/>
      <c r="BT123" s="909"/>
    </row>
    <row r="124" spans="1:72" s="127" customFormat="1" ht="12.75">
      <c r="A124" s="344"/>
      <c r="BT124" s="909"/>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6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60" type="noConversion"/>
  <conditionalFormatting sqref="AC1:DO150">
    <cfRule type="expression" dxfId="423"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53</vt:i4>
      </vt:variant>
      <vt:variant>
        <vt:lpstr>Benannte Bereiche</vt:lpstr>
      </vt:variant>
      <vt:variant>
        <vt:i4>502</vt:i4>
      </vt:variant>
    </vt:vector>
  </HeadingPairs>
  <TitlesOfParts>
    <vt:vector size="555"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Tabelle3</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Joern Hauss</cp:lastModifiedBy>
  <cp:lastPrinted>2024-11-25T08:58:51Z</cp:lastPrinted>
  <dcterms:created xsi:type="dcterms:W3CDTF">2016-06-14T19:27:46Z</dcterms:created>
  <dcterms:modified xsi:type="dcterms:W3CDTF">2026-03-09T16:51:12Z</dcterms:modified>
</cp:coreProperties>
</file>